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70630_電子申請\2.変更後\"/>
    </mc:Choice>
  </mc:AlternateContent>
  <xr:revisionPtr revIDLastSave="0" documentId="13_ncr:1_{A3563392-1980-4D58-9768-9A1415301DC9}" xr6:coauthVersionLast="47" xr6:coauthVersionMax="47" xr10:uidLastSave="{00000000-0000-0000-0000-000000000000}"/>
  <bookViews>
    <workbookView xWindow="28680" yWindow="1725" windowWidth="29040" windowHeight="15990" tabRatio="815" activeTab="3" xr2:uid="{00000000-000D-0000-FFFF-FFFF00000000}"/>
  </bookViews>
  <sheets>
    <sheet name="手続き" sheetId="186" r:id="rId1"/>
    <sheet name="一覧" sheetId="155" r:id="rId2"/>
    <sheet name="一覧（取り下げ）" sheetId="241" r:id="rId3"/>
    <sheet name="別紙１－１ " sheetId="244" r:id="rId4"/>
    <sheet name="別紙１－２" sheetId="245" r:id="rId5"/>
    <sheet name="別紙2" sheetId="213" r:id="rId6"/>
    <sheet name="別紙6" sheetId="242" r:id="rId7"/>
    <sheet name="別紙7" sheetId="217" r:id="rId8"/>
    <sheet name="別紙7-2" sheetId="218" r:id="rId9"/>
    <sheet name="別紙11" sheetId="238" r:id="rId10"/>
    <sheet name="別紙12-2" sheetId="222" r:id="rId11"/>
    <sheet name="別紙14－2" sheetId="240" r:id="rId12"/>
    <sheet name="別紙14－3" sheetId="237" r:id="rId13"/>
    <sheet name="別紙14-4" sheetId="227" r:id="rId14"/>
    <sheet name="別紙20" sheetId="239" r:id="rId15"/>
    <sheet name="別紙22" sheetId="235" r:id="rId16"/>
    <sheet name="別紙22ー２" sheetId="236" r:id="rId17"/>
    <sheet name="別紙28" sheetId="226" r:id="rId18"/>
    <sheet name="別紙２ 成果の確認の根拠データ" sheetId="234" r:id="rId19"/>
    <sheet name="別紙30" sheetId="219" r:id="rId20"/>
    <sheet name="別紙30-2" sheetId="220" r:id="rId21"/>
    <sheet name="別紙31" sheetId="223" r:id="rId22"/>
    <sheet name="別紙35" sheetId="225" r:id="rId23"/>
    <sheet name="別紙38" sheetId="221" r:id="rId24"/>
    <sheet name="別紙40" sheetId="224" r:id="rId25"/>
    <sheet name="様式2" sheetId="188" r:id="rId26"/>
    <sheet name="様式5" sheetId="189" r:id="rId27"/>
    <sheet name="様式6" sheetId="190" r:id="rId28"/>
    <sheet name="様式8" sheetId="192" r:id="rId29"/>
    <sheet name="様式9" sheetId="193" r:id="rId30"/>
    <sheet name="届出様式" sheetId="202" r:id="rId31"/>
    <sheet name="（参考）計算シート" sheetId="203" r:id="rId32"/>
    <sheet name="付表第一号（七）" sheetId="214" r:id="rId33"/>
    <sheet name="付表第一号（十一）" sheetId="215" r:id="rId34"/>
    <sheet name="（参考）付表第一号（十一）" sheetId="216" r:id="rId35"/>
    <sheet name="付表第一号（十七）" sheetId="231" r:id="rId36"/>
    <sheet name="（参考）付表第一号（十七）" sheetId="232" r:id="rId37"/>
    <sheet name="夜勤" sheetId="183" r:id="rId38"/>
    <sheet name="夜勤別紙" sheetId="184" r:id="rId39"/>
    <sheet name="参考1" sheetId="182" r:id="rId40"/>
    <sheet name="参考2" sheetId="233" r:id="rId41"/>
    <sheet name="別紙●24" sheetId="66" state="hidden" r:id="rId42"/>
  </sheets>
  <externalReferences>
    <externalReference r:id="rId43"/>
    <externalReference r:id="rId44"/>
    <externalReference r:id="rId45"/>
  </externalReferences>
  <definedNames>
    <definedName name="【記載例】シフト記号" localSheetId="40">#REF!</definedName>
    <definedName name="【記載例】シフト記号" localSheetId="6">#REF!</definedName>
    <definedName name="【記載例】シフト記号">#REF!</definedName>
    <definedName name="【記載例】シフト記号表" localSheetId="40">#REF!</definedName>
    <definedName name="【記載例】シフト記号表" localSheetId="6">#REF!</definedName>
    <definedName name="【記載例】シフト記号表">#REF!</definedName>
    <definedName name="ｋ">#N/A</definedName>
    <definedName name="_xlnm.Print_Area" localSheetId="31">'（参考）計算シート'!$A$1:$U$31</definedName>
    <definedName name="_xlnm.Print_Area" localSheetId="34">'（参考）付表第一号（十一）'!$A$1:$AA$27</definedName>
    <definedName name="_xlnm.Print_Area" localSheetId="36">'（参考）付表第一号（十七）'!$A$1:$R$90</definedName>
    <definedName name="_xlnm.Print_Area" localSheetId="1">一覧!$A$1:$Y$187</definedName>
    <definedName name="_xlnm.Print_Area" localSheetId="2">'一覧（取り下げ）'!$A$1:$X$180</definedName>
    <definedName name="_xlnm.Print_Area" localSheetId="39">参考1!$A$1:$AN$64</definedName>
    <definedName name="_xlnm.Print_Area" localSheetId="40">参考2!$A$1:$P$51</definedName>
    <definedName name="_xlnm.Print_Area" localSheetId="0">手続き!$A$1:$H$77</definedName>
    <definedName name="_xlnm.Print_Area" localSheetId="30">届出様式!$A$1:$AG$77</definedName>
    <definedName name="_xlnm.Print_Area" localSheetId="32">'付表第一号（七）'!$A$1:$AH$62</definedName>
    <definedName name="_xlnm.Print_Area" localSheetId="33">'付表第一号（十一）'!$A$1:$AA$49</definedName>
    <definedName name="_xlnm.Print_Area" localSheetId="35">'付表第一号（十七）'!$A$1:$R$114</definedName>
    <definedName name="_xlnm.Print_Area" localSheetId="41">別紙●24!$A$1:$AM$77</definedName>
    <definedName name="_xlnm.Print_Area" localSheetId="9">#N/A</definedName>
    <definedName name="_xlnm.Print_Area" localSheetId="3">'別紙１－１ '!$A$1:$AF$1110</definedName>
    <definedName name="_xlnm.Print_Area" localSheetId="4">'別紙１－２'!$A$1:$AF$517</definedName>
    <definedName name="_xlnm.Print_Area" localSheetId="10">'別紙12-2'!$A$1:$AE$69</definedName>
    <definedName name="_xlnm.Print_Area" localSheetId="11">'別紙14－2'!$A$1:$AD$59</definedName>
    <definedName name="_xlnm.Print_Area" localSheetId="12">'別紙14－3'!$A$1:$AD$48</definedName>
    <definedName name="_xlnm.Print_Area" localSheetId="13">'別紙14-4'!$A$1:$AE$60</definedName>
    <definedName name="_xlnm.Print_Area" localSheetId="18">'別紙２ 成果の確認の根拠データ'!$A$1:$AB$61</definedName>
    <definedName name="_xlnm.Print_Area" localSheetId="14">別紙20!$A$1:$AD$27</definedName>
    <definedName name="_xlnm.Print_Area" localSheetId="15">別紙22!$A$1:$Y$31</definedName>
    <definedName name="_xlnm.Print_Area" localSheetId="16">別紙22ー２!$A$1:$W$47</definedName>
    <definedName name="_xlnm.Print_Area" localSheetId="19">別紙30!$A$1:$AF$54</definedName>
    <definedName name="_xlnm.Print_Area" localSheetId="20">'別紙30-2'!$A$1:$AF$45</definedName>
    <definedName name="_xlnm.Print_Area" localSheetId="21">別紙31!$A$1:$AD$67</definedName>
    <definedName name="_xlnm.Print_Area" localSheetId="22">別紙35!$A$1:$AH$51</definedName>
    <definedName name="_xlnm.Print_Area" localSheetId="23">別紙38!$A$1:$Z$45</definedName>
    <definedName name="_xlnm.Print_Area" localSheetId="24">別紙40!$A$1:$AF$59</definedName>
    <definedName name="_xlnm.Print_Area" localSheetId="6">別紙6!$A$1:$AL$33</definedName>
    <definedName name="_xlnm.Print_Area" localSheetId="7">別紙7!$A$1:$AI$61</definedName>
    <definedName name="_xlnm.Print_Area" localSheetId="8">'別紙7-2'!$A$1:$S$85</definedName>
    <definedName name="_xlnm.Print_Area" localSheetId="37">夜勤!$A$1:$T$33</definedName>
    <definedName name="_xlnm.Print_Area" localSheetId="38">夜勤別紙!$A$1:$AM$58</definedName>
    <definedName name="_xlnm.Print_Area" localSheetId="25">様式2!$A$1:$AA$44</definedName>
    <definedName name="_xlnm.Print_Area" localSheetId="26">様式5!$A$1:$AA$36</definedName>
    <definedName name="_xlnm.Print_Area" localSheetId="27">様式6!$A$1:$AA$52</definedName>
    <definedName name="_xlnm.Print_Area" localSheetId="28">様式8!$A$1:$AJ$57</definedName>
    <definedName name="_xlnm.Print_Area" localSheetId="29">様式9!$A$1:$AA$32</definedName>
    <definedName name="_xlnm.Print_Titles" localSheetId="1">一覧!$1:$18</definedName>
    <definedName name="_xlnm.Print_Titles" localSheetId="2">'一覧（取り下げ）'!$1:$18</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40">#REF!</definedName>
    <definedName name="職種" localSheetId="6">#REF!</definedName>
    <definedName name="職種">#REF!</definedName>
    <definedName name="診療放射線技師" localSheetId="6">#REF!</definedName>
    <definedName name="診療放射線技師">#REF!</definedName>
    <definedName name="調理員" localSheetId="40">#REF!</definedName>
    <definedName name="調理員" localSheetId="6">#REF!</definedName>
    <definedName name="調理員">#REF!</definedName>
    <definedName name="薬剤師" localSheetId="40">#REF!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 i="245" l="1"/>
  <c r="AG8" i="245"/>
  <c r="AG10" i="245"/>
  <c r="AI10" i="245"/>
  <c r="AJ10" i="245"/>
  <c r="AK10" i="245"/>
  <c r="AI11" i="245"/>
  <c r="AI12" i="245"/>
  <c r="AI13" i="245"/>
  <c r="AI15" i="245"/>
  <c r="AI17" i="245"/>
  <c r="AI18" i="245"/>
  <c r="AI19" i="245"/>
  <c r="AG20" i="245"/>
  <c r="AI20" i="245"/>
  <c r="AJ20" i="245"/>
  <c r="AG21" i="245"/>
  <c r="AI21" i="245"/>
  <c r="AI22" i="245"/>
  <c r="AI23" i="245"/>
  <c r="AI25" i="245"/>
  <c r="AI27" i="245"/>
  <c r="AI28" i="245"/>
  <c r="AI29" i="245"/>
  <c r="AI30" i="245"/>
  <c r="AI31" i="245"/>
  <c r="AI32" i="245"/>
  <c r="AG33" i="245"/>
  <c r="AI33" i="245"/>
  <c r="AJ33" i="245"/>
  <c r="AG34" i="245"/>
  <c r="AI34" i="245"/>
  <c r="AI35" i="245"/>
  <c r="AI36" i="245"/>
  <c r="AI38" i="245"/>
  <c r="AI40" i="245"/>
  <c r="AI41" i="245"/>
  <c r="AG42" i="245"/>
  <c r="AI42" i="245"/>
  <c r="AJ42" i="245"/>
  <c r="AI43" i="245"/>
  <c r="AI45" i="245"/>
  <c r="AI47" i="245"/>
  <c r="AI48" i="245"/>
  <c r="AG49" i="245"/>
  <c r="AI49" i="245"/>
  <c r="AJ49" i="245"/>
  <c r="AG50" i="245"/>
  <c r="AI51" i="245"/>
  <c r="AI52" i="245"/>
  <c r="AI53" i="245"/>
  <c r="AI54" i="245"/>
  <c r="AI55" i="245"/>
  <c r="AI56" i="245"/>
  <c r="AI57" i="245"/>
  <c r="AI58" i="245"/>
  <c r="AI59" i="245"/>
  <c r="AI60" i="245"/>
  <c r="AG61" i="245"/>
  <c r="AI61" i="245"/>
  <c r="AJ61" i="245"/>
  <c r="AK61" i="245"/>
  <c r="AG62" i="245"/>
  <c r="AI62" i="245"/>
  <c r="AI63" i="245"/>
  <c r="AI64" i="245"/>
  <c r="AI65" i="245"/>
  <c r="AI66" i="245"/>
  <c r="AI67" i="245"/>
  <c r="AI69" i="245"/>
  <c r="AI70" i="245"/>
  <c r="AI71" i="245"/>
  <c r="AI72" i="245"/>
  <c r="AI73" i="245"/>
  <c r="AI74" i="245"/>
  <c r="AI75" i="245"/>
  <c r="AI76" i="245"/>
  <c r="AI77" i="245"/>
  <c r="AI78" i="245"/>
  <c r="AI79" i="245"/>
  <c r="AI81" i="245"/>
  <c r="AI83" i="245"/>
  <c r="AI85" i="245"/>
  <c r="AG86" i="245"/>
  <c r="AH86" i="245"/>
  <c r="AI86" i="245"/>
  <c r="AJ86" i="245"/>
  <c r="AG87" i="245"/>
  <c r="AI87" i="245"/>
  <c r="AI89" i="245"/>
  <c r="AI90" i="245"/>
  <c r="AI91" i="245"/>
  <c r="AI92" i="245"/>
  <c r="AI93" i="245"/>
  <c r="AI94" i="245"/>
  <c r="AI95" i="245"/>
  <c r="AI96" i="245"/>
  <c r="AI97" i="245"/>
  <c r="AI98" i="245"/>
  <c r="AI99" i="245"/>
  <c r="AI100" i="245"/>
  <c r="AI101" i="245"/>
  <c r="AI102" i="245"/>
  <c r="AI103" i="245"/>
  <c r="AI105" i="245"/>
  <c r="AG106" i="245"/>
  <c r="AH106" i="245"/>
  <c r="AI106" i="245"/>
  <c r="AJ106" i="245"/>
  <c r="AG107" i="245"/>
  <c r="AI107" i="245"/>
  <c r="AI109" i="245"/>
  <c r="AI110" i="245"/>
  <c r="AI111" i="245"/>
  <c r="AI112" i="245"/>
  <c r="AI113" i="245"/>
  <c r="AI114" i="245"/>
  <c r="AI115" i="245"/>
  <c r="AI116" i="245"/>
  <c r="AI117" i="245"/>
  <c r="AI118" i="245"/>
  <c r="AI119" i="245"/>
  <c r="AI120" i="245"/>
  <c r="AI121" i="245"/>
  <c r="AI122" i="245"/>
  <c r="AI124" i="245"/>
  <c r="AG125" i="245"/>
  <c r="AI125" i="245"/>
  <c r="AJ125" i="245"/>
  <c r="AG126" i="245"/>
  <c r="AI126" i="245"/>
  <c r="AI128" i="245"/>
  <c r="AI129" i="245"/>
  <c r="AI130" i="245"/>
  <c r="AI131" i="245"/>
  <c r="AI132" i="245"/>
  <c r="AI133" i="245"/>
  <c r="AI134" i="245"/>
  <c r="AI135" i="245"/>
  <c r="AI136" i="245"/>
  <c r="AI137" i="245"/>
  <c r="AI138" i="245"/>
  <c r="AI139" i="245"/>
  <c r="AI140" i="245"/>
  <c r="AI141" i="245"/>
  <c r="AI142" i="245"/>
  <c r="AI143" i="245"/>
  <c r="AI144" i="245"/>
  <c r="AI145" i="245"/>
  <c r="AI147" i="245"/>
  <c r="AG148" i="245"/>
  <c r="AI148" i="245"/>
  <c r="AJ148" i="245"/>
  <c r="AG149" i="245"/>
  <c r="AI149" i="245"/>
  <c r="AI151" i="245"/>
  <c r="AI152" i="245"/>
  <c r="AI153" i="245"/>
  <c r="AI154" i="245"/>
  <c r="AI155" i="245"/>
  <c r="AI156" i="245"/>
  <c r="AI157" i="245"/>
  <c r="AI158" i="245"/>
  <c r="AI159" i="245"/>
  <c r="AI160" i="245"/>
  <c r="AI161" i="245"/>
  <c r="AI162" i="245"/>
  <c r="AI163" i="245"/>
  <c r="AI164" i="245"/>
  <c r="AI165" i="245"/>
  <c r="AI166" i="245"/>
  <c r="AI167" i="245"/>
  <c r="AI169" i="245"/>
  <c r="AG170" i="245"/>
  <c r="AI170" i="245"/>
  <c r="AJ170" i="245"/>
  <c r="AG171" i="245"/>
  <c r="AI171" i="245"/>
  <c r="AI173" i="245"/>
  <c r="AI174" i="245"/>
  <c r="AI175" i="245"/>
  <c r="AI176" i="245"/>
  <c r="AI177" i="245"/>
  <c r="AI178" i="245"/>
  <c r="AI179" i="245"/>
  <c r="AI180" i="245"/>
  <c r="AI181" i="245"/>
  <c r="AI182" i="245"/>
  <c r="AI183" i="245"/>
  <c r="AI184" i="245"/>
  <c r="AI185" i="245"/>
  <c r="AI186" i="245"/>
  <c r="AI188" i="245"/>
  <c r="AG189" i="245"/>
  <c r="AI189" i="245"/>
  <c r="AJ189" i="245"/>
  <c r="AG190" i="245"/>
  <c r="AI190" i="245"/>
  <c r="AI192" i="245"/>
  <c r="AI193" i="245"/>
  <c r="AI194" i="245"/>
  <c r="AI195" i="245"/>
  <c r="AI196" i="245"/>
  <c r="AI197" i="245"/>
  <c r="AI198" i="245"/>
  <c r="AI199" i="245"/>
  <c r="AI200" i="245"/>
  <c r="AI201" i="245"/>
  <c r="AI202" i="245"/>
  <c r="AI203" i="245"/>
  <c r="AI204" i="245"/>
  <c r="AI206" i="245"/>
  <c r="AG207" i="245"/>
  <c r="AH207" i="245"/>
  <c r="AI207" i="245"/>
  <c r="AJ207" i="245"/>
  <c r="AG208" i="245"/>
  <c r="AI209" i="245"/>
  <c r="AI210" i="245"/>
  <c r="AI211" i="245"/>
  <c r="AI212" i="245"/>
  <c r="AI213" i="245"/>
  <c r="AI214" i="245"/>
  <c r="AI215" i="245"/>
  <c r="AI216" i="245"/>
  <c r="AI217" i="245"/>
  <c r="AI218" i="245"/>
  <c r="AI219" i="245"/>
  <c r="AI220" i="245"/>
  <c r="AI222" i="245"/>
  <c r="AI223" i="245"/>
  <c r="AI225" i="245"/>
  <c r="AI226" i="245"/>
  <c r="AI228" i="245"/>
  <c r="AG229" i="245"/>
  <c r="AH229" i="245"/>
  <c r="AI229" i="245"/>
  <c r="AJ229" i="245"/>
  <c r="AG230" i="245"/>
  <c r="AI231" i="245"/>
  <c r="AI232" i="245"/>
  <c r="AI233" i="245"/>
  <c r="AI234" i="245"/>
  <c r="AI235" i="245"/>
  <c r="AI236" i="245"/>
  <c r="AI237" i="245"/>
  <c r="AI238" i="245"/>
  <c r="AI239" i="245"/>
  <c r="AI240" i="245"/>
  <c r="AI241" i="245"/>
  <c r="AI242" i="245"/>
  <c r="AI243" i="245"/>
  <c r="AI245" i="245"/>
  <c r="AI246" i="245"/>
  <c r="AI248" i="245"/>
  <c r="AI249" i="245"/>
  <c r="AI251" i="245"/>
  <c r="AG252" i="245"/>
  <c r="AH252" i="245"/>
  <c r="AI252" i="245"/>
  <c r="AJ252" i="245"/>
  <c r="AG253" i="245"/>
  <c r="AI254" i="245"/>
  <c r="AI255" i="245"/>
  <c r="AI256" i="245"/>
  <c r="AI257" i="245"/>
  <c r="AI258" i="245"/>
  <c r="AI259" i="245"/>
  <c r="AI260" i="245"/>
  <c r="AI261" i="245"/>
  <c r="AI262" i="245"/>
  <c r="AI263" i="245"/>
  <c r="AI264" i="245"/>
  <c r="AI265" i="245"/>
  <c r="AI266" i="245"/>
  <c r="AI268" i="245"/>
  <c r="AI269" i="245"/>
  <c r="AI271" i="245"/>
  <c r="AI272" i="245"/>
  <c r="AI274" i="245"/>
  <c r="AG275" i="245"/>
  <c r="AH275" i="245"/>
  <c r="AI275" i="245"/>
  <c r="AJ275" i="245"/>
  <c r="AG276" i="245"/>
  <c r="AI276" i="245"/>
  <c r="AI277" i="245"/>
  <c r="AI278" i="245"/>
  <c r="AI279" i="245"/>
  <c r="AI280" i="245"/>
  <c r="AI281" i="245"/>
  <c r="AI282" i="245"/>
  <c r="AI283" i="245"/>
  <c r="AI284" i="245"/>
  <c r="AI285" i="245"/>
  <c r="AI287" i="245"/>
  <c r="AI288" i="245"/>
  <c r="AI290" i="245"/>
  <c r="AI291" i="245"/>
  <c r="AI293" i="245"/>
  <c r="AG294" i="245"/>
  <c r="AH294" i="245"/>
  <c r="AI294" i="245"/>
  <c r="AJ294" i="245"/>
  <c r="AG295" i="245"/>
  <c r="AI295" i="245"/>
  <c r="AI296" i="245"/>
  <c r="AI297" i="245"/>
  <c r="AI298" i="245"/>
  <c r="AI299" i="245"/>
  <c r="AI300" i="245"/>
  <c r="AI301" i="245"/>
  <c r="AI302" i="245"/>
  <c r="AI303" i="245"/>
  <c r="AI304" i="245"/>
  <c r="AI305" i="245"/>
  <c r="AI307" i="245"/>
  <c r="AI308" i="245"/>
  <c r="AI310" i="245"/>
  <c r="AI311" i="245"/>
  <c r="AI313" i="245"/>
  <c r="AG314" i="245"/>
  <c r="AH314" i="245"/>
  <c r="AI314" i="245"/>
  <c r="AJ314" i="245"/>
  <c r="AG315" i="245"/>
  <c r="AI316" i="245"/>
  <c r="AI318" i="245"/>
  <c r="AI319" i="245"/>
  <c r="AI320" i="245"/>
  <c r="AI321" i="245"/>
  <c r="AI322" i="245"/>
  <c r="AI323" i="245"/>
  <c r="AI324" i="245"/>
  <c r="AI325" i="245"/>
  <c r="AI326" i="245"/>
  <c r="AI327" i="245"/>
  <c r="AI328" i="245"/>
  <c r="AI330" i="245"/>
  <c r="AI332" i="245"/>
  <c r="AI333" i="245"/>
  <c r="AI334" i="245"/>
  <c r="AI336" i="245"/>
  <c r="AG337" i="245"/>
  <c r="AH337" i="245"/>
  <c r="AI337" i="245"/>
  <c r="AJ337" i="245"/>
  <c r="AG338" i="245"/>
  <c r="AI339" i="245"/>
  <c r="AI341" i="245"/>
  <c r="AI342" i="245"/>
  <c r="AI343" i="245"/>
  <c r="AI344" i="245"/>
  <c r="AI345" i="245"/>
  <c r="AI346" i="245"/>
  <c r="AI347" i="245"/>
  <c r="AI348" i="245"/>
  <c r="AI349" i="245"/>
  <c r="AI350" i="245"/>
  <c r="AI351" i="245"/>
  <c r="AI352" i="245"/>
  <c r="AI354" i="245"/>
  <c r="AI356" i="245"/>
  <c r="AI357" i="245"/>
  <c r="AI358" i="245"/>
  <c r="AI360" i="245"/>
  <c r="AG361" i="245"/>
  <c r="AH361" i="245"/>
  <c r="AI361" i="245"/>
  <c r="AJ361" i="245"/>
  <c r="AG362" i="245"/>
  <c r="AI363" i="245"/>
  <c r="AI365" i="245"/>
  <c r="AI366" i="245"/>
  <c r="AI367" i="245"/>
  <c r="AI368" i="245"/>
  <c r="AI369" i="245"/>
  <c r="AI370" i="245"/>
  <c r="AI371" i="245"/>
  <c r="AI372" i="245"/>
  <c r="AI373" i="245"/>
  <c r="AI374" i="245"/>
  <c r="AI375" i="245"/>
  <c r="AI376" i="245"/>
  <c r="AI377" i="245"/>
  <c r="AI379" i="245"/>
  <c r="AG380" i="245"/>
  <c r="AH380" i="245"/>
  <c r="AI380" i="245"/>
  <c r="AJ380" i="245"/>
  <c r="AG381" i="245"/>
  <c r="AI382" i="245"/>
  <c r="AI384" i="245"/>
  <c r="AI385" i="245"/>
  <c r="AI386" i="245"/>
  <c r="AI387" i="245"/>
  <c r="AI388" i="245"/>
  <c r="AI389" i="245"/>
  <c r="AI390" i="245"/>
  <c r="AI391" i="245"/>
  <c r="AI392" i="245"/>
  <c r="AI393" i="245"/>
  <c r="AI394" i="245"/>
  <c r="AI395" i="245"/>
  <c r="AI396" i="245"/>
  <c r="AI397" i="245"/>
  <c r="AI399" i="245"/>
  <c r="AG400" i="245"/>
  <c r="AH400" i="245"/>
  <c r="AI400" i="245"/>
  <c r="AJ400" i="245"/>
  <c r="AG401" i="245"/>
  <c r="AI402" i="245"/>
  <c r="AI404" i="245"/>
  <c r="AI405" i="245"/>
  <c r="AI406" i="245"/>
  <c r="AI407" i="245"/>
  <c r="AI408" i="245"/>
  <c r="AI409" i="245"/>
  <c r="AI410" i="245"/>
  <c r="AI411" i="245"/>
  <c r="AI412" i="245"/>
  <c r="AI413" i="245"/>
  <c r="AI414" i="245"/>
  <c r="AI415" i="245"/>
  <c r="AI417" i="245"/>
  <c r="AI419" i="245"/>
  <c r="AI420" i="245"/>
  <c r="AI421" i="245"/>
  <c r="AI423" i="245"/>
  <c r="AG424" i="245"/>
  <c r="AI424" i="245"/>
  <c r="AJ424" i="245"/>
  <c r="AG425" i="245"/>
  <c r="AI426" i="245"/>
  <c r="AI428" i="245"/>
  <c r="AI429" i="245"/>
  <c r="AI430" i="245"/>
  <c r="AI431" i="245"/>
  <c r="AI432" i="245"/>
  <c r="AI433" i="245"/>
  <c r="AI434" i="245"/>
  <c r="AI435" i="245"/>
  <c r="AI436" i="245"/>
  <c r="AI437" i="245"/>
  <c r="AI438" i="245"/>
  <c r="AI439" i="245"/>
  <c r="AI441" i="245"/>
  <c r="AI443" i="245"/>
  <c r="AI444" i="245"/>
  <c r="AI445" i="245"/>
  <c r="AI447" i="245"/>
  <c r="AG448" i="245"/>
  <c r="AH448" i="245"/>
  <c r="AI448" i="245"/>
  <c r="AJ448" i="245"/>
  <c r="AG449" i="245"/>
  <c r="AI450" i="245"/>
  <c r="AI452" i="245"/>
  <c r="AI453" i="245"/>
  <c r="AI454" i="245"/>
  <c r="AI455" i="245"/>
  <c r="AI456" i="245"/>
  <c r="AI457" i="245"/>
  <c r="AI458" i="245"/>
  <c r="AI459" i="245"/>
  <c r="AI460" i="245"/>
  <c r="AI461" i="245"/>
  <c r="AI462" i="245"/>
  <c r="AI463" i="245"/>
  <c r="AI464" i="245"/>
  <c r="AI465" i="245"/>
  <c r="AI467" i="245"/>
  <c r="AG468" i="245"/>
  <c r="AH468" i="245"/>
  <c r="AI468" i="245"/>
  <c r="AJ468" i="245"/>
  <c r="AK468" i="245"/>
  <c r="AG469" i="245"/>
  <c r="AI469" i="245"/>
  <c r="AI470" i="245"/>
  <c r="AI471" i="245"/>
  <c r="AI472" i="245"/>
  <c r="AI473" i="245"/>
  <c r="AI474" i="245"/>
  <c r="AI475" i="245"/>
  <c r="AI476" i="245"/>
  <c r="AI477" i="245"/>
  <c r="AI478" i="245"/>
  <c r="AI479" i="245"/>
  <c r="AI480" i="245"/>
  <c r="AI481" i="245"/>
  <c r="AG482" i="245"/>
  <c r="AI482" i="245"/>
  <c r="AJ482" i="245"/>
  <c r="AI483" i="245"/>
  <c r="AI484" i="245"/>
  <c r="AI486" i="245"/>
  <c r="AG488" i="245"/>
  <c r="AJ488" i="245"/>
  <c r="AG489" i="245"/>
  <c r="AG491" i="245"/>
  <c r="AI491" i="245"/>
  <c r="AJ491" i="245"/>
  <c r="AG492" i="245"/>
  <c r="AI492" i="245"/>
  <c r="AI494" i="245"/>
  <c r="AG499" i="245"/>
  <c r="AG502" i="245"/>
  <c r="AG504" i="245"/>
  <c r="AI504" i="245"/>
  <c r="AG505" i="245"/>
  <c r="AI505" i="245"/>
  <c r="AI506" i="245"/>
  <c r="AI508" i="245"/>
  <c r="AG510" i="245"/>
  <c r="AI510" i="245"/>
  <c r="AG511" i="245"/>
  <c r="AI511" i="245"/>
  <c r="AI512" i="245"/>
  <c r="AI514" i="245"/>
  <c r="AG5" i="244"/>
  <c r="AG8" i="244"/>
  <c r="AG10" i="244"/>
  <c r="AI10" i="244"/>
  <c r="AJ10" i="244"/>
  <c r="AK10" i="244"/>
  <c r="AG11" i="244"/>
  <c r="AI13" i="244"/>
  <c r="AI14" i="244"/>
  <c r="AI15" i="244"/>
  <c r="AI16" i="244"/>
  <c r="AI17" i="244"/>
  <c r="AI19" i="244"/>
  <c r="AI21" i="244"/>
  <c r="AI23" i="244"/>
  <c r="AI25" i="244"/>
  <c r="AI27" i="244"/>
  <c r="AI28" i="244"/>
  <c r="AI30" i="244"/>
  <c r="AI32" i="244"/>
  <c r="AI33" i="244"/>
  <c r="AI34" i="244"/>
  <c r="AG35" i="244"/>
  <c r="AI35" i="244"/>
  <c r="AJ35" i="244"/>
  <c r="AK35" i="244"/>
  <c r="AI36" i="244"/>
  <c r="AI37" i="244"/>
  <c r="AI38" i="244"/>
  <c r="AI40" i="244"/>
  <c r="AI42" i="244"/>
  <c r="AI43" i="244"/>
  <c r="AI44" i="244"/>
  <c r="AI45" i="244"/>
  <c r="AG46" i="244"/>
  <c r="AI46" i="244"/>
  <c r="AJ46" i="244"/>
  <c r="AI47" i="244"/>
  <c r="AG48" i="244"/>
  <c r="AI48" i="244"/>
  <c r="AI49" i="244"/>
  <c r="AI51" i="244"/>
  <c r="AI53" i="244"/>
  <c r="AI54" i="244"/>
  <c r="AI55" i="244"/>
  <c r="AI56" i="244"/>
  <c r="AI57" i="244"/>
  <c r="AI58" i="244"/>
  <c r="AI59" i="244"/>
  <c r="AI60" i="244"/>
  <c r="AG63" i="244"/>
  <c r="AI63" i="244"/>
  <c r="AJ63" i="244"/>
  <c r="AG64" i="244"/>
  <c r="AI64" i="244"/>
  <c r="AI65" i="244"/>
  <c r="AI66" i="244"/>
  <c r="AI68" i="244"/>
  <c r="AI70" i="244"/>
  <c r="AI71" i="244"/>
  <c r="AI73" i="244"/>
  <c r="AI74" i="244"/>
  <c r="AI75" i="244"/>
  <c r="AG76" i="244"/>
  <c r="AI76" i="244"/>
  <c r="AJ76" i="244"/>
  <c r="AI77" i="244"/>
  <c r="AI79" i="244"/>
  <c r="AI81" i="244"/>
  <c r="AI82" i="244"/>
  <c r="AG83" i="244"/>
  <c r="AI83" i="244"/>
  <c r="AJ83" i="244"/>
  <c r="AK83" i="244"/>
  <c r="AG84" i="244"/>
  <c r="AI84" i="244"/>
  <c r="AI85" i="244"/>
  <c r="AI86" i="244"/>
  <c r="AI89" i="244"/>
  <c r="AI90" i="244"/>
  <c r="AI92" i="244"/>
  <c r="AI94" i="244"/>
  <c r="AI96" i="244"/>
  <c r="AI98" i="244"/>
  <c r="AI99" i="244"/>
  <c r="AI100" i="244"/>
  <c r="AI101" i="244"/>
  <c r="AI102" i="244"/>
  <c r="AI103" i="244"/>
  <c r="AI104" i="244"/>
  <c r="AI105" i="244"/>
  <c r="AI106" i="244"/>
  <c r="AI107" i="244"/>
  <c r="AI108" i="244"/>
  <c r="AI109" i="244"/>
  <c r="AI110" i="244"/>
  <c r="AG111" i="244"/>
  <c r="AI111" i="244"/>
  <c r="AJ111" i="244"/>
  <c r="AG112" i="244"/>
  <c r="AI113" i="244"/>
  <c r="AI114" i="244"/>
  <c r="AI115" i="244"/>
  <c r="AI118" i="244"/>
  <c r="AI119" i="244"/>
  <c r="AI120" i="244"/>
  <c r="AI121" i="244"/>
  <c r="AI122" i="244"/>
  <c r="AI124" i="244"/>
  <c r="AI125" i="244"/>
  <c r="AI126" i="244"/>
  <c r="AI127" i="244"/>
  <c r="AI128" i="244"/>
  <c r="AI129" i="244"/>
  <c r="AI130" i="244"/>
  <c r="AI131" i="244"/>
  <c r="AI132" i="244"/>
  <c r="AI133" i="244"/>
  <c r="AG134" i="244"/>
  <c r="AI134" i="244"/>
  <c r="AJ134" i="244"/>
  <c r="AK134" i="244"/>
  <c r="AG135" i="244"/>
  <c r="AI135" i="244"/>
  <c r="AI136" i="244"/>
  <c r="AI137" i="244"/>
  <c r="AI138" i="244"/>
  <c r="AI139" i="244"/>
  <c r="AI140" i="244"/>
  <c r="AI142" i="244"/>
  <c r="AI143" i="244"/>
  <c r="AI144" i="244"/>
  <c r="AI145" i="244"/>
  <c r="AI146" i="244"/>
  <c r="AI147" i="244"/>
  <c r="AI148" i="244"/>
  <c r="AI149" i="244"/>
  <c r="AI150" i="244"/>
  <c r="AI151" i="244"/>
  <c r="AI153" i="244"/>
  <c r="AI154" i="244"/>
  <c r="AI155" i="244"/>
  <c r="AI156" i="244"/>
  <c r="AI157" i="244"/>
  <c r="AI158" i="244"/>
  <c r="AI159" i="244"/>
  <c r="AI161" i="244"/>
  <c r="AI163" i="244"/>
  <c r="AI165" i="244"/>
  <c r="AG166" i="244"/>
  <c r="AH166" i="244"/>
  <c r="AI166" i="244"/>
  <c r="AJ166" i="244"/>
  <c r="AG167" i="244"/>
  <c r="AI167" i="244"/>
  <c r="AI169" i="244"/>
  <c r="AI170" i="244"/>
  <c r="AI171" i="244"/>
  <c r="AI172" i="244"/>
  <c r="AI173" i="244"/>
  <c r="AI174" i="244"/>
  <c r="AI175" i="244"/>
  <c r="AI176" i="244"/>
  <c r="AI177" i="244"/>
  <c r="AI178" i="244"/>
  <c r="AI179" i="244"/>
  <c r="AI180" i="244"/>
  <c r="AI181" i="244"/>
  <c r="AI182" i="244"/>
  <c r="AI183" i="244"/>
  <c r="AI184" i="244"/>
  <c r="AI186" i="244"/>
  <c r="AG187" i="244"/>
  <c r="AH187" i="244"/>
  <c r="AI187" i="244"/>
  <c r="AJ187" i="244"/>
  <c r="AG188" i="244"/>
  <c r="AI188" i="244"/>
  <c r="AI190" i="244"/>
  <c r="AI191" i="244"/>
  <c r="AI192" i="244"/>
  <c r="AI193" i="244"/>
  <c r="AI194" i="244"/>
  <c r="AI195" i="244"/>
  <c r="AI196" i="244"/>
  <c r="AI197" i="244"/>
  <c r="AI198" i="244"/>
  <c r="AI199" i="244"/>
  <c r="AI200" i="244"/>
  <c r="AI201" i="244"/>
  <c r="AI202" i="244"/>
  <c r="AI203" i="244"/>
  <c r="AI204" i="244"/>
  <c r="AI206" i="244"/>
  <c r="AG207" i="244"/>
  <c r="AI207" i="244"/>
  <c r="AJ207" i="244"/>
  <c r="AG208" i="244"/>
  <c r="AI208" i="244"/>
  <c r="AI210" i="244"/>
  <c r="AI211" i="244"/>
  <c r="AI212" i="244"/>
  <c r="AI213" i="244"/>
  <c r="AI214" i="244"/>
  <c r="AI215" i="244"/>
  <c r="AI216" i="244"/>
  <c r="AI217" i="244"/>
  <c r="AI218" i="244"/>
  <c r="AI219" i="244"/>
  <c r="AI220" i="244"/>
  <c r="AI221" i="244"/>
  <c r="AI222" i="244"/>
  <c r="AI223" i="244"/>
  <c r="AI224" i="244"/>
  <c r="AI225" i="244"/>
  <c r="AI226" i="244"/>
  <c r="AI227" i="244"/>
  <c r="AI228" i="244"/>
  <c r="AI230" i="244"/>
  <c r="AG231" i="244"/>
  <c r="AI231" i="244"/>
  <c r="AJ231" i="244"/>
  <c r="AG232" i="244"/>
  <c r="AI232" i="244"/>
  <c r="AI234" i="244"/>
  <c r="AI235" i="244"/>
  <c r="AI236" i="244"/>
  <c r="AI237" i="244"/>
  <c r="AI238" i="244"/>
  <c r="AI239" i="244"/>
  <c r="AI240" i="244"/>
  <c r="AI241" i="244"/>
  <c r="AI242" i="244"/>
  <c r="AI243" i="244"/>
  <c r="AI244" i="244"/>
  <c r="AI245" i="244"/>
  <c r="AI246" i="244"/>
  <c r="AI247" i="244"/>
  <c r="AI248" i="244"/>
  <c r="AI249" i="244"/>
  <c r="AI250" i="244"/>
  <c r="AI251" i="244"/>
  <c r="AI253" i="244"/>
  <c r="AG254" i="244"/>
  <c r="AI254" i="244"/>
  <c r="AJ254" i="244"/>
  <c r="AG255" i="244"/>
  <c r="AI255" i="244"/>
  <c r="AI257" i="244"/>
  <c r="AI258" i="244"/>
  <c r="AI259" i="244"/>
  <c r="AI260" i="244"/>
  <c r="AI261" i="244"/>
  <c r="AI262" i="244"/>
  <c r="AI263" i="244"/>
  <c r="AI264" i="244"/>
  <c r="AI265" i="244"/>
  <c r="AI266" i="244"/>
  <c r="AI267" i="244"/>
  <c r="AI268" i="244"/>
  <c r="AI269" i="244"/>
  <c r="AI270" i="244"/>
  <c r="AI271" i="244"/>
  <c r="AI273" i="244"/>
  <c r="AG274" i="244"/>
  <c r="AI274" i="244"/>
  <c r="AJ274" i="244"/>
  <c r="AG275" i="244"/>
  <c r="AI275" i="244"/>
  <c r="AI277" i="244"/>
  <c r="AI278" i="244"/>
  <c r="AI279" i="244"/>
  <c r="AI280" i="244"/>
  <c r="AI281" i="244"/>
  <c r="AI282" i="244"/>
  <c r="AI283" i="244"/>
  <c r="AI284" i="244"/>
  <c r="AI285" i="244"/>
  <c r="AI286" i="244"/>
  <c r="AI287" i="244"/>
  <c r="AI288" i="244"/>
  <c r="AI289" i="244"/>
  <c r="AI290" i="244"/>
  <c r="AI292" i="244"/>
  <c r="AG293" i="244"/>
  <c r="AH293" i="244"/>
  <c r="AI293" i="244"/>
  <c r="AJ293" i="244"/>
  <c r="AG294" i="244"/>
  <c r="AI295" i="244"/>
  <c r="AI296" i="244"/>
  <c r="AI297" i="244"/>
  <c r="AI298" i="244"/>
  <c r="AI299" i="244"/>
  <c r="AI300" i="244"/>
  <c r="AI301" i="244"/>
  <c r="AI302" i="244"/>
  <c r="AI303" i="244"/>
  <c r="AI304" i="244"/>
  <c r="AI305" i="244"/>
  <c r="AI306" i="244"/>
  <c r="AI307" i="244"/>
  <c r="AI309" i="244"/>
  <c r="AI311" i="244"/>
  <c r="AI312" i="244"/>
  <c r="AI314" i="244"/>
  <c r="AG315" i="244"/>
  <c r="AH315" i="244"/>
  <c r="AI315" i="244"/>
  <c r="AJ315" i="244"/>
  <c r="AG316" i="244"/>
  <c r="AI317" i="244"/>
  <c r="AI318" i="244"/>
  <c r="AI319" i="244"/>
  <c r="AI320" i="244"/>
  <c r="AI321" i="244"/>
  <c r="AI322" i="244"/>
  <c r="AI323" i="244"/>
  <c r="AI324" i="244"/>
  <c r="AI325" i="244"/>
  <c r="AI326" i="244"/>
  <c r="AI327" i="244"/>
  <c r="AI328" i="244"/>
  <c r="AI329" i="244"/>
  <c r="AI330" i="244"/>
  <c r="AI332" i="244"/>
  <c r="AI334" i="244"/>
  <c r="AI335" i="244"/>
  <c r="AI337" i="244"/>
  <c r="AG338" i="244"/>
  <c r="AH338" i="244"/>
  <c r="AI338" i="244"/>
  <c r="AJ338" i="244"/>
  <c r="AG339" i="244"/>
  <c r="AI340" i="244"/>
  <c r="AI341" i="244"/>
  <c r="AI342" i="244"/>
  <c r="AI343" i="244"/>
  <c r="AI344" i="244"/>
  <c r="AI345" i="244"/>
  <c r="AI346" i="244"/>
  <c r="AI347" i="244"/>
  <c r="AI348" i="244"/>
  <c r="AI349" i="244"/>
  <c r="AI350" i="244"/>
  <c r="AI351" i="244"/>
  <c r="AI352" i="244"/>
  <c r="AI353" i="244"/>
  <c r="AI355" i="244"/>
  <c r="AI357" i="244"/>
  <c r="AI358" i="244"/>
  <c r="AI360" i="244"/>
  <c r="AG361" i="244"/>
  <c r="AH361" i="244"/>
  <c r="AI361" i="244"/>
  <c r="AJ361" i="244"/>
  <c r="AG362" i="244"/>
  <c r="AI362" i="244"/>
  <c r="AI363" i="244"/>
  <c r="AI364" i="244"/>
  <c r="AI365" i="244"/>
  <c r="AI366" i="244"/>
  <c r="AI367" i="244"/>
  <c r="AI368" i="244"/>
  <c r="AI369" i="244"/>
  <c r="AI370" i="244"/>
  <c r="AI371" i="244"/>
  <c r="AI373" i="244"/>
  <c r="AI374" i="244"/>
  <c r="AI376" i="244"/>
  <c r="AI377" i="244"/>
  <c r="AI379" i="244"/>
  <c r="AG380" i="244"/>
  <c r="AH380" i="244"/>
  <c r="AI380" i="244"/>
  <c r="AJ380" i="244"/>
  <c r="AG381" i="244"/>
  <c r="AI381" i="244"/>
  <c r="AI382" i="244"/>
  <c r="AI383" i="244"/>
  <c r="AI384" i="244"/>
  <c r="AI385" i="244"/>
  <c r="AI386" i="244"/>
  <c r="AI387" i="244"/>
  <c r="AI388" i="244"/>
  <c r="AI389" i="244"/>
  <c r="AI390" i="244"/>
  <c r="AI391" i="244"/>
  <c r="AI392" i="244"/>
  <c r="AI394" i="244"/>
  <c r="AI396" i="244"/>
  <c r="AI397" i="244"/>
  <c r="AI399" i="244"/>
  <c r="AG400" i="244"/>
  <c r="AH400" i="244"/>
  <c r="AI400" i="244"/>
  <c r="AJ400" i="244"/>
  <c r="AG401" i="244"/>
  <c r="AI402" i="244"/>
  <c r="AI404" i="244"/>
  <c r="AI405" i="244"/>
  <c r="AI406" i="244"/>
  <c r="AI407" i="244"/>
  <c r="AI408" i="244"/>
  <c r="AI409" i="244"/>
  <c r="AI410" i="244"/>
  <c r="AI411" i="244"/>
  <c r="AI412" i="244"/>
  <c r="AI413" i="244"/>
  <c r="AI414" i="244"/>
  <c r="AI415" i="244"/>
  <c r="AI417" i="244"/>
  <c r="AI419" i="244"/>
  <c r="AI420" i="244"/>
  <c r="AI421" i="244"/>
  <c r="AI423" i="244"/>
  <c r="AG424" i="244"/>
  <c r="AH424" i="244"/>
  <c r="AI424" i="244"/>
  <c r="AJ424" i="244"/>
  <c r="AG425" i="244"/>
  <c r="AI426" i="244"/>
  <c r="AI428" i="244"/>
  <c r="AI429" i="244"/>
  <c r="AI430" i="244"/>
  <c r="AI431" i="244"/>
  <c r="AI432" i="244"/>
  <c r="AI433" i="244"/>
  <c r="AI434" i="244"/>
  <c r="AI435" i="244"/>
  <c r="AI436" i="244"/>
  <c r="AI437" i="244"/>
  <c r="AI438" i="244"/>
  <c r="AI439" i="244"/>
  <c r="AI440" i="244"/>
  <c r="AI442" i="244"/>
  <c r="AI444" i="244"/>
  <c r="AI445" i="244"/>
  <c r="AI446" i="244"/>
  <c r="AI448" i="244"/>
  <c r="AG449" i="244"/>
  <c r="AH449" i="244"/>
  <c r="AI449" i="244"/>
  <c r="AJ449" i="244"/>
  <c r="AG450" i="244"/>
  <c r="AI451" i="244"/>
  <c r="AI453" i="244"/>
  <c r="AI454" i="244"/>
  <c r="AI455" i="244"/>
  <c r="AI456" i="244"/>
  <c r="AI457" i="244"/>
  <c r="AI458" i="244"/>
  <c r="AI459" i="244"/>
  <c r="AI460" i="244"/>
  <c r="AI461" i="244"/>
  <c r="AI462" i="244"/>
  <c r="AI463" i="244"/>
  <c r="AI464" i="244"/>
  <c r="AI465" i="244"/>
  <c r="AI466" i="244"/>
  <c r="AI468" i="244"/>
  <c r="AG469" i="244"/>
  <c r="AH469" i="244"/>
  <c r="AI469" i="244"/>
  <c r="AJ469" i="244"/>
  <c r="AG470" i="244"/>
  <c r="AI471" i="244"/>
  <c r="AI473" i="244"/>
  <c r="AI474" i="244"/>
  <c r="AI475" i="244"/>
  <c r="AI476" i="244"/>
  <c r="AI477" i="244"/>
  <c r="AI478" i="244"/>
  <c r="AI479" i="244"/>
  <c r="AI480" i="244"/>
  <c r="AI481" i="244"/>
  <c r="AI482" i="244"/>
  <c r="AI483" i="244"/>
  <c r="AI484" i="244"/>
  <c r="AI485" i="244"/>
  <c r="AI486" i="244"/>
  <c r="AI487" i="244"/>
  <c r="AI489" i="244"/>
  <c r="AG490" i="244"/>
  <c r="AH490" i="244"/>
  <c r="AI490" i="244"/>
  <c r="AJ490" i="244"/>
  <c r="AG491" i="244"/>
  <c r="AI492" i="244"/>
  <c r="AI494" i="244"/>
  <c r="AI495" i="244"/>
  <c r="AI496" i="244"/>
  <c r="AI497" i="244"/>
  <c r="AI498" i="244"/>
  <c r="AI499" i="244"/>
  <c r="AI500" i="244"/>
  <c r="AI501" i="244"/>
  <c r="AI502" i="244"/>
  <c r="AI503" i="244"/>
  <c r="AI504" i="244"/>
  <c r="AI505" i="244"/>
  <c r="AI506" i="244"/>
  <c r="AI508" i="244"/>
  <c r="AI510" i="244"/>
  <c r="AI511" i="244"/>
  <c r="AI512" i="244"/>
  <c r="AI514" i="244"/>
  <c r="AG515" i="244"/>
  <c r="AI515" i="244"/>
  <c r="AJ515" i="244"/>
  <c r="AG516" i="244"/>
  <c r="AI517" i="244"/>
  <c r="AI519" i="244"/>
  <c r="AI520" i="244"/>
  <c r="AI521" i="244"/>
  <c r="AI522" i="244"/>
  <c r="AI523" i="244"/>
  <c r="AI524" i="244"/>
  <c r="AI525" i="244"/>
  <c r="AI526" i="244"/>
  <c r="AI527" i="244"/>
  <c r="AI528" i="244"/>
  <c r="AI529" i="244"/>
  <c r="AI530" i="244"/>
  <c r="AI531" i="244"/>
  <c r="AI533" i="244"/>
  <c r="AI535" i="244"/>
  <c r="AI536" i="244"/>
  <c r="AI537" i="244"/>
  <c r="AI539" i="244"/>
  <c r="AG540" i="244"/>
  <c r="AH540" i="244"/>
  <c r="AI540" i="244"/>
  <c r="AJ540" i="244"/>
  <c r="AG541" i="244"/>
  <c r="AI542" i="244"/>
  <c r="AI544" i="244"/>
  <c r="AI545" i="244"/>
  <c r="AI546" i="244"/>
  <c r="AI547" i="244"/>
  <c r="AI548" i="244"/>
  <c r="AI549" i="244"/>
  <c r="AI550" i="244"/>
  <c r="AI551" i="244"/>
  <c r="AI552" i="244"/>
  <c r="AI553" i="244"/>
  <c r="AI554" i="244"/>
  <c r="AI555" i="244"/>
  <c r="AI556" i="244"/>
  <c r="AI557" i="244"/>
  <c r="AI558" i="244"/>
  <c r="AI560" i="244"/>
  <c r="AG561" i="244"/>
  <c r="AH561" i="244"/>
  <c r="AI561" i="244"/>
  <c r="AJ561" i="244"/>
  <c r="AK561" i="244"/>
  <c r="AG562" i="244"/>
  <c r="AI562" i="244"/>
  <c r="AI563" i="244"/>
  <c r="AI564" i="244"/>
  <c r="AI565" i="244"/>
  <c r="AI566" i="244"/>
  <c r="AI567" i="244"/>
  <c r="AI568" i="244"/>
  <c r="AI569" i="244"/>
  <c r="AI570" i="244"/>
  <c r="AI571" i="244"/>
  <c r="AI572" i="244"/>
  <c r="AI573" i="244"/>
  <c r="AI574" i="244"/>
  <c r="AI575" i="244"/>
  <c r="AI576" i="244"/>
  <c r="AI577" i="244"/>
  <c r="AI578" i="244"/>
  <c r="AI579" i="244"/>
  <c r="AG580" i="244"/>
  <c r="AI580" i="244"/>
  <c r="AJ580" i="244"/>
  <c r="AK580" i="244"/>
  <c r="AG581" i="244"/>
  <c r="AI581" i="244"/>
  <c r="AI582" i="244"/>
  <c r="AI583" i="244"/>
  <c r="AI584" i="244"/>
  <c r="AI585" i="244"/>
  <c r="AI586" i="244"/>
  <c r="AI587" i="244"/>
  <c r="AI588" i="244"/>
  <c r="AI589" i="244"/>
  <c r="AI590" i="244"/>
  <c r="AG591" i="244"/>
  <c r="AI591" i="244"/>
  <c r="AJ591" i="244"/>
  <c r="AI592" i="244"/>
  <c r="AI593" i="244"/>
  <c r="AI595" i="244"/>
  <c r="AG597" i="244"/>
  <c r="AI597" i="244"/>
  <c r="AJ597" i="244"/>
  <c r="AI599" i="244"/>
  <c r="AI600" i="244"/>
  <c r="AI602" i="244"/>
  <c r="AI604" i="244"/>
  <c r="AI605" i="244"/>
  <c r="AI606" i="244"/>
  <c r="AI607" i="244"/>
  <c r="AG608" i="244"/>
  <c r="AI608" i="244"/>
  <c r="AJ608" i="244"/>
  <c r="AK608" i="244"/>
  <c r="AG609" i="244"/>
  <c r="AI609" i="244"/>
  <c r="AI610" i="244"/>
  <c r="AI611" i="244"/>
  <c r="AI612" i="244"/>
  <c r="AI613" i="244"/>
  <c r="AI614" i="244"/>
  <c r="AI615" i="244"/>
  <c r="AI616" i="244"/>
  <c r="AI617" i="244"/>
  <c r="AI618" i="244"/>
  <c r="AI619" i="244"/>
  <c r="AI620" i="244"/>
  <c r="AI621" i="244"/>
  <c r="AI622" i="244"/>
  <c r="AI623" i="244"/>
  <c r="AI624" i="244"/>
  <c r="AI625" i="244"/>
  <c r="AI626" i="244"/>
  <c r="AI627" i="244"/>
  <c r="AI628" i="244"/>
  <c r="AI629" i="244"/>
  <c r="AI630" i="244"/>
  <c r="AI631" i="244"/>
  <c r="AI632" i="244"/>
  <c r="AI633" i="244"/>
  <c r="AI634" i="244"/>
  <c r="AI635" i="244"/>
  <c r="AI636" i="244"/>
  <c r="AI637" i="244"/>
  <c r="AI638" i="244"/>
  <c r="AI639" i="244"/>
  <c r="AI640" i="244"/>
  <c r="AI641" i="244"/>
  <c r="AI642" i="244"/>
  <c r="AI643" i="244"/>
  <c r="AI644" i="244"/>
  <c r="AI645" i="244"/>
  <c r="AI646" i="244"/>
  <c r="AG647" i="244"/>
  <c r="AH647" i="244"/>
  <c r="AI647" i="244"/>
  <c r="AJ647" i="244"/>
  <c r="AG648" i="244"/>
  <c r="AI648" i="244"/>
  <c r="AI651" i="244"/>
  <c r="AI652" i="244"/>
  <c r="AI653" i="244"/>
  <c r="AI654" i="244"/>
  <c r="AI655" i="244"/>
  <c r="AI656" i="244"/>
  <c r="AI657" i="244"/>
  <c r="AI658" i="244"/>
  <c r="AI659" i="244"/>
  <c r="AI660" i="244"/>
  <c r="AI661" i="244"/>
  <c r="AI662" i="244"/>
  <c r="AI663" i="244"/>
  <c r="AI664" i="244"/>
  <c r="AI665" i="244"/>
  <c r="AI666" i="244"/>
  <c r="AI667" i="244"/>
  <c r="AI668" i="244"/>
  <c r="AI669" i="244"/>
  <c r="AI670" i="244"/>
  <c r="AI671" i="244"/>
  <c r="AI672" i="244"/>
  <c r="AI673" i="244"/>
  <c r="AI674" i="244"/>
  <c r="AI675" i="244"/>
  <c r="AI676" i="244"/>
  <c r="AI677" i="244"/>
  <c r="AI678" i="244"/>
  <c r="AG679" i="244"/>
  <c r="AH679" i="244"/>
  <c r="AI679" i="244"/>
  <c r="AJ679" i="244"/>
  <c r="AG680" i="244"/>
  <c r="AI680" i="244"/>
  <c r="AI683" i="244"/>
  <c r="AI684" i="244"/>
  <c r="AI685" i="244"/>
  <c r="AI686" i="244"/>
  <c r="AI687" i="244"/>
  <c r="AI688" i="244"/>
  <c r="AI689" i="244"/>
  <c r="AI690" i="244"/>
  <c r="AI691" i="244"/>
  <c r="AI692" i="244"/>
  <c r="AI693" i="244"/>
  <c r="AI694" i="244"/>
  <c r="AI695" i="244"/>
  <c r="AI696" i="244"/>
  <c r="AI697" i="244"/>
  <c r="AI698" i="244"/>
  <c r="AI699" i="244"/>
  <c r="AI700" i="244"/>
  <c r="AI701" i="244"/>
  <c r="AI702" i="244"/>
  <c r="AI703" i="244"/>
  <c r="AI704" i="244"/>
  <c r="AI705" i="244"/>
  <c r="AI706" i="244"/>
  <c r="AI707" i="244"/>
  <c r="AI708" i="244"/>
  <c r="AI709" i="244"/>
  <c r="AG710" i="244"/>
  <c r="AI710" i="244"/>
  <c r="AJ710" i="244"/>
  <c r="AG711" i="244"/>
  <c r="AI711" i="244"/>
  <c r="AI714" i="244"/>
  <c r="AI715" i="244"/>
  <c r="AI716" i="244"/>
  <c r="AI717" i="244"/>
  <c r="AI718" i="244"/>
  <c r="AI719" i="244"/>
  <c r="AI720" i="244"/>
  <c r="AI721" i="244"/>
  <c r="AI722" i="244"/>
  <c r="AI723" i="244"/>
  <c r="AI724" i="244"/>
  <c r="AI725" i="244"/>
  <c r="AI726" i="244"/>
  <c r="AI727" i="244"/>
  <c r="AI728" i="244"/>
  <c r="AI729" i="244"/>
  <c r="AI730" i="244"/>
  <c r="AI731" i="244"/>
  <c r="AI732" i="244"/>
  <c r="AI733" i="244"/>
  <c r="AI735" i="244"/>
  <c r="AI736" i="244"/>
  <c r="AI737" i="244"/>
  <c r="AI738" i="244"/>
  <c r="AI739" i="244"/>
  <c r="AI740" i="244"/>
  <c r="AI741" i="244"/>
  <c r="AI742" i="244"/>
  <c r="AI743" i="244"/>
  <c r="AI744" i="244"/>
  <c r="AG745" i="244"/>
  <c r="AI745" i="244"/>
  <c r="AJ745" i="244"/>
  <c r="AG746" i="244"/>
  <c r="AI746" i="244"/>
  <c r="AI749" i="244"/>
  <c r="AI750" i="244"/>
  <c r="AI751" i="244"/>
  <c r="AI752" i="244"/>
  <c r="AI753" i="244"/>
  <c r="AI754" i="244"/>
  <c r="AI755" i="244"/>
  <c r="AI756" i="244"/>
  <c r="AI757" i="244"/>
  <c r="AI758" i="244"/>
  <c r="AI759" i="244"/>
  <c r="AI760" i="244"/>
  <c r="AI761" i="244"/>
  <c r="AI762" i="244"/>
  <c r="AI763" i="244"/>
  <c r="AI764" i="244"/>
  <c r="AI765" i="244"/>
  <c r="AI766" i="244"/>
  <c r="AI767" i="244"/>
  <c r="AI769" i="244"/>
  <c r="AI770" i="244"/>
  <c r="AI771" i="244"/>
  <c r="AI772" i="244"/>
  <c r="AI773" i="244"/>
  <c r="AI774" i="244"/>
  <c r="AI775" i="244"/>
  <c r="AI776" i="244"/>
  <c r="AI777" i="244"/>
  <c r="AI778" i="244"/>
  <c r="AG779" i="244"/>
  <c r="AI779" i="244"/>
  <c r="AJ779" i="244"/>
  <c r="AG780" i="244"/>
  <c r="AI780" i="244"/>
  <c r="AI783" i="244"/>
  <c r="AI784" i="244"/>
  <c r="AI785" i="244"/>
  <c r="AI786" i="244"/>
  <c r="AI787" i="244"/>
  <c r="AI788" i="244"/>
  <c r="AI790" i="244"/>
  <c r="AI791" i="244"/>
  <c r="AI792" i="244"/>
  <c r="AI793" i="244"/>
  <c r="AI794" i="244"/>
  <c r="AI795" i="244"/>
  <c r="AI796" i="244"/>
  <c r="AI797" i="244"/>
  <c r="AI798" i="244"/>
  <c r="AI799" i="244"/>
  <c r="AI800" i="244"/>
  <c r="AI801" i="244"/>
  <c r="AI802" i="244"/>
  <c r="AI803" i="244"/>
  <c r="AG804" i="244"/>
  <c r="AI804" i="244"/>
  <c r="AJ804" i="244"/>
  <c r="AG805" i="244"/>
  <c r="AI805" i="244"/>
  <c r="AI808" i="244"/>
  <c r="AI809" i="244"/>
  <c r="AI810" i="244"/>
  <c r="AI811" i="244"/>
  <c r="AI812" i="244"/>
  <c r="AI813" i="244"/>
  <c r="AI815" i="244"/>
  <c r="AI816" i="244"/>
  <c r="AI817" i="244"/>
  <c r="AI818" i="244"/>
  <c r="AI819" i="244"/>
  <c r="AI820" i="244"/>
  <c r="AI821" i="244"/>
  <c r="AI822" i="244"/>
  <c r="AI823" i="244"/>
  <c r="AI824" i="244"/>
  <c r="AI825" i="244"/>
  <c r="AI826" i="244"/>
  <c r="AI827" i="244"/>
  <c r="AG828" i="244"/>
  <c r="AH828" i="244"/>
  <c r="AI828" i="244"/>
  <c r="AJ828" i="244"/>
  <c r="AG829" i="244"/>
  <c r="AI830" i="244"/>
  <c r="AI832" i="244"/>
  <c r="AI833" i="244"/>
  <c r="AI834" i="244"/>
  <c r="AI835" i="244"/>
  <c r="AI836" i="244"/>
  <c r="AI838" i="244"/>
  <c r="AI839" i="244"/>
  <c r="AI840" i="244"/>
  <c r="AI841" i="244"/>
  <c r="AI842" i="244"/>
  <c r="AI843" i="244"/>
  <c r="AI845" i="244"/>
  <c r="AI847" i="244"/>
  <c r="AI849" i="244"/>
  <c r="AI850" i="244"/>
  <c r="AI851" i="244"/>
  <c r="AI852" i="244"/>
  <c r="AI853" i="244"/>
  <c r="AI854" i="244"/>
  <c r="AI855" i="244"/>
  <c r="AI856" i="244"/>
  <c r="AI857" i="244"/>
  <c r="AI858" i="244"/>
  <c r="AI859" i="244"/>
  <c r="AI860" i="244"/>
  <c r="AI861" i="244"/>
  <c r="AG862" i="244"/>
  <c r="AH862" i="244"/>
  <c r="AI862" i="244"/>
  <c r="AJ862" i="244"/>
  <c r="AG863" i="244"/>
  <c r="AI864" i="244"/>
  <c r="AI866" i="244"/>
  <c r="AI867" i="244"/>
  <c r="AI868" i="244"/>
  <c r="AI869" i="244"/>
  <c r="AI870" i="244"/>
  <c r="AI872" i="244"/>
  <c r="AI873" i="244"/>
  <c r="AI874" i="244"/>
  <c r="AI875" i="244"/>
  <c r="AI876" i="244"/>
  <c r="AI877" i="244"/>
  <c r="AI878" i="244"/>
  <c r="AI880" i="244"/>
  <c r="AI882" i="244"/>
  <c r="AI884" i="244"/>
  <c r="AI885" i="244"/>
  <c r="AI886" i="244"/>
  <c r="AI887" i="244"/>
  <c r="AI888" i="244"/>
  <c r="AI889" i="244"/>
  <c r="AI890" i="244"/>
  <c r="AI891" i="244"/>
  <c r="AI892" i="244"/>
  <c r="AI893" i="244"/>
  <c r="AI894" i="244"/>
  <c r="AI895" i="244"/>
  <c r="AI896" i="244"/>
  <c r="AG897" i="244"/>
  <c r="AH897" i="244"/>
  <c r="AI897" i="244"/>
  <c r="AJ897" i="244"/>
  <c r="AG898" i="244"/>
  <c r="AI899" i="244"/>
  <c r="AI901" i="244"/>
  <c r="AI902" i="244"/>
  <c r="AI903" i="244"/>
  <c r="AI904" i="244"/>
  <c r="AI905" i="244"/>
  <c r="AI907" i="244"/>
  <c r="AI908" i="244"/>
  <c r="AI909" i="244"/>
  <c r="AI910" i="244"/>
  <c r="AI911" i="244"/>
  <c r="AI912" i="244"/>
  <c r="AI913" i="244"/>
  <c r="AI914" i="244"/>
  <c r="AI915" i="244"/>
  <c r="AI916" i="244"/>
  <c r="AI917" i="244"/>
  <c r="AI918" i="244"/>
  <c r="AI919" i="244"/>
  <c r="AG920" i="244"/>
  <c r="AH920" i="244"/>
  <c r="AI920" i="244"/>
  <c r="AJ920" i="244"/>
  <c r="AG921" i="244"/>
  <c r="AI922" i="244"/>
  <c r="AI924" i="244"/>
  <c r="AI925" i="244"/>
  <c r="AI926" i="244"/>
  <c r="AI927" i="244"/>
  <c r="AI928" i="244"/>
  <c r="AI930" i="244"/>
  <c r="AI931" i="244"/>
  <c r="AI932" i="244"/>
  <c r="AI933" i="244"/>
  <c r="AI934" i="244"/>
  <c r="AI935" i="244"/>
  <c r="AI936" i="244"/>
  <c r="AI937" i="244"/>
  <c r="AI938" i="244"/>
  <c r="AI939" i="244"/>
  <c r="AI940" i="244"/>
  <c r="AI941" i="244"/>
  <c r="AI942" i="244"/>
  <c r="AI943" i="244"/>
  <c r="AG944" i="244"/>
  <c r="AH944" i="244"/>
  <c r="AI944" i="244"/>
  <c r="AJ944" i="244"/>
  <c r="AG945" i="244"/>
  <c r="AI946" i="244"/>
  <c r="AI948" i="244"/>
  <c r="AI949" i="244"/>
  <c r="AI950" i="244"/>
  <c r="AI951" i="244"/>
  <c r="AI952" i="244"/>
  <c r="AI953" i="244"/>
  <c r="AI955" i="244"/>
  <c r="AI956" i="244"/>
  <c r="AI957" i="244"/>
  <c r="AI958" i="244"/>
  <c r="AI959" i="244"/>
  <c r="AI960" i="244"/>
  <c r="AI962" i="244"/>
  <c r="AI964" i="244"/>
  <c r="AI966" i="244"/>
  <c r="AI967" i="244"/>
  <c r="AI968" i="244"/>
  <c r="AI969" i="244"/>
  <c r="AI970" i="244"/>
  <c r="AI971" i="244"/>
  <c r="AI972" i="244"/>
  <c r="AI973" i="244"/>
  <c r="AI974" i="244"/>
  <c r="AI975" i="244"/>
  <c r="AI976" i="244"/>
  <c r="AI977" i="244"/>
  <c r="AI978" i="244"/>
  <c r="AG979" i="244"/>
  <c r="AI979" i="244"/>
  <c r="AJ979" i="244"/>
  <c r="AG980" i="244"/>
  <c r="AI981" i="244"/>
  <c r="AI983" i="244"/>
  <c r="AI984" i="244"/>
  <c r="AI985" i="244"/>
  <c r="AI986" i="244"/>
  <c r="AI987" i="244"/>
  <c r="AI988" i="244"/>
  <c r="AI990" i="244"/>
  <c r="AI991" i="244"/>
  <c r="AI992" i="244"/>
  <c r="AI993" i="244"/>
  <c r="AI994" i="244"/>
  <c r="AI995" i="244"/>
  <c r="AI997" i="244"/>
  <c r="AI999" i="244"/>
  <c r="AI1001" i="244"/>
  <c r="AI1002" i="244"/>
  <c r="AI1003" i="244"/>
  <c r="AI1004" i="244"/>
  <c r="AI1005" i="244"/>
  <c r="AI1006" i="244"/>
  <c r="AI1007" i="244"/>
  <c r="AI1008" i="244"/>
  <c r="AI1009" i="244"/>
  <c r="AI1010" i="244"/>
  <c r="AI1011" i="244"/>
  <c r="AI1012" i="244"/>
  <c r="AI1013" i="244"/>
  <c r="AG1014" i="244"/>
  <c r="AH1014" i="244"/>
  <c r="AI1014" i="244"/>
  <c r="AJ1014" i="244"/>
  <c r="AG1015" i="244"/>
  <c r="AI1016" i="244"/>
  <c r="AI1018" i="244"/>
  <c r="AI1019" i="244"/>
  <c r="AI1020" i="244"/>
  <c r="AI1021" i="244"/>
  <c r="AI1022" i="244"/>
  <c r="AI1023" i="244"/>
  <c r="AI1025" i="244"/>
  <c r="AI1026" i="244"/>
  <c r="AI1027" i="244"/>
  <c r="AI1028" i="244"/>
  <c r="AI1029" i="244"/>
  <c r="AI1030" i="244"/>
  <c r="AI1031" i="244"/>
  <c r="AI1032" i="244"/>
  <c r="AI1033" i="244"/>
  <c r="AI1034" i="244"/>
  <c r="AI1035" i="244"/>
  <c r="AI1036" i="244"/>
  <c r="AI1037" i="244"/>
  <c r="AG1041" i="244"/>
  <c r="AG1044" i="244"/>
  <c r="AG1046" i="244"/>
  <c r="AI1046" i="244"/>
  <c r="AG1047" i="244"/>
  <c r="AI1049" i="244"/>
  <c r="AI1050" i="244"/>
  <c r="AI1051" i="244"/>
  <c r="AI1053" i="244"/>
  <c r="AI1055" i="244"/>
  <c r="AI1057" i="244"/>
  <c r="AI1059" i="244"/>
  <c r="AI1061" i="244"/>
  <c r="AI1062" i="244"/>
  <c r="AI1064" i="244"/>
  <c r="AI1066" i="244"/>
  <c r="AI1067" i="244"/>
  <c r="AG1068" i="244"/>
  <c r="AI1068" i="244"/>
  <c r="AG1069" i="244"/>
  <c r="AI1069" i="244"/>
  <c r="AI1070" i="244"/>
  <c r="AI1072" i="244"/>
  <c r="AG1074" i="244"/>
  <c r="AI1074" i="244"/>
  <c r="AG1075" i="244"/>
  <c r="AI1075" i="244"/>
  <c r="AI1076" i="244"/>
  <c r="AI1077" i="244"/>
  <c r="AI1079" i="244"/>
  <c r="AI1081" i="244"/>
  <c r="AI1082" i="244"/>
  <c r="AI1084" i="244"/>
  <c r="AI1085" i="244"/>
  <c r="AG1086" i="244"/>
  <c r="AI1086" i="244"/>
  <c r="AG1087" i="244"/>
  <c r="AI1087" i="244"/>
  <c r="AI1088" i="244"/>
  <c r="AI1089" i="244"/>
  <c r="AI1090" i="244"/>
  <c r="AI1092" i="244"/>
  <c r="AI1094" i="244"/>
  <c r="AI1096" i="244"/>
  <c r="AI1098" i="244"/>
  <c r="AI1099" i="244"/>
  <c r="AI1100" i="244"/>
  <c r="AI1101" i="244"/>
  <c r="AI1102" i="244"/>
  <c r="AI1103" i="244"/>
  <c r="AI1104" i="244"/>
  <c r="AI1105" i="244"/>
  <c r="AI1106" i="244"/>
  <c r="AI1107" i="244"/>
  <c r="AI1108" i="244"/>
  <c r="M36" i="236" l="1"/>
  <c r="M37" i="236" s="1"/>
  <c r="F36" i="236"/>
  <c r="F37" i="236" s="1"/>
  <c r="U37" i="236" s="1"/>
  <c r="M28" i="236"/>
  <c r="M29" i="236" s="1"/>
  <c r="F28" i="236"/>
  <c r="F29" i="236" s="1"/>
  <c r="U29" i="236" s="1"/>
  <c r="K39" i="233"/>
  <c r="G46" i="233" s="1"/>
  <c r="N11" i="233"/>
  <c r="O11" i="233" s="1"/>
  <c r="F9" i="233"/>
  <c r="G30" i="233" l="1"/>
  <c r="G31" i="233"/>
  <c r="G45" i="233"/>
  <c r="U21" i="224" l="1"/>
  <c r="T21" i="224"/>
  <c r="U24" i="222"/>
  <c r="T24" i="222"/>
  <c r="E51" i="218"/>
  <c r="P50" i="218"/>
  <c r="M50" i="218"/>
  <c r="E50" i="218"/>
  <c r="E49" i="218"/>
  <c r="P48" i="218"/>
  <c r="M48" i="218"/>
  <c r="E48" i="218"/>
  <c r="E47" i="218"/>
  <c r="P46" i="218"/>
  <c r="P53" i="218" s="1"/>
  <c r="P54" i="218" s="1"/>
  <c r="M46" i="218"/>
  <c r="M53" i="218" s="1"/>
  <c r="M54" i="218" s="1"/>
  <c r="P55" i="218" s="1"/>
  <c r="E46" i="218"/>
  <c r="P45" i="218"/>
  <c r="M45" i="218"/>
  <c r="E37" i="218"/>
  <c r="P36" i="218"/>
  <c r="M36" i="218"/>
  <c r="E36" i="218"/>
  <c r="E35" i="218"/>
  <c r="P34" i="218"/>
  <c r="M34" i="218"/>
  <c r="E34" i="218"/>
  <c r="E33" i="218"/>
  <c r="P32" i="218"/>
  <c r="M32" i="218"/>
  <c r="E32" i="218"/>
  <c r="E31" i="218"/>
  <c r="P30" i="218"/>
  <c r="M30" i="218"/>
  <c r="E30" i="218"/>
  <c r="E29" i="218"/>
  <c r="P28" i="218"/>
  <c r="M28" i="218"/>
  <c r="E28" i="218"/>
  <c r="E27" i="218"/>
  <c r="P26" i="218"/>
  <c r="M26" i="218"/>
  <c r="E26" i="218"/>
  <c r="E25" i="218"/>
  <c r="P24" i="218"/>
  <c r="M24" i="218"/>
  <c r="E24" i="218"/>
  <c r="E23" i="218"/>
  <c r="P22" i="218"/>
  <c r="M22" i="218"/>
  <c r="E22" i="218"/>
  <c r="E21" i="218"/>
  <c r="P20" i="218"/>
  <c r="M20" i="218"/>
  <c r="E20" i="218"/>
  <c r="E19" i="218"/>
  <c r="P18" i="218"/>
  <c r="M18" i="218"/>
  <c r="E18" i="218"/>
  <c r="E17" i="218"/>
  <c r="P16" i="218"/>
  <c r="P39" i="218" s="1"/>
  <c r="P40" i="218" s="1"/>
  <c r="M16" i="218"/>
  <c r="M39" i="218" s="1"/>
  <c r="M40" i="218" s="1"/>
  <c r="P41" i="218" s="1"/>
  <c r="E16" i="218"/>
  <c r="P15" i="218"/>
  <c r="M15" i="218"/>
  <c r="J29" i="203"/>
  <c r="R19" i="203"/>
  <c r="R21" i="203"/>
  <c r="Q19" i="203"/>
  <c r="Q21" i="203"/>
  <c r="P19" i="203"/>
  <c r="P21" i="203"/>
  <c r="O19" i="203"/>
  <c r="O21" i="203"/>
  <c r="N19" i="203"/>
  <c r="N21" i="203"/>
  <c r="M19" i="203"/>
  <c r="M21" i="203"/>
  <c r="L19" i="203"/>
  <c r="L21" i="203"/>
  <c r="K19" i="203"/>
  <c r="K21" i="203"/>
  <c r="J19" i="203"/>
  <c r="J21" i="203"/>
  <c r="I19" i="203"/>
  <c r="I21" i="203"/>
  <c r="H19" i="203"/>
  <c r="H21" i="203"/>
  <c r="G19" i="203"/>
  <c r="G21" i="203"/>
  <c r="P7" i="203"/>
  <c r="W74" i="202"/>
  <c r="W73" i="202"/>
  <c r="W72" i="202"/>
  <c r="W71" i="202"/>
  <c r="W70" i="202"/>
  <c r="W69" i="202"/>
  <c r="W68" i="202"/>
  <c r="W67" i="202"/>
  <c r="W66" i="202"/>
  <c r="W65" i="202"/>
  <c r="W64" i="202"/>
  <c r="W63" i="202"/>
  <c r="W62" i="202"/>
  <c r="W61" i="202"/>
  <c r="W60" i="202"/>
  <c r="W59" i="202"/>
  <c r="Q56" i="202"/>
  <c r="U39" i="202"/>
  <c r="AA41" i="202"/>
  <c r="U38" i="202"/>
  <c r="AA40" i="202"/>
  <c r="U37" i="202"/>
  <c r="AA39" i="202"/>
  <c r="U36" i="202"/>
  <c r="AA38" i="202"/>
  <c r="U35" i="202"/>
  <c r="AA37" i="202"/>
  <c r="Q34" i="202"/>
  <c r="U34" i="202"/>
  <c r="AJ20" i="202"/>
  <c r="AI20" i="202"/>
  <c r="AI18" i="202"/>
  <c r="AJ18" i="202"/>
  <c r="AI16" i="202"/>
  <c r="L56" i="202"/>
  <c r="L57" i="202"/>
  <c r="L58" i="202"/>
  <c r="L59" i="202"/>
  <c r="L60" i="202"/>
  <c r="L61" i="202"/>
  <c r="L62" i="202"/>
  <c r="L63" i="202"/>
  <c r="L64" i="202"/>
  <c r="L65" i="202"/>
  <c r="L66" i="202"/>
  <c r="L67" i="202"/>
  <c r="L68" i="202"/>
  <c r="L69" i="202"/>
  <c r="L70" i="202"/>
  <c r="L71" i="202"/>
  <c r="L72" i="202"/>
  <c r="L73" i="202"/>
  <c r="L74" i="202"/>
  <c r="AJ2" i="202"/>
  <c r="AJ8" i="202"/>
  <c r="S21" i="203"/>
  <c r="S22" i="203"/>
  <c r="S23" i="203"/>
  <c r="J39" i="182"/>
  <c r="X4" i="182"/>
  <c r="AI4" i="182"/>
  <c r="D5" i="184"/>
  <c r="N5" i="183"/>
  <c r="P29" i="183"/>
  <c r="Q28" i="183"/>
  <c r="R29" i="183" s="1"/>
  <c r="L29" i="183" s="1"/>
  <c r="P26" i="183"/>
  <c r="R26" i="183"/>
  <c r="L26" i="183"/>
  <c r="P25" i="183"/>
  <c r="R25" i="183"/>
  <c r="L25" i="183"/>
  <c r="P24" i="183"/>
  <c r="R24" i="183"/>
  <c r="L24" i="183"/>
  <c r="P21" i="183"/>
  <c r="Q20" i="183"/>
  <c r="R21" i="183" s="1"/>
  <c r="L21" i="183" s="1"/>
  <c r="P18" i="183"/>
  <c r="R18" i="183"/>
  <c r="L18" i="183"/>
  <c r="P17" i="183"/>
  <c r="R17" i="183"/>
  <c r="L17" i="183"/>
  <c r="F52" i="182"/>
  <c r="J50" i="182"/>
  <c r="F49" i="182"/>
  <c r="J47" i="182"/>
  <c r="J33" i="182"/>
  <c r="F29" i="182"/>
  <c r="J27" i="182"/>
  <c r="F26" i="182"/>
  <c r="J24" i="182"/>
  <c r="F23" i="182"/>
  <c r="J20" i="182"/>
  <c r="J22" i="182"/>
  <c r="F19" i="182"/>
  <c r="J17" i="182"/>
  <c r="F16" i="182"/>
  <c r="J14" i="182"/>
  <c r="AI8" i="182"/>
  <c r="AE8" i="182"/>
  <c r="AB8" i="182"/>
  <c r="Y8" i="182"/>
  <c r="Y7" i="182"/>
  <c r="H20" i="202"/>
  <c r="H19" i="202"/>
  <c r="AA36" i="202"/>
  <c r="L34" i="202"/>
  <c r="L35" i="202"/>
  <c r="L36" i="202"/>
  <c r="L37" i="202"/>
  <c r="L38" i="202"/>
  <c r="L39" i="202"/>
  <c r="L40" i="202"/>
  <c r="L41" i="202"/>
  <c r="W58" i="202"/>
  <c r="J55" i="218" l="1"/>
  <c r="J41" i="2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群馬県庁</author>
  </authors>
  <commentList>
    <comment ref="E41" authorId="0" shapeId="0" xr:uid="{00000000-0006-0000-0900-000001000000}">
      <text>
        <r>
          <rPr>
            <b/>
            <sz val="9"/>
            <rFont val="ＭＳ Ｐゴシック"/>
            <family val="3"/>
            <charset val="128"/>
          </rPr>
          <t>曜日を記載のこと。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CFDA0850-C019-4A5C-A5C5-42088C752D73}">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<sst xmlns="http://schemas.openxmlformats.org/spreadsheetml/2006/main" count="15389" uniqueCount="2341">
  <si>
    <t>（指定を受けている場合）</t>
    <rPh sb="1" eb="3">
      <t>シテイ</t>
    </rPh>
    <rPh sb="4" eb="5">
      <t>ウ</t>
    </rPh>
    <rPh sb="9" eb="11">
      <t>バアイ</t>
    </rPh>
    <phoneticPr fontId="2"/>
  </si>
  <si>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</si>
  <si>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</si>
  <si>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</si>
  <si>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</si>
  <si>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</si>
  <si>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</si>
  <si>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</si>
  <si>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</si>
  <si>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</si>
  <si>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</si>
  <si>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</si>
  <si>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</si>
  <si>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</si>
  <si>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</si>
  <si>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</si>
  <si>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</si>
  <si>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</si>
  <si>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</si>
  <si>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</si>
  <si>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</si>
  <si>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</si>
  <si>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</si>
  <si>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</si>
  <si>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</si>
  <si>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</si>
  <si>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</si>
  <si>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</si>
  <si>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</si>
  <si>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</si>
  <si>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</si>
  <si>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</si>
  <si>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</si>
  <si>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</si>
  <si>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</si>
  <si>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</si>
  <si>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</si>
  <si>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</si>
  <si>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</si>
  <si>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</si>
  <si>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</si>
  <si>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</si>
  <si>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</si>
  <si>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</si>
  <si>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</si>
  <si>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</si>
  <si>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</si>
  <si>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</si>
  <si>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</si>
  <si>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</si>
  <si>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</si>
  <si>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</si>
  <si>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</si>
  <si>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</si>
  <si>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</si>
  <si>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</si>
  <si>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</si>
  <si>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</si>
  <si>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</si>
  <si>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</si>
  <si>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</si>
  <si>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</si>
  <si>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異動区分</t>
    <rPh sb="0" eb="2">
      <t>イドウ</t>
    </rPh>
    <rPh sb="2" eb="4">
      <t>クブン</t>
    </rPh>
    <phoneticPr fontId="2"/>
  </si>
  <si>
    <t>施設種別</t>
    <rPh sb="0" eb="2">
      <t>シセツ</t>
    </rPh>
    <rPh sb="2" eb="4">
      <t>シュベツ</t>
    </rPh>
    <phoneticPr fontId="2"/>
  </si>
  <si>
    <t>職　種</t>
    <rPh sb="0" eb="1">
      <t>ショク</t>
    </rPh>
    <rPh sb="2" eb="3">
      <t>タネ</t>
    </rPh>
    <phoneticPr fontId="2"/>
  </si>
  <si>
    <t>氏　名</t>
    <rPh sb="0" eb="1">
      <t>シ</t>
    </rPh>
    <rPh sb="2" eb="3">
      <t>メイ</t>
    </rPh>
    <phoneticPr fontId="2"/>
  </si>
  <si>
    <t>管 理 栄 養 士</t>
    <rPh sb="0" eb="1">
      <t>カン</t>
    </rPh>
    <rPh sb="2" eb="3">
      <t>リ</t>
    </rPh>
    <rPh sb="4" eb="5">
      <t>エイ</t>
    </rPh>
    <rPh sb="6" eb="7">
      <t>オサム</t>
    </rPh>
    <rPh sb="8" eb="9">
      <t>シ</t>
    </rPh>
    <phoneticPr fontId="2"/>
  </si>
  <si>
    <t>介護支援専門員</t>
    <rPh sb="0" eb="2">
      <t>カイゴ</t>
    </rPh>
    <rPh sb="2" eb="4">
      <t>シエン</t>
    </rPh>
    <rPh sb="4" eb="7">
      <t>センモンイン</t>
    </rPh>
    <phoneticPr fontId="2"/>
  </si>
  <si>
    <t>看　護　師</t>
    <rPh sb="0" eb="1">
      <t>ミ</t>
    </rPh>
    <rPh sb="2" eb="3">
      <t>ユズル</t>
    </rPh>
    <rPh sb="4" eb="5">
      <t>シ</t>
    </rPh>
    <phoneticPr fontId="2"/>
  </si>
  <si>
    <t>医　　　師</t>
    <rPh sb="0" eb="1">
      <t>イ</t>
    </rPh>
    <rPh sb="4" eb="5">
      <t>シ</t>
    </rPh>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</si>
  <si>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</si>
  <si>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</si>
  <si>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</si>
  <si>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</si>
  <si>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</si>
  <si>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</si>
  <si>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</si>
  <si>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</si>
  <si>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</si>
  <si>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</si>
  <si>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</si>
  <si>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</si>
  <si>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</si>
  <si>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</si>
  <si>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</si>
  <si>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</si>
  <si>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</si>
  <si>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</si>
  <si>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</si>
  <si>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人</t>
    <rPh sb="0" eb="1">
      <t>ニン</t>
    </rPh>
    <phoneticPr fontId="2"/>
  </si>
  <si>
    <t>職員の欠員による減算の状況</t>
  </si>
  <si>
    <t>ユニットケア体制</t>
    <rPh sb="6" eb="8">
      <t>タイセイ</t>
    </rPh>
    <phoneticPr fontId="2"/>
  </si>
  <si>
    <t>事業所名</t>
    <rPh sb="0" eb="3">
      <t>ジギョウショ</t>
    </rPh>
    <rPh sb="3" eb="4">
      <t>メイ</t>
    </rPh>
    <phoneticPr fontId="2"/>
  </si>
  <si>
    <t>2　異 動 区 分</t>
    <rPh sb="2" eb="3">
      <t>イ</t>
    </rPh>
    <rPh sb="4" eb="5">
      <t>ドウ</t>
    </rPh>
    <rPh sb="6" eb="7">
      <t>ク</t>
    </rPh>
    <rPh sb="8" eb="9">
      <t>ブン</t>
    </rPh>
    <phoneticPr fontId="2"/>
  </si>
  <si>
    <t>有・無</t>
    <rPh sb="0" eb="1">
      <t>ウ</t>
    </rPh>
    <rPh sb="2" eb="3">
      <t>ム</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</si>
  <si>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</si>
  <si>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</si>
  <si>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</si>
  <si>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</si>
  <si>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</si>
  <si>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</si>
  <si>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歯科医師</t>
    <rPh sb="0" eb="2">
      <t>シカ</t>
    </rPh>
    <rPh sb="2" eb="4">
      <t>イシ</t>
    </rPh>
    <phoneticPr fontId="2"/>
  </si>
  <si>
    <t>（別紙●）</t>
    <rPh sb="1" eb="3">
      <t>ベッシ</t>
    </rPh>
    <phoneticPr fontId="2"/>
  </si>
  <si>
    <t>①</t>
    <phoneticPr fontId="2"/>
  </si>
  <si>
    <t>②</t>
    <phoneticPr fontId="2"/>
  </si>
  <si>
    <t>夜間勤務条件基準</t>
    <rPh sb="0" eb="2">
      <t>ヤカン</t>
    </rPh>
    <rPh sb="2" eb="4">
      <t>キンム</t>
    </rPh>
    <rPh sb="4" eb="6">
      <t>ジョウケン</t>
    </rPh>
    <rPh sb="6" eb="8">
      <t>キジュン</t>
    </rPh>
    <phoneticPr fontId="2"/>
  </si>
  <si>
    <t>身体拘束廃止取組の有無</t>
    <rPh sb="0" eb="2">
      <t>シンタイ</t>
    </rPh>
    <rPh sb="2" eb="4">
      <t>コウソク</t>
    </rPh>
    <rPh sb="4" eb="6">
      <t>ハイシ</t>
    </rPh>
    <rPh sb="6" eb="8">
      <t>トリクミ</t>
    </rPh>
    <rPh sb="9" eb="11">
      <t>ウム</t>
    </rPh>
    <phoneticPr fontId="2"/>
  </si>
  <si>
    <t>療養食加算</t>
    <rPh sb="0" eb="2">
      <t>リョウヨウ</t>
    </rPh>
    <rPh sb="2" eb="3">
      <t>ショク</t>
    </rPh>
    <rPh sb="3" eb="4">
      <t>カ</t>
    </rPh>
    <rPh sb="4" eb="5">
      <t>サン</t>
    </rPh>
    <phoneticPr fontId="2"/>
  </si>
  <si>
    <t>サービス提供体制強化加算</t>
    <rPh sb="4" eb="6">
      <t>テイキョウ</t>
    </rPh>
    <rPh sb="6" eb="8">
      <t>タイセイ</t>
    </rPh>
    <rPh sb="8" eb="10">
      <t>キョウカ</t>
    </rPh>
    <rPh sb="10" eb="11">
      <t>カ</t>
    </rPh>
    <rPh sb="11" eb="12">
      <t>サン</t>
    </rPh>
    <phoneticPr fontId="2"/>
  </si>
  <si>
    <t>施設コード</t>
    <rPh sb="0" eb="2">
      <t>シセツ</t>
    </rPh>
    <phoneticPr fontId="2"/>
  </si>
  <si>
    <t>月</t>
  </si>
  <si>
    <t>日</t>
  </si>
  <si>
    <t>送迎体制</t>
    <rPh sb="0" eb="2">
      <t>ソウゲイ</t>
    </rPh>
    <rPh sb="2" eb="4">
      <t>タイセイ</t>
    </rPh>
    <phoneticPr fontId="2"/>
  </si>
  <si>
    <t>加算等の種類</t>
    <rPh sb="0" eb="2">
      <t>カサン</t>
    </rPh>
    <rPh sb="2" eb="3">
      <t>トウ</t>
    </rPh>
    <rPh sb="4" eb="6">
      <t>シュルイ</t>
    </rPh>
    <phoneticPr fontId="2"/>
  </si>
  <si>
    <t>別紙</t>
    <phoneticPr fontId="2"/>
  </si>
  <si>
    <t>番号</t>
    <rPh sb="0" eb="2">
      <t>バンゴウ</t>
    </rPh>
    <phoneticPr fontId="2"/>
  </si>
  <si>
    <t>□</t>
  </si>
  <si>
    <t>□</t>
    <phoneticPr fontId="2"/>
  </si>
  <si>
    <t>■</t>
    <phoneticPr fontId="2"/>
  </si>
  <si>
    <t>介護給付費算定に係る体制等状況一覧表</t>
    <phoneticPr fontId="2"/>
  </si>
  <si>
    <t>③</t>
    <phoneticPr fontId="2"/>
  </si>
  <si>
    <t>④</t>
    <phoneticPr fontId="2"/>
  </si>
  <si>
    <t>介護支援専門員</t>
  </si>
  <si>
    <t>看護職員</t>
  </si>
  <si>
    <t>介護職員</t>
  </si>
  <si>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</si>
  <si>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</si>
  <si>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</si>
  <si>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</si>
  <si>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</si>
  <si>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１月</t>
    <rPh sb="1" eb="2">
      <t>ガツ</t>
    </rPh>
    <phoneticPr fontId="2"/>
  </si>
  <si>
    <t>２月</t>
    <rPh sb="1" eb="2">
      <t>ガツ</t>
    </rPh>
    <phoneticPr fontId="2"/>
  </si>
  <si>
    <t>３月</t>
    <rPh sb="1" eb="2">
      <t>ガツ</t>
    </rPh>
    <phoneticPr fontId="2"/>
  </si>
  <si>
    <t>　</t>
    <phoneticPr fontId="2"/>
  </si>
  <si>
    <t>　</t>
    <phoneticPr fontId="2"/>
  </si>
  <si>
    <t>各種加算における必要な添付書類一覧（介護職員処遇改善加算は除く）</t>
    <rPh sb="0" eb="2">
      <t>カクシュ</t>
    </rPh>
    <rPh sb="29" eb="30">
      <t>ノゾ</t>
    </rPh>
    <phoneticPr fontId="2"/>
  </si>
  <si>
    <t>●</t>
  </si>
  <si>
    <t>◎</t>
  </si>
  <si>
    <t>備考欄（その他の書類など）</t>
    <rPh sb="0" eb="2">
      <t>ビコウ</t>
    </rPh>
    <rPh sb="2" eb="3">
      <t>ラン</t>
    </rPh>
    <rPh sb="6" eb="7">
      <t>タ</t>
    </rPh>
    <rPh sb="8" eb="10">
      <t>ショルイ</t>
    </rPh>
    <phoneticPr fontId="2"/>
  </si>
  <si>
    <t>若年性認知症入所者受入加算</t>
    <rPh sb="0" eb="3">
      <t>ジャクネンセイ</t>
    </rPh>
    <rPh sb="3" eb="5">
      <t>ニンチ</t>
    </rPh>
    <rPh sb="5" eb="6">
      <t>ショウ</t>
    </rPh>
    <rPh sb="6" eb="9">
      <t>ニュウショシャ</t>
    </rPh>
    <rPh sb="9" eb="11">
      <t>ウケイ</t>
    </rPh>
    <rPh sb="11" eb="13">
      <t>カサン</t>
    </rPh>
    <phoneticPr fontId="2"/>
  </si>
  <si>
    <t>療養食加算</t>
    <rPh sb="0" eb="2">
      <t>リョウヨウ</t>
    </rPh>
    <rPh sb="2" eb="3">
      <t>ショク</t>
    </rPh>
    <rPh sb="3" eb="5">
      <t>カサン</t>
    </rPh>
    <phoneticPr fontId="2"/>
  </si>
  <si>
    <t>認知症専門ケア加算</t>
    <rPh sb="0" eb="2">
      <t>ニンチ</t>
    </rPh>
    <rPh sb="2" eb="3">
      <t>ショウ</t>
    </rPh>
    <rPh sb="3" eb="5">
      <t>センモン</t>
    </rPh>
    <rPh sb="7" eb="8">
      <t>カ</t>
    </rPh>
    <rPh sb="8" eb="9">
      <t>サン</t>
    </rPh>
    <phoneticPr fontId="2"/>
  </si>
  <si>
    <t>共通</t>
    <rPh sb="0" eb="2">
      <t>キョウツウ</t>
    </rPh>
    <phoneticPr fontId="2"/>
  </si>
  <si>
    <t>時間延長サービス体制</t>
    <rPh sb="0" eb="2">
      <t>ジカン</t>
    </rPh>
    <rPh sb="2" eb="4">
      <t>エンチョウ</t>
    </rPh>
    <rPh sb="8" eb="10">
      <t>タイセイ</t>
    </rPh>
    <phoneticPr fontId="2"/>
  </si>
  <si>
    <t>リハビリテーション提供体制加算</t>
    <rPh sb="9" eb="11">
      <t>テイキョウ</t>
    </rPh>
    <rPh sb="11" eb="13">
      <t>タイセイ</t>
    </rPh>
    <rPh sb="13" eb="15">
      <t>カサン</t>
    </rPh>
    <phoneticPr fontId="2"/>
  </si>
  <si>
    <t>リハビリテーションマネジメント加算</t>
    <rPh sb="15" eb="17">
      <t>カサン</t>
    </rPh>
    <phoneticPr fontId="2"/>
  </si>
  <si>
    <t>認知症短期集中リハビリテーション実施加算</t>
    <rPh sb="0" eb="2">
      <t>ニンチ</t>
    </rPh>
    <rPh sb="2" eb="3">
      <t>ショウ</t>
    </rPh>
    <rPh sb="3" eb="5">
      <t>タンキ</t>
    </rPh>
    <rPh sb="5" eb="7">
      <t>シュウチュウ</t>
    </rPh>
    <rPh sb="16" eb="18">
      <t>ジッシ</t>
    </rPh>
    <rPh sb="18" eb="20">
      <t>カサン</t>
    </rPh>
    <phoneticPr fontId="2"/>
  </si>
  <si>
    <t>生活行為向上リハビリテーション実施加算</t>
    <rPh sb="0" eb="2">
      <t>セイカツ</t>
    </rPh>
    <rPh sb="2" eb="4">
      <t>コウイ</t>
    </rPh>
    <rPh sb="4" eb="6">
      <t>コウジョウ</t>
    </rPh>
    <rPh sb="15" eb="17">
      <t>ジッシ</t>
    </rPh>
    <rPh sb="17" eb="19">
      <t>カサン</t>
    </rPh>
    <phoneticPr fontId="2"/>
  </si>
  <si>
    <t>若年性認知症利用者受入加算</t>
    <rPh sb="0" eb="3">
      <t>ジャクネンセイ</t>
    </rPh>
    <rPh sb="3" eb="5">
      <t>ニンチ</t>
    </rPh>
    <rPh sb="5" eb="6">
      <t>ショウ</t>
    </rPh>
    <rPh sb="6" eb="9">
      <t>リヨウシャ</t>
    </rPh>
    <rPh sb="9" eb="11">
      <t>ウケイ</t>
    </rPh>
    <rPh sb="11" eb="13">
      <t>カサン</t>
    </rPh>
    <phoneticPr fontId="2"/>
  </si>
  <si>
    <t>中重度者ケア体制加算</t>
    <rPh sb="0" eb="1">
      <t>チュウ</t>
    </rPh>
    <rPh sb="1" eb="3">
      <t>ジュウド</t>
    </rPh>
    <rPh sb="3" eb="4">
      <t>シャ</t>
    </rPh>
    <rPh sb="6" eb="8">
      <t>タイセイ</t>
    </rPh>
    <rPh sb="8" eb="10">
      <t>カサン</t>
    </rPh>
    <phoneticPr fontId="2"/>
  </si>
  <si>
    <t>通リハ01</t>
    <rPh sb="0" eb="1">
      <t>ツウ</t>
    </rPh>
    <phoneticPr fontId="2"/>
  </si>
  <si>
    <t>予通リ01</t>
    <rPh sb="0" eb="1">
      <t>ヨ</t>
    </rPh>
    <rPh sb="1" eb="2">
      <t>ツウ</t>
    </rPh>
    <phoneticPr fontId="2"/>
  </si>
  <si>
    <t>予通リ02</t>
    <rPh sb="0" eb="1">
      <t>ヨ</t>
    </rPh>
    <rPh sb="1" eb="2">
      <t>ツウ</t>
    </rPh>
    <phoneticPr fontId="2"/>
  </si>
  <si>
    <t>予通リ03</t>
    <rPh sb="0" eb="1">
      <t>ヨ</t>
    </rPh>
    <rPh sb="1" eb="2">
      <t>ツウ</t>
    </rPh>
    <phoneticPr fontId="2"/>
  </si>
  <si>
    <t>予通リ04</t>
    <rPh sb="0" eb="1">
      <t>ヨ</t>
    </rPh>
    <rPh sb="1" eb="2">
      <t>ツウ</t>
    </rPh>
    <phoneticPr fontId="2"/>
  </si>
  <si>
    <t>予通リ05</t>
    <rPh sb="0" eb="1">
      <t>ヨ</t>
    </rPh>
    <rPh sb="1" eb="2">
      <t>ツウ</t>
    </rPh>
    <phoneticPr fontId="2"/>
  </si>
  <si>
    <t>予通リ06</t>
    <rPh sb="0" eb="1">
      <t>ヨ</t>
    </rPh>
    <rPh sb="1" eb="2">
      <t>ツウ</t>
    </rPh>
    <phoneticPr fontId="2"/>
  </si>
  <si>
    <t>予通リ07</t>
    <rPh sb="0" eb="1">
      <t>ヨ</t>
    </rPh>
    <rPh sb="1" eb="2">
      <t>ツウ</t>
    </rPh>
    <phoneticPr fontId="2"/>
  </si>
  <si>
    <t>予通リ08</t>
    <rPh sb="0" eb="1">
      <t>ヨ</t>
    </rPh>
    <rPh sb="1" eb="2">
      <t>ツウ</t>
    </rPh>
    <phoneticPr fontId="2"/>
  </si>
  <si>
    <t>予通リ09</t>
    <rPh sb="0" eb="1">
      <t>ヨ</t>
    </rPh>
    <rPh sb="1" eb="2">
      <t>ツウ</t>
    </rPh>
    <phoneticPr fontId="2"/>
  </si>
  <si>
    <t>予通リ10</t>
    <rPh sb="0" eb="1">
      <t>ヨ</t>
    </rPh>
    <rPh sb="1" eb="2">
      <t>ツウ</t>
    </rPh>
    <phoneticPr fontId="2"/>
  </si>
  <si>
    <t>●</t>
    <phoneticPr fontId="2"/>
  </si>
  <si>
    <t>◎</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</si>
  <si>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</si>
  <si>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</si>
  <si>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１０％以上</t>
    <rPh sb="3" eb="5">
      <t>イジョウ</t>
    </rPh>
    <phoneticPr fontId="2"/>
  </si>
  <si>
    <t>３０％以上</t>
    <rPh sb="3" eb="5">
      <t>イジョウ</t>
    </rPh>
    <phoneticPr fontId="2"/>
  </si>
  <si>
    <t>日</t>
    <rPh sb="0" eb="1">
      <t>ニチ</t>
    </rPh>
    <phoneticPr fontId="2"/>
  </si>
  <si>
    <t>５０％以上</t>
    <rPh sb="3" eb="5">
      <t>イジョウ</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</si>
  <si>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</si>
  <si>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</si>
  <si>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</si>
  <si>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</si>
  <si>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3　届 出 項 目</t>
    <rPh sb="2" eb="3">
      <t>トドケ</t>
    </rPh>
    <rPh sb="4" eb="5">
      <t>デ</t>
    </rPh>
    <rPh sb="6" eb="7">
      <t>コウ</t>
    </rPh>
    <rPh sb="8" eb="9">
      <t>モク</t>
    </rPh>
    <phoneticPr fontId="2"/>
  </si>
  <si>
    <t>４月</t>
    <rPh sb="1" eb="2">
      <t>ガツ</t>
    </rPh>
    <phoneticPr fontId="2"/>
  </si>
  <si>
    <t>通リハ02</t>
    <rPh sb="0" eb="1">
      <t>ツウ</t>
    </rPh>
    <phoneticPr fontId="2"/>
  </si>
  <si>
    <t>通リハ03</t>
    <rPh sb="0" eb="1">
      <t>ツウ</t>
    </rPh>
    <phoneticPr fontId="2"/>
  </si>
  <si>
    <t>通リハ04</t>
    <rPh sb="0" eb="1">
      <t>ツウ</t>
    </rPh>
    <phoneticPr fontId="2"/>
  </si>
  <si>
    <t>通リハ05</t>
    <rPh sb="0" eb="1">
      <t>ツウ</t>
    </rPh>
    <phoneticPr fontId="2"/>
  </si>
  <si>
    <t>通リハ06</t>
    <rPh sb="0" eb="1">
      <t>ツウ</t>
    </rPh>
    <phoneticPr fontId="2"/>
  </si>
  <si>
    <t>通リハ07</t>
    <rPh sb="0" eb="1">
      <t>ツウ</t>
    </rPh>
    <phoneticPr fontId="2"/>
  </si>
  <si>
    <t>通リハ08</t>
    <rPh sb="0" eb="1">
      <t>ツウ</t>
    </rPh>
    <phoneticPr fontId="2"/>
  </si>
  <si>
    <t>通リハ09</t>
    <rPh sb="0" eb="1">
      <t>ツウ</t>
    </rPh>
    <phoneticPr fontId="2"/>
  </si>
  <si>
    <t>通リハ10</t>
    <rPh sb="0" eb="1">
      <t>ツウ</t>
    </rPh>
    <phoneticPr fontId="2"/>
  </si>
  <si>
    <t>通リハ11</t>
    <rPh sb="0" eb="1">
      <t>ツウ</t>
    </rPh>
    <phoneticPr fontId="2"/>
  </si>
  <si>
    <t>通リハ12</t>
    <rPh sb="0" eb="1">
      <t>ツウ</t>
    </rPh>
    <phoneticPr fontId="2"/>
  </si>
  <si>
    <t>通リハ13</t>
    <rPh sb="0" eb="1">
      <t>ツウ</t>
    </rPh>
    <phoneticPr fontId="2"/>
  </si>
  <si>
    <t>通リハ14</t>
    <rPh sb="0" eb="1">
      <t>ツウ</t>
    </rPh>
    <phoneticPr fontId="2"/>
  </si>
  <si>
    <t>通リハ15</t>
    <rPh sb="0" eb="1">
      <t>ツウ</t>
    </rPh>
    <phoneticPr fontId="2"/>
  </si>
  <si>
    <t>事業所の規模</t>
    <phoneticPr fontId="2"/>
  </si>
  <si>
    <t>短療01</t>
    <rPh sb="0" eb="1">
      <t>タン</t>
    </rPh>
    <rPh sb="1" eb="2">
      <t>イヤス</t>
    </rPh>
    <phoneticPr fontId="2"/>
  </si>
  <si>
    <t>短療02</t>
    <rPh sb="0" eb="1">
      <t>タン</t>
    </rPh>
    <rPh sb="1" eb="2">
      <t>イヤス</t>
    </rPh>
    <phoneticPr fontId="2"/>
  </si>
  <si>
    <t>短療03</t>
    <rPh sb="0" eb="1">
      <t>タン</t>
    </rPh>
    <rPh sb="1" eb="2">
      <t>イヤス</t>
    </rPh>
    <phoneticPr fontId="2"/>
  </si>
  <si>
    <t>短療04</t>
    <rPh sb="0" eb="1">
      <t>タン</t>
    </rPh>
    <rPh sb="1" eb="2">
      <t>イヤス</t>
    </rPh>
    <phoneticPr fontId="2"/>
  </si>
  <si>
    <t>短療05</t>
    <rPh sb="0" eb="1">
      <t>タン</t>
    </rPh>
    <rPh sb="1" eb="2">
      <t>イヤス</t>
    </rPh>
    <phoneticPr fontId="2"/>
  </si>
  <si>
    <t>短療06</t>
    <rPh sb="0" eb="1">
      <t>タン</t>
    </rPh>
    <rPh sb="1" eb="2">
      <t>イヤス</t>
    </rPh>
    <phoneticPr fontId="2"/>
  </si>
  <si>
    <t>短療07</t>
    <rPh sb="0" eb="1">
      <t>タン</t>
    </rPh>
    <rPh sb="1" eb="2">
      <t>イヤス</t>
    </rPh>
    <phoneticPr fontId="2"/>
  </si>
  <si>
    <t>短療08</t>
    <rPh sb="0" eb="1">
      <t>タン</t>
    </rPh>
    <rPh sb="1" eb="2">
      <t>イヤス</t>
    </rPh>
    <phoneticPr fontId="2"/>
  </si>
  <si>
    <t>短療09</t>
    <rPh sb="0" eb="1">
      <t>タン</t>
    </rPh>
    <rPh sb="1" eb="2">
      <t>イヤス</t>
    </rPh>
    <phoneticPr fontId="2"/>
  </si>
  <si>
    <t>短療10</t>
    <rPh sb="0" eb="1">
      <t>タン</t>
    </rPh>
    <rPh sb="1" eb="2">
      <t>イヤス</t>
    </rPh>
    <phoneticPr fontId="2"/>
  </si>
  <si>
    <t>短療11</t>
    <rPh sb="0" eb="1">
      <t>タン</t>
    </rPh>
    <rPh sb="1" eb="2">
      <t>イヤス</t>
    </rPh>
    <phoneticPr fontId="2"/>
  </si>
  <si>
    <t>短療12</t>
    <rPh sb="0" eb="1">
      <t>タン</t>
    </rPh>
    <rPh sb="1" eb="2">
      <t>イヤス</t>
    </rPh>
    <phoneticPr fontId="2"/>
  </si>
  <si>
    <t>短療13</t>
    <rPh sb="0" eb="1">
      <t>タン</t>
    </rPh>
    <rPh sb="1" eb="2">
      <t>イヤス</t>
    </rPh>
    <phoneticPr fontId="2"/>
  </si>
  <si>
    <t>予短療01</t>
    <rPh sb="0" eb="1">
      <t>ヨ</t>
    </rPh>
    <rPh sb="1" eb="2">
      <t>タン</t>
    </rPh>
    <rPh sb="2" eb="3">
      <t>イヤス</t>
    </rPh>
    <phoneticPr fontId="2"/>
  </si>
  <si>
    <t>予短療02</t>
    <rPh sb="0" eb="1">
      <t>ヨ</t>
    </rPh>
    <rPh sb="1" eb="2">
      <t>タン</t>
    </rPh>
    <rPh sb="2" eb="3">
      <t>イヤス</t>
    </rPh>
    <phoneticPr fontId="2"/>
  </si>
  <si>
    <t>予短療03</t>
    <rPh sb="0" eb="1">
      <t>ヨ</t>
    </rPh>
    <rPh sb="1" eb="2">
      <t>タン</t>
    </rPh>
    <rPh sb="2" eb="3">
      <t>イヤス</t>
    </rPh>
    <phoneticPr fontId="2"/>
  </si>
  <si>
    <t>予短療04</t>
    <rPh sb="0" eb="1">
      <t>ヨ</t>
    </rPh>
    <rPh sb="1" eb="2">
      <t>タン</t>
    </rPh>
    <rPh sb="2" eb="3">
      <t>イヤス</t>
    </rPh>
    <phoneticPr fontId="2"/>
  </si>
  <si>
    <t>予短療05</t>
    <rPh sb="0" eb="1">
      <t>ヨ</t>
    </rPh>
    <rPh sb="1" eb="2">
      <t>タン</t>
    </rPh>
    <rPh sb="2" eb="3">
      <t>イヤス</t>
    </rPh>
    <phoneticPr fontId="2"/>
  </si>
  <si>
    <t>予短療06</t>
    <rPh sb="0" eb="1">
      <t>ヨ</t>
    </rPh>
    <rPh sb="1" eb="2">
      <t>タン</t>
    </rPh>
    <rPh sb="2" eb="3">
      <t>イヤス</t>
    </rPh>
    <phoneticPr fontId="2"/>
  </si>
  <si>
    <t>予短療07</t>
    <rPh sb="0" eb="1">
      <t>ヨ</t>
    </rPh>
    <rPh sb="1" eb="2">
      <t>タン</t>
    </rPh>
    <rPh sb="2" eb="3">
      <t>イヤス</t>
    </rPh>
    <phoneticPr fontId="2"/>
  </si>
  <si>
    <t>予短療08</t>
    <rPh sb="0" eb="1">
      <t>ヨ</t>
    </rPh>
    <rPh sb="1" eb="2">
      <t>タン</t>
    </rPh>
    <rPh sb="2" eb="3">
      <t>イヤス</t>
    </rPh>
    <phoneticPr fontId="2"/>
  </si>
  <si>
    <t>予短療09</t>
    <rPh sb="0" eb="1">
      <t>ヨ</t>
    </rPh>
    <rPh sb="1" eb="2">
      <t>タン</t>
    </rPh>
    <rPh sb="2" eb="3">
      <t>イヤス</t>
    </rPh>
    <phoneticPr fontId="2"/>
  </si>
  <si>
    <t>予短療10</t>
    <rPh sb="0" eb="1">
      <t>ヨ</t>
    </rPh>
    <rPh sb="1" eb="2">
      <t>タン</t>
    </rPh>
    <rPh sb="2" eb="3">
      <t>イヤス</t>
    </rPh>
    <phoneticPr fontId="2"/>
  </si>
  <si>
    <t>予短療11</t>
    <rPh sb="0" eb="1">
      <t>ヨ</t>
    </rPh>
    <rPh sb="1" eb="2">
      <t>タン</t>
    </rPh>
    <rPh sb="2" eb="3">
      <t>イヤス</t>
    </rPh>
    <phoneticPr fontId="2"/>
  </si>
  <si>
    <t>予短療12</t>
    <rPh sb="0" eb="1">
      <t>ヨ</t>
    </rPh>
    <rPh sb="1" eb="2">
      <t>タン</t>
    </rPh>
    <rPh sb="2" eb="3">
      <t>イヤス</t>
    </rPh>
    <phoneticPr fontId="2"/>
  </si>
  <si>
    <t>◎勤務形態一覧は、職員全員分（算定月）</t>
  </si>
  <si>
    <t>◎</t>
    <phoneticPr fontId="2"/>
  </si>
  <si>
    <t>●</t>
    <phoneticPr fontId="2"/>
  </si>
  <si>
    <t>作業療法士</t>
    <rPh sb="0" eb="2">
      <t>サギョウ</t>
    </rPh>
    <rPh sb="2" eb="5">
      <t>リョウホウシ</t>
    </rPh>
    <phoneticPr fontId="2"/>
  </si>
  <si>
    <t>介護職員</t>
    <rPh sb="0" eb="2">
      <t>カイゴ</t>
    </rPh>
    <rPh sb="2" eb="4">
      <t>ショクイン</t>
    </rPh>
    <phoneticPr fontId="2"/>
  </si>
  <si>
    <t>【通所リハビリテーション】</t>
    <rPh sb="1" eb="3">
      <t>ツウショ</t>
    </rPh>
    <phoneticPr fontId="2"/>
  </si>
  <si>
    <t>【介護予防通所リハビリテーション】</t>
    <phoneticPr fontId="2"/>
  </si>
  <si>
    <t>【介護予防短期入所療養介護】</t>
    <phoneticPr fontId="2"/>
  </si>
  <si>
    <t>【短期入所療養介護】</t>
    <phoneticPr fontId="2"/>
  </si>
  <si>
    <t>専従</t>
    <rPh sb="0" eb="2">
      <t>センジュウ</t>
    </rPh>
    <phoneticPr fontId="2"/>
  </si>
  <si>
    <t>㎡</t>
  </si>
  <si>
    <t>片廊下の幅</t>
  </si>
  <si>
    <t>ｍ</t>
  </si>
  <si>
    <t>中廊下の幅</t>
  </si>
  <si>
    <t>添付書類</t>
  </si>
  <si>
    <t>床</t>
    <rPh sb="0" eb="1">
      <t>ユカ</t>
    </rPh>
    <phoneticPr fontId="2"/>
  </si>
  <si>
    <t>フリガナ</t>
    <phoneticPr fontId="2"/>
  </si>
  <si>
    <t>－</t>
    <phoneticPr fontId="2"/>
  </si>
  <si>
    <t>）</t>
    <phoneticPr fontId="2"/>
  </si>
  <si>
    <t>⑤</t>
    <phoneticPr fontId="2"/>
  </si>
  <si>
    <t>職員の欠員による減算の状況</t>
    <phoneticPr fontId="2"/>
  </si>
  <si>
    <t>療養環境基準（廊下）</t>
    <rPh sb="7" eb="9">
      <t>ロウカ</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</si>
  <si>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</si>
  <si>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サービス提供体制強化加算</t>
    <rPh sb="4" eb="6">
      <t>テイキョウ</t>
    </rPh>
    <rPh sb="6" eb="8">
      <t>タイセイ</t>
    </rPh>
    <rPh sb="8" eb="10">
      <t>キョウカ</t>
    </rPh>
    <rPh sb="10" eb="12">
      <t>カサン</t>
    </rPh>
    <phoneticPr fontId="2"/>
  </si>
  <si>
    <t>医療院01</t>
    <rPh sb="0" eb="2">
      <t>イリョウ</t>
    </rPh>
    <rPh sb="2" eb="3">
      <t>イン</t>
    </rPh>
    <phoneticPr fontId="2"/>
  </si>
  <si>
    <t>【介護医療院】</t>
    <rPh sb="1" eb="3">
      <t>カイゴ</t>
    </rPh>
    <rPh sb="3" eb="5">
      <t>イリョウ</t>
    </rPh>
    <rPh sb="5" eb="6">
      <t>イン</t>
    </rPh>
    <phoneticPr fontId="2"/>
  </si>
  <si>
    <t>①②④⑤</t>
  </si>
  <si>
    <t>①②④⑤</t>
    <phoneticPr fontId="2"/>
  </si>
  <si>
    <t>④⑤⑥</t>
    <phoneticPr fontId="2"/>
  </si>
  <si>
    <t>重度認知症疾患療養体制加算</t>
    <phoneticPr fontId="2"/>
  </si>
  <si>
    <t>認知症短期集中ﾘﾊﾋﾞﾘﾃｰｼｮﾝ加算</t>
    <phoneticPr fontId="2"/>
  </si>
  <si>
    <t>療養環境基準（廊下）</t>
  </si>
  <si>
    <t>療養環境基準（廊下）</t>
    <phoneticPr fontId="2"/>
  </si>
  <si>
    <t>療養環境基準（療養室）</t>
  </si>
  <si>
    <t>療養環境基準（療養室）</t>
    <phoneticPr fontId="2"/>
  </si>
  <si>
    <t>③</t>
  </si>
  <si>
    <t>③⑥</t>
    <phoneticPr fontId="2"/>
  </si>
  <si>
    <t>④⑤⑥</t>
    <phoneticPr fontId="2"/>
  </si>
  <si>
    <t>④</t>
  </si>
  <si>
    <t>医療院02</t>
    <rPh sb="0" eb="2">
      <t>イリョウ</t>
    </rPh>
    <rPh sb="2" eb="3">
      <t>イン</t>
    </rPh>
    <phoneticPr fontId="2"/>
  </si>
  <si>
    <t>医療院03</t>
    <rPh sb="0" eb="2">
      <t>イリョウ</t>
    </rPh>
    <rPh sb="2" eb="3">
      <t>イン</t>
    </rPh>
    <phoneticPr fontId="2"/>
  </si>
  <si>
    <t>医療院04</t>
    <rPh sb="0" eb="2">
      <t>イリョウ</t>
    </rPh>
    <rPh sb="2" eb="3">
      <t>イン</t>
    </rPh>
    <phoneticPr fontId="2"/>
  </si>
  <si>
    <t>医療院05</t>
    <rPh sb="0" eb="2">
      <t>イリョウ</t>
    </rPh>
    <rPh sb="2" eb="3">
      <t>イン</t>
    </rPh>
    <phoneticPr fontId="2"/>
  </si>
  <si>
    <t>医療院06</t>
    <rPh sb="0" eb="2">
      <t>イリョウ</t>
    </rPh>
    <rPh sb="2" eb="3">
      <t>イン</t>
    </rPh>
    <phoneticPr fontId="2"/>
  </si>
  <si>
    <t>医療院07</t>
    <rPh sb="0" eb="2">
      <t>イリョウ</t>
    </rPh>
    <rPh sb="2" eb="3">
      <t>イン</t>
    </rPh>
    <phoneticPr fontId="2"/>
  </si>
  <si>
    <t>医療院08</t>
    <rPh sb="0" eb="2">
      <t>イリョウ</t>
    </rPh>
    <rPh sb="2" eb="3">
      <t>イン</t>
    </rPh>
    <phoneticPr fontId="2"/>
  </si>
  <si>
    <t>医療院09</t>
    <rPh sb="0" eb="2">
      <t>イリョウ</t>
    </rPh>
    <rPh sb="2" eb="3">
      <t>イン</t>
    </rPh>
    <phoneticPr fontId="2"/>
  </si>
  <si>
    <t>医療院10</t>
    <rPh sb="0" eb="2">
      <t>イリョウ</t>
    </rPh>
    <rPh sb="2" eb="3">
      <t>イン</t>
    </rPh>
    <phoneticPr fontId="2"/>
  </si>
  <si>
    <t>医療院11</t>
    <rPh sb="0" eb="2">
      <t>イリョウ</t>
    </rPh>
    <rPh sb="2" eb="3">
      <t>イン</t>
    </rPh>
    <phoneticPr fontId="2"/>
  </si>
  <si>
    <t>医療院12</t>
    <rPh sb="0" eb="2">
      <t>イリョウ</t>
    </rPh>
    <rPh sb="2" eb="3">
      <t>イン</t>
    </rPh>
    <phoneticPr fontId="2"/>
  </si>
  <si>
    <t>医療院13</t>
    <rPh sb="0" eb="2">
      <t>イリョウ</t>
    </rPh>
    <rPh sb="2" eb="3">
      <t>イン</t>
    </rPh>
    <phoneticPr fontId="2"/>
  </si>
  <si>
    <t>医療院14</t>
    <rPh sb="0" eb="2">
      <t>イリョウ</t>
    </rPh>
    <rPh sb="2" eb="3">
      <t>イン</t>
    </rPh>
    <phoneticPr fontId="2"/>
  </si>
  <si>
    <t>医療院15</t>
    <rPh sb="0" eb="2">
      <t>イリョウ</t>
    </rPh>
    <rPh sb="2" eb="3">
      <t>イン</t>
    </rPh>
    <phoneticPr fontId="2"/>
  </si>
  <si>
    <t>医療院16</t>
    <rPh sb="0" eb="2">
      <t>イリョウ</t>
    </rPh>
    <rPh sb="2" eb="3">
      <t>イン</t>
    </rPh>
    <phoneticPr fontId="2"/>
  </si>
  <si>
    <t>医療院17</t>
    <rPh sb="0" eb="2">
      <t>イリョウ</t>
    </rPh>
    <rPh sb="2" eb="3">
      <t>イン</t>
    </rPh>
    <phoneticPr fontId="2"/>
  </si>
  <si>
    <t>医療院18</t>
    <rPh sb="0" eb="2">
      <t>イリョウ</t>
    </rPh>
    <rPh sb="2" eb="3">
      <t>イン</t>
    </rPh>
    <phoneticPr fontId="2"/>
  </si>
  <si>
    <t>医療院19</t>
    <rPh sb="0" eb="2">
      <t>イリョウ</t>
    </rPh>
    <rPh sb="2" eb="3">
      <t>イン</t>
    </rPh>
    <phoneticPr fontId="2"/>
  </si>
  <si>
    <t>①Ⅰ型介護医療院、②Ⅱ型介護医療院、③特別介護医療院、④ユニット型Ⅰ型介護医療院、⑤ユニット型Ⅱ型介護医療院、⑥ユニット型特別介護医療院</t>
    <phoneticPr fontId="2"/>
  </si>
  <si>
    <t>③.介護医療院</t>
    <phoneticPr fontId="2"/>
  </si>
  <si>
    <t>1　事 業 所 名</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</si>
  <si>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</si>
  <si>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</si>
  <si>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</si>
  <si>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</si>
  <si>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t>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</si>
  <si>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</si>
  <si>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</si>
  <si>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</si>
  <si>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</si>
  <si>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</si>
  <si>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①に占める②の割合</t>
    <rPh sb="2" eb="3">
      <t>シ</t>
    </rPh>
    <rPh sb="7" eb="9">
      <t>ワリアイ</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</si>
  <si>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</si>
  <si>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</si>
  <si>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</si>
  <si>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⑥</t>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</si>
  <si>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</si>
  <si>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</si>
  <si>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</si>
  <si>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</si>
  <si>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</si>
  <si>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</si>
  <si>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</si>
  <si>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</si>
  <si>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</si>
  <si>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</si>
  <si>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</si>
  <si>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</si>
  <si>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</si>
  <si>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</si>
  <si>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</si>
  <si>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</si>
  <si>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１　事  業  所  名</t>
    <phoneticPr fontId="2"/>
  </si>
  <si>
    <t xml:space="preserve"> </t>
    <phoneticPr fontId="2"/>
  </si>
  <si>
    <t>４　介護医療院（Ⅰ型）に係る届出内容</t>
    <rPh sb="2" eb="4">
      <t>カイゴ</t>
    </rPh>
    <rPh sb="4" eb="7">
      <t>イリョウイン</t>
    </rPh>
    <rPh sb="9" eb="10">
      <t>ガタ</t>
    </rPh>
    <phoneticPr fontId="2"/>
  </si>
  <si>
    <t>　①　重度者の割合</t>
    <rPh sb="3" eb="5">
      <t>ジュウド</t>
    </rPh>
    <rPh sb="5" eb="6">
      <t>シャ</t>
    </rPh>
    <rPh sb="7" eb="9">
      <t>ワリアイ</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</si>
  <si>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</si>
  <si>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</si>
  <si>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</si>
  <si>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</si>
  <si>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①に占める④の割合</t>
    <phoneticPr fontId="2"/>
  </si>
  <si>
    <t>（人員配置区分１～３）</t>
    <phoneticPr fontId="2"/>
  </si>
  <si>
    <t>　②　医療処置の実施状況</t>
    <rPh sb="3" eb="5">
      <t>イリョウ</t>
    </rPh>
    <rPh sb="5" eb="7">
      <t>ショチ</t>
    </rPh>
    <rPh sb="8" eb="10">
      <t>ジッシ</t>
    </rPh>
    <rPh sb="10" eb="12">
      <t>ジョウキョウ</t>
    </rPh>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</si>
  <si>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</si>
  <si>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</si>
  <si>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</si>
  <si>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②から④の和</t>
    <rPh sb="5" eb="6">
      <t>ワ</t>
    </rPh>
    <phoneticPr fontId="2"/>
  </si>
  <si>
    <t>①に占める⑤の割合</t>
    <phoneticPr fontId="2"/>
  </si>
  <si>
    <t>（人員配置区分１のみ）</t>
    <phoneticPr fontId="2"/>
  </si>
  <si>
    <t>（人員配置区分２，３）</t>
    <phoneticPr fontId="2"/>
  </si>
  <si>
    <t>　③　ターミナルケアの
　　実施状況</t>
    <rPh sb="14" eb="16">
      <t>ジッシ</t>
    </rPh>
    <rPh sb="16" eb="18">
      <t>ジョウキョウ</t>
    </rPh>
    <phoneticPr fontId="2"/>
  </si>
  <si>
    <t>前３月間の入所者延日数</t>
    <rPh sb="0" eb="1">
      <t>ゼン</t>
    </rPh>
    <rPh sb="2" eb="3">
      <t>ガツ</t>
    </rPh>
    <rPh sb="3" eb="4">
      <t>カン</t>
    </rPh>
    <rPh sb="5" eb="8">
      <t>ニュウショシャ</t>
    </rPh>
    <rPh sb="8" eb="9">
      <t>ノブ</t>
    </rPh>
    <rPh sb="9" eb="11">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</si>
  <si>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</si>
  <si>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　５％以上</t>
    <rPh sb="3" eb="5">
      <t>イジョウ</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</si>
  <si>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</si>
  <si>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</si>
  <si>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</si>
  <si>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</si>
  <si>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</si>
  <si>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</si>
  <si>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</si>
  <si>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注５：自ら実施する者は除く。</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</si>
  <si>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</si>
  <si>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</si>
  <si>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①</t>
  </si>
  <si>
    <t>　前３月間の入所者等の総数</t>
    <rPh sb="1" eb="2">
      <t>ゼン</t>
    </rPh>
    <rPh sb="3" eb="4">
      <t>ガツ</t>
    </rPh>
    <rPh sb="4" eb="5">
      <t>カン</t>
    </rPh>
    <rPh sb="6" eb="9">
      <t>ニュウショシャ</t>
    </rPh>
    <rPh sb="9" eb="10">
      <t>トウ</t>
    </rPh>
    <rPh sb="11" eb="13">
      <t>ソウスウ</t>
    </rPh>
    <phoneticPr fontId="2"/>
  </si>
  <si>
    <t>②</t>
  </si>
  <si>
    <t>　①のうち、日常生活自立度のランクＭに該当する入所者等</t>
    <phoneticPr fontId="2"/>
  </si>
  <si>
    <t>　①に占める②の割合（注４）</t>
    <phoneticPr fontId="2"/>
  </si>
  <si>
    <t>％</t>
  </si>
  <si>
    <t>　①のうち、日常生活自立度のランクⅣ又はＭに該当する入所者及び利用者</t>
    <phoneticPr fontId="2"/>
  </si>
  <si>
    <t>⑤</t>
  </si>
  <si>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</si>
  <si>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</si>
  <si>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</si>
  <si>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</si>
  <si>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</si>
  <si>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</si>
  <si>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</si>
  <si>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</si>
  <si>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</si>
  <si>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</si>
  <si>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</si>
  <si>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介護医療院（Ⅰ型）の基本施設サービス費に係る届出</t>
    <phoneticPr fontId="2"/>
  </si>
  <si>
    <t>介護医療院（Ⅱ型）の基本施設サービス費に係る届出</t>
    <phoneticPr fontId="2"/>
  </si>
  <si>
    <t>介護医療院における重度認知症疾患療養体制加算に係る届出</t>
    <phoneticPr fontId="2"/>
  </si>
  <si>
    <t>介護医療院サービス、①Ⅰ型介護医療院、②Ⅱ型介護医療院、③特別介護医療院、④ユニット型Ⅰ型介護医療院、⑤ユニット型Ⅱ型介護医療院、⑥ユニット型特別介護医療院</t>
    <phoneticPr fontId="2"/>
  </si>
  <si>
    <t>人員配置区分
　特別（Ⅰ型、Ⅱ型）、
　ユニット特別（Ⅰ型、Ⅱ型）</t>
    <rPh sb="0" eb="2">
      <t>ジンイン</t>
    </rPh>
    <rPh sb="2" eb="4">
      <t>ハイチ</t>
    </rPh>
    <rPh sb="4" eb="6">
      <t>クブン</t>
    </rPh>
    <rPh sb="8" eb="10">
      <t>トクベツ</t>
    </rPh>
    <rPh sb="24" eb="26">
      <t>トクベツ</t>
    </rPh>
    <rPh sb="28" eb="29">
      <t>ガタ</t>
    </rPh>
    <rPh sb="31" eb="32">
      <t>ガタ</t>
    </rPh>
    <phoneticPr fontId="2"/>
  </si>
  <si>
    <t>●</t>
    <phoneticPr fontId="2"/>
  </si>
  <si>
    <t>①④</t>
    <phoneticPr fontId="2"/>
  </si>
  <si>
    <t>人員配置区分
　Ⅰ型（Ⅰ、Ⅱ、Ⅲ）、
　ユニット型Ⅰ型（Ⅰ、Ⅱ）</t>
    <rPh sb="0" eb="2">
      <t>ジンイン</t>
    </rPh>
    <rPh sb="2" eb="4">
      <t>ハイチ</t>
    </rPh>
    <rPh sb="4" eb="6">
      <t>クブン</t>
    </rPh>
    <phoneticPr fontId="2"/>
  </si>
  <si>
    <t>人員配置区分
　Ⅱ型（Ⅰ、Ⅱ、Ⅲ）、
　ユニット型Ⅱ型</t>
    <rPh sb="0" eb="2">
      <t>ジンイン</t>
    </rPh>
    <rPh sb="2" eb="4">
      <t>ハイチ</t>
    </rPh>
    <rPh sb="4" eb="6">
      <t>クブン</t>
    </rPh>
    <phoneticPr fontId="2"/>
  </si>
  <si>
    <t>介護医療院</t>
    <phoneticPr fontId="2"/>
  </si>
  <si>
    <t>人</t>
  </si>
  <si>
    <t>医師</t>
    <rPh sb="0" eb="2">
      <t>イシ</t>
    </rPh>
    <phoneticPr fontId="2"/>
  </si>
  <si>
    <t>薬剤師</t>
    <rPh sb="0" eb="3">
      <t>ヤクザイシ</t>
    </rPh>
    <phoneticPr fontId="2"/>
  </si>
  <si>
    <t>理学療法士</t>
    <rPh sb="0" eb="2">
      <t>リガク</t>
    </rPh>
    <rPh sb="2" eb="5">
      <t>リョウホウシ</t>
    </rPh>
    <phoneticPr fontId="2"/>
  </si>
  <si>
    <t>非常勤（人）</t>
    <phoneticPr fontId="2"/>
  </si>
  <si>
    <t>常　勤（人）</t>
    <phoneticPr fontId="2"/>
  </si>
  <si>
    <t>従業者の職種・員数</t>
    <phoneticPr fontId="2"/>
  </si>
  <si>
    <t>診療放射線技師</t>
    <rPh sb="0" eb="2">
      <t>シンリョウ</t>
    </rPh>
    <rPh sb="2" eb="5">
      <t>ホウシャセン</t>
    </rPh>
    <rPh sb="5" eb="7">
      <t>ギシ</t>
    </rPh>
    <phoneticPr fontId="2"/>
  </si>
  <si>
    <t>合計</t>
    <rPh sb="0" eb="2">
      <t>ゴウケイ</t>
    </rPh>
    <phoneticPr fontId="2"/>
  </si>
  <si>
    <t>火</t>
  </si>
  <si>
    <t>水</t>
  </si>
  <si>
    <t>木</t>
  </si>
  <si>
    <t>金</t>
  </si>
  <si>
    <t>土</t>
  </si>
  <si>
    <t>平日</t>
    <rPh sb="0" eb="2">
      <t>ヘイジツ</t>
    </rPh>
    <phoneticPr fontId="2"/>
  </si>
  <si>
    <t>～</t>
    <phoneticPr fontId="2"/>
  </si>
  <si>
    <t>月</t>
    <rPh sb="0" eb="1">
      <t>ゲツ</t>
    </rPh>
    <phoneticPr fontId="2"/>
  </si>
  <si>
    <t>施 設 名 称</t>
    <rPh sb="0" eb="1">
      <t>シ</t>
    </rPh>
    <rPh sb="2" eb="3">
      <t>セツ</t>
    </rPh>
    <rPh sb="4" eb="5">
      <t>ナ</t>
    </rPh>
    <rPh sb="6" eb="7">
      <t>ショウ</t>
    </rPh>
    <phoneticPr fontId="2"/>
  </si>
  <si>
    <t>①入　　所</t>
    <rPh sb="1" eb="2">
      <t>ニュウ</t>
    </rPh>
    <rPh sb="4" eb="5">
      <t>ショ</t>
    </rPh>
    <phoneticPr fontId="2"/>
  </si>
  <si>
    <t>定員</t>
    <rPh sb="0" eb="2">
      <t>テイイン</t>
    </rPh>
    <phoneticPr fontId="2"/>
  </si>
  <si>
    <t>②通　　所</t>
    <rPh sb="1" eb="2">
      <t>ツウ</t>
    </rPh>
    <rPh sb="4" eb="5">
      <t>ショ</t>
    </rPh>
    <phoneticPr fontId="2"/>
  </si>
  <si>
    <t>週</t>
    <rPh sb="0" eb="1">
      <t>シュウ</t>
    </rPh>
    <phoneticPr fontId="2"/>
  </si>
  <si>
    <t>回</t>
    <rPh sb="0" eb="1">
      <t>カイ</t>
    </rPh>
    <phoneticPr fontId="2"/>
  </si>
  <si>
    <t>（</t>
    <phoneticPr fontId="2"/>
  </si>
  <si>
    <t>曜日～</t>
    <rPh sb="0" eb="2">
      <t>ヨウビ</t>
    </rPh>
    <phoneticPr fontId="2"/>
  </si>
  <si>
    <t>曜日）</t>
    <rPh sb="0" eb="2">
      <t>ヨウビ</t>
    </rPh>
    <phoneticPr fontId="2"/>
  </si>
  <si>
    <t>【　入　　所　】</t>
    <rPh sb="2" eb="3">
      <t>ニュウ</t>
    </rPh>
    <rPh sb="5" eb="6">
      <t>ショ</t>
    </rPh>
    <phoneticPr fontId="2"/>
  </si>
  <si>
    <t>【　通　　所　】</t>
    <rPh sb="2" eb="3">
      <t>トオ</t>
    </rPh>
    <rPh sb="5" eb="6">
      <t>ショ</t>
    </rPh>
    <phoneticPr fontId="2"/>
  </si>
  <si>
    <t>通所リハビリテーション</t>
    <phoneticPr fontId="2"/>
  </si>
  <si>
    <t>指定居宅サービス等の事業の人員、設備及び運営に関する基準（平成11年厚生省令第37号）</t>
    <phoneticPr fontId="2"/>
  </si>
  <si>
    <t>職　　種</t>
    <rPh sb="0" eb="1">
      <t>ショク</t>
    </rPh>
    <rPh sb="3" eb="4">
      <t>タネ</t>
    </rPh>
    <phoneticPr fontId="2"/>
  </si>
  <si>
    <t>基　　準</t>
    <rPh sb="0" eb="1">
      <t>モト</t>
    </rPh>
    <rPh sb="3" eb="4">
      <t>ジュン</t>
    </rPh>
    <phoneticPr fontId="2"/>
  </si>
  <si>
    <t>基準人員</t>
    <rPh sb="0" eb="2">
      <t>キジュン</t>
    </rPh>
    <rPh sb="2" eb="4">
      <t>ジンイン</t>
    </rPh>
    <phoneticPr fontId="2"/>
  </si>
  <si>
    <t>実人員</t>
    <rPh sb="0" eb="1">
      <t>ジツ</t>
    </rPh>
    <rPh sb="1" eb="3">
      <t>ジンイン</t>
    </rPh>
    <phoneticPr fontId="2"/>
  </si>
  <si>
    <t>備　　考</t>
    <rPh sb="0" eb="1">
      <t>ソナエ</t>
    </rPh>
    <rPh sb="3" eb="4">
      <t>コウ</t>
    </rPh>
    <phoneticPr fontId="2"/>
  </si>
  <si>
    <t>〔　人　員　基　準　〕</t>
  </si>
  <si>
    <t>（常勤換算）</t>
    <phoneticPr fontId="2"/>
  </si>
  <si>
    <t>医　　師</t>
    <rPh sb="0" eb="1">
      <t>イ</t>
    </rPh>
    <rPh sb="3" eb="4">
      <t>シ</t>
    </rPh>
    <phoneticPr fontId="2"/>
  </si>
  <si>
    <t>人以上</t>
    <rPh sb="0" eb="1">
      <t>ニン</t>
    </rPh>
    <rPh sb="1" eb="3">
      <t>イジョウ</t>
    </rPh>
    <phoneticPr fontId="2"/>
  </si>
  <si>
    <t>管理者である医師は常勤であること</t>
    <phoneticPr fontId="2"/>
  </si>
  <si>
    <t>○　医　師　</t>
  </si>
  <si>
    <t xml:space="preserve">   ・指定通所リハビリテーションの提供に当たらせるために必要な1以上の数。</t>
    <phoneticPr fontId="2"/>
  </si>
  <si>
    <t>人÷</t>
    <rPh sb="0" eb="1">
      <t>ニン</t>
    </rPh>
    <phoneticPr fontId="2"/>
  </si>
  <si>
    <t>＝</t>
    <phoneticPr fontId="2"/>
  </si>
  <si>
    <t xml:space="preserve">   ・医師は、常勤でなければならない。</t>
    <phoneticPr fontId="2"/>
  </si>
  <si>
    <t>↓</t>
    <phoneticPr fontId="2"/>
  </si>
  <si>
    <t>○　理学療法士、作業療法士若しくは言語聴覚士又は看護職員若しくは介護職員</t>
  </si>
  <si>
    <t xml:space="preserve">   ・次に掲げる基準を満たすために必要と認められる数</t>
    <phoneticPr fontId="2"/>
  </si>
  <si>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</si>
  <si>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ＰＴ・ＯＴ・ＳＴ</t>
    <phoneticPr fontId="2"/>
  </si>
  <si>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2"/>
  </si>
  <si>
    <t>管理栄養士・栄養士</t>
    <phoneticPr fontId="2"/>
  </si>
  <si>
    <t>入所定員100以上の介護老人保健施設にあっては、１以上</t>
    <phoneticPr fontId="2"/>
  </si>
  <si>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2"/>
  </si>
  <si>
    <t>内管理栄養士</t>
    <phoneticPr fontId="2"/>
  </si>
  <si>
    <t>言語療法士</t>
    <rPh sb="0" eb="2">
      <t>ゲンゴ</t>
    </rPh>
    <rPh sb="2" eb="5">
      <t>リョウホウシ</t>
    </rPh>
    <phoneticPr fontId="2"/>
  </si>
  <si>
    <t>看護師
准看護師</t>
    <rPh sb="0" eb="3">
      <t>カンゴシ</t>
    </rPh>
    <rPh sb="4" eb="8">
      <t>ジュンカンゴシ</t>
    </rPh>
    <phoneticPr fontId="2"/>
  </si>
  <si>
    <t>1以上（入所者の数が100を超える場合は１に加え、その越える部分を100で除して得た数以上）</t>
    <phoneticPr fontId="2"/>
  </si>
  <si>
    <t>基準人員
（人）</t>
    <rPh sb="0" eb="2">
      <t>キジュン</t>
    </rPh>
    <rPh sb="2" eb="4">
      <t>ジンイン</t>
    </rPh>
    <rPh sb="6" eb="7">
      <t>ニン</t>
    </rPh>
    <phoneticPr fontId="2"/>
  </si>
  <si>
    <t>イ</t>
    <phoneticPr fontId="2"/>
  </si>
  <si>
    <t>①1０人以下の場合　　１以上</t>
    <phoneticPr fontId="2"/>
  </si>
  <si>
    <t>②1０人を超える場合　利用者数</t>
    <phoneticPr fontId="2"/>
  </si>
  <si>
    <t>人÷１０＝</t>
    <phoneticPr fontId="2"/>
  </si>
  <si>
    <t>人以上</t>
    <phoneticPr fontId="2"/>
  </si>
  <si>
    <t>ロ</t>
    <phoneticPr fontId="2"/>
  </si>
  <si>
    <t>①1００人以下の場合　　１以上</t>
    <phoneticPr fontId="2"/>
  </si>
  <si>
    <t xml:space="preserve">②1００人を超える場合＝１＋その端数を増すごとに１以上
</t>
    <phoneticPr fontId="2"/>
  </si>
  <si>
    <t>1以上（入所者の数が100又はその端数を増すごとに１を標準）</t>
    <phoneticPr fontId="2"/>
  </si>
  <si>
    <t>常　勤</t>
    <rPh sb="0" eb="1">
      <t>ツネ</t>
    </rPh>
    <rPh sb="2" eb="3">
      <t>キン</t>
    </rPh>
    <phoneticPr fontId="2"/>
  </si>
  <si>
    <t>非常勤</t>
    <rPh sb="0" eb="3">
      <t>ヒジョウキン</t>
    </rPh>
    <phoneticPr fontId="2"/>
  </si>
  <si>
    <t>常勤換算
後の人数</t>
    <rPh sb="0" eb="2">
      <t>ジョウキン</t>
    </rPh>
    <rPh sb="2" eb="4">
      <t>カンサン</t>
    </rPh>
    <rPh sb="5" eb="6">
      <t>ゴ</t>
    </rPh>
    <rPh sb="7" eb="9">
      <t>ニンズ</t>
    </rPh>
    <phoneticPr fontId="2"/>
  </si>
  <si>
    <t>通所の時間延長サービス体制　（※　加算を申請する場合は①②③④に記載してください。）　</t>
    <phoneticPr fontId="2"/>
  </si>
  <si>
    <t>①　通所の時間延長サービス体制</t>
    <phoneticPr fontId="2"/>
  </si>
  <si>
    <t>対応可</t>
    <phoneticPr fontId="2"/>
  </si>
  <si>
    <t>・</t>
    <phoneticPr fontId="2"/>
  </si>
  <si>
    <t>対応不可</t>
    <phoneticPr fontId="2"/>
  </si>
  <si>
    <t>（該当する方に○をすること）</t>
    <phoneticPr fontId="2"/>
  </si>
  <si>
    <t>②　通常のサービス提供時間　　（</t>
    <phoneticPr fontId="2"/>
  </si>
  <si>
    <t>：</t>
    <phoneticPr fontId="2"/>
  </si>
  <si>
    <t>～</t>
    <phoneticPr fontId="2"/>
  </si>
  <si>
    <t>）</t>
    <phoneticPr fontId="2"/>
  </si>
  <si>
    <t>③　サービス提供時間前の時間延長可能時間帯（</t>
    <phoneticPr fontId="2"/>
  </si>
  <si>
    <t>④　サービス提供時間後の時間延長可能時間帯（</t>
    <phoneticPr fontId="2"/>
  </si>
  <si>
    <t>介護医療院の人員、施設及び設備並びに運営に関する基準（平成29年厚生省令第5号）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9">
      <t>ヘイセイ</t>
    </rPh>
    <rPh sb="31" eb="32">
      <t>ネン</t>
    </rPh>
    <rPh sb="32" eb="35">
      <t>コウセイショウ</t>
    </rPh>
    <rPh sb="35" eb="36">
      <t>レイ</t>
    </rPh>
    <rPh sb="36" eb="37">
      <t>ダイ</t>
    </rPh>
    <rPh sb="38" eb="39">
      <t>ゴウ</t>
    </rPh>
    <phoneticPr fontId="2"/>
  </si>
  <si>
    <t>介護医療院</t>
    <rPh sb="0" eb="2">
      <t>カイゴ</t>
    </rPh>
    <rPh sb="2" eb="4">
      <t>イリョウ</t>
    </rPh>
    <rPh sb="4" eb="5">
      <t>イン</t>
    </rPh>
    <phoneticPr fontId="2"/>
  </si>
  <si>
    <t>【Ⅰ型】常勤換算で、入所者の数を48で除して得た数以上</t>
    <phoneticPr fontId="2"/>
  </si>
  <si>
    <t>【Ⅱ型】常勤換算で、入所者の数を100で除して得た数以上</t>
    <phoneticPr fontId="2"/>
  </si>
  <si>
    <t>看護職員</t>
    <rPh sb="2" eb="4">
      <t>ショクイン</t>
    </rPh>
    <phoneticPr fontId="2"/>
  </si>
  <si>
    <t>実情に応じた数</t>
    <phoneticPr fontId="2"/>
  </si>
  <si>
    <t>氏　　　名：</t>
    <rPh sb="0" eb="1">
      <t>シ</t>
    </rPh>
    <rPh sb="4" eb="5">
      <t>メイ</t>
    </rPh>
    <phoneticPr fontId="2"/>
  </si>
  <si>
    <t>登録証明書：</t>
    <rPh sb="0" eb="2">
      <t>トウロク</t>
    </rPh>
    <rPh sb="2" eb="5">
      <t>ショウメイショ</t>
    </rPh>
    <phoneticPr fontId="2"/>
  </si>
  <si>
    <t>（注）ユニットの場合、介護職員・看護職員について、各ユニットにユニットリーダーを配置する必要がある。</t>
    <phoneticPr fontId="2"/>
  </si>
  <si>
    <t>夜勤体制</t>
  </si>
  <si>
    <t>療養階（　　階～　　　階）</t>
    <phoneticPr fontId="2"/>
  </si>
  <si>
    <t>ユニット数（　　</t>
    <phoneticPr fontId="2"/>
  </si>
  <si>
    <t>ユニット）</t>
    <phoneticPr fontId="2"/>
  </si>
  <si>
    <t>（配置要件）
　2ユニットに1人以上、介護職員又は看護職員を配置。（うち看護職員を1名以上配置）</t>
    <phoneticPr fontId="2"/>
  </si>
  <si>
    <t>（配置要件）
　看護職員を1名以上配置。
　看護職員又は介護職員の数が、入所者の数の合計数が30又はその端数を増すごとに1以上であり、かつ2以上配置。</t>
    <phoneticPr fontId="2"/>
  </si>
  <si>
    <t>短療14</t>
    <rPh sb="0" eb="1">
      <t>タン</t>
    </rPh>
    <rPh sb="1" eb="2">
      <t>イヤス</t>
    </rPh>
    <phoneticPr fontId="2"/>
  </si>
  <si>
    <t>短療15</t>
    <rPh sb="0" eb="1">
      <t>タン</t>
    </rPh>
    <rPh sb="1" eb="2">
      <t>イヤス</t>
    </rPh>
    <phoneticPr fontId="2"/>
  </si>
  <si>
    <t>短療16</t>
    <rPh sb="0" eb="1">
      <t>タン</t>
    </rPh>
    <rPh sb="1" eb="2">
      <t>イヤス</t>
    </rPh>
    <phoneticPr fontId="2"/>
  </si>
  <si>
    <t>予短療13</t>
    <rPh sb="0" eb="1">
      <t>ヨ</t>
    </rPh>
    <rPh sb="1" eb="2">
      <t>タン</t>
    </rPh>
    <rPh sb="2" eb="3">
      <t>イヤス</t>
    </rPh>
    <phoneticPr fontId="2"/>
  </si>
  <si>
    <t>予短療14</t>
    <rPh sb="0" eb="1">
      <t>ヨ</t>
    </rPh>
    <rPh sb="1" eb="2">
      <t>タン</t>
    </rPh>
    <rPh sb="2" eb="3">
      <t>イヤス</t>
    </rPh>
    <phoneticPr fontId="2"/>
  </si>
  <si>
    <t>予短療15</t>
    <rPh sb="0" eb="1">
      <t>ヨ</t>
    </rPh>
    <rPh sb="1" eb="2">
      <t>タン</t>
    </rPh>
    <rPh sb="2" eb="3">
      <t>イヤス</t>
    </rPh>
    <phoneticPr fontId="2"/>
  </si>
  <si>
    <t>夜間勤務等看護加算算定表</t>
    <rPh sb="0" eb="2">
      <t>ヤカン</t>
    </rPh>
    <rPh sb="2" eb="4">
      <t>キンム</t>
    </rPh>
    <rPh sb="4" eb="5">
      <t>トウ</t>
    </rPh>
    <rPh sb="5" eb="7">
      <t>カンゴ</t>
    </rPh>
    <rPh sb="7" eb="9">
      <t>カサン</t>
    </rPh>
    <phoneticPr fontId="24"/>
  </si>
  <si>
    <t>施設名</t>
    <rPh sb="0" eb="2">
      <t>シセツ</t>
    </rPh>
    <rPh sb="2" eb="3">
      <t>メイ</t>
    </rPh>
    <phoneticPr fontId="2"/>
  </si>
  <si>
    <t>施設種別</t>
    <rPh sb="0" eb="2">
      <t>シセツ</t>
    </rPh>
    <rPh sb="2" eb="4">
      <t>シュベツ</t>
    </rPh>
    <phoneticPr fontId="24"/>
  </si>
  <si>
    <t>１．介護医療院</t>
    <rPh sb="2" eb="4">
      <t>カイゴ</t>
    </rPh>
    <rPh sb="4" eb="6">
      <t>イリョウ</t>
    </rPh>
    <rPh sb="6" eb="7">
      <t>イン</t>
    </rPh>
    <phoneticPr fontId="24"/>
  </si>
  <si>
    <t>２．短期入所療養介護（介護医療院）</t>
    <rPh sb="2" eb="4">
      <t>タンキ</t>
    </rPh>
    <rPh sb="4" eb="6">
      <t>ニュウショ</t>
    </rPh>
    <rPh sb="6" eb="8">
      <t>リョウヨウ</t>
    </rPh>
    <rPh sb="8" eb="10">
      <t>カイゴ</t>
    </rPh>
    <rPh sb="11" eb="13">
      <t>カイゴ</t>
    </rPh>
    <rPh sb="13" eb="15">
      <t>イリョウ</t>
    </rPh>
    <rPh sb="15" eb="16">
      <t>イン</t>
    </rPh>
    <phoneticPr fontId="24"/>
  </si>
  <si>
    <t>届出項目</t>
    <rPh sb="0" eb="2">
      <t>トドケデ</t>
    </rPh>
    <rPh sb="2" eb="4">
      <t>コウモク</t>
    </rPh>
    <phoneticPr fontId="24"/>
  </si>
  <si>
    <t>１．加算型Ⅰ　　２．加算型Ⅱ　　３．加算型Ⅲ　　４．加算型Ⅳ　　５．基準型　　６．減算型　</t>
    <rPh sb="2" eb="4">
      <t>カサン</t>
    </rPh>
    <rPh sb="4" eb="5">
      <t>ガタ</t>
    </rPh>
    <rPh sb="10" eb="12">
      <t>カサン</t>
    </rPh>
    <rPh sb="12" eb="13">
      <t>ガタ</t>
    </rPh>
    <rPh sb="18" eb="21">
      <t>カサンガタ</t>
    </rPh>
    <rPh sb="26" eb="28">
      <t>カサン</t>
    </rPh>
    <rPh sb="28" eb="29">
      <t>ガタ</t>
    </rPh>
    <rPh sb="34" eb="36">
      <t>キジュン</t>
    </rPh>
    <rPh sb="36" eb="37">
      <t>ガタ</t>
    </rPh>
    <rPh sb="41" eb="43">
      <t>ゲンサン</t>
    </rPh>
    <rPh sb="43" eb="44">
      <t>ガタ</t>
    </rPh>
    <phoneticPr fontId="24"/>
  </si>
  <si>
    <t>■平均入院患者数</t>
    <rPh sb="1" eb="3">
      <t>ヘイキン</t>
    </rPh>
    <rPh sb="3" eb="5">
      <t>ニュウイン</t>
    </rPh>
    <rPh sb="5" eb="8">
      <t>カンジャスウ</t>
    </rPh>
    <phoneticPr fontId="2"/>
  </si>
  <si>
    <t>人</t>
    <rPh sb="0" eb="1">
      <t>ニン</t>
    </rPh>
    <phoneticPr fontId="24"/>
  </si>
  <si>
    <t>（Ａ)</t>
    <phoneticPr fontId="24"/>
  </si>
  <si>
    <t>午後</t>
    <rPh sb="0" eb="2">
      <t>ゴゴ</t>
    </rPh>
    <phoneticPr fontId="2"/>
  </si>
  <si>
    <t>時</t>
    <rPh sb="0" eb="1">
      <t>ジ</t>
    </rPh>
    <phoneticPr fontId="2"/>
  </si>
  <si>
    <t>分</t>
    <rPh sb="0" eb="1">
      <t>フン</t>
    </rPh>
    <phoneticPr fontId="2"/>
  </si>
  <si>
    <t>～</t>
    <phoneticPr fontId="2"/>
  </si>
  <si>
    <t>午前</t>
    <rPh sb="0" eb="2">
      <t>ゴゼン</t>
    </rPh>
    <phoneticPr fontId="2"/>
  </si>
  <si>
    <t>（１６時間）</t>
    <rPh sb="3" eb="5">
      <t>ジカン</t>
    </rPh>
    <phoneticPr fontId="2"/>
  </si>
  <si>
    <t>■夜間勤務条件基準</t>
    <rPh sb="1" eb="3">
      <t>ヤカン</t>
    </rPh>
    <rPh sb="3" eb="5">
      <t>キンム</t>
    </rPh>
    <rPh sb="5" eb="7">
      <t>ジョウケン</t>
    </rPh>
    <rPh sb="7" eb="9">
      <t>キジュン</t>
    </rPh>
    <phoneticPr fontId="2"/>
  </si>
  <si>
    <t>○加算型Ⅰ又は加算型Ⅱ</t>
    <rPh sb="1" eb="3">
      <t>カサン</t>
    </rPh>
    <rPh sb="3" eb="4">
      <t>ガタ</t>
    </rPh>
    <rPh sb="5" eb="6">
      <t>マタ</t>
    </rPh>
    <rPh sb="7" eb="9">
      <t>カサン</t>
    </rPh>
    <rPh sb="9" eb="10">
      <t>ガタ</t>
    </rPh>
    <phoneticPr fontId="24"/>
  </si>
  <si>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4"/>
  </si>
  <si>
    <t>基準</t>
    <rPh sb="0" eb="2">
      <t>キジュン</t>
    </rPh>
    <phoneticPr fontId="24"/>
  </si>
  <si>
    <t>　必要看護職員数（加算型Ⅰ）</t>
    <rPh sb="1" eb="3">
      <t>ヒツヨウ</t>
    </rPh>
    <rPh sb="3" eb="5">
      <t>カンゴ</t>
    </rPh>
    <rPh sb="5" eb="7">
      <t>ショクイン</t>
    </rPh>
    <rPh sb="7" eb="8">
      <t>スウ</t>
    </rPh>
    <rPh sb="9" eb="12">
      <t>カサンガタ</t>
    </rPh>
    <phoneticPr fontId="24"/>
  </si>
  <si>
    <t>人以上　　</t>
    <rPh sb="0" eb="1">
      <t>ニン</t>
    </rPh>
    <rPh sb="1" eb="3">
      <t>イジョウ</t>
    </rPh>
    <phoneticPr fontId="24"/>
  </si>
  <si>
    <t>　必要看護職員数（加算型Ⅱ）</t>
    <rPh sb="1" eb="3">
      <t>ヒツヨウ</t>
    </rPh>
    <rPh sb="3" eb="5">
      <t>カンゴ</t>
    </rPh>
    <rPh sb="5" eb="7">
      <t>ショクイン</t>
    </rPh>
    <rPh sb="7" eb="8">
      <t>スウ</t>
    </rPh>
    <rPh sb="9" eb="12">
      <t>カサンガタ</t>
    </rPh>
    <phoneticPr fontId="24"/>
  </si>
  <si>
    <t>実績</t>
    <rPh sb="0" eb="2">
      <t>ジッセキ</t>
    </rPh>
    <phoneticPr fontId="24"/>
  </si>
  <si>
    <t xml:space="preserve"> 看護職員の延夜勤時間数</t>
    <rPh sb="1" eb="3">
      <t>カンゴ</t>
    </rPh>
    <rPh sb="3" eb="5">
      <t>ショクイン</t>
    </rPh>
    <phoneticPr fontId="2"/>
  </si>
  <si>
    <t>時間</t>
    <rPh sb="0" eb="2">
      <t>ジカン</t>
    </rPh>
    <phoneticPr fontId="2"/>
  </si>
  <si>
    <t>（Ｄ）</t>
    <phoneticPr fontId="24"/>
  </si>
  <si>
    <t xml:space="preserve"> 計算月の日数</t>
    <phoneticPr fontId="2"/>
  </si>
  <si>
    <t>×１６＝</t>
    <phoneticPr fontId="2"/>
  </si>
  <si>
    <t>時間（Ｂ）</t>
    <rPh sb="0" eb="2">
      <t>ジカン</t>
    </rPh>
    <phoneticPr fontId="2"/>
  </si>
  <si>
    <t xml:space="preserve"> 1日平均夜勤職員数（看護職員）</t>
    <rPh sb="2" eb="3">
      <t>ニチ</t>
    </rPh>
    <rPh sb="3" eb="5">
      <t>ヘイキン</t>
    </rPh>
    <rPh sb="5" eb="7">
      <t>ヤキン</t>
    </rPh>
    <rPh sb="7" eb="9">
      <t>ショクイン</t>
    </rPh>
    <rPh sb="9" eb="10">
      <t>スウ</t>
    </rPh>
    <rPh sb="11" eb="13">
      <t>カンゴ</t>
    </rPh>
    <rPh sb="13" eb="15">
      <t>ショクイン</t>
    </rPh>
    <phoneticPr fontId="2"/>
  </si>
  <si>
    <t>○加算型Ⅲ、加算型Ⅳ、基準型</t>
    <rPh sb="1" eb="3">
      <t>カサン</t>
    </rPh>
    <rPh sb="3" eb="4">
      <t>ガタ</t>
    </rPh>
    <rPh sb="6" eb="8">
      <t>カサン</t>
    </rPh>
    <rPh sb="8" eb="9">
      <t>ガタ</t>
    </rPh>
    <rPh sb="11" eb="13">
      <t>キジュン</t>
    </rPh>
    <rPh sb="13" eb="14">
      <t>ガタ</t>
    </rPh>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</si>
  <si>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4"/>
  </si>
  <si>
    <t>　必要職員数（加算型Ⅲ）</t>
    <rPh sb="1" eb="3">
      <t>ヒツヨウ</t>
    </rPh>
    <rPh sb="3" eb="5">
      <t>ショクイン</t>
    </rPh>
    <rPh sb="5" eb="6">
      <t>スウ</t>
    </rPh>
    <rPh sb="7" eb="10">
      <t>カサンガタ</t>
    </rPh>
    <phoneticPr fontId="24"/>
  </si>
  <si>
    <t>※最低でも２人以上
　 うち１人は看護職員</t>
    <phoneticPr fontId="24"/>
  </si>
  <si>
    <t>人　　</t>
    <rPh sb="0" eb="1">
      <t>ニン</t>
    </rPh>
    <phoneticPr fontId="24"/>
  </si>
  <si>
    <t>　必要職員数（加算型Ⅳ）</t>
    <rPh sb="1" eb="3">
      <t>ヒツヨウ</t>
    </rPh>
    <rPh sb="3" eb="5">
      <t>ショクイン</t>
    </rPh>
    <rPh sb="5" eb="6">
      <t>スウ</t>
    </rPh>
    <rPh sb="7" eb="10">
      <t>カサンガタ</t>
    </rPh>
    <phoneticPr fontId="24"/>
  </si>
  <si>
    <t>　必要職員数（基準型）</t>
    <rPh sb="1" eb="3">
      <t>ヒツヨウ</t>
    </rPh>
    <rPh sb="3" eb="5">
      <t>ショクイン</t>
    </rPh>
    <rPh sb="5" eb="6">
      <t>スウ</t>
    </rPh>
    <rPh sb="7" eb="9">
      <t>キジュン</t>
    </rPh>
    <rPh sb="9" eb="10">
      <t>カタ</t>
    </rPh>
    <phoneticPr fontId="24"/>
  </si>
  <si>
    <t xml:space="preserve"> 看護・介護職員の延夜勤時間数</t>
    <rPh sb="1" eb="3">
      <t>カンゴ</t>
    </rPh>
    <rPh sb="4" eb="6">
      <t>カイゴ</t>
    </rPh>
    <rPh sb="6" eb="8">
      <t>ショクイン</t>
    </rPh>
    <phoneticPr fontId="2"/>
  </si>
  <si>
    <t>(Ｃ)＝(Ｄ)＋(Ｅ)</t>
    <phoneticPr fontId="24"/>
  </si>
  <si>
    <t xml:space="preserve"> 1日平均夜勤職員数（看護・介護職員）</t>
    <rPh sb="2" eb="3">
      <t>ニチ</t>
    </rPh>
    <rPh sb="3" eb="5">
      <t>ヘイキン</t>
    </rPh>
    <rPh sb="5" eb="7">
      <t>ヤキン</t>
    </rPh>
    <rPh sb="7" eb="9">
      <t>ショクイン</t>
    </rPh>
    <rPh sb="9" eb="10">
      <t>スウ</t>
    </rPh>
    <rPh sb="11" eb="13">
      <t>カンゴ</t>
    </rPh>
    <rPh sb="14" eb="16">
      <t>カイゴ</t>
    </rPh>
    <rPh sb="16" eb="18">
      <t>ショクイン</t>
    </rPh>
    <phoneticPr fontId="2"/>
  </si>
  <si>
    <t>○減算型　上記のいずれにも該当しない場合</t>
    <rPh sb="1" eb="3">
      <t>ゲンサン</t>
    </rPh>
    <rPh sb="3" eb="4">
      <t>ガタ</t>
    </rPh>
    <rPh sb="5" eb="7">
      <t>ジョウキ</t>
    </rPh>
    <rPh sb="13" eb="15">
      <t>ガイトウ</t>
    </rPh>
    <rPh sb="18" eb="20">
      <t>バアイ</t>
    </rPh>
    <phoneticPr fontId="24"/>
  </si>
  <si>
    <t>※当該様式は、施設ごとに作成すること。</t>
    <rPh sb="1" eb="3">
      <t>トウガイ</t>
    </rPh>
    <rPh sb="3" eb="5">
      <t>ヨウシキ</t>
    </rPh>
    <rPh sb="7" eb="9">
      <t>シセツ</t>
    </rPh>
    <rPh sb="12" eb="14">
      <t>サクセイ</t>
    </rPh>
    <phoneticPr fontId="24"/>
  </si>
  <si>
    <t>※別紙により夜間職員の配置状況がわかる一覧表を添付し、Ｄ、Ｅについては、別紙の数値を記入すること。</t>
    <rPh sb="36" eb="38">
      <t>ベッシ</t>
    </rPh>
    <rPh sb="39" eb="41">
      <t>スウチ</t>
    </rPh>
    <rPh sb="42" eb="44">
      <t>キニュウ</t>
    </rPh>
    <phoneticPr fontId="24"/>
  </si>
  <si>
    <t>　 なお、各施設において使用している勤務表等により、上記の要件が確認できる場合は、別紙に代えて添付しても差し支えない。</t>
    <rPh sb="26" eb="28">
      <t>ジョウキ</t>
    </rPh>
    <rPh sb="41" eb="43">
      <t>ベッシ</t>
    </rPh>
    <rPh sb="44" eb="45">
      <t>カ</t>
    </rPh>
    <rPh sb="47" eb="49">
      <t>テンプ</t>
    </rPh>
    <rPh sb="52" eb="53">
      <t>サ</t>
    </rPh>
    <rPh sb="54" eb="55">
      <t>ツカ</t>
    </rPh>
    <phoneticPr fontId="24"/>
  </si>
  <si>
    <r>
      <t>■夜勤時間帯</t>
    </r>
    <r>
      <rPr>
        <sz val="9"/>
        <rFont val="HGPｺﾞｼｯｸM"/>
        <family val="3"/>
        <charset val="128"/>
      </rPr>
      <t>（午後１０時から翌日午前５時までを含む連続する１６時間で施設で定めたもの）</t>
    </r>
    <rPh sb="5" eb="6">
      <t>タイ</t>
    </rPh>
    <rPh sb="7" eb="9">
      <t>ゴゴ</t>
    </rPh>
    <rPh sb="11" eb="12">
      <t>ジ</t>
    </rPh>
    <rPh sb="14" eb="16">
      <t>ヨクジツ</t>
    </rPh>
    <rPh sb="16" eb="18">
      <t>ゴゼン</t>
    </rPh>
    <rPh sb="19" eb="20">
      <t>ジ</t>
    </rPh>
    <rPh sb="23" eb="24">
      <t>フク</t>
    </rPh>
    <rPh sb="25" eb="27">
      <t>レンゾク</t>
    </rPh>
    <rPh sb="31" eb="33">
      <t>ジカン</t>
    </rPh>
    <rPh sb="34" eb="36">
      <t>シセツ</t>
    </rPh>
    <rPh sb="37" eb="38">
      <t>サダ</t>
    </rPh>
    <phoneticPr fontId="2"/>
  </si>
  <si>
    <t>(Ａ)</t>
    <phoneticPr fontId="24"/>
  </si>
  <si>
    <t>※端数切り上げ</t>
    <phoneticPr fontId="2"/>
  </si>
  <si>
    <t>/15=</t>
    <phoneticPr fontId="2"/>
  </si>
  <si>
    <t>/20=</t>
    <phoneticPr fontId="2"/>
  </si>
  <si>
    <t>（Ｄ）</t>
    <phoneticPr fontId="24"/>
  </si>
  <si>
    <t>※小数点第３位以下切り捨て</t>
    <phoneticPr fontId="2"/>
  </si>
  <si>
    <t>/(Ｂ)=　</t>
    <phoneticPr fontId="2"/>
  </si>
  <si>
    <t>/30=</t>
    <phoneticPr fontId="2"/>
  </si>
  <si>
    <t>夜間勤務等看護加算算定表別紙（介護医療院）</t>
    <rPh sb="12" eb="14">
      <t>ベッシ</t>
    </rPh>
    <rPh sb="15" eb="17">
      <t>カイゴ</t>
    </rPh>
    <rPh sb="17" eb="19">
      <t>イリョウ</t>
    </rPh>
    <rPh sb="19" eb="20">
      <t>イン</t>
    </rPh>
    <phoneticPr fontId="2"/>
  </si>
  <si>
    <t>夜勤職員の夜勤体制（直近月１ヶ月間）</t>
    <rPh sb="0" eb="2">
      <t>ヤキン</t>
    </rPh>
    <rPh sb="2" eb="4">
      <t>ショクイン</t>
    </rPh>
    <rPh sb="5" eb="7">
      <t>ヤキン</t>
    </rPh>
    <rPh sb="7" eb="9">
      <t>タイセイ</t>
    </rPh>
    <rPh sb="10" eb="12">
      <t>チョッキン</t>
    </rPh>
    <rPh sb="12" eb="13">
      <t>ツキ</t>
    </rPh>
    <rPh sb="15" eb="16">
      <t>ゲツ</t>
    </rPh>
    <rPh sb="16" eb="17">
      <t>アイダ</t>
    </rPh>
    <phoneticPr fontId="2"/>
  </si>
  <si>
    <t>夜勤時間帯</t>
    <rPh sb="0" eb="2">
      <t>ヤキン</t>
    </rPh>
    <rPh sb="2" eb="5">
      <t>ジカンタイ</t>
    </rPh>
    <phoneticPr fontId="2"/>
  </si>
  <si>
    <t>看護師・
准看護師・
介護職員の別</t>
    <rPh sb="0" eb="3">
      <t>カンゴシ</t>
    </rPh>
    <rPh sb="5" eb="9">
      <t>ジュンカンゴシ</t>
    </rPh>
    <rPh sb="11" eb="13">
      <t>カイゴ</t>
    </rPh>
    <rPh sb="13" eb="15">
      <t>ショクイン</t>
    </rPh>
    <rPh sb="16" eb="17">
      <t>ベツ</t>
    </rPh>
    <phoneticPr fontId="2"/>
  </si>
  <si>
    <t>氏名</t>
    <rPh sb="0" eb="2">
      <t>シメイ</t>
    </rPh>
    <phoneticPr fontId="2"/>
  </si>
  <si>
    <t>夜勤時間数（計）</t>
    <rPh sb="0" eb="2">
      <t>ヤキン</t>
    </rPh>
    <rPh sb="2" eb="5">
      <t>ジカンスウ</t>
    </rPh>
    <rPh sb="6" eb="7">
      <t>ケイ</t>
    </rPh>
    <phoneticPr fontId="2"/>
  </si>
  <si>
    <t>備考</t>
    <rPh sb="0" eb="2">
      <t>ビコウ</t>
    </rPh>
    <phoneticPr fontId="2"/>
  </si>
  <si>
    <t>夜勤時間数
（計）</t>
    <rPh sb="0" eb="2">
      <t>ヤキン</t>
    </rPh>
    <rPh sb="2" eb="5">
      <t>ジカンスウ</t>
    </rPh>
    <rPh sb="7" eb="8">
      <t>ケイ</t>
    </rPh>
    <phoneticPr fontId="2"/>
  </si>
  <si>
    <t>看護小計</t>
    <rPh sb="0" eb="2">
      <t>カンゴ</t>
    </rPh>
    <rPh sb="2" eb="4">
      <t>ショウケイ</t>
    </rPh>
    <phoneticPr fontId="2"/>
  </si>
  <si>
    <t>（Ｄ）</t>
    <phoneticPr fontId="2"/>
  </si>
  <si>
    <t>介護小計</t>
    <rPh sb="0" eb="2">
      <t>カイゴ</t>
    </rPh>
    <rPh sb="2" eb="4">
      <t>ショウケイ</t>
    </rPh>
    <phoneticPr fontId="2"/>
  </si>
  <si>
    <t>（Ｅ）</t>
    <phoneticPr fontId="2"/>
  </si>
  <si>
    <t>※記入上の注意</t>
    <phoneticPr fontId="2"/>
  </si>
  <si>
    <t xml:space="preserve"> １　本様式は、施設ごとに作成すること。</t>
    <rPh sb="3" eb="4">
      <t>ホン</t>
    </rPh>
    <rPh sb="4" eb="6">
      <t>ヨウシキ</t>
    </rPh>
    <rPh sb="8" eb="10">
      <t>シセツ</t>
    </rPh>
    <rPh sb="13" eb="15">
      <t>サクセイ</t>
    </rPh>
    <phoneticPr fontId="24"/>
  </si>
  <si>
    <t xml:space="preserve"> ２　日付の欄には、夜勤時間帯に従事した夜勤時間を記入すること。（例：22:00～7:00の場合、「22～7」と記入）　</t>
    <rPh sb="20" eb="22">
      <t>ヤキン</t>
    </rPh>
    <rPh sb="46" eb="48">
      <t>バアイ</t>
    </rPh>
    <rPh sb="56" eb="58">
      <t>キニュウ</t>
    </rPh>
    <phoneticPr fontId="2"/>
  </si>
  <si>
    <t xml:space="preserve"> ３　「夜勤時間数（計）」欄には日付の欄に記入した従事者の夜勤時間数の合計を記入する。</t>
    <phoneticPr fontId="2"/>
  </si>
  <si>
    <t xml:space="preserve"> ４　夜勤時間帯は22：00～翌5：00を含めた連続する16時間で施設で定めたものとすること。</t>
    <rPh sb="3" eb="5">
      <t>ヤキン</t>
    </rPh>
    <rPh sb="5" eb="8">
      <t>ジカンタイ</t>
    </rPh>
    <rPh sb="15" eb="16">
      <t>ヨク</t>
    </rPh>
    <rPh sb="21" eb="22">
      <t>フク</t>
    </rPh>
    <rPh sb="24" eb="26">
      <t>レンゾク</t>
    </rPh>
    <rPh sb="30" eb="32">
      <t>ジカン</t>
    </rPh>
    <rPh sb="33" eb="35">
      <t>シセツ</t>
    </rPh>
    <rPh sb="36" eb="37">
      <t>サダ</t>
    </rPh>
    <phoneticPr fontId="2"/>
  </si>
  <si>
    <t xml:space="preserve"> ５  各施設において使用している勤務表等により、夜勤時間数など夜間勤務等看護加算の要件が確認できる場合は、本様式に代えて当該書類を添付しても差し支えない。</t>
    <rPh sb="4" eb="5">
      <t>カク</t>
    </rPh>
    <rPh sb="5" eb="7">
      <t>シセツ</t>
    </rPh>
    <rPh sb="11" eb="13">
      <t>シヨウ</t>
    </rPh>
    <rPh sb="17" eb="20">
      <t>キンムヒョウ</t>
    </rPh>
    <rPh sb="20" eb="21">
      <t>トウ</t>
    </rPh>
    <rPh sb="25" eb="27">
      <t>ヤキン</t>
    </rPh>
    <rPh sb="27" eb="29">
      <t>ジカン</t>
    </rPh>
    <rPh sb="29" eb="30">
      <t>スウ</t>
    </rPh>
    <rPh sb="32" eb="34">
      <t>ヤカン</t>
    </rPh>
    <rPh sb="34" eb="36">
      <t>キンム</t>
    </rPh>
    <rPh sb="36" eb="37">
      <t>トウ</t>
    </rPh>
    <rPh sb="37" eb="39">
      <t>カンゴ</t>
    </rPh>
    <rPh sb="39" eb="41">
      <t>カサン</t>
    </rPh>
    <rPh sb="42" eb="44">
      <t>ヨウケン</t>
    </rPh>
    <rPh sb="45" eb="47">
      <t>カクニン</t>
    </rPh>
    <rPh sb="50" eb="52">
      <t>バアイ</t>
    </rPh>
    <rPh sb="54" eb="55">
      <t>ホン</t>
    </rPh>
    <rPh sb="55" eb="57">
      <t>ヨウシキ</t>
    </rPh>
    <rPh sb="58" eb="59">
      <t>カ</t>
    </rPh>
    <rPh sb="61" eb="63">
      <t>トウガイ</t>
    </rPh>
    <rPh sb="63" eb="65">
      <t>ショルイ</t>
    </rPh>
    <rPh sb="66" eb="68">
      <t>テンプ</t>
    </rPh>
    <rPh sb="71" eb="72">
      <t>サ</t>
    </rPh>
    <rPh sb="73" eb="74">
      <t>ツカ</t>
    </rPh>
    <phoneticPr fontId="24"/>
  </si>
  <si>
    <t>※別紙の（Ｄ）と（Ｅ）を足してください。</t>
    <rPh sb="1" eb="3">
      <t>ベッシ</t>
    </rPh>
    <rPh sb="12" eb="13">
      <t>タ</t>
    </rPh>
    <phoneticPr fontId="2"/>
  </si>
  <si>
    <t>（Ｃ）</t>
    <phoneticPr fontId="24"/>
  </si>
  <si>
    <t>介護医療院○○</t>
    <rPh sb="0" eb="2">
      <t>カイゴ</t>
    </rPh>
    <rPh sb="2" eb="4">
      <t>イリョウ</t>
    </rPh>
    <rPh sb="4" eb="5">
      <t>イン</t>
    </rPh>
    <phoneticPr fontId="24"/>
  </si>
  <si>
    <t>　　　　１７時～　　９時</t>
    <rPh sb="6" eb="7">
      <t>ジ</t>
    </rPh>
    <rPh sb="11" eb="12">
      <t>ジ</t>
    </rPh>
    <phoneticPr fontId="2"/>
  </si>
  <si>
    <t>月</t>
    <rPh sb="0" eb="1">
      <t>ツキ</t>
    </rPh>
    <phoneticPr fontId="24"/>
  </si>
  <si>
    <t>火</t>
    <rPh sb="0" eb="1">
      <t>ヒ</t>
    </rPh>
    <phoneticPr fontId="24"/>
  </si>
  <si>
    <t>水</t>
    <rPh sb="0" eb="1">
      <t>ミズ</t>
    </rPh>
    <phoneticPr fontId="24"/>
  </si>
  <si>
    <t>木</t>
    <rPh sb="0" eb="1">
      <t>キ</t>
    </rPh>
    <phoneticPr fontId="24"/>
  </si>
  <si>
    <t>金</t>
    <rPh sb="0" eb="1">
      <t>キン</t>
    </rPh>
    <phoneticPr fontId="24"/>
  </si>
  <si>
    <t>土</t>
    <rPh sb="0" eb="1">
      <t>ツチ</t>
    </rPh>
    <phoneticPr fontId="24"/>
  </si>
  <si>
    <t>日</t>
    <rPh sb="0" eb="1">
      <t>ニチ</t>
    </rPh>
    <phoneticPr fontId="24"/>
  </si>
  <si>
    <t>看護師</t>
    <rPh sb="0" eb="3">
      <t>カンゴシ</t>
    </rPh>
    <phoneticPr fontId="2"/>
  </si>
  <si>
    <t>○　○</t>
    <phoneticPr fontId="24"/>
  </si>
  <si>
    <t>23-9</t>
    <phoneticPr fontId="24"/>
  </si>
  <si>
    <t>・・・</t>
    <phoneticPr fontId="24"/>
  </si>
  <si>
    <t>看護師</t>
    <rPh sb="0" eb="3">
      <t>カンゴシ</t>
    </rPh>
    <phoneticPr fontId="24"/>
  </si>
  <si>
    <t>△　△</t>
    <phoneticPr fontId="24"/>
  </si>
  <si>
    <t>17-9</t>
    <phoneticPr fontId="24"/>
  </si>
  <si>
    <t>17-9　月4回</t>
    <rPh sb="5" eb="6">
      <t>ツキ</t>
    </rPh>
    <rPh sb="7" eb="8">
      <t>カイ</t>
    </rPh>
    <phoneticPr fontId="24"/>
  </si>
  <si>
    <t>…</t>
    <phoneticPr fontId="24"/>
  </si>
  <si>
    <t>准看護師</t>
    <rPh sb="0" eb="4">
      <t>ジュンカンゴシ</t>
    </rPh>
    <phoneticPr fontId="24"/>
  </si>
  <si>
    <t>□　□</t>
    <phoneticPr fontId="24"/>
  </si>
  <si>
    <t>介護職員</t>
    <rPh sb="0" eb="2">
      <t>カイゴ</t>
    </rPh>
    <rPh sb="2" eb="4">
      <t>ショクイン</t>
    </rPh>
    <phoneticPr fontId="24"/>
  </si>
  <si>
    <t>▽　▽</t>
    <phoneticPr fontId="24"/>
  </si>
  <si>
    <t>（Ｄ）</t>
    <phoneticPr fontId="2"/>
  </si>
  <si>
    <t>（Ｅ）</t>
    <phoneticPr fontId="2"/>
  </si>
  <si>
    <t>※最低でも２人以上必要</t>
    <rPh sb="9" eb="11">
      <t>ヒツヨウ</t>
    </rPh>
    <phoneticPr fontId="24"/>
  </si>
  <si>
    <t>介護医療院サービス</t>
    <phoneticPr fontId="2"/>
  </si>
  <si>
    <t>2A</t>
    <phoneticPr fontId="2"/>
  </si>
  <si>
    <t>2B</t>
    <phoneticPr fontId="2"/>
  </si>
  <si>
    <t>介護給付費算定に係る体制等に関する手続きについて</t>
    <rPh sb="17" eb="19">
      <t>テツヅ</t>
    </rPh>
    <phoneticPr fontId="2"/>
  </si>
  <si>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</si>
  <si>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2"/>
  </si>
  <si>
    <t xml:space="preserve">届出先及び算定時期について </t>
    <phoneticPr fontId="2"/>
  </si>
  <si>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2"/>
  </si>
  <si>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2"/>
  </si>
  <si>
    <t>サービス種別</t>
  </si>
  <si>
    <t>届出先</t>
  </si>
  <si>
    <t>算定時期</t>
  </si>
  <si>
    <t>訪問入浴介護</t>
    <phoneticPr fontId="2"/>
  </si>
  <si>
    <t>(介護予防訪問入浴介護)</t>
    <phoneticPr fontId="2"/>
  </si>
  <si>
    <t>訪問看護</t>
    <phoneticPr fontId="2"/>
  </si>
  <si>
    <t>※緊急時(介護予防)訪問看護加算除く</t>
  </si>
  <si>
    <t>(介護予防訪問看護)</t>
    <phoneticPr fontId="2"/>
  </si>
  <si>
    <t>介護事業者課</t>
  </si>
  <si>
    <t>届出受理日が</t>
    <rPh sb="0" eb="2">
      <t>トドケデ</t>
    </rPh>
    <rPh sb="2" eb="4">
      <t>ジュリ</t>
    </rPh>
    <rPh sb="4" eb="5">
      <t>ヒ</t>
    </rPh>
    <phoneticPr fontId="2"/>
  </si>
  <si>
    <t>訪問ﾘﾊﾋﾞﾘﾃｰｼｮﾝ</t>
    <phoneticPr fontId="2"/>
  </si>
  <si>
    <t>　毎月15日以前の場合→翌月からの算定</t>
    <rPh sb="5" eb="6">
      <t>ヒ</t>
    </rPh>
    <rPh sb="6" eb="8">
      <t>イゼン</t>
    </rPh>
    <rPh sb="9" eb="11">
      <t>バアイ</t>
    </rPh>
    <rPh sb="12" eb="14">
      <t>ヨクゲツ</t>
    </rPh>
    <rPh sb="17" eb="19">
      <t>サンテイ</t>
    </rPh>
    <phoneticPr fontId="2"/>
  </si>
  <si>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</si>
  <si>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2"/>
  </si>
  <si>
    <t>福祉用具貸与</t>
    <phoneticPr fontId="2"/>
  </si>
  <si>
    <t>(介護予防福祉用具貸与)</t>
    <phoneticPr fontId="2"/>
  </si>
  <si>
    <t>※緊急時(介護予防)訪問看護加算</t>
    <phoneticPr fontId="2"/>
  </si>
  <si>
    <t>届出を受理した日からの算定</t>
    <phoneticPr fontId="2"/>
  </si>
  <si>
    <t>通所ﾘﾊﾋﾞﾘﾃｰｼｮﾝ</t>
  </si>
  <si>
    <t>(介護予防通所ﾘﾊﾋﾞﾘﾃｰｼｮﾝ)</t>
    <phoneticPr fontId="2"/>
  </si>
  <si>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</si>
  <si>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</si>
  <si>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</si>
  <si>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</si>
  <si>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</si>
  <si>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</si>
  <si>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</si>
  <si>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2"/>
  </si>
  <si>
    <t>届出が受理された月の翌月からの算定</t>
    <rPh sb="0" eb="2">
      <t>トドケデ</t>
    </rPh>
    <rPh sb="3" eb="5">
      <t>ジュリ</t>
    </rPh>
    <rPh sb="8" eb="9">
      <t>ツキ</t>
    </rPh>
    <rPh sb="10" eb="11">
      <t>ヨク</t>
    </rPh>
    <rPh sb="11" eb="12">
      <t>ツキ</t>
    </rPh>
    <rPh sb="15" eb="17">
      <t>サンテイ</t>
    </rPh>
    <phoneticPr fontId="2"/>
  </si>
  <si>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</si>
  <si>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2"/>
  </si>
  <si>
    <t>(介護予防短期入所療養介護)</t>
  </si>
  <si>
    <t>その他</t>
  </si>
  <si>
    <t>介護保険施設</t>
    <rPh sb="0" eb="2">
      <t>カイゴ</t>
    </rPh>
    <rPh sb="2" eb="4">
      <t>ホケン</t>
    </rPh>
    <rPh sb="4" eb="6">
      <t>シセツ</t>
    </rPh>
    <phoneticPr fontId="2"/>
  </si>
  <si>
    <t>介護老人福祉施設（特別養護老人ホーム）</t>
    <phoneticPr fontId="2"/>
  </si>
  <si>
    <t>介護老人保健施設</t>
  </si>
  <si>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2"/>
  </si>
  <si>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2"/>
  </si>
  <si>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2"/>
  </si>
  <si>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2"/>
  </si>
  <si>
    <t>【届出を収受した記録を希望する場合】</t>
    <phoneticPr fontId="2"/>
  </si>
  <si>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2"/>
  </si>
  <si>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2"/>
  </si>
  <si>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2"/>
  </si>
  <si>
    <t>介護給付費算定に係る体制等に関する届出【介護医療院】</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イリョウ</t>
    </rPh>
    <rPh sb="24" eb="25">
      <t>イン</t>
    </rPh>
    <phoneticPr fontId="2"/>
  </si>
  <si>
    <t>〇</t>
    <phoneticPr fontId="2"/>
  </si>
  <si>
    <t>介護給付費算定に係る体制等に関する届出書＜指定事業者用＞</t>
    <phoneticPr fontId="2"/>
  </si>
  <si>
    <t>名　称</t>
    <phoneticPr fontId="2"/>
  </si>
  <si>
    <t>代表者の職・氏名</t>
    <phoneticPr fontId="2"/>
  </si>
  <si>
    <t>このことについて、関係書類を添えて以下のとおり届け出ます。</t>
    <phoneticPr fontId="2"/>
  </si>
  <si>
    <t>(郵便番号</t>
    <phoneticPr fontId="2"/>
  </si>
  <si>
    <t>ー</t>
    <phoneticPr fontId="2"/>
  </si>
  <si>
    <t>指定（許可）</t>
    <rPh sb="0" eb="2">
      <t>シテイ</t>
    </rPh>
    <rPh sb="3" eb="5">
      <t>キョカ</t>
    </rPh>
    <phoneticPr fontId="2"/>
  </si>
  <si>
    <t>2変更</t>
    <phoneticPr fontId="2"/>
  </si>
  <si>
    <t>3終了</t>
    <phoneticPr fontId="2"/>
  </si>
  <si>
    <t>訪問看護</t>
  </si>
  <si>
    <t>居宅療養管理指導</t>
  </si>
  <si>
    <t>特定施設入居者生活介護</t>
    <rPh sb="5" eb="6">
      <t>キョ</t>
    </rPh>
    <phoneticPr fontId="2"/>
  </si>
  <si>
    <t>介護予防訪問看護</t>
    <rPh sb="0" eb="2">
      <t>カイゴ</t>
    </rPh>
    <rPh sb="2" eb="4">
      <t>ヨボウ</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</si>
  <si>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</si>
  <si>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</si>
  <si>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</si>
  <si>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介護予防短期入所療養介護</t>
    <rPh sb="0" eb="2">
      <t>カイゴ</t>
    </rPh>
    <rPh sb="2" eb="4">
      <t>ヨボウ</t>
    </rPh>
    <phoneticPr fontId="2"/>
  </si>
  <si>
    <t>介護予防特定施設入居者生活介護</t>
    <rPh sb="0" eb="2">
      <t>カイゴ</t>
    </rPh>
    <rPh sb="2" eb="4">
      <t>ヨボウ</t>
    </rPh>
    <rPh sb="9" eb="10">
      <t>キョ</t>
    </rPh>
    <phoneticPr fontId="2"/>
  </si>
  <si>
    <t>令和</t>
    <rPh sb="0" eb="2">
      <t>レイワ</t>
    </rPh>
    <phoneticPr fontId="2"/>
  </si>
  <si>
    <t>※</t>
    <phoneticPr fontId="2"/>
  </si>
  <si>
    <t>　1　新規　2　変更　3　終了</t>
    <phoneticPr fontId="2"/>
  </si>
  <si>
    <t>①　終了者数の状況</t>
    <phoneticPr fontId="2"/>
  </si>
  <si>
    <t>①に占める②の割合</t>
    <phoneticPr fontId="2"/>
  </si>
  <si>
    <t>②　事業所の利用状況</t>
    <phoneticPr fontId="2"/>
  </si>
  <si>
    <t>評価対象期間の利用者延月数</t>
    <phoneticPr fontId="2"/>
  </si>
  <si>
    <t>評価対象期間の新規利用者数</t>
    <phoneticPr fontId="2"/>
  </si>
  <si>
    <t>12×（②＋③）÷２÷①</t>
    <phoneticPr fontId="2"/>
  </si>
  <si>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</si>
  <si>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</si>
  <si>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2"/>
  </si>
  <si>
    <t>人員基準確認表</t>
    <rPh sb="6" eb="7">
      <t>ヒョウ</t>
    </rPh>
    <phoneticPr fontId="2"/>
  </si>
  <si>
    <t>②⑤</t>
    <phoneticPr fontId="2"/>
  </si>
  <si>
    <t>②⑤</t>
    <phoneticPr fontId="2"/>
  </si>
  <si>
    <t>人員基準確認表（介護医療院）</t>
    <rPh sb="6" eb="7">
      <t>ヒョウ</t>
    </rPh>
    <rPh sb="8" eb="10">
      <t>カイゴ</t>
    </rPh>
    <rPh sb="10" eb="12">
      <t>イリョウ</t>
    </rPh>
    <rPh sb="12" eb="13">
      <t>イン</t>
    </rPh>
    <phoneticPr fontId="2"/>
  </si>
  <si>
    <t>※人員基準は、前年度の平均値に対する配置（定員や現在の入所者数に対する配置ではない）がこの表では定員で算出（目安）</t>
    <phoneticPr fontId="2"/>
  </si>
  <si>
    <t>常勤換算で、入所者の数が6又はその端数を増すごとに1以上</t>
    <phoneticPr fontId="2"/>
  </si>
  <si>
    <t>◎勤務形態一覧は、リハ職員分（算定月）、理学療法士・作業療法士又は言語聴覚士の免許証（写）</t>
    <rPh sb="11" eb="13">
      <t>ショクイン</t>
    </rPh>
    <phoneticPr fontId="2"/>
  </si>
  <si>
    <t>◎勤務形態一覧は、職員全員分（算定月）、精神保健福祉士の登録証（写）、理学療法士・作業療法士又は言語聴覚士の免許証（写）</t>
    <rPh sb="20" eb="22">
      <t>セイシン</t>
    </rPh>
    <rPh sb="22" eb="24">
      <t>ホケン</t>
    </rPh>
    <rPh sb="24" eb="27">
      <t>フクシシ</t>
    </rPh>
    <rPh sb="28" eb="30">
      <t>トウロク</t>
    </rPh>
    <phoneticPr fontId="2"/>
  </si>
  <si>
    <t>付表９、車検証（写）、新旧対照表、運営規程（新）</t>
  </si>
  <si>
    <t>様式9</t>
    <rPh sb="0" eb="2">
      <t>ヨウシキ</t>
    </rPh>
    <phoneticPr fontId="2"/>
  </si>
  <si>
    <t>□</t>
    <phoneticPr fontId="2"/>
  </si>
  <si>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2"/>
  </si>
  <si>
    <t>■</t>
    <phoneticPr fontId="2"/>
  </si>
  <si>
    <t>当該療法に</t>
    <rPh sb="0" eb="2">
      <t>トウガイ</t>
    </rPh>
    <rPh sb="2" eb="4">
      <t>リョウホウ</t>
    </rPh>
    <phoneticPr fontId="2"/>
  </si>
  <si>
    <t>常
勤</t>
    <rPh sb="0" eb="1">
      <t>ジョウ</t>
    </rPh>
    <rPh sb="3" eb="4">
      <t>ツトム</t>
    </rPh>
    <phoneticPr fontId="2"/>
  </si>
  <si>
    <t>非
常
勤</t>
    <rPh sb="0" eb="1">
      <t>ヒ</t>
    </rPh>
    <rPh sb="2" eb="3">
      <t>ジョウ</t>
    </rPh>
    <rPh sb="4" eb="5">
      <t>ツトム</t>
    </rPh>
    <phoneticPr fontId="2"/>
  </si>
  <si>
    <t>従事する</t>
    <rPh sb="0" eb="2">
      <t>ジュウジ</t>
    </rPh>
    <phoneticPr fontId="2"/>
  </si>
  <si>
    <t>名</t>
    <rPh sb="0" eb="1">
      <t>ナ</t>
    </rPh>
    <phoneticPr fontId="2"/>
  </si>
  <si>
    <t>非専従</t>
    <rPh sb="0" eb="1">
      <t>ヒ</t>
    </rPh>
    <rPh sb="1" eb="3">
      <t>センジュウ</t>
    </rPh>
    <phoneticPr fontId="2"/>
  </si>
  <si>
    <t>専用施設の面積</t>
    <rPh sb="0" eb="2">
      <t>センヨウ</t>
    </rPh>
    <rPh sb="2" eb="4">
      <t>シセツ</t>
    </rPh>
    <rPh sb="5" eb="7">
      <t>メンセキ</t>
    </rPh>
    <phoneticPr fontId="2"/>
  </si>
  <si>
    <t>平方メートル</t>
    <phoneticPr fontId="2"/>
  </si>
  <si>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2"/>
  </si>
  <si>
    <t>手工芸</t>
    <rPh sb="0" eb="3">
      <t>シュコウゲイ</t>
    </rPh>
    <phoneticPr fontId="2"/>
  </si>
  <si>
    <t>木工</t>
    <rPh sb="0" eb="2">
      <t>モッコウ</t>
    </rPh>
    <phoneticPr fontId="2"/>
  </si>
  <si>
    <t>印刷</t>
    <rPh sb="0" eb="2">
      <t>インサツ</t>
    </rPh>
    <phoneticPr fontId="2"/>
  </si>
  <si>
    <t>日常生活動作</t>
    <rPh sb="0" eb="2">
      <t>ニチジョウ</t>
    </rPh>
    <rPh sb="2" eb="4">
      <t>セイカツ</t>
    </rPh>
    <rPh sb="4" eb="6">
      <t>ドウサ</t>
    </rPh>
    <phoneticPr fontId="2"/>
  </si>
  <si>
    <t>農耕又は園芸</t>
    <rPh sb="0" eb="2">
      <t>ノウコウ</t>
    </rPh>
    <rPh sb="2" eb="3">
      <t>マタ</t>
    </rPh>
    <rPh sb="4" eb="6">
      <t>エンゲイ</t>
    </rPh>
    <phoneticPr fontId="2"/>
  </si>
  <si>
    <t>様式８</t>
    <rPh sb="0" eb="2">
      <t>ヨウシキ</t>
    </rPh>
    <phoneticPr fontId="2"/>
  </si>
  <si>
    <t>理学療法，作業療法，言語聴覚療法の施設基準に係る届出書添付書類</t>
    <rPh sb="5" eb="7">
      <t>サギョウ</t>
    </rPh>
    <rPh sb="7" eb="9">
      <t>リョウホウ</t>
    </rPh>
    <rPh sb="10" eb="12">
      <t>ゲンゴ</t>
    </rPh>
    <rPh sb="12" eb="14">
      <t>チョウカク</t>
    </rPh>
    <rPh sb="14" eb="16">
      <t>リョウホウ</t>
    </rPh>
    <phoneticPr fontId="2"/>
  </si>
  <si>
    <t>○</t>
    <phoneticPr fontId="2"/>
  </si>
  <si>
    <t>　届　出　区　分
（該当するものに○）</t>
    <rPh sb="1" eb="2">
      <t>トドケ</t>
    </rPh>
    <rPh sb="3" eb="4">
      <t>デ</t>
    </rPh>
    <rPh sb="5" eb="6">
      <t>ク</t>
    </rPh>
    <rPh sb="7" eb="8">
      <t>ブン</t>
    </rPh>
    <rPh sb="10" eb="12">
      <t>ガイトウ</t>
    </rPh>
    <phoneticPr fontId="2"/>
  </si>
  <si>
    <t xml:space="preserve">（ </t>
    <phoneticPr fontId="2"/>
  </si>
  <si>
    <t>）理学療法Ⅰ</t>
    <rPh sb="1" eb="3">
      <t>リガク</t>
    </rPh>
    <rPh sb="3" eb="5">
      <t>リョウホウ</t>
    </rPh>
    <phoneticPr fontId="2"/>
  </si>
  <si>
    <t xml:space="preserve">（ </t>
    <phoneticPr fontId="2"/>
  </si>
  <si>
    <t>）理学療法Ⅱ</t>
    <rPh sb="1" eb="3">
      <t>リガク</t>
    </rPh>
    <rPh sb="3" eb="5">
      <t>リョウホウ</t>
    </rPh>
    <phoneticPr fontId="2"/>
  </si>
  <si>
    <t xml:space="preserve">（ </t>
    <phoneticPr fontId="2"/>
  </si>
  <si>
    <t>）作業療法</t>
    <rPh sb="1" eb="3">
      <t>サギョウ</t>
    </rPh>
    <rPh sb="3" eb="5">
      <t>リョウホウ</t>
    </rPh>
    <phoneticPr fontId="2"/>
  </si>
  <si>
    <t>）言語聴覚療法</t>
    <rPh sb="1" eb="3">
      <t>ゲンゴ</t>
    </rPh>
    <rPh sb="3" eb="5">
      <t>チョウカク</t>
    </rPh>
    <rPh sb="5" eb="7">
      <t>リョウホウ</t>
    </rPh>
    <phoneticPr fontId="2"/>
  </si>
  <si>
    <t>従　事　者　数</t>
    <rPh sb="0" eb="1">
      <t>ジュウ</t>
    </rPh>
    <rPh sb="2" eb="3">
      <t>コト</t>
    </rPh>
    <rPh sb="4" eb="5">
      <t>モノ</t>
    </rPh>
    <rPh sb="6" eb="7">
      <t>スウ</t>
    </rPh>
    <phoneticPr fontId="2"/>
  </si>
  <si>
    <t>常　勤</t>
    <rPh sb="0" eb="1">
      <t>ツネ</t>
    </rPh>
    <rPh sb="2" eb="3">
      <t>ツトム</t>
    </rPh>
    <phoneticPr fontId="2"/>
  </si>
  <si>
    <t>専　任</t>
    <rPh sb="0" eb="1">
      <t>アツム</t>
    </rPh>
    <rPh sb="2" eb="3">
      <t>ニン</t>
    </rPh>
    <phoneticPr fontId="2"/>
  </si>
  <si>
    <t xml:space="preserve">名 </t>
    <rPh sb="0" eb="1">
      <t>メイ</t>
    </rPh>
    <phoneticPr fontId="2"/>
  </si>
  <si>
    <t>非専任</t>
    <rPh sb="0" eb="1">
      <t>ヒ</t>
    </rPh>
    <rPh sb="1" eb="3">
      <t>センニン</t>
    </rPh>
    <phoneticPr fontId="2"/>
  </si>
  <si>
    <t>専　従</t>
    <rPh sb="0" eb="1">
      <t>アツム</t>
    </rPh>
    <rPh sb="2" eb="3">
      <t>ジュウ</t>
    </rPh>
    <phoneticPr fontId="2"/>
  </si>
  <si>
    <t>言語聴覚士</t>
    <rPh sb="0" eb="2">
      <t>ゲンゴ</t>
    </rPh>
    <rPh sb="2" eb="4">
      <t>チョウカク</t>
    </rPh>
    <rPh sb="4" eb="5">
      <t>シ</t>
    </rPh>
    <phoneticPr fontId="2"/>
  </si>
  <si>
    <t>経験を有する
従　 事　 者</t>
    <rPh sb="0" eb="2">
      <t>ケイケン</t>
    </rPh>
    <rPh sb="3" eb="4">
      <t>ユウ</t>
    </rPh>
    <rPh sb="7" eb="8">
      <t>ジュウ</t>
    </rPh>
    <rPh sb="10" eb="11">
      <t>コト</t>
    </rPh>
    <rPh sb="13" eb="14">
      <t>モノ</t>
    </rPh>
    <phoneticPr fontId="2"/>
  </si>
  <si>
    <t>理学療法</t>
    <rPh sb="0" eb="1">
      <t>リ</t>
    </rPh>
    <rPh sb="1" eb="2">
      <t>ガク</t>
    </rPh>
    <rPh sb="2" eb="3">
      <t>リョウ</t>
    </rPh>
    <rPh sb="3" eb="4">
      <t>ホウ</t>
    </rPh>
    <phoneticPr fontId="2"/>
  </si>
  <si>
    <t>平方メートル　</t>
    <rPh sb="0" eb="2">
      <t>ヘイホウ</t>
    </rPh>
    <phoneticPr fontId="2"/>
  </si>
  <si>
    <t>作業療法</t>
    <rPh sb="0" eb="2">
      <t>サギョウ</t>
    </rPh>
    <rPh sb="2" eb="4">
      <t>リョウホウ</t>
    </rPh>
    <phoneticPr fontId="2"/>
  </si>
  <si>
    <t>言語聴覚療法</t>
    <rPh sb="0" eb="2">
      <t>ゲンゴ</t>
    </rPh>
    <rPh sb="2" eb="4">
      <t>チョウカク</t>
    </rPh>
    <rPh sb="4" eb="6">
      <t>リョウホウ</t>
    </rPh>
    <phoneticPr fontId="2"/>
  </si>
  <si>
    <r>
      <t>当該理学療法・作業療法・言語聴覚療法を行うための器械・器具の一覧</t>
    </r>
    <r>
      <rPr>
        <sz val="11"/>
        <color indexed="10"/>
        <rFont val="HGPｺﾞｼｯｸM"/>
        <family val="3"/>
        <charset val="128"/>
      </rPr>
      <t>（名称・台数等）</t>
    </r>
    <rPh sb="0" eb="2">
      <t>トウガイ</t>
    </rPh>
    <rPh sb="2" eb="4">
      <t>リガク</t>
    </rPh>
    <rPh sb="4" eb="6">
      <t>リョウホウ</t>
    </rPh>
    <rPh sb="7" eb="9">
      <t>サギョウ</t>
    </rPh>
    <rPh sb="9" eb="11">
      <t>リョウホウ</t>
    </rPh>
    <rPh sb="12" eb="14">
      <t>ゲンゴ</t>
    </rPh>
    <rPh sb="14" eb="16">
      <t>チョウカク</t>
    </rPh>
    <rPh sb="16" eb="18">
      <t>リョウホウ</t>
    </rPh>
    <rPh sb="19" eb="20">
      <t>オコナ</t>
    </rPh>
    <rPh sb="24" eb="26">
      <t>キカイ</t>
    </rPh>
    <rPh sb="27" eb="29">
      <t>キグ</t>
    </rPh>
    <rPh sb="30" eb="32">
      <t>イチラン</t>
    </rPh>
    <rPh sb="33" eb="35">
      <t>メイショウ</t>
    </rPh>
    <rPh sb="36" eb="38">
      <t>ダイスウ</t>
    </rPh>
    <rPh sb="38" eb="39">
      <t>トウ</t>
    </rPh>
    <phoneticPr fontId="2"/>
  </si>
  <si>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2"/>
  </si>
  <si>
    <t>□</t>
    <phoneticPr fontId="2"/>
  </si>
  <si>
    <t>〔記入上の注意〕</t>
  </si>
  <si>
    <t>様式6</t>
    <rPh sb="0" eb="2">
      <t>ヨウシキ</t>
    </rPh>
    <phoneticPr fontId="2"/>
  </si>
  <si>
    <t>□</t>
    <phoneticPr fontId="2"/>
  </si>
  <si>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2"/>
  </si>
  <si>
    <t>■</t>
    <phoneticPr fontId="2"/>
  </si>
  <si>
    <t>１　医薬品情報管理室等</t>
    <rPh sb="2" eb="5">
      <t>イヤクヒン</t>
    </rPh>
    <rPh sb="5" eb="7">
      <t>ジョウホウ</t>
    </rPh>
    <rPh sb="7" eb="9">
      <t>カンリ</t>
    </rPh>
    <rPh sb="9" eb="10">
      <t>シツ</t>
    </rPh>
    <rPh sb="10" eb="11">
      <t>トウ</t>
    </rPh>
    <phoneticPr fontId="2"/>
  </si>
  <si>
    <t>場　　　所</t>
    <rPh sb="0" eb="1">
      <t>バ</t>
    </rPh>
    <rPh sb="4" eb="5">
      <t>ショ</t>
    </rPh>
    <phoneticPr fontId="2"/>
  </si>
  <si>
    <t>許可病床数</t>
    <rPh sb="0" eb="2">
      <t>キョカ</t>
    </rPh>
    <rPh sb="2" eb="4">
      <t>ビョウショウ</t>
    </rPh>
    <rPh sb="4" eb="5">
      <t>スウ</t>
    </rPh>
    <phoneticPr fontId="2"/>
  </si>
  <si>
    <t>平方メートル</t>
    <rPh sb="0" eb="2">
      <t>ヘイホウ</t>
    </rPh>
    <phoneticPr fontId="2"/>
  </si>
  <si>
    <t>業務内容</t>
    <rPh sb="0" eb="2">
      <t>ギョウム</t>
    </rPh>
    <rPh sb="2" eb="4">
      <t>ナイヨウ</t>
    </rPh>
    <phoneticPr fontId="2"/>
  </si>
  <si>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2"/>
  </si>
  <si>
    <t>有</t>
    <rPh sb="0" eb="1">
      <t>アリ</t>
    </rPh>
    <phoneticPr fontId="2"/>
  </si>
  <si>
    <t>□</t>
    <phoneticPr fontId="2"/>
  </si>
  <si>
    <t>無</t>
    <rPh sb="0" eb="1">
      <t>ナ</t>
    </rPh>
    <phoneticPr fontId="2"/>
  </si>
  <si>
    <t>２　投薬・指導記録</t>
    <rPh sb="2" eb="4">
      <t>トウヤク</t>
    </rPh>
    <rPh sb="5" eb="7">
      <t>シドウ</t>
    </rPh>
    <rPh sb="7" eb="9">
      <t>キロク</t>
    </rPh>
    <phoneticPr fontId="2"/>
  </si>
  <si>
    <t>作　成　時　期</t>
    <rPh sb="0" eb="1">
      <t>サク</t>
    </rPh>
    <rPh sb="2" eb="3">
      <t>シゲル</t>
    </rPh>
    <rPh sb="4" eb="5">
      <t>ジ</t>
    </rPh>
    <rPh sb="6" eb="7">
      <t>キ</t>
    </rPh>
    <phoneticPr fontId="2"/>
  </si>
  <si>
    <t>保　管　場　所</t>
    <rPh sb="0" eb="1">
      <t>タモツ</t>
    </rPh>
    <rPh sb="2" eb="3">
      <t>カン</t>
    </rPh>
    <rPh sb="4" eb="5">
      <t>バ</t>
    </rPh>
    <rPh sb="6" eb="7">
      <t>ショ</t>
    </rPh>
    <phoneticPr fontId="2"/>
  </si>
  <si>
    <t>３　投薬管理状況</t>
    <rPh sb="2" eb="4">
      <t>トウヤク</t>
    </rPh>
    <rPh sb="4" eb="6">
      <t>カンリ</t>
    </rPh>
    <rPh sb="6" eb="8">
      <t>ジョウキョウ</t>
    </rPh>
    <phoneticPr fontId="2"/>
  </si>
  <si>
    <t>４　服薬指導</t>
    <rPh sb="2" eb="4">
      <t>フクヤク</t>
    </rPh>
    <rPh sb="4" eb="6">
      <t>シドウ</t>
    </rPh>
    <phoneticPr fontId="2"/>
  </si>
  <si>
    <t>服薬指導方法</t>
    <rPh sb="0" eb="2">
      <t>フクヤク</t>
    </rPh>
    <rPh sb="2" eb="4">
      <t>シドウ</t>
    </rPh>
    <rPh sb="4" eb="6">
      <t>ホウホウ</t>
    </rPh>
    <phoneticPr fontId="2"/>
  </si>
  <si>
    <t>服薬指導マニュアルの作成
（予定を含む）</t>
    <rPh sb="0" eb="2">
      <t>フクヤク</t>
    </rPh>
    <rPh sb="2" eb="4">
      <t>シドウ</t>
    </rPh>
    <rPh sb="10" eb="12">
      <t>サクセイ</t>
    </rPh>
    <rPh sb="14" eb="16">
      <t>ヨテイ</t>
    </rPh>
    <rPh sb="17" eb="18">
      <t>フク</t>
    </rPh>
    <phoneticPr fontId="2"/>
  </si>
  <si>
    <t>・</t>
    <phoneticPr fontId="2"/>
  </si>
  <si>
    <t>□</t>
    <phoneticPr fontId="2"/>
  </si>
  <si>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2"/>
  </si>
  <si>
    <t>様式5</t>
    <rPh sb="0" eb="2">
      <t>ヨウシキ</t>
    </rPh>
    <phoneticPr fontId="2"/>
  </si>
  <si>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2"/>
  </si>
  <si>
    <t>□</t>
    <phoneticPr fontId="2"/>
  </si>
  <si>
    <t>■</t>
    <phoneticPr fontId="2"/>
  </si>
  <si>
    <t>１　標榜診療科</t>
    <rPh sb="2" eb="4">
      <t>ヒョウボウ</t>
    </rPh>
    <rPh sb="4" eb="7">
      <t>シンリョウカ</t>
    </rPh>
    <phoneticPr fontId="2"/>
  </si>
  <si>
    <t>皮膚泌尿器科</t>
    <rPh sb="0" eb="2">
      <t>ヒフ</t>
    </rPh>
    <rPh sb="2" eb="6">
      <t>ヒニョウキカ</t>
    </rPh>
    <phoneticPr fontId="2"/>
  </si>
  <si>
    <t>皮膚科</t>
    <rPh sb="0" eb="3">
      <t>ヒフカ</t>
    </rPh>
    <phoneticPr fontId="2"/>
  </si>
  <si>
    <t>形成外科</t>
    <rPh sb="0" eb="2">
      <t>ケイセイ</t>
    </rPh>
    <rPh sb="2" eb="4">
      <t>ゲカ</t>
    </rPh>
    <phoneticPr fontId="2"/>
  </si>
  <si>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2"/>
  </si>
  <si>
    <t>様式2</t>
    <rPh sb="0" eb="2">
      <t>ヨウシキ</t>
    </rPh>
    <phoneticPr fontId="2"/>
  </si>
  <si>
    <t>感染対策指導管理に係る内容</t>
    <rPh sb="0" eb="2">
      <t>カンセン</t>
    </rPh>
    <rPh sb="2" eb="4">
      <t>タイサク</t>
    </rPh>
    <rPh sb="4" eb="6">
      <t>シドウ</t>
    </rPh>
    <rPh sb="6" eb="8">
      <t>カンリ</t>
    </rPh>
    <rPh sb="9" eb="10">
      <t>カカ</t>
    </rPh>
    <rPh sb="11" eb="13">
      <t>ナイヨウ</t>
    </rPh>
    <phoneticPr fontId="2"/>
  </si>
  <si>
    <t>院内感染防止対策委員会</t>
    <rPh sb="0" eb="2">
      <t>インナイ</t>
    </rPh>
    <rPh sb="2" eb="4">
      <t>カンセン</t>
    </rPh>
    <rPh sb="4" eb="6">
      <t>ボウシ</t>
    </rPh>
    <rPh sb="6" eb="8">
      <t>タイサク</t>
    </rPh>
    <rPh sb="8" eb="11">
      <t>イインカイ</t>
    </rPh>
    <phoneticPr fontId="2"/>
  </si>
  <si>
    <t>　参加メンバー</t>
    <rPh sb="1" eb="3">
      <t>サンカ</t>
    </rPh>
    <phoneticPr fontId="2"/>
  </si>
  <si>
    <t>　開催回数</t>
    <rPh sb="1" eb="3">
      <t>カイサイ</t>
    </rPh>
    <rPh sb="3" eb="5">
      <t>カイスウ</t>
    </rPh>
    <phoneticPr fontId="2"/>
  </si>
  <si>
    <t>　病室数</t>
    <rPh sb="1" eb="3">
      <t>ビョウシツ</t>
    </rPh>
    <rPh sb="3" eb="4">
      <t>スウ</t>
    </rPh>
    <phoneticPr fontId="2"/>
  </si>
  <si>
    <t>　消毒液の種類（成分名）
　　※成分ごとに記載のこと</t>
    <rPh sb="1" eb="3">
      <t>ショウドク</t>
    </rPh>
    <rPh sb="3" eb="4">
      <t>エキ</t>
    </rPh>
    <rPh sb="5" eb="7">
      <t>シュルイ</t>
    </rPh>
    <rPh sb="8" eb="10">
      <t>セイブン</t>
    </rPh>
    <rPh sb="10" eb="11">
      <t>ナ</t>
    </rPh>
    <rPh sb="16" eb="18">
      <t>セイブン</t>
    </rPh>
    <rPh sb="21" eb="23">
      <t>キサイ</t>
    </rPh>
    <phoneticPr fontId="2"/>
  </si>
  <si>
    <t>そ　　の　　他</t>
    <rPh sb="6" eb="7">
      <t>タ</t>
    </rPh>
    <phoneticPr fontId="2"/>
  </si>
  <si>
    <t>水　道　・　消　毒　液　の　設　置</t>
    <rPh sb="0" eb="1">
      <t>スイ</t>
    </rPh>
    <rPh sb="2" eb="3">
      <t>ミチ</t>
    </rPh>
    <rPh sb="6" eb="7">
      <t>ショウ</t>
    </rPh>
    <rPh sb="8" eb="9">
      <t>ドク</t>
    </rPh>
    <rPh sb="10" eb="11">
      <t>エキ</t>
    </rPh>
    <rPh sb="14" eb="15">
      <t>セツ</t>
    </rPh>
    <rPh sb="16" eb="17">
      <t>チ</t>
    </rPh>
    <phoneticPr fontId="2"/>
  </si>
  <si>
    <t>　感染情報レポートの
　作成の有・無</t>
    <rPh sb="1" eb="3">
      <t>カンセン</t>
    </rPh>
    <rPh sb="3" eb="5">
      <t>ジョウホウ</t>
    </rPh>
    <rPh sb="12" eb="14">
      <t>サクセイ</t>
    </rPh>
    <rPh sb="15" eb="16">
      <t>アリ</t>
    </rPh>
    <rPh sb="17" eb="18">
      <t>ム</t>
    </rPh>
    <phoneticPr fontId="2"/>
  </si>
  <si>
    <t>（</t>
    <phoneticPr fontId="2"/>
  </si>
  <si>
    <t>・</t>
    <phoneticPr fontId="2"/>
  </si>
  <si>
    <t>□</t>
    <phoneticPr fontId="2"/>
  </si>
  <si>
    <t>室</t>
    <rPh sb="0" eb="1">
      <t>シツ</t>
    </rPh>
    <phoneticPr fontId="2"/>
  </si>
  <si>
    <t>）</t>
    <phoneticPr fontId="2"/>
  </si>
  <si>
    <t>）室</t>
    <rPh sb="1" eb="2">
      <t>シツ</t>
    </rPh>
    <phoneticPr fontId="2"/>
  </si>
  <si>
    <t>（</t>
    <phoneticPr fontId="2"/>
  </si>
  <si>
    <t>委員会の開催については、委員会の目的、構成メンバー、開催回数等を記載した院内感染防止委員会設置要綱等を添付のこと。</t>
    <rPh sb="0" eb="3">
      <t>イインカイ</t>
    </rPh>
    <rPh sb="4" eb="6">
      <t>カイサイ</t>
    </rPh>
    <rPh sb="12" eb="15">
      <t>イインカイ</t>
    </rPh>
    <rPh sb="16" eb="18">
      <t>モクテキ</t>
    </rPh>
    <rPh sb="19" eb="21">
      <t>コウセイ</t>
    </rPh>
    <rPh sb="26" eb="28">
      <t>カイサイ</t>
    </rPh>
    <rPh sb="28" eb="30">
      <t>カイスウ</t>
    </rPh>
    <rPh sb="30" eb="31">
      <t>トウ</t>
    </rPh>
    <rPh sb="32" eb="34">
      <t>キサイ</t>
    </rPh>
    <rPh sb="36" eb="38">
      <t>インナイ</t>
    </rPh>
    <rPh sb="38" eb="40">
      <t>カンセン</t>
    </rPh>
    <rPh sb="40" eb="42">
      <t>ボウシ</t>
    </rPh>
    <rPh sb="42" eb="45">
      <t>イインカイ</t>
    </rPh>
    <rPh sb="45" eb="47">
      <t>セッチ</t>
    </rPh>
    <rPh sb="47" eb="49">
      <t>ヨウコウ</t>
    </rPh>
    <rPh sb="49" eb="50">
      <t>トウ</t>
    </rPh>
    <rPh sb="51" eb="53">
      <t>テンプ</t>
    </rPh>
    <phoneticPr fontId="2"/>
  </si>
  <si>
    <t>（職種）</t>
    <rPh sb="1" eb="3">
      <t>ショクシュ</t>
    </rPh>
    <phoneticPr fontId="2"/>
  </si>
  <si>
    <t>　・</t>
    <phoneticPr fontId="2"/>
  </si>
  <si>
    <t>（氏名）</t>
    <rPh sb="1" eb="3">
      <t>シメイ</t>
    </rPh>
    <phoneticPr fontId="2"/>
  </si>
  <si>
    <t>）回/月</t>
    <rPh sb="1" eb="2">
      <t>カイ</t>
    </rPh>
    <rPh sb="3" eb="4">
      <t>ツキ</t>
    </rPh>
    <phoneticPr fontId="2"/>
  </si>
  <si>
    <t>（</t>
    <phoneticPr fontId="2"/>
  </si>
  <si>
    <t>　消毒液の設置病室数（再掲）</t>
    <rPh sb="1" eb="3">
      <t>ショウドク</t>
    </rPh>
    <rPh sb="3" eb="4">
      <t>エキ</t>
    </rPh>
    <rPh sb="5" eb="7">
      <t>セッチ</t>
    </rPh>
    <rPh sb="7" eb="9">
      <t>ビョウシツ</t>
    </rPh>
    <rPh sb="9" eb="10">
      <t>スウ</t>
    </rPh>
    <rPh sb="11" eb="13">
      <t>サイケイ</t>
    </rPh>
    <phoneticPr fontId="2"/>
  </si>
  <si>
    <t>　水道の設置病室数（再掲）</t>
    <rPh sb="1" eb="3">
      <t>スイドウ</t>
    </rPh>
    <rPh sb="4" eb="6">
      <t>セッチ</t>
    </rPh>
    <rPh sb="6" eb="8">
      <t>ビョウシツ</t>
    </rPh>
    <rPh sb="8" eb="9">
      <t>スウ</t>
    </rPh>
    <rPh sb="10" eb="12">
      <t>サイケイ</t>
    </rPh>
    <phoneticPr fontId="2"/>
  </si>
  <si>
    <t>面　　積</t>
    <rPh sb="0" eb="1">
      <t>メン</t>
    </rPh>
    <rPh sb="3" eb="4">
      <t>セキ</t>
    </rPh>
    <phoneticPr fontId="2"/>
  </si>
  <si>
    <t>※本体施設を参照</t>
    <rPh sb="1" eb="3">
      <t>ホンタイ</t>
    </rPh>
    <rPh sb="3" eb="5">
      <t>シセツ</t>
    </rPh>
    <rPh sb="6" eb="8">
      <t>サンショウ</t>
    </rPh>
    <phoneticPr fontId="2"/>
  </si>
  <si>
    <t>リハビリテーション提供体制
（作業療法）</t>
    <rPh sb="9" eb="11">
      <t>テイキョウ</t>
    </rPh>
    <rPh sb="11" eb="13">
      <t>タイセイ</t>
    </rPh>
    <phoneticPr fontId="2"/>
  </si>
  <si>
    <t>リハビリテーション提供体制
（言語聴覚療法）</t>
    <rPh sb="9" eb="11">
      <t>テイキョウ</t>
    </rPh>
    <rPh sb="11" eb="13">
      <t>タイセイ</t>
    </rPh>
    <phoneticPr fontId="2"/>
  </si>
  <si>
    <t>リハビリテーション提供体制
（精神科作業療法）</t>
    <rPh sb="9" eb="11">
      <t>テイキョウ</t>
    </rPh>
    <rPh sb="11" eb="13">
      <t>タイセイ</t>
    </rPh>
    <phoneticPr fontId="2"/>
  </si>
  <si>
    <t>リハビリテーション提供体制
（その他）</t>
    <rPh sb="9" eb="11">
      <t>テイキョウ</t>
    </rPh>
    <rPh sb="11" eb="13">
      <t>タイセイ</t>
    </rPh>
    <rPh sb="17" eb="18">
      <t>タ</t>
    </rPh>
    <phoneticPr fontId="2"/>
  </si>
  <si>
    <t>医療院20</t>
    <rPh sb="0" eb="2">
      <t>イリョウ</t>
    </rPh>
    <rPh sb="2" eb="3">
      <t>イン</t>
    </rPh>
    <phoneticPr fontId="2"/>
  </si>
  <si>
    <t>医療院21</t>
    <rPh sb="0" eb="2">
      <t>イリョウ</t>
    </rPh>
    <rPh sb="2" eb="3">
      <t>イン</t>
    </rPh>
    <phoneticPr fontId="2"/>
  </si>
  <si>
    <t>医療院22</t>
    <rPh sb="0" eb="2">
      <t>イリョウ</t>
    </rPh>
    <rPh sb="2" eb="3">
      <t>イン</t>
    </rPh>
    <phoneticPr fontId="2"/>
  </si>
  <si>
    <t>医療院23</t>
    <rPh sb="0" eb="2">
      <t>イリョウ</t>
    </rPh>
    <rPh sb="2" eb="3">
      <t>イン</t>
    </rPh>
    <phoneticPr fontId="2"/>
  </si>
  <si>
    <t>医療院24</t>
    <rPh sb="0" eb="2">
      <t>イリョウ</t>
    </rPh>
    <rPh sb="2" eb="3">
      <t>イン</t>
    </rPh>
    <phoneticPr fontId="2"/>
  </si>
  <si>
    <t>医療院25</t>
    <rPh sb="0" eb="2">
      <t>イリョウ</t>
    </rPh>
    <rPh sb="2" eb="3">
      <t>イン</t>
    </rPh>
    <phoneticPr fontId="2"/>
  </si>
  <si>
    <t>短療17</t>
    <rPh sb="0" eb="1">
      <t>タン</t>
    </rPh>
    <rPh sb="1" eb="2">
      <t>イヤス</t>
    </rPh>
    <phoneticPr fontId="2"/>
  </si>
  <si>
    <t>短療18</t>
    <rPh sb="0" eb="1">
      <t>タン</t>
    </rPh>
    <rPh sb="1" eb="2">
      <t>イヤス</t>
    </rPh>
    <phoneticPr fontId="2"/>
  </si>
  <si>
    <t>短療19</t>
    <rPh sb="0" eb="1">
      <t>タン</t>
    </rPh>
    <rPh sb="1" eb="2">
      <t>イヤス</t>
    </rPh>
    <phoneticPr fontId="2"/>
  </si>
  <si>
    <t>短療20</t>
    <rPh sb="0" eb="1">
      <t>タン</t>
    </rPh>
    <rPh sb="1" eb="2">
      <t>イヤス</t>
    </rPh>
    <phoneticPr fontId="2"/>
  </si>
  <si>
    <t>短療21</t>
    <rPh sb="0" eb="1">
      <t>タン</t>
    </rPh>
    <rPh sb="1" eb="2">
      <t>イヤス</t>
    </rPh>
    <phoneticPr fontId="2"/>
  </si>
  <si>
    <t>短療22</t>
    <rPh sb="0" eb="1">
      <t>タン</t>
    </rPh>
    <rPh sb="1" eb="2">
      <t>イヤス</t>
    </rPh>
    <phoneticPr fontId="2"/>
  </si>
  <si>
    <t>予短療16</t>
    <rPh sb="0" eb="1">
      <t>ヨ</t>
    </rPh>
    <rPh sb="1" eb="2">
      <t>タン</t>
    </rPh>
    <rPh sb="2" eb="3">
      <t>イヤス</t>
    </rPh>
    <phoneticPr fontId="2"/>
  </si>
  <si>
    <t>予短療17</t>
    <rPh sb="0" eb="1">
      <t>ヨ</t>
    </rPh>
    <rPh sb="1" eb="2">
      <t>タン</t>
    </rPh>
    <rPh sb="2" eb="3">
      <t>イヤス</t>
    </rPh>
    <phoneticPr fontId="2"/>
  </si>
  <si>
    <t>予短療18</t>
    <rPh sb="0" eb="1">
      <t>ヨ</t>
    </rPh>
    <rPh sb="1" eb="2">
      <t>タン</t>
    </rPh>
    <rPh sb="2" eb="3">
      <t>イヤス</t>
    </rPh>
    <phoneticPr fontId="2"/>
  </si>
  <si>
    <t>予短療19</t>
    <rPh sb="0" eb="1">
      <t>ヨ</t>
    </rPh>
    <rPh sb="1" eb="2">
      <t>タン</t>
    </rPh>
    <rPh sb="2" eb="3">
      <t>イヤス</t>
    </rPh>
    <phoneticPr fontId="2"/>
  </si>
  <si>
    <t>予短療20</t>
    <rPh sb="0" eb="1">
      <t>ヨ</t>
    </rPh>
    <rPh sb="1" eb="2">
      <t>タン</t>
    </rPh>
    <rPh sb="2" eb="3">
      <t>イヤス</t>
    </rPh>
    <phoneticPr fontId="2"/>
  </si>
  <si>
    <t>予短療21</t>
    <rPh sb="0" eb="1">
      <t>ヨ</t>
    </rPh>
    <rPh sb="1" eb="2">
      <t>タン</t>
    </rPh>
    <rPh sb="2" eb="3">
      <t>イヤス</t>
    </rPh>
    <phoneticPr fontId="2"/>
  </si>
  <si>
    <t>「１」の標榜診療科は、皮膚泌尿器科若しくは皮膚科又は形成外科のいずれかであること。</t>
    <rPh sb="4" eb="6">
      <t>ヒョウボウ</t>
    </rPh>
    <rPh sb="6" eb="9">
      <t>シンリョウカ</t>
    </rPh>
    <rPh sb="11" eb="13">
      <t>ヒフ</t>
    </rPh>
    <rPh sb="13" eb="17">
      <t>ヒニョウキカ</t>
    </rPh>
    <rPh sb="17" eb="18">
      <t>モ</t>
    </rPh>
    <rPh sb="21" eb="24">
      <t>ヒフカ</t>
    </rPh>
    <rPh sb="24" eb="25">
      <t>マタ</t>
    </rPh>
    <rPh sb="26" eb="28">
      <t>ケイセイ</t>
    </rPh>
    <rPh sb="28" eb="30">
      <t>ゲカ</t>
    </rPh>
    <phoneticPr fontId="2"/>
  </si>
  <si>
    <t>設　備　の　目　録</t>
    <rPh sb="0" eb="1">
      <t>セツ</t>
    </rPh>
    <rPh sb="2" eb="3">
      <t>ビ</t>
    </rPh>
    <rPh sb="6" eb="7">
      <t>メ</t>
    </rPh>
    <phoneticPr fontId="2"/>
  </si>
  <si>
    <t>安全管理体制</t>
    <rPh sb="0" eb="2">
      <t>アンゼン</t>
    </rPh>
    <rPh sb="2" eb="4">
      <t>カンリ</t>
    </rPh>
    <rPh sb="4" eb="6">
      <t>タイセイ</t>
    </rPh>
    <phoneticPr fontId="2"/>
  </si>
  <si>
    <t>栄養ケア・マネジメントの実施の有無</t>
    <rPh sb="0" eb="2">
      <t>エイヨウ</t>
    </rPh>
    <rPh sb="12" eb="14">
      <t>ジッシ</t>
    </rPh>
    <rPh sb="15" eb="17">
      <t>ウム</t>
    </rPh>
    <phoneticPr fontId="2"/>
  </si>
  <si>
    <t>栄養マネジメント強化体制</t>
    <rPh sb="0" eb="2">
      <t>エイヨウ</t>
    </rPh>
    <rPh sb="8" eb="10">
      <t>キョウカ</t>
    </rPh>
    <rPh sb="10" eb="12">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</si>
  <si>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</si>
  <si>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</si>
  <si>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科学的介護推進体制加算</t>
    <rPh sb="0" eb="3">
      <t>カガクテキ</t>
    </rPh>
    <rPh sb="3" eb="5">
      <t>カイゴ</t>
    </rPh>
    <rPh sb="5" eb="7">
      <t>スイシン</t>
    </rPh>
    <rPh sb="7" eb="9">
      <t>タイセイ</t>
    </rPh>
    <rPh sb="9" eb="11">
      <t>カサン</t>
    </rPh>
    <phoneticPr fontId="2"/>
  </si>
  <si>
    <t>安全対策体制</t>
    <rPh sb="0" eb="2">
      <t>アンゼン</t>
    </rPh>
    <rPh sb="2" eb="4">
      <t>タイサク</t>
    </rPh>
    <rPh sb="4" eb="6">
      <t>タイセイ</t>
    </rPh>
    <phoneticPr fontId="2"/>
  </si>
  <si>
    <t>LIFEへの登録</t>
    <rPh sb="6" eb="8">
      <t>トウロク</t>
    </rPh>
    <phoneticPr fontId="2"/>
  </si>
  <si>
    <t>医療院26</t>
    <rPh sb="0" eb="2">
      <t>イリョウ</t>
    </rPh>
    <rPh sb="2" eb="3">
      <t>イン</t>
    </rPh>
    <phoneticPr fontId="2"/>
  </si>
  <si>
    <t>医療院27</t>
    <rPh sb="0" eb="2">
      <t>イリョウ</t>
    </rPh>
    <rPh sb="2" eb="3">
      <t>イン</t>
    </rPh>
    <phoneticPr fontId="2"/>
  </si>
  <si>
    <t>医療院28</t>
    <rPh sb="0" eb="2">
      <t>イリョウ</t>
    </rPh>
    <rPh sb="2" eb="3">
      <t>イン</t>
    </rPh>
    <phoneticPr fontId="2"/>
  </si>
  <si>
    <t>医療院29</t>
    <rPh sb="0" eb="2">
      <t>イリョウ</t>
    </rPh>
    <rPh sb="2" eb="3">
      <t>イン</t>
    </rPh>
    <phoneticPr fontId="2"/>
  </si>
  <si>
    <t>医療院30</t>
    <rPh sb="0" eb="2">
      <t>イリョウ</t>
    </rPh>
    <rPh sb="2" eb="3">
      <t>イン</t>
    </rPh>
    <phoneticPr fontId="2"/>
  </si>
  <si>
    <t>医療院31</t>
    <rPh sb="0" eb="2">
      <t>イリョウ</t>
    </rPh>
    <rPh sb="2" eb="3">
      <t>イン</t>
    </rPh>
    <phoneticPr fontId="2"/>
  </si>
  <si>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2"/>
  </si>
  <si>
    <t>栄養アセスメント・栄養改善体制</t>
    <rPh sb="0" eb="2">
      <t>エイヨウ</t>
    </rPh>
    <rPh sb="9" eb="11">
      <t>エイヨウ</t>
    </rPh>
    <rPh sb="11" eb="13">
      <t>カイゼン</t>
    </rPh>
    <rPh sb="13" eb="15">
      <t>タイセイ</t>
    </rPh>
    <phoneticPr fontId="2"/>
  </si>
  <si>
    <t>移行支援加算</t>
    <rPh sb="0" eb="2">
      <t>イコウ</t>
    </rPh>
    <rPh sb="2" eb="4">
      <t>シエン</t>
    </rPh>
    <rPh sb="4" eb="6">
      <t>カサン</t>
    </rPh>
    <phoneticPr fontId="2"/>
  </si>
  <si>
    <t>通リハ16</t>
    <rPh sb="0" eb="1">
      <t>ツウ</t>
    </rPh>
    <phoneticPr fontId="2"/>
  </si>
  <si>
    <t>通リハ17</t>
    <rPh sb="0" eb="1">
      <t>ツウ</t>
    </rPh>
    <phoneticPr fontId="2"/>
  </si>
  <si>
    <t>予通リ11</t>
    <rPh sb="0" eb="1">
      <t>ヨ</t>
    </rPh>
    <rPh sb="1" eb="2">
      <t>ツウ</t>
    </rPh>
    <phoneticPr fontId="2"/>
  </si>
  <si>
    <t>短療23</t>
    <rPh sb="0" eb="1">
      <t>タン</t>
    </rPh>
    <rPh sb="1" eb="2">
      <t>イヤス</t>
    </rPh>
    <phoneticPr fontId="2"/>
  </si>
  <si>
    <t>予短療22</t>
    <rPh sb="0" eb="1">
      <t>ヨ</t>
    </rPh>
    <rPh sb="1" eb="2">
      <t>タン</t>
    </rPh>
    <rPh sb="2" eb="3">
      <t>イヤス</t>
    </rPh>
    <phoneticPr fontId="2"/>
  </si>
  <si>
    <t>栄養マネジメント体制に関する届出書</t>
    <rPh sb="0" eb="2">
      <t>エイヨウ</t>
    </rPh>
    <rPh sb="8" eb="10">
      <t>タイセイ</t>
    </rPh>
    <rPh sb="11" eb="12">
      <t>カン</t>
    </rPh>
    <rPh sb="14" eb="17">
      <t>トドケデショ</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</si>
  <si>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</si>
  <si>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</si>
  <si>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</si>
  <si>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</si>
  <si>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</si>
  <si>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</si>
  <si>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</si>
  <si>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</si>
  <si>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</si>
  <si>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</si>
  <si>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</si>
  <si>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</si>
  <si>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</si>
  <si>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</si>
  <si>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</si>
  <si>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</si>
  <si>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</si>
  <si>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</si>
  <si>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</si>
  <si>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</si>
  <si>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</si>
  <si>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</si>
  <si>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</si>
  <si>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</si>
  <si>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</si>
  <si>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</si>
  <si>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</si>
  <si>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①に占める②の割合が40％以上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</si>
  <si>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</si>
  <si>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</si>
  <si>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</si>
  <si>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</si>
  <si>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</si>
  <si>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</si>
  <si>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</si>
  <si>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</si>
  <si>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</si>
  <si>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</si>
  <si>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</si>
  <si>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</si>
  <si>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</si>
  <si>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</si>
  <si>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</si>
  <si>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</si>
  <si>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</si>
  <si>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</si>
  <si>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</si>
  <si>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令和　　年　　月　　日</t>
    <rPh sb="4" eb="5">
      <t>ネン</t>
    </rPh>
    <rPh sb="7" eb="8">
      <t>ガツ</t>
    </rPh>
    <rPh sb="10" eb="11">
      <t>ニチ</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</si>
  <si>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</si>
  <si>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</si>
  <si>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「医療処置の実施状況」における③の割合が２０％以上、⑤の割合が２５％以上、「重度者の割合」における⑤の割合が
１５％以上のいずれかを満たす</t>
    <rPh sb="66" eb="67">
      <t>ミ</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</si>
  <si>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</si>
  <si>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</si>
  <si>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評価対象期間の新規終了者数（注２）</t>
    <phoneticPr fontId="2"/>
  </si>
  <si>
    <t>注１：</t>
    <phoneticPr fontId="2"/>
  </si>
  <si>
    <t>注２：</t>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</si>
  <si>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</si>
  <si>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</si>
  <si>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</si>
  <si>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</si>
  <si>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</si>
  <si>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</si>
  <si>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</si>
  <si>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</si>
  <si>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</si>
  <si>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</si>
  <si>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</si>
  <si>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</si>
  <si>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</si>
  <si>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</si>
  <si>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</si>
  <si>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</si>
  <si>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</si>
  <si>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</si>
  <si>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</si>
  <si>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</si>
  <si>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</si>
  <si>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</si>
  <si>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</si>
  <si>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</si>
  <si>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</si>
  <si>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</si>
  <si>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</si>
  <si>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</si>
  <si>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</si>
  <si>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</si>
  <si>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</si>
  <si>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</si>
  <si>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</si>
  <si>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</si>
  <si>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</si>
  <si>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</si>
  <si>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</si>
  <si>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</si>
  <si>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</si>
  <si>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</si>
  <si>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</si>
  <si>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</si>
  <si>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</si>
  <si>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</si>
  <si>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</si>
  <si>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</si>
  <si>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</si>
  <si>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</si>
  <si>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</si>
  <si>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</si>
  <si>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口腔機能向上加算</t>
    <rPh sb="0" eb="2">
      <t>コウクウ</t>
    </rPh>
    <rPh sb="2" eb="4">
      <t>キノウ</t>
    </rPh>
    <rPh sb="4" eb="6">
      <t>コウジョウ</t>
    </rPh>
    <rPh sb="6" eb="8">
      <t>カサン</t>
    </rPh>
    <phoneticPr fontId="2"/>
  </si>
  <si>
    <t>月</t>
    <rPh sb="0" eb="1">
      <t>ガツ</t>
    </rPh>
    <phoneticPr fontId="2"/>
  </si>
  <si>
    <t>介護医療院サービス</t>
  </si>
  <si>
    <t>短期入所療養介護</t>
    <phoneticPr fontId="2"/>
  </si>
  <si>
    <t>栄養マネジメント体制に関する届出書</t>
    <rPh sb="8" eb="10">
      <t>タイセイ</t>
    </rPh>
    <rPh sb="11" eb="12">
      <t>カン</t>
    </rPh>
    <phoneticPr fontId="2"/>
  </si>
  <si>
    <t>通所リハビリテーション事業所における移行支援加算に係る届出</t>
    <rPh sb="18" eb="20">
      <t>イコウ</t>
    </rPh>
    <rPh sb="20" eb="22">
      <t>シエン</t>
    </rPh>
    <phoneticPr fontId="2"/>
  </si>
  <si>
    <t>従業者の勤務の体制及び勤務形態一覧表（勤務形態一覧）</t>
    <rPh sb="19" eb="21">
      <t>キンム</t>
    </rPh>
    <rPh sb="21" eb="23">
      <t>ケイタイ</t>
    </rPh>
    <rPh sb="23" eb="25">
      <t>イチラン</t>
    </rPh>
    <phoneticPr fontId="2"/>
  </si>
  <si>
    <t>◎勤務形態一覧は、職員全員分（算定月）、参考１「人員基準確認表」</t>
    <rPh sb="20" eb="22">
      <t>サンコウ</t>
    </rPh>
    <phoneticPr fontId="2"/>
  </si>
  <si>
    <t>参考様式１</t>
    <rPh sb="0" eb="2">
      <t>サンコウ</t>
    </rPh>
    <rPh sb="2" eb="4">
      <t>ヨウシキ</t>
    </rPh>
    <phoneticPr fontId="2"/>
  </si>
  <si>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7">
      <t>ニュウショシャ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2"/>
  </si>
  <si>
    <t>◎勤務形態一覧は、栄養士・管理栄養士分（算定月）、参考１「人員基準確認表」、管理栄養士の免許証（写）、辞令（写）又は雇用契約書（写）</t>
    <rPh sb="9" eb="12">
      <t>エイヨウシ</t>
    </rPh>
    <rPh sb="13" eb="15">
      <t>カンリ</t>
    </rPh>
    <rPh sb="15" eb="18">
      <t>エイヨウシ</t>
    </rPh>
    <rPh sb="54" eb="55">
      <t>ウツ</t>
    </rPh>
    <rPh sb="64" eb="65">
      <t>ウツ</t>
    </rPh>
    <phoneticPr fontId="2"/>
  </si>
  <si>
    <t>参考１「人員基準確認表」（算定月）</t>
    <rPh sb="0" eb="2">
      <t>サンコウ</t>
    </rPh>
    <rPh sb="4" eb="8">
      <t>ジンインキジュン</t>
    </rPh>
    <rPh sb="8" eb="11">
      <t>カクニンヒョウ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</si>
  <si>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ウツ</t>
    </rPh>
    <phoneticPr fontId="2"/>
  </si>
  <si>
    <t>参考１「人員基準確認表」（算定月）</t>
    <rPh sb="0" eb="2">
      <t>サンコウ</t>
    </rPh>
    <rPh sb="4" eb="11">
      <t>ジンインキジュンカクニンヒョウ</t>
    </rPh>
    <rPh sb="13" eb="15">
      <t>サンテイ</t>
    </rPh>
    <rPh sb="15" eb="16">
      <t>ツキ</t>
    </rPh>
    <phoneticPr fontId="2"/>
  </si>
  <si>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60"/>
  </si>
  <si>
    <t>　　　　　サービス種別　　　　　　　　現在⇒</t>
    <rPh sb="9" eb="11">
      <t>シュベツ</t>
    </rPh>
    <rPh sb="19" eb="21">
      <t>ゲンザイ</t>
    </rPh>
    <phoneticPr fontId="6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</si>
  <si>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60"/>
  </si>
  <si>
    <t>通所介護</t>
    <rPh sb="0" eb="2">
      <t>ツウショ</t>
    </rPh>
    <rPh sb="2" eb="4">
      <t>カイゴ</t>
    </rPh>
    <phoneticPr fontId="60"/>
  </si>
  <si>
    <t>通所リハビリテーション</t>
    <rPh sb="0" eb="2">
      <t>ツウショ</t>
    </rPh>
    <phoneticPr fontId="60"/>
  </si>
  <si>
    <t>地域密着型通所介護</t>
    <rPh sb="0" eb="2">
      <t>チイキ</t>
    </rPh>
    <rPh sb="2" eb="5">
      <t>ミッチャクガタ</t>
    </rPh>
    <rPh sb="5" eb="7">
      <t>ツウショ</t>
    </rPh>
    <rPh sb="7" eb="9">
      <t>カイゴ</t>
    </rPh>
    <phoneticPr fontId="60"/>
  </si>
  <si>
    <t>認知症対応型通所介護</t>
    <rPh sb="0" eb="3">
      <t>ニンチショウ</t>
    </rPh>
    <rPh sb="3" eb="6">
      <t>タイオウガタ</t>
    </rPh>
    <rPh sb="6" eb="8">
      <t>ツウショ</t>
    </rPh>
    <rPh sb="8" eb="10">
      <t>カイゴ</t>
    </rPh>
    <phoneticPr fontId="60"/>
  </si>
  <si>
    <t>介護予防認知症対応型通所介護</t>
    <rPh sb="0" eb="2">
      <t>カイゴ</t>
    </rPh>
    <rPh sb="2" eb="4">
      <t>ヨボウ</t>
    </rPh>
    <rPh sb="4" eb="7">
      <t>ニンチショウ</t>
    </rPh>
    <rPh sb="7" eb="10">
      <t>タイオウガタ</t>
    </rPh>
    <rPh sb="10" eb="12">
      <t>ツウショ</t>
    </rPh>
    <rPh sb="12" eb="14">
      <t>カイゴ</t>
    </rPh>
    <phoneticPr fontId="60"/>
  </si>
  <si>
    <t>（１）　事業所基本情報</t>
    <rPh sb="4" eb="7">
      <t>ジギョウショ</t>
    </rPh>
    <rPh sb="7" eb="9">
      <t>キホン</t>
    </rPh>
    <rPh sb="9" eb="11">
      <t>ジョウホウ</t>
    </rPh>
    <phoneticPr fontId="60"/>
  </si>
  <si>
    <t>規模区分　　　　現在⇒</t>
    <rPh sb="8" eb="10">
      <t>ゲンザイ</t>
    </rPh>
    <phoneticPr fontId="60"/>
  </si>
  <si>
    <t>事業所番号</t>
    <rPh sb="0" eb="3">
      <t>ジギョウショ</t>
    </rPh>
    <rPh sb="3" eb="5">
      <t>バンゴウ</t>
    </rPh>
    <phoneticPr fontId="60"/>
  </si>
  <si>
    <t>事業所名</t>
    <rPh sb="0" eb="3">
      <t>ジギョウショ</t>
    </rPh>
    <rPh sb="3" eb="4">
      <t>メイ</t>
    </rPh>
    <phoneticPr fontId="60"/>
  </si>
  <si>
    <t>通常規模型</t>
    <rPh sb="0" eb="2">
      <t>ツウジョウ</t>
    </rPh>
    <rPh sb="2" eb="4">
      <t>キボ</t>
    </rPh>
    <rPh sb="4" eb="5">
      <t>ガタ</t>
    </rPh>
    <phoneticPr fontId="60"/>
  </si>
  <si>
    <t>担当者氏名</t>
    <rPh sb="0" eb="3">
      <t>タントウシャ</t>
    </rPh>
    <rPh sb="3" eb="5">
      <t>シメイ</t>
    </rPh>
    <phoneticPr fontId="60"/>
  </si>
  <si>
    <t>電話番号</t>
    <rPh sb="0" eb="2">
      <t>デンワ</t>
    </rPh>
    <rPh sb="2" eb="4">
      <t>バンゴウ</t>
    </rPh>
    <phoneticPr fontId="60"/>
  </si>
  <si>
    <t>ﾒｰﾙｱﾄﾞﾚｽ</t>
    <phoneticPr fontId="60"/>
  </si>
  <si>
    <t>大規模型Ⅰ</t>
    <rPh sb="0" eb="3">
      <t>ダイキボ</t>
    </rPh>
    <rPh sb="3" eb="4">
      <t>ガタ</t>
    </rPh>
    <phoneticPr fontId="60"/>
  </si>
  <si>
    <t>サービス種別</t>
    <rPh sb="4" eb="6">
      <t>シュベツ</t>
    </rPh>
    <phoneticPr fontId="60"/>
  </si>
  <si>
    <t>規模区分</t>
    <rPh sb="0" eb="2">
      <t>キボ</t>
    </rPh>
    <rPh sb="2" eb="4">
      <t>クブン</t>
    </rPh>
    <phoneticPr fontId="60"/>
  </si>
  <si>
    <t>大規模型Ⅱ</t>
    <rPh sb="0" eb="3">
      <t>ダイキボ</t>
    </rPh>
    <rPh sb="3" eb="4">
      <t>ガタ</t>
    </rPh>
    <phoneticPr fontId="6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</si>
  <si>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60"/>
  </si>
  <si>
    <t>（２）　加算算定・特例適用の届出</t>
    <rPh sb="4" eb="6">
      <t>カサン</t>
    </rPh>
    <rPh sb="6" eb="8">
      <t>サンテイ</t>
    </rPh>
    <rPh sb="9" eb="11">
      <t>トクレイ</t>
    </rPh>
    <rPh sb="11" eb="13">
      <t>テキヨウ</t>
    </rPh>
    <rPh sb="14" eb="16">
      <t>トドケデ</t>
    </rPh>
    <phoneticPr fontId="60"/>
  </si>
  <si>
    <t>減少月</t>
    <rPh sb="0" eb="2">
      <t>ゲンショウ</t>
    </rPh>
    <rPh sb="2" eb="3">
      <t>ツキ</t>
    </rPh>
    <phoneticPr fontId="60"/>
  </si>
  <si>
    <t>利用延人員数の減少が生じた月</t>
    <rPh sb="0" eb="2">
      <t>リヨウ</t>
    </rPh>
    <rPh sb="2" eb="5">
      <t>ノベジンイン</t>
    </rPh>
    <rPh sb="5" eb="6">
      <t>スウ</t>
    </rPh>
    <rPh sb="7" eb="9">
      <t>ゲンショウ</t>
    </rPh>
    <rPh sb="10" eb="11">
      <t>ショウ</t>
    </rPh>
    <rPh sb="13" eb="14">
      <t>ツキ</t>
    </rPh>
    <phoneticPr fontId="60"/>
  </si>
  <si>
    <t>令和</t>
    <rPh sb="0" eb="2">
      <t>レイワ</t>
    </rPh>
    <phoneticPr fontId="60"/>
  </si>
  <si>
    <t>年</t>
    <rPh sb="0" eb="1">
      <t>ネン</t>
    </rPh>
    <phoneticPr fontId="60"/>
  </si>
  <si>
    <t>月</t>
    <rPh sb="0" eb="1">
      <t>ガツ</t>
    </rPh>
    <phoneticPr fontId="6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</si>
  <si>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60"/>
  </si>
  <si>
    <t>人</t>
    <rPh sb="0" eb="1">
      <t>ニン</t>
    </rPh>
    <phoneticPr fontId="60"/>
  </si>
  <si>
    <t>減少率（小数）</t>
    <rPh sb="0" eb="3">
      <t>ゲンショウリツ</t>
    </rPh>
    <rPh sb="4" eb="6">
      <t>ショウスウ</t>
    </rPh>
    <phoneticPr fontId="60"/>
  </si>
  <si>
    <t>減少率</t>
    <rPh sb="0" eb="3">
      <t>ゲンショウリツ</t>
    </rPh>
    <phoneticPr fontId="60"/>
  </si>
  <si>
    <t>利用延人員数の減少が生じた月の前年度の１月当たりの平均利用延人員数</t>
  </si>
  <si>
    <t>加算算定の可否</t>
    <rPh sb="5" eb="7">
      <t>カヒ</t>
    </rPh>
    <phoneticPr fontId="60"/>
  </si>
  <si>
    <t>規模特例の可否↓</t>
    <rPh sb="0" eb="2">
      <t>キボ</t>
    </rPh>
    <rPh sb="2" eb="4">
      <t>トクレイ</t>
    </rPh>
    <rPh sb="5" eb="7">
      <t>カヒ</t>
    </rPh>
    <phoneticPr fontId="60"/>
  </si>
  <si>
    <t>↓R3.４月以降</t>
    <rPh sb="5" eb="6">
      <t>ガツ</t>
    </rPh>
    <rPh sb="6" eb="8">
      <t>イコウ</t>
    </rPh>
    <phoneticPr fontId="60"/>
  </si>
  <si>
    <t>特例適用の可否</t>
    <rPh sb="0" eb="2">
      <t>トクレイ</t>
    </rPh>
    <rPh sb="2" eb="4">
      <t>テキヨウ</t>
    </rPh>
    <rPh sb="5" eb="7">
      <t>カヒ</t>
    </rPh>
    <phoneticPr fontId="6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</si>
  <si>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60"/>
  </si>
  <si>
    <t>加算算定事業所のみ</t>
    <rPh sb="0" eb="2">
      <t>カサン</t>
    </rPh>
    <rPh sb="2" eb="4">
      <t>サンテイ</t>
    </rPh>
    <rPh sb="4" eb="7">
      <t>ジギョウショ</t>
    </rPh>
    <phoneticPr fontId="6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</si>
  <si>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60"/>
  </si>
  <si>
    <t>（３）　加算算定後の各月の利用延人員数の確認</t>
    <rPh sb="10" eb="11">
      <t>カク</t>
    </rPh>
    <rPh sb="11" eb="12">
      <t>ツキ</t>
    </rPh>
    <rPh sb="13" eb="15">
      <t>リヨウ</t>
    </rPh>
    <rPh sb="15" eb="18">
      <t>ノベジンイン</t>
    </rPh>
    <rPh sb="18" eb="19">
      <t>スウ</t>
    </rPh>
    <rPh sb="20" eb="22">
      <t>カクニン</t>
    </rPh>
    <phoneticPr fontId="60"/>
  </si>
  <si>
    <t>年月</t>
    <rPh sb="0" eb="2">
      <t>ネンゲツ</t>
    </rPh>
    <phoneticPr fontId="60"/>
  </si>
  <si>
    <t>各月の
利用延人員数</t>
    <rPh sb="0" eb="2">
      <t>カクツキ</t>
    </rPh>
    <rPh sb="4" eb="6">
      <t>リヨウ</t>
    </rPh>
    <rPh sb="6" eb="9">
      <t>ノベジンイン</t>
    </rPh>
    <rPh sb="9" eb="10">
      <t>スウ</t>
    </rPh>
    <phoneticPr fontId="60"/>
  </si>
  <si>
    <t>減少割合</t>
    <rPh sb="0" eb="2">
      <t>ゲンショウ</t>
    </rPh>
    <rPh sb="2" eb="4">
      <t>ワリアイ</t>
    </rPh>
    <phoneticPr fontId="60"/>
  </si>
  <si>
    <t>加算
算定の可否</t>
    <rPh sb="0" eb="2">
      <t>カサン</t>
    </rPh>
    <rPh sb="3" eb="5">
      <t>サンテイ</t>
    </rPh>
    <rPh sb="6" eb="8">
      <t>カヒ</t>
    </rPh>
    <phoneticPr fontId="60"/>
  </si>
  <si>
    <t>加算算定届提出月</t>
    <rPh sb="4" eb="5">
      <t>トドケ</t>
    </rPh>
    <rPh sb="5" eb="7">
      <t>テイシュツ</t>
    </rPh>
    <rPh sb="7" eb="8">
      <t>ツキ</t>
    </rPh>
    <phoneticPr fontId="60"/>
  </si>
  <si>
    <t>加算算定開始月</t>
    <rPh sb="4" eb="6">
      <t>カイシ</t>
    </rPh>
    <rPh sb="6" eb="7">
      <t>ツキ</t>
    </rPh>
    <phoneticPr fontId="60"/>
  </si>
  <si>
    <t>加算延長判断月</t>
    <rPh sb="0" eb="2">
      <t>カサン</t>
    </rPh>
    <rPh sb="2" eb="4">
      <t>エンチョウ</t>
    </rPh>
    <rPh sb="4" eb="6">
      <t>ハンダン</t>
    </rPh>
    <rPh sb="6" eb="7">
      <t>ツキ</t>
    </rPh>
    <phoneticPr fontId="60"/>
  </si>
  <si>
    <t>加算終了／延長届提出月</t>
    <rPh sb="0" eb="2">
      <t>カサン</t>
    </rPh>
    <rPh sb="2" eb="4">
      <t>シュウリョウ</t>
    </rPh>
    <rPh sb="5" eb="8">
      <t>エンチョウトドケ</t>
    </rPh>
    <rPh sb="8" eb="10">
      <t>テイシュツ</t>
    </rPh>
    <rPh sb="10" eb="11">
      <t>ツキ</t>
    </rPh>
    <phoneticPr fontId="60"/>
  </si>
  <si>
    <t>減少の
２か月後
に算定
開始</t>
    <rPh sb="0" eb="2">
      <t>ゲンショウ</t>
    </rPh>
    <rPh sb="6" eb="7">
      <t>ゲツ</t>
    </rPh>
    <rPh sb="7" eb="8">
      <t>アト</t>
    </rPh>
    <rPh sb="10" eb="12">
      <t>サンテイ</t>
    </rPh>
    <rPh sb="13" eb="15">
      <t>カイシ</t>
    </rPh>
    <phoneticPr fontId="60"/>
  </si>
  <si>
    <t>延長適用開始月</t>
    <rPh sb="0" eb="2">
      <t>エンチョウ</t>
    </rPh>
    <rPh sb="2" eb="4">
      <t>テキヨウ</t>
    </rPh>
    <rPh sb="4" eb="6">
      <t>カイシ</t>
    </rPh>
    <rPh sb="6" eb="7">
      <t>ツキ</t>
    </rPh>
    <phoneticPr fontId="60"/>
  </si>
  <si>
    <t>延長適用終了月</t>
    <rPh sb="0" eb="2">
      <t>エンチョウ</t>
    </rPh>
    <rPh sb="2" eb="4">
      <t>テキヨウ</t>
    </rPh>
    <rPh sb="4" eb="6">
      <t>シュウリョウ</t>
    </rPh>
    <rPh sb="6" eb="7">
      <t>ツキ</t>
    </rPh>
    <phoneticPr fontId="6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</si>
  <si>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60"/>
  </si>
  <si>
    <t>加算算定事業所であって、（３）オレンジセルに「可」が表示された事業所のみ</t>
    <rPh sb="4" eb="7">
      <t>ジギョウショ</t>
    </rPh>
    <rPh sb="23" eb="24">
      <t>カ</t>
    </rPh>
    <rPh sb="26" eb="28">
      <t>ヒョウジ</t>
    </rPh>
    <rPh sb="31" eb="34">
      <t>ジギョウショ</t>
    </rPh>
    <phoneticPr fontId="60"/>
  </si>
  <si>
    <t>※ 加算算定開始後に記入してください。</t>
    <rPh sb="6" eb="8">
      <t>カイシ</t>
    </rPh>
    <rPh sb="8" eb="9">
      <t>アト</t>
    </rPh>
    <rPh sb="10" eb="12">
      <t>キニュウ</t>
    </rPh>
    <phoneticPr fontId="60"/>
  </si>
  <si>
    <t>（４）　加算算定の延長の届出</t>
    <rPh sb="9" eb="11">
      <t>エンチョウ</t>
    </rPh>
    <rPh sb="12" eb="14">
      <t>トドケデ</t>
    </rPh>
    <phoneticPr fontId="60"/>
  </si>
  <si>
    <t>加算算定の延長を求める理由</t>
    <rPh sb="0" eb="2">
      <t>カサン</t>
    </rPh>
    <rPh sb="2" eb="4">
      <t>サンテイ</t>
    </rPh>
    <rPh sb="5" eb="7">
      <t>エンチョウ</t>
    </rPh>
    <rPh sb="8" eb="9">
      <t>モト</t>
    </rPh>
    <rPh sb="11" eb="13">
      <t>リユウ</t>
    </rPh>
    <phoneticPr fontId="6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</si>
  <si>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6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</si>
  <si>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60"/>
  </si>
  <si>
    <t>特例適用事業所のみ</t>
    <rPh sb="0" eb="2">
      <t>トクレイ</t>
    </rPh>
    <rPh sb="2" eb="4">
      <t>テキヨウ</t>
    </rPh>
    <rPh sb="4" eb="7">
      <t>ジギョウショ</t>
    </rPh>
    <phoneticPr fontId="6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</si>
  <si>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6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</si>
  <si>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60"/>
  </si>
  <si>
    <t>特例
適用の可否</t>
    <rPh sb="0" eb="2">
      <t>トクレイ</t>
    </rPh>
    <rPh sb="3" eb="5">
      <t>テキヨウ</t>
    </rPh>
    <rPh sb="6" eb="8">
      <t>カヒ</t>
    </rPh>
    <phoneticPr fontId="60"/>
  </si>
  <si>
    <t>特例適用届提出月</t>
    <rPh sb="0" eb="2">
      <t>トクレイ</t>
    </rPh>
    <rPh sb="2" eb="4">
      <t>テキヨウ</t>
    </rPh>
    <rPh sb="4" eb="5">
      <t>トドケ</t>
    </rPh>
    <rPh sb="5" eb="7">
      <t>テイシュツ</t>
    </rPh>
    <rPh sb="7" eb="8">
      <t>ツキ</t>
    </rPh>
    <phoneticPr fontId="60"/>
  </si>
  <si>
    <t>特例適用開始月</t>
    <rPh sb="0" eb="2">
      <t>トクレイ</t>
    </rPh>
    <rPh sb="2" eb="4">
      <t>テキヨウ</t>
    </rPh>
    <rPh sb="4" eb="6">
      <t>カイシ</t>
    </rPh>
    <rPh sb="6" eb="7">
      <t>ツキ</t>
    </rPh>
    <phoneticPr fontId="6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</si>
  <si>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60"/>
  </si>
  <si>
    <t>（参考）</t>
    <rPh sb="1" eb="3">
      <t>サンコウ</t>
    </rPh>
    <phoneticPr fontId="60"/>
  </si>
  <si>
    <t>利用延人員数計算シート（通所リハビリテーション）</t>
    <rPh sb="0" eb="2">
      <t>リヨウ</t>
    </rPh>
    <rPh sb="2" eb="3">
      <t>ノ</t>
    </rPh>
    <rPh sb="3" eb="5">
      <t>ジンイン</t>
    </rPh>
    <rPh sb="5" eb="6">
      <t>スウ</t>
    </rPh>
    <rPh sb="6" eb="8">
      <t>ケイサン</t>
    </rPh>
    <rPh sb="12" eb="14">
      <t>ツウショ</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</si>
  <si>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60"/>
  </si>
  <si>
    <t>○</t>
    <phoneticPr fontId="7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</si>
  <si>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60"/>
  </si>
  <si>
    <t>率</t>
    <rPh sb="0" eb="1">
      <t>リツ</t>
    </rPh>
    <phoneticPr fontId="2"/>
  </si>
  <si>
    <t>４月～２月
合計 ※６</t>
    <rPh sb="1" eb="2">
      <t>ガツ</t>
    </rPh>
    <rPh sb="4" eb="5">
      <t>ガツ</t>
    </rPh>
    <rPh sb="6" eb="8">
      <t>ゴウケイ</t>
    </rPh>
    <rPh sb="7" eb="8">
      <t>ケイ</t>
    </rPh>
    <phoneticPr fontId="2"/>
  </si>
  <si>
    <t>10月</t>
    <rPh sb="2" eb="3">
      <t>ガツ</t>
    </rPh>
    <phoneticPr fontId="2"/>
  </si>
  <si>
    <t>通所リハビリテーション
※１</t>
    <rPh sb="0" eb="2">
      <t>ツウショ</t>
    </rPh>
    <phoneticPr fontId="77"/>
  </si>
  <si>
    <t>１時間以上２時間未満</t>
    <rPh sb="1" eb="3">
      <t>ジカン</t>
    </rPh>
    <rPh sb="3" eb="5">
      <t>イジョウ</t>
    </rPh>
    <rPh sb="6" eb="8">
      <t>ジカン</t>
    </rPh>
    <rPh sb="8" eb="10">
      <t>ミマン</t>
    </rPh>
    <phoneticPr fontId="2"/>
  </si>
  <si>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2"/>
  </si>
  <si>
    <t>４時間以上５時間未満及び
５時間以上６時間未満</t>
    <rPh sb="10" eb="11">
      <t>オヨ</t>
    </rPh>
    <rPh sb="14" eb="16">
      <t>ジカン</t>
    </rPh>
    <rPh sb="16" eb="18">
      <t>イジョウ</t>
    </rPh>
    <rPh sb="19" eb="21">
      <t>ジカン</t>
    </rPh>
    <rPh sb="21" eb="23">
      <t>ミマン</t>
    </rPh>
    <phoneticPr fontId="2"/>
  </si>
  <si>
    <t>６時間以上７時間未満及び
７時間以上８時間未満</t>
    <rPh sb="10" eb="11">
      <t>オヨ</t>
    </rPh>
    <rPh sb="14" eb="16">
      <t>ジカン</t>
    </rPh>
    <rPh sb="16" eb="18">
      <t>イジョウ</t>
    </rPh>
    <rPh sb="19" eb="21">
      <t>ジカン</t>
    </rPh>
    <rPh sb="21" eb="23">
      <t>ミマン</t>
    </rPh>
    <phoneticPr fontId="2"/>
  </si>
  <si>
    <t>介護予防
通所リハビリテーション
※２</t>
    <rPh sb="0" eb="2">
      <t>カイゴ</t>
    </rPh>
    <rPh sb="2" eb="4">
      <t>ヨボウ</t>
    </rPh>
    <rPh sb="5" eb="7">
      <t>ツウショ</t>
    </rPh>
    <phoneticPr fontId="77"/>
  </si>
  <si>
    <t>２時間未満</t>
    <rPh sb="1" eb="3">
      <t>ジカン</t>
    </rPh>
    <rPh sb="3" eb="5">
      <t>ミマン</t>
    </rPh>
    <phoneticPr fontId="2"/>
  </si>
  <si>
    <t>２時間以上４時間未満</t>
    <rPh sb="1" eb="3">
      <t>ジカン</t>
    </rPh>
    <rPh sb="3" eb="5">
      <t>イジョウ</t>
    </rPh>
    <rPh sb="6" eb="8">
      <t>ジカン</t>
    </rPh>
    <rPh sb="8" eb="10">
      <t>ミマン</t>
    </rPh>
    <phoneticPr fontId="2"/>
  </si>
  <si>
    <t>４時間以上６時間未満</t>
    <rPh sb="1" eb="3">
      <t>ジカン</t>
    </rPh>
    <rPh sb="3" eb="5">
      <t>イジョウ</t>
    </rPh>
    <rPh sb="6" eb="8">
      <t>ジカン</t>
    </rPh>
    <rPh sb="8" eb="10">
      <t>ミマン</t>
    </rPh>
    <phoneticPr fontId="2"/>
  </si>
  <si>
    <t>６時間以上</t>
    <rPh sb="1" eb="3">
      <t>ジカン</t>
    </rPh>
    <rPh sb="3" eb="5">
      <t>イジョウ</t>
    </rPh>
    <phoneticPr fontId="60"/>
  </si>
  <si>
    <t>同時にサービスの提供を受けた者の最大数を営業日ごとに加えた数</t>
    <rPh sb="20" eb="23">
      <t>エイギョウビ</t>
    </rPh>
    <rPh sb="26" eb="27">
      <t>クワ</t>
    </rPh>
    <rPh sb="29" eb="30">
      <t>カズ</t>
    </rPh>
    <phoneticPr fontId="73"/>
  </si>
  <si>
    <t>各月の利用延人員数</t>
    <rPh sb="0" eb="2">
      <t>カクツキ</t>
    </rPh>
    <rPh sb="3" eb="5">
      <t>リヨウ</t>
    </rPh>
    <rPh sb="5" eb="6">
      <t>ノ</t>
    </rPh>
    <rPh sb="6" eb="9">
      <t>ジンインスウ</t>
    </rPh>
    <phoneticPr fontId="77"/>
  </si>
  <si>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77"/>
  </si>
  <si>
    <t>合計</t>
    <rPh sb="0" eb="2">
      <t>ゴウケイ</t>
    </rPh>
    <phoneticPr fontId="77"/>
  </si>
  <si>
    <t>（ａ）</t>
    <phoneticPr fontId="7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</si>
  <si>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2"/>
  </si>
  <si>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77"/>
  </si>
  <si>
    <t>（ｂ）</t>
    <phoneticPr fontId="73"/>
  </si>
  <si>
    <t>平均利用延人員数
 （a÷b）　　※４</t>
    <rPh sb="0" eb="2">
      <t>ヘイキン</t>
    </rPh>
    <rPh sb="2" eb="4">
      <t>リヨウ</t>
    </rPh>
    <rPh sb="4" eb="5">
      <t>ノベ</t>
    </rPh>
    <rPh sb="5" eb="8">
      <t>ジンインスウ</t>
    </rPh>
    <phoneticPr fontId="77"/>
  </si>
  <si>
    <t>（ｃ）</t>
    <phoneticPr fontId="6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</si>
  <si>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6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</si>
  <si>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60"/>
  </si>
  <si>
    <t>利用定員　※６</t>
    <rPh sb="0" eb="2">
      <t>リヨウ</t>
    </rPh>
    <rPh sb="2" eb="4">
      <t>テイイン</t>
    </rPh>
    <phoneticPr fontId="60"/>
  </si>
  <si>
    <t>１月当たりの営業日数　※７</t>
    <rPh sb="1" eb="3">
      <t>ツキア</t>
    </rPh>
    <rPh sb="6" eb="8">
      <t>エイギョウ</t>
    </rPh>
    <rPh sb="8" eb="10">
      <t>ニッスウ</t>
    </rPh>
    <phoneticPr fontId="60"/>
  </si>
  <si>
    <t>平均利用延人員数　※８</t>
    <rPh sb="0" eb="2">
      <t>ヘイキン</t>
    </rPh>
    <rPh sb="2" eb="4">
      <t>リヨウ</t>
    </rPh>
    <rPh sb="4" eb="5">
      <t>ノベ</t>
    </rPh>
    <rPh sb="5" eb="8">
      <t>ジンインスウ</t>
    </rPh>
    <phoneticPr fontId="60"/>
  </si>
  <si>
    <t>×</t>
    <phoneticPr fontId="60"/>
  </si>
  <si>
    <t>=</t>
    <phoneticPr fontId="6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</si>
  <si>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60"/>
  </si>
  <si>
    <t>参考１「人員基準確認表」（算定月）</t>
    <rPh sb="4" eb="6">
      <t>ジンイン</t>
    </rPh>
    <rPh sb="6" eb="8">
      <t>キジュン</t>
    </rPh>
    <rPh sb="8" eb="10">
      <t>カクニン</t>
    </rPh>
    <rPh sb="10" eb="11">
      <t>ヒョウ</t>
    </rPh>
    <rPh sb="13" eb="15">
      <t>サンテイ</t>
    </rPh>
    <rPh sb="15" eb="16">
      <t>ツキ</t>
    </rPh>
    <phoneticPr fontId="2"/>
  </si>
  <si>
    <t>認知症介護実践研修（実践リーダ研修）修了証（写）、認知症介護指導者養成研修修了証（写）又は認知症看護に係る適切な研修の修了証（写）</t>
    <rPh sb="22" eb="23">
      <t>ウツ</t>
    </rPh>
    <rPh sb="41" eb="42">
      <t>ウツ</t>
    </rPh>
    <rPh sb="43" eb="44">
      <t>マタ</t>
    </rPh>
    <rPh sb="45" eb="48">
      <t>ニンチショウ</t>
    </rPh>
    <rPh sb="48" eb="50">
      <t>カンゴ</t>
    </rPh>
    <rPh sb="51" eb="52">
      <t>カカ</t>
    </rPh>
    <rPh sb="53" eb="55">
      <t>テキセツ</t>
    </rPh>
    <rPh sb="56" eb="58">
      <t>ケンシュウ</t>
    </rPh>
    <rPh sb="59" eb="61">
      <t>シュウリョウ</t>
    </rPh>
    <rPh sb="61" eb="62">
      <t>ショウ</t>
    </rPh>
    <rPh sb="63" eb="64">
      <t>シャ</t>
    </rPh>
    <phoneticPr fontId="2"/>
  </si>
  <si>
    <t>◎勤務形態一覧は、職員全員分（算定月）、参考１「人員基準確認表」</t>
    <rPh sb="20" eb="22">
      <t>サンコウ</t>
    </rPh>
    <rPh sb="24" eb="31">
      <t>ジンインキジュンカクニンヒョウ</t>
    </rPh>
    <phoneticPr fontId="2"/>
  </si>
  <si>
    <t>参考１「人員基準確認表」（算定月）</t>
    <rPh sb="4" eb="11">
      <t>ジンインキジュンカクニンヒョウ</t>
    </rPh>
    <rPh sb="13" eb="15">
      <t>サンテイ</t>
    </rPh>
    <rPh sb="15" eb="16">
      <t>ツキ</t>
    </rPh>
    <phoneticPr fontId="2"/>
  </si>
  <si>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2"/>
  </si>
  <si>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2"/>
  </si>
  <si>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2"/>
  </si>
  <si>
    <t>サービス提供体制強化加算に関する届出書（(介護予防）通所リハビリテーション事業所）</t>
    <phoneticPr fontId="2"/>
  </si>
  <si>
    <t>サービス提供体制強化加算に関する届出書（(予防）短期療養・医療院）</t>
    <phoneticPr fontId="2"/>
  </si>
  <si>
    <t>◎勤務形態一覧は、職員全員分（算定月）、参考1「人員基準確認表」、精神保健福祉士の登録証（写）、理学療法士・作業療法士又は言語聴覚士の免許証（写）</t>
    <rPh sb="20" eb="22">
      <t>サンコウ</t>
    </rPh>
    <rPh sb="24" eb="31">
      <t>ジンインキジュンカクニンヒョウ</t>
    </rPh>
    <rPh sb="33" eb="35">
      <t>セイシン</t>
    </rPh>
    <rPh sb="35" eb="37">
      <t>ホケン</t>
    </rPh>
    <rPh sb="37" eb="40">
      <t>フクシシ</t>
    </rPh>
    <rPh sb="41" eb="43">
      <t>トウロク</t>
    </rPh>
    <phoneticPr fontId="2"/>
  </si>
  <si>
    <t>特別診療費項目
（重症皮膚潰瘍管理指導）</t>
    <rPh sb="0" eb="2">
      <t>トクベツ</t>
    </rPh>
    <rPh sb="2" eb="5">
      <t>シンリョウヒ</t>
    </rPh>
    <rPh sb="5" eb="7">
      <t>コウモク</t>
    </rPh>
    <rPh sb="17" eb="19">
      <t>シドウ</t>
    </rPh>
    <phoneticPr fontId="2"/>
  </si>
  <si>
    <t>特別診療費項目
（薬剤管理指導）</t>
    <rPh sb="0" eb="2">
      <t>トクベツ</t>
    </rPh>
    <rPh sb="2" eb="5">
      <t>シンリョウヒ</t>
    </rPh>
    <rPh sb="5" eb="7">
      <t>コウモク</t>
    </rPh>
    <phoneticPr fontId="2"/>
  </si>
  <si>
    <t>特別診療費項目
（集団ｺﾐｭﾆｹｰｼｮﾝ療法）</t>
    <rPh sb="0" eb="2">
      <t>トクベツ</t>
    </rPh>
    <rPh sb="2" eb="5">
      <t>シンリョウヒ</t>
    </rPh>
    <rPh sb="5" eb="7">
      <t>コウモク</t>
    </rPh>
    <rPh sb="9" eb="11">
      <t>シュウダン</t>
    </rPh>
    <rPh sb="20" eb="22">
      <t>リョウホウ</t>
    </rPh>
    <phoneticPr fontId="2"/>
  </si>
  <si>
    <t>リハビリテーション提供体制
（理学療法Ⅰ）</t>
    <rPh sb="9" eb="11">
      <t>テイキョウ</t>
    </rPh>
    <rPh sb="11" eb="13">
      <t>タイセイ</t>
    </rPh>
    <phoneticPr fontId="2"/>
  </si>
  <si>
    <t>入浴介助加算</t>
    <rPh sb="0" eb="2">
      <t>ニュウヨク</t>
    </rPh>
    <rPh sb="2" eb="4">
      <t>カイジョ</t>
    </rPh>
    <rPh sb="4" eb="6">
      <t>カサン</t>
    </rPh>
    <phoneticPr fontId="2"/>
  </si>
  <si>
    <t>◎勤務形態一覧は、看護・介護職員分（算定月）、参考1「人員基準確認表」、夜勤「夜間勤務等看護加算算定表」と夜勤別紙「夜間勤務等看護加算算定表別紙（介護医療院）」</t>
    <rPh sb="23" eb="25">
      <t>サンコウ</t>
    </rPh>
    <rPh sb="27" eb="34">
      <t>ジンインキジュンカクニンヒョウ</t>
    </rPh>
    <rPh sb="36" eb="38">
      <t>ヤキン</t>
    </rPh>
    <rPh sb="53" eb="55">
      <t>ヤキン</t>
    </rPh>
    <rPh sb="55" eb="57">
      <t>ベッシ</t>
    </rPh>
    <phoneticPr fontId="2"/>
  </si>
  <si>
    <t>◎勤務形態一覧は、職員全員分（算定月）、参考1「人員基準確認表」、</t>
    <rPh sb="20" eb="22">
      <t>サンコウ</t>
    </rPh>
    <rPh sb="24" eb="31">
      <t>ジンインキジュンカクニンヒョウ</t>
    </rPh>
    <phoneticPr fontId="2"/>
  </si>
  <si>
    <t>◎勤務形態一覧は、入所職員全員分（算定月）、参考1「人員基準確認表」、ユニットリーダー研修修了証（写）、平面図、室別面積表</t>
    <rPh sb="9" eb="11">
      <t>ニュウショ</t>
    </rPh>
    <rPh sb="22" eb="24">
      <t>サンコウ</t>
    </rPh>
    <rPh sb="26" eb="33">
      <t>ジンインキジュンカクニンヒョウ</t>
    </rPh>
    <rPh sb="49" eb="50">
      <t>ウツ</t>
    </rPh>
    <phoneticPr fontId="2"/>
  </si>
  <si>
    <t>◎勤務形態一覧は、職員全員分（算定月）、参考1「人員基準確認表」</t>
    <rPh sb="20" eb="22">
      <t>サンコウ</t>
    </rPh>
    <rPh sb="24" eb="31">
      <t>ジンインキジュンカクニンヒョウ</t>
    </rPh>
    <phoneticPr fontId="2"/>
  </si>
  <si>
    <t>【Ⅰ型】常勤換算で、入所者の数を5で除して得た数以上</t>
    <phoneticPr fontId="2"/>
  </si>
  <si>
    <t>【Ⅱ型】常勤換算で、入所者の数を6で除して得た数以上</t>
    <phoneticPr fontId="2"/>
  </si>
  <si>
    <t>【Ⅰ型】常勤換算で、入所者の数を150で除して得た数以上</t>
    <phoneticPr fontId="2"/>
  </si>
  <si>
    <t>【Ⅱ型】常勤換算で、入所者の数を300で除して得た数以上</t>
    <phoneticPr fontId="2"/>
  </si>
  <si>
    <t>通所リハビリテーション算定区分確認表
　</t>
    <rPh sb="0" eb="1">
      <t>ツウ</t>
    </rPh>
    <rPh sb="1" eb="2">
      <t>ジョ</t>
    </rPh>
    <rPh sb="11" eb="13">
      <t>サンテイ</t>
    </rPh>
    <rPh sb="13" eb="15">
      <t>クブン</t>
    </rPh>
    <rPh sb="15" eb="17">
      <t>カクニン</t>
    </rPh>
    <rPh sb="17" eb="18">
      <t>ヒョウ</t>
    </rPh>
    <phoneticPr fontId="2"/>
  </si>
  <si>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2"/>
  </si>
  <si>
    <t>（ア）当該年４月１日現在、前年度事業実績が６か月以上ある事業所用</t>
    <rPh sb="3" eb="5">
      <t>トウガイ</t>
    </rPh>
    <rPh sb="5" eb="6">
      <t>ネン</t>
    </rPh>
    <rPh sb="13" eb="16">
      <t>ゼンネンド</t>
    </rPh>
    <phoneticPr fontId="2"/>
  </si>
  <si>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2"/>
  </si>
  <si>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2"/>
  </si>
  <si>
    <t>計（a)</t>
    <rPh sb="0" eb="1">
      <t>ケイ</t>
    </rPh>
    <phoneticPr fontId="2"/>
  </si>
  <si>
    <t>平均(ｂ）</t>
    <rPh sb="0" eb="2">
      <t>ヘイキン</t>
    </rPh>
    <phoneticPr fontId="2"/>
  </si>
  <si>
    <t>１０月</t>
    <rPh sb="2" eb="3">
      <t>ガツ</t>
    </rPh>
    <phoneticPr fontId="2"/>
  </si>
  <si>
    <t>１１月</t>
    <rPh sb="2" eb="3">
      <t>ガツ</t>
    </rPh>
    <phoneticPr fontId="2"/>
  </si>
  <si>
    <t>１２月</t>
    <rPh sb="2" eb="3">
      <t>ガツ</t>
    </rPh>
    <phoneticPr fontId="2"/>
  </si>
  <si>
    <t>３月分の実績は除きます。</t>
    <rPh sb="1" eb="2">
      <t>ガツ</t>
    </rPh>
    <rPh sb="2" eb="3">
      <t>ブン</t>
    </rPh>
    <rPh sb="4" eb="6">
      <t>ジッセキ</t>
    </rPh>
    <rPh sb="7" eb="8">
      <t>ノゾ</t>
    </rPh>
    <phoneticPr fontId="2"/>
  </si>
  <si>
    <t>（a)÷（月数）=(ｂ）</t>
    <rPh sb="5" eb="6">
      <t>ヅキ</t>
    </rPh>
    <rPh sb="6" eb="7">
      <t>スウ</t>
    </rPh>
    <phoneticPr fontId="2"/>
  </si>
  <si>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2"/>
  </si>
  <si>
    <t>【平均利用延人員数の計算方法】</t>
    <rPh sb="1" eb="3">
      <t>ヘイキン</t>
    </rPh>
    <rPh sb="3" eb="5">
      <t>リヨウ</t>
    </rPh>
    <rPh sb="5" eb="6">
      <t>ノ</t>
    </rPh>
    <rPh sb="6" eb="8">
      <t>ジンイン</t>
    </rPh>
    <rPh sb="8" eb="9">
      <t>スウ</t>
    </rPh>
    <rPh sb="10" eb="12">
      <t>ケイサン</t>
    </rPh>
    <rPh sb="12" eb="14">
      <t>ホウホウ</t>
    </rPh>
    <phoneticPr fontId="2"/>
  </si>
  <si>
    <t>通所リハ</t>
    <rPh sb="0" eb="1">
      <t>ツウ</t>
    </rPh>
    <rPh sb="1" eb="2">
      <t>ショ</t>
    </rPh>
    <phoneticPr fontId="2"/>
  </si>
  <si>
    <t>介護予防通所リハ</t>
    <rPh sb="0" eb="2">
      <t>カイゴ</t>
    </rPh>
    <rPh sb="2" eb="4">
      <t>ヨボウ</t>
    </rPh>
    <rPh sb="4" eb="6">
      <t>ツウショ</t>
    </rPh>
    <phoneticPr fontId="2"/>
  </si>
  <si>
    <t>１～2時間未満</t>
    <rPh sb="3" eb="5">
      <t>ジカン</t>
    </rPh>
    <rPh sb="5" eb="7">
      <t>ミマン</t>
    </rPh>
    <phoneticPr fontId="2"/>
  </si>
  <si>
    <t>利用者数　×　1/4</t>
    <rPh sb="0" eb="2">
      <t>リヨウ</t>
    </rPh>
    <rPh sb="2" eb="3">
      <t>シャ</t>
    </rPh>
    <rPh sb="3" eb="4">
      <t>スウ</t>
    </rPh>
    <phoneticPr fontId="2"/>
  </si>
  <si>
    <t>2時間未満</t>
    <rPh sb="1" eb="3">
      <t>ジカン</t>
    </rPh>
    <rPh sb="3" eb="5">
      <t>ミマン</t>
    </rPh>
    <phoneticPr fontId="2"/>
  </si>
  <si>
    <t>3～4時間未満（2～3時間を含む）</t>
    <rPh sb="3" eb="5">
      <t>ジカン</t>
    </rPh>
    <rPh sb="5" eb="7">
      <t>ミマン</t>
    </rPh>
    <rPh sb="11" eb="13">
      <t>ジカン</t>
    </rPh>
    <rPh sb="14" eb="15">
      <t>フク</t>
    </rPh>
    <phoneticPr fontId="2"/>
  </si>
  <si>
    <t>利用者数　×　1/2</t>
    <rPh sb="0" eb="2">
      <t>リヨウ</t>
    </rPh>
    <rPh sb="2" eb="3">
      <t>シャ</t>
    </rPh>
    <rPh sb="3" eb="4">
      <t>スウ</t>
    </rPh>
    <phoneticPr fontId="2"/>
  </si>
  <si>
    <t>2～4時間未満</t>
    <rPh sb="3" eb="5">
      <t>ジカン</t>
    </rPh>
    <rPh sb="5" eb="7">
      <t>ミマン</t>
    </rPh>
    <phoneticPr fontId="2"/>
  </si>
  <si>
    <t>5～6時間未満（4～5時間を含む）</t>
    <rPh sb="3" eb="5">
      <t>ジカン</t>
    </rPh>
    <rPh sb="5" eb="7">
      <t>ミマン</t>
    </rPh>
    <phoneticPr fontId="2"/>
  </si>
  <si>
    <t>利用者数　×　3/4</t>
    <rPh sb="0" eb="2">
      <t>リヨウ</t>
    </rPh>
    <rPh sb="2" eb="3">
      <t>シャ</t>
    </rPh>
    <rPh sb="3" eb="4">
      <t>スウ</t>
    </rPh>
    <phoneticPr fontId="2"/>
  </si>
  <si>
    <t>4～6時間未満</t>
    <rPh sb="3" eb="5">
      <t>ジカン</t>
    </rPh>
    <rPh sb="5" eb="7">
      <t>ミマン</t>
    </rPh>
    <phoneticPr fontId="2"/>
  </si>
  <si>
    <t>6～8時間</t>
    <rPh sb="3" eb="5">
      <t>ジカン</t>
    </rPh>
    <phoneticPr fontId="2"/>
  </si>
  <si>
    <r>
      <t>利用者数　×　1</t>
    </r>
    <r>
      <rPr>
        <sz val="11"/>
        <rFont val="ＭＳ Ｐゴシック"/>
        <family val="3"/>
        <charset val="128"/>
      </rPr>
      <t/>
    </r>
    <rPh sb="0" eb="2">
      <t>リヨウ</t>
    </rPh>
    <rPh sb="2" eb="3">
      <t>シャ</t>
    </rPh>
    <rPh sb="3" eb="4">
      <t>スウ</t>
    </rPh>
    <phoneticPr fontId="2"/>
  </si>
  <si>
    <t>利用者数　×　1</t>
    <rPh sb="0" eb="2">
      <t>リヨウ</t>
    </rPh>
    <rPh sb="2" eb="3">
      <t>シャ</t>
    </rPh>
    <rPh sb="3" eb="4">
      <t>スウ</t>
    </rPh>
    <phoneticPr fontId="2"/>
  </si>
  <si>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2"/>
  </si>
  <si>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2"/>
  </si>
  <si>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2"/>
  </si>
  <si>
    <t>（イ）当該年４月１日現在、事業実績が６か月に満たない事業所用</t>
    <rPh sb="3" eb="5">
      <t>トウガイ</t>
    </rPh>
    <rPh sb="5" eb="6">
      <t>ネン</t>
    </rPh>
    <rPh sb="22" eb="23">
      <t>ミ</t>
    </rPh>
    <phoneticPr fontId="2"/>
  </si>
  <si>
    <t>(前年から定員を２５％以上変更する場合も含む）</t>
    <rPh sb="1" eb="3">
      <t>ゼンネン</t>
    </rPh>
    <rPh sb="5" eb="7">
      <t>テイイン</t>
    </rPh>
    <rPh sb="11" eb="13">
      <t>イジョウ</t>
    </rPh>
    <rPh sb="13" eb="15">
      <t>ヘンコウ</t>
    </rPh>
    <rPh sb="17" eb="19">
      <t>バアイ</t>
    </rPh>
    <rPh sb="20" eb="21">
      <t>フク</t>
    </rPh>
    <phoneticPr fontId="2"/>
  </si>
  <si>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2"/>
  </si>
  <si>
    <t>●平均利用延人員見込み数推計</t>
    <rPh sb="8" eb="10">
      <t>ミコ</t>
    </rPh>
    <rPh sb="12" eb="14">
      <t>スイケイ</t>
    </rPh>
    <phoneticPr fontId="2"/>
  </si>
  <si>
    <t>計算方法・・・（運営規程の定員）×90%×（営業日数／月）＝(ｂ)</t>
    <rPh sb="0" eb="2">
      <t>ケイサン</t>
    </rPh>
    <rPh sb="2" eb="4">
      <t>ホウホウ</t>
    </rPh>
    <phoneticPr fontId="2"/>
  </si>
  <si>
    <t>（ｂ）</t>
    <phoneticPr fontId="2"/>
  </si>
  <si>
    <t>（人）</t>
    <phoneticPr fontId="2"/>
  </si>
  <si>
    <t>×</t>
    <phoneticPr fontId="2"/>
  </si>
  <si>
    <t>（日）</t>
    <phoneticPr fontId="2"/>
  </si>
  <si>
    <t>（人）</t>
    <rPh sb="1" eb="2">
      <t>ニン</t>
    </rPh>
    <phoneticPr fontId="2"/>
  </si>
  <si>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2"/>
  </si>
  <si>
    <t>●算定区分</t>
    <rPh sb="1" eb="3">
      <t>サンテイ</t>
    </rPh>
    <rPh sb="3" eb="5">
      <t>クブン</t>
    </rPh>
    <phoneticPr fontId="2"/>
  </si>
  <si>
    <t>　（ｂ）≦７５０人</t>
    <phoneticPr fontId="2"/>
  </si>
  <si>
    <r>
      <t>・・・</t>
    </r>
    <r>
      <rPr>
        <b/>
        <sz val="11"/>
        <rFont val="HGSｺﾞｼｯｸM"/>
        <family val="3"/>
        <charset val="128"/>
      </rPr>
      <t>通常規模</t>
    </r>
    <rPh sb="3" eb="5">
      <t>ツウジョウ</t>
    </rPh>
    <rPh sb="5" eb="7">
      <t>キボ</t>
    </rPh>
    <phoneticPr fontId="2"/>
  </si>
  <si>
    <t>-</t>
    <phoneticPr fontId="2"/>
  </si>
  <si>
    <t>認知症専門ケア加算に係る届出書</t>
    <rPh sb="0" eb="3">
      <t>ニンチショウ</t>
    </rPh>
    <rPh sb="3" eb="5">
      <t>センモン</t>
    </rPh>
    <rPh sb="7" eb="9">
      <t>カサン</t>
    </rPh>
    <rPh sb="10" eb="11">
      <t>カカ</t>
    </rPh>
    <rPh sb="12" eb="15">
      <t>トドケデショ</t>
    </rPh>
    <phoneticPr fontId="2"/>
  </si>
  <si>
    <t>中重度者ケア体制加算に係る届出書</t>
    <rPh sb="0" eb="4">
      <t>チュウジュウドシャ</t>
    </rPh>
    <rPh sb="6" eb="8">
      <t>タイセイ</t>
    </rPh>
    <rPh sb="8" eb="10">
      <t>カサン</t>
    </rPh>
    <rPh sb="11" eb="12">
      <t>カカ</t>
    </rPh>
    <rPh sb="13" eb="16">
      <t>トドケデショ</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</si>
  <si>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</si>
  <si>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</si>
  <si>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</si>
  <si>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</si>
  <si>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</si>
  <si>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</si>
  <si>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</si>
  <si>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届 出 項 目</t>
    <phoneticPr fontId="2"/>
  </si>
  <si>
    <t>１　認知症専門ケア加算（Ⅰ）　　　</t>
    <phoneticPr fontId="2"/>
  </si>
  <si>
    <t>２　認知症専門ケア加算（Ⅱ）</t>
  </si>
  <si>
    <t>有</t>
    <rPh sb="0" eb="1">
      <t>ア</t>
    </rPh>
    <phoneticPr fontId="2"/>
  </si>
  <si>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</si>
  <si>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</si>
  <si>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</si>
  <si>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</si>
  <si>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</si>
  <si>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</si>
  <si>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</si>
  <si>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</si>
  <si>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</si>
  <si>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</si>
  <si>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</si>
  <si>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</si>
  <si>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</si>
  <si>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</si>
  <si>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</si>
  <si>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</si>
  <si>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</si>
  <si>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</si>
  <si>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</si>
  <si>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</si>
  <si>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</si>
  <si>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</si>
  <si>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</si>
  <si>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</si>
  <si>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</si>
  <si>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</si>
  <si>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</si>
  <si>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</si>
  <si>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</si>
  <si>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</si>
  <si>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</si>
  <si>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</si>
  <si>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</si>
  <si>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</si>
  <si>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</si>
  <si>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</si>
  <si>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</si>
  <si>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</si>
  <si>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</si>
  <si>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</si>
  <si>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</si>
  <si>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</si>
  <si>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</si>
  <si>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</si>
  <si>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</si>
  <si>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</si>
  <si>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</si>
  <si>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</si>
  <si>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</si>
  <si>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</si>
  <si>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</si>
  <si>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</si>
  <si>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</si>
  <si>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</si>
  <si>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</si>
  <si>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事 業 所 名</t>
  </si>
  <si>
    <t>1　新規</t>
    <phoneticPr fontId="2"/>
  </si>
  <si>
    <t>2　変更</t>
    <phoneticPr fontId="2"/>
  </si>
  <si>
    <t>3　終了</t>
    <phoneticPr fontId="2"/>
  </si>
  <si>
    <t>事業所等の区分</t>
    <rPh sb="0" eb="3">
      <t>ジギョウショ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</si>
  <si>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</si>
  <si>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</si>
  <si>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</si>
  <si>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</si>
  <si>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通所介護</t>
    <rPh sb="0" eb="2">
      <t>ツウショ</t>
    </rPh>
    <rPh sb="2" eb="4">
      <t>カイゴ</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</si>
  <si>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</si>
  <si>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</si>
  <si>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</si>
  <si>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</si>
  <si>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</si>
  <si>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</si>
  <si>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</si>
  <si>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</si>
  <si>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</si>
  <si>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</si>
  <si>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</si>
  <si>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</si>
  <si>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</si>
  <si>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備考　要件を満たすことが分かる根拠書類を準備し、指定権者からの求めがあった場合には、</t>
    <phoneticPr fontId="2"/>
  </si>
  <si>
    <t>　　速やかに提出すること。</t>
    <rPh sb="2" eb="3">
      <t>スミ</t>
    </rPh>
    <rPh sb="6" eb="8">
      <t>テイシュツ</t>
    </rPh>
    <phoneticPr fontId="2"/>
  </si>
  <si>
    <t>ア．前年度（３月を除く）の実績の平均</t>
  </si>
  <si>
    <t>イ．届出日の属する月の前３月</t>
  </si>
  <si>
    <t>前年度（３月を除く）</t>
  </si>
  <si>
    <t>5月</t>
  </si>
  <si>
    <t>6月</t>
  </si>
  <si>
    <t>7月</t>
  </si>
  <si>
    <t>8月</t>
  </si>
  <si>
    <t>9月</t>
  </si>
  <si>
    <t>10月</t>
  </si>
  <si>
    <t>1月</t>
  </si>
  <si>
    <t>2月</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</si>
  <si>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</si>
  <si>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</si>
  <si>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</si>
  <si>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人員配置区分</t>
  </si>
  <si>
    <t>そ　 　　の　 　　他　　 　該　　 　当　　 　す 　　　る 　　　体 　　　制 　　　等</t>
    <phoneticPr fontId="2"/>
  </si>
  <si>
    <t>割 引</t>
  </si>
  <si>
    <t>各サービス共通</t>
  </si>
  <si>
    <t>地域区分</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</si>
  <si>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</si>
  <si>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</si>
  <si>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</si>
  <si>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</si>
  <si>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</si>
  <si>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</si>
  <si>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</si>
  <si>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</si>
  <si>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</si>
  <si>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</si>
  <si>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2"/>
  </si>
  <si>
    <t>１ 減算型</t>
    <phoneticPr fontId="2"/>
  </si>
  <si>
    <t>２ 基準型</t>
    <phoneticPr fontId="2"/>
  </si>
  <si>
    <t>１ なし</t>
    <phoneticPr fontId="2"/>
  </si>
  <si>
    <t>２ 加算Ⅰ</t>
    <phoneticPr fontId="2"/>
  </si>
  <si>
    <t>３ 加算Ⅱ</t>
    <phoneticPr fontId="2"/>
  </si>
  <si>
    <t>２ あり</t>
    <phoneticPr fontId="2"/>
  </si>
  <si>
    <t>１　非該当</t>
    <phoneticPr fontId="2"/>
  </si>
  <si>
    <t>２　該当</t>
  </si>
  <si>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</si>
  <si>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</si>
  <si>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3"/>
  </si>
  <si>
    <t>３ 加算Ⅰ</t>
    <phoneticPr fontId="2"/>
  </si>
  <si>
    <t>１ 対応不可</t>
    <rPh sb="2" eb="4">
      <t>タイオウ</t>
    </rPh>
    <rPh sb="4" eb="6">
      <t>フカ</t>
    </rPh>
    <phoneticPr fontId="2"/>
  </si>
  <si>
    <t>２ 対応可</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</si>
  <si>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</si>
  <si>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</si>
  <si>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</si>
  <si>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</si>
  <si>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</si>
  <si>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</si>
  <si>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</si>
  <si>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</si>
  <si>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</si>
  <si>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</si>
  <si>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</si>
  <si>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業務継続計画策定の有無</t>
    <phoneticPr fontId="2"/>
  </si>
  <si>
    <t>感染症又は災害の発生を理由とする利用者数の減少が一定以上生じている場合の対応</t>
    <phoneticPr fontId="2"/>
  </si>
  <si>
    <t>入浴介助加算</t>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</si>
  <si>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</si>
  <si>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</si>
  <si>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</si>
  <si>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６ 加算Ⅰ</t>
    <phoneticPr fontId="2"/>
  </si>
  <si>
    <t>５ 加算Ⅱ</t>
    <phoneticPr fontId="2"/>
  </si>
  <si>
    <t>７ 加算Ⅲ</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</si>
  <si>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</si>
  <si>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</si>
  <si>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</si>
  <si>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</si>
  <si>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</si>
  <si>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</si>
  <si>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</si>
  <si>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</si>
  <si>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</si>
  <si>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</si>
  <si>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</si>
  <si>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2"/>
  </si>
  <si>
    <t>生活行為向上ﾘﾊﾋﾞﾘﾃｰｼｮﾝ実施加算</t>
    <rPh sb="0" eb="2">
      <t>セイカツ</t>
    </rPh>
    <rPh sb="2" eb="4">
      <t>コウイ</t>
    </rPh>
    <rPh sb="4" eb="6">
      <t>コウジョウ</t>
    </rPh>
    <rPh sb="16" eb="18">
      <t>ジッシ</t>
    </rPh>
    <rPh sb="19" eb="20">
      <t>カサン</t>
    </rPh>
    <phoneticPr fontId="2"/>
  </si>
  <si>
    <t>Ｇ　大規模の事業所(特例)(病院・診療所)</t>
    <rPh sb="10" eb="12">
      <t>トクレイ</t>
    </rPh>
    <phoneticPr fontId="2"/>
  </si>
  <si>
    <t>Ｈ　大規模の事業所(特例)(介護老人保健施設)</t>
    <phoneticPr fontId="2"/>
  </si>
  <si>
    <t>中重度者ケア体制加算</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</si>
  <si>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</si>
  <si>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</si>
  <si>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</si>
  <si>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</si>
  <si>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</si>
  <si>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</si>
  <si>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送迎体制</t>
  </si>
  <si>
    <t>生産性向上推進体制加算</t>
    <phoneticPr fontId="2"/>
  </si>
  <si>
    <t>夜間勤務条件基準</t>
  </si>
  <si>
    <t>１ 重症皮膚潰瘍管理指導</t>
    <phoneticPr fontId="2"/>
  </si>
  <si>
    <t>２ 薬剤管理指導</t>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</si>
  <si>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</si>
  <si>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</si>
  <si>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</si>
  <si>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</si>
  <si>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</si>
  <si>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３ 集団コミュニケーション療法</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</si>
  <si>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</si>
  <si>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</si>
  <si>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</si>
  <si>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</si>
  <si>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</si>
  <si>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ﾘﾊﾋﾞﾘﾃｰｼｮﾝ提供体制</t>
  </si>
  <si>
    <t>２　Ⅱ型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</si>
  <si>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</si>
  <si>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</si>
  <si>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</si>
  <si>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療養環境基準（療養室）</t>
    <rPh sb="7" eb="10">
      <t>リョウヨウシツ</t>
    </rPh>
    <phoneticPr fontId="2"/>
  </si>
  <si>
    <t>送迎体制</t>
    <phoneticPr fontId="2"/>
  </si>
  <si>
    <t>１　Ⅰ型（Ⅰ）</t>
  </si>
  <si>
    <t>１　Ⅰ型介護医療院</t>
  </si>
  <si>
    <t>２　Ⅰ型（Ⅱ）</t>
  </si>
  <si>
    <t>特別診療費項目</t>
    <rPh sb="0" eb="1">
      <t>トク</t>
    </rPh>
    <rPh sb="1" eb="2">
      <t>ベツ</t>
    </rPh>
    <phoneticPr fontId="2"/>
  </si>
  <si>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</si>
  <si>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</si>
  <si>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</si>
  <si>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</si>
  <si>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</si>
  <si>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</si>
  <si>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</si>
  <si>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</si>
  <si>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</si>
  <si>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</si>
  <si>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</si>
  <si>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</si>
  <si>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高齢者施設等感染対策向上加算Ⅰ</t>
    <phoneticPr fontId="2"/>
  </si>
  <si>
    <t>高齢者施設等感染対策向上加算Ⅱ</t>
    <phoneticPr fontId="2"/>
  </si>
  <si>
    <t>身体拘束廃止取組の有無</t>
  </si>
  <si>
    <t>栄養ケア・マネジメントの
実施の有無</t>
    <rPh sb="0" eb="2">
      <t>エイヨウ</t>
    </rPh>
    <rPh sb="13" eb="15">
      <t>ジッシ</t>
    </rPh>
    <rPh sb="16" eb="18">
      <t>ウム</t>
    </rPh>
    <phoneticPr fontId="2"/>
  </si>
  <si>
    <t>認知症チームケア推進加算</t>
    <phoneticPr fontId="2"/>
  </si>
  <si>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</si>
  <si>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</si>
  <si>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</si>
  <si>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</si>
  <si>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</si>
  <si>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</si>
  <si>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</si>
  <si>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</si>
  <si>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</si>
  <si>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</si>
  <si>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</si>
  <si>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</si>
  <si>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</si>
  <si>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</si>
  <si>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t>１　病院又は診療所</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</si>
  <si>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</si>
  <si>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</si>
  <si>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</si>
  <si>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</si>
  <si>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</si>
  <si>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</si>
  <si>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</si>
  <si>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</si>
  <si>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 xml:space="preserve">１　Ⅰ型（Ⅰ） </t>
  </si>
  <si>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</si>
  <si>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</si>
  <si>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</si>
  <si>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</si>
  <si>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</si>
  <si>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</si>
  <si>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介護医療院</t>
  </si>
  <si>
    <t>（別紙２）</t>
    <rPh sb="1" eb="3">
      <t>ベッシ</t>
    </rPh>
    <phoneticPr fontId="2"/>
  </si>
  <si>
    <t>知事</t>
    <rPh sb="0" eb="2">
      <t>チジ</t>
    </rPh>
    <phoneticPr fontId="2"/>
  </si>
  <si>
    <t>殿</t>
    <rPh sb="0" eb="1">
      <t>ドノ</t>
    </rPh>
    <phoneticPr fontId="2"/>
  </si>
  <si>
    <t>所在地</t>
    <phoneticPr fontId="2"/>
  </si>
  <si>
    <t>事業所所在地市町村番号</t>
    <phoneticPr fontId="2"/>
  </si>
  <si>
    <t>主たる事務所の所在地</t>
    <phoneticPr fontId="2"/>
  </si>
  <si>
    <t>　　　　　</t>
    <phoneticPr fontId="2"/>
  </si>
  <si>
    <t>県</t>
    <rPh sb="0" eb="1">
      <t>ケン</t>
    </rPh>
    <phoneticPr fontId="2"/>
  </si>
  <si>
    <t>群市</t>
    <rPh sb="0" eb="1">
      <t>グン</t>
    </rPh>
    <rPh sb="1" eb="2">
      <t>シ</t>
    </rPh>
    <phoneticPr fontId="2"/>
  </si>
  <si>
    <t>法人の種別</t>
    <phoneticPr fontId="2"/>
  </si>
  <si>
    <t>事業所・施設の状況</t>
  </si>
  <si>
    <t>事業所・施設の名称</t>
    <phoneticPr fontId="2"/>
  </si>
  <si>
    <t>主たる事業所・施設の所在地</t>
    <phoneticPr fontId="2"/>
  </si>
  <si>
    <t>主たる事業所の所在地以外の場所で一部実施する場合の出張所等の所在地</t>
    <phoneticPr fontId="2"/>
  </si>
  <si>
    <t>届出を行う事業所・施設の種類</t>
  </si>
  <si>
    <t>指定居宅サービス</t>
  </si>
  <si>
    <t>1新規</t>
  </si>
  <si>
    <t>通所ﾘﾊﾋﾞﾘﾃｰｼｮﾝ</t>
    <phoneticPr fontId="2"/>
  </si>
  <si>
    <t>施設</t>
  </si>
  <si>
    <t>介護老人福祉施設</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</si>
  <si>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</si>
  <si>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</si>
  <si>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</si>
  <si>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</si>
  <si>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</si>
  <si>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</si>
  <si>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</si>
  <si>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</si>
  <si>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付表第一号（七）　通所リハビリテーション・介護予防通所リハビリテーション事業所の指定等に係る記載事項</t>
    <rPh sb="42" eb="43">
      <t>トウ</t>
    </rPh>
    <phoneticPr fontId="2"/>
  </si>
  <si>
    <t>事 業 所</t>
  </si>
  <si>
    <t>法人番号</t>
    <phoneticPr fontId="2"/>
  </si>
  <si>
    <t>名　　称</t>
    <rPh sb="0" eb="1">
      <t>メイ</t>
    </rPh>
    <rPh sb="3" eb="4">
      <t>ショウ</t>
    </rPh>
    <phoneticPr fontId="2"/>
  </si>
  <si>
    <t>所在地</t>
    <rPh sb="0" eb="3">
      <t>ショザイチ</t>
    </rPh>
    <phoneticPr fontId="2"/>
  </si>
  <si>
    <t>（郵便番号</t>
    <phoneticPr fontId="2"/>
  </si>
  <si>
    <t>都</t>
    <rPh sb="0" eb="1">
      <t>ト</t>
    </rPh>
    <phoneticPr fontId="2"/>
  </si>
  <si>
    <t>道</t>
    <rPh sb="0" eb="1">
      <t>ミチ</t>
    </rPh>
    <phoneticPr fontId="2"/>
  </si>
  <si>
    <t>市</t>
    <rPh sb="0" eb="1">
      <t>シ</t>
    </rPh>
    <phoneticPr fontId="2"/>
  </si>
  <si>
    <t>区</t>
    <rPh sb="0" eb="1">
      <t>ク</t>
    </rPh>
    <phoneticPr fontId="2"/>
  </si>
  <si>
    <t>府</t>
    <rPh sb="0" eb="1">
      <t>フ</t>
    </rPh>
    <phoneticPr fontId="2"/>
  </si>
  <si>
    <t>町</t>
    <rPh sb="0" eb="1">
      <t>マチ</t>
    </rPh>
    <phoneticPr fontId="2"/>
  </si>
  <si>
    <t>村</t>
    <rPh sb="0" eb="1">
      <t>ムラ</t>
    </rPh>
    <phoneticPr fontId="2"/>
  </si>
  <si>
    <t>連絡先</t>
    <rPh sb="0" eb="2">
      <t>レンラク</t>
    </rPh>
    <rPh sb="2" eb="3">
      <t>サキ</t>
    </rPh>
    <phoneticPr fontId="2"/>
  </si>
  <si>
    <t>（内線）</t>
    <rPh sb="1" eb="3">
      <t>ナイセン</t>
    </rPh>
    <phoneticPr fontId="2"/>
  </si>
  <si>
    <t>ＦＡＸ番号</t>
  </si>
  <si>
    <t>Email</t>
    <phoneticPr fontId="2"/>
  </si>
  <si>
    <t>管理者</t>
    <rPh sb="0" eb="3">
      <t>カンリシャ</t>
    </rPh>
    <phoneticPr fontId="2"/>
  </si>
  <si>
    <t>住所</t>
    <rPh sb="0" eb="2">
      <t>ジュウショ</t>
    </rPh>
    <phoneticPr fontId="2"/>
  </si>
  <si>
    <t>氏    名</t>
    <phoneticPr fontId="2"/>
  </si>
  <si>
    <t>生年月日</t>
    <phoneticPr fontId="2"/>
  </si>
  <si>
    <t>事業所の種別
（１つに○）</t>
    <phoneticPr fontId="2"/>
  </si>
  <si>
    <t>病院</t>
    <rPh sb="0" eb="2">
      <t>ビョウイン</t>
    </rPh>
    <phoneticPr fontId="2"/>
  </si>
  <si>
    <t>診療所（下記のものを除く）</t>
    <rPh sb="4" eb="6">
      <t>カキ</t>
    </rPh>
    <rPh sb="10" eb="11">
      <t>ノゾ</t>
    </rPh>
    <phoneticPr fontId="2"/>
  </si>
  <si>
    <t>診療所（指定居宅等の事業の人員、設備及び
運営に関する基準第111条第１項の適用を受
けるもの）</t>
    <phoneticPr fontId="2"/>
  </si>
  <si>
    <t>介護老人保健施設</t>
    <phoneticPr fontId="2"/>
  </si>
  <si>
    <t>○人員に関する基準の確認に必要な事項</t>
    <phoneticPr fontId="2"/>
  </si>
  <si>
    <t>専従</t>
    <rPh sb="0" eb="1">
      <t>セン</t>
    </rPh>
    <rPh sb="1" eb="2">
      <t>ジュウ</t>
    </rPh>
    <phoneticPr fontId="2"/>
  </si>
  <si>
    <t>兼務</t>
    <rPh sb="0" eb="1">
      <t>ケン</t>
    </rPh>
    <rPh sb="1" eb="2">
      <t>ツトム</t>
    </rPh>
    <phoneticPr fontId="2"/>
  </si>
  <si>
    <t>○設備に関する基準の確認に必要な事項</t>
    <phoneticPr fontId="2"/>
  </si>
  <si>
    <t>専用の部屋等の面積</t>
    <rPh sb="0" eb="2">
      <t>センヨウ</t>
    </rPh>
    <rPh sb="3" eb="5">
      <t>ヘヤ</t>
    </rPh>
    <rPh sb="5" eb="6">
      <t>トウ</t>
    </rPh>
    <rPh sb="7" eb="9">
      <t>メンセキ</t>
    </rPh>
    <phoneticPr fontId="2"/>
  </si>
  <si>
    <t>利用定員（同時利用）</t>
    <rPh sb="0" eb="2">
      <t>リヨウ</t>
    </rPh>
    <rPh sb="2" eb="4">
      <t>テイイン</t>
    </rPh>
    <rPh sb="5" eb="7">
      <t>ドウジ</t>
    </rPh>
    <rPh sb="7" eb="9">
      <t>リヨウ</t>
    </rPh>
    <phoneticPr fontId="2"/>
  </si>
  <si>
    <t>人</t>
    <rPh sb="0" eb="1">
      <t xml:space="preserve">ニン </t>
    </rPh>
    <phoneticPr fontId="2"/>
  </si>
  <si>
    <t>サービス提供単位１</t>
    <rPh sb="4" eb="6">
      <t>テイキョウ</t>
    </rPh>
    <phoneticPr fontId="2"/>
  </si>
  <si>
    <t>理学療法士</t>
    <phoneticPr fontId="2"/>
  </si>
  <si>
    <t>作業療法士</t>
    <phoneticPr fontId="2"/>
  </si>
  <si>
    <t>言語聴覚士</t>
    <phoneticPr fontId="2"/>
  </si>
  <si>
    <t>看護職員</t>
    <phoneticPr fontId="2"/>
  </si>
  <si>
    <t>介護職員</t>
    <phoneticPr fontId="2"/>
  </si>
  <si>
    <t>営業日（該当に〇）</t>
    <rPh sb="0" eb="2">
      <t>エイギョウ</t>
    </rPh>
    <rPh sb="2" eb="3">
      <t>ビ</t>
    </rPh>
    <rPh sb="4" eb="6">
      <t>ガイトウ</t>
    </rPh>
    <phoneticPr fontId="2"/>
  </si>
  <si>
    <t>日曜日</t>
    <rPh sb="0" eb="3">
      <t>ニチヨウビ</t>
    </rPh>
    <phoneticPr fontId="2"/>
  </si>
  <si>
    <t>月曜日</t>
    <rPh sb="0" eb="3">
      <t>ゲツヨウビ</t>
    </rPh>
    <phoneticPr fontId="2"/>
  </si>
  <si>
    <t>火曜日</t>
    <rPh sb="0" eb="3">
      <t>カヨウビ</t>
    </rPh>
    <phoneticPr fontId="2"/>
  </si>
  <si>
    <t>水曜日</t>
    <rPh sb="0" eb="3">
      <t>スイヨウビ</t>
    </rPh>
    <phoneticPr fontId="2"/>
  </si>
  <si>
    <t>木曜日</t>
    <rPh sb="0" eb="3">
      <t>モクヨウビ</t>
    </rPh>
    <phoneticPr fontId="2"/>
  </si>
  <si>
    <t>金曜日</t>
    <rPh sb="0" eb="3">
      <t>キンヨウビ</t>
    </rPh>
    <phoneticPr fontId="2"/>
  </si>
  <si>
    <t>土曜日</t>
    <rPh sb="0" eb="3">
      <t>ドヨウビ</t>
    </rPh>
    <phoneticPr fontId="2"/>
  </si>
  <si>
    <t>祝日</t>
    <rPh sb="0" eb="2">
      <t>シュクジツ</t>
    </rPh>
    <phoneticPr fontId="2"/>
  </si>
  <si>
    <t>その他（年末年始休日等）</t>
    <phoneticPr fontId="2"/>
  </si>
  <si>
    <t>営業時間</t>
    <phoneticPr fontId="2"/>
  </si>
  <si>
    <t>曜日ごとに
異なる場合記入</t>
    <rPh sb="0" eb="2">
      <t>ヨウビ</t>
    </rPh>
    <rPh sb="6" eb="7">
      <t>コト</t>
    </rPh>
    <rPh sb="9" eb="11">
      <t>バアイ</t>
    </rPh>
    <rPh sb="11" eb="13">
      <t>キニュウ</t>
    </rPh>
    <phoneticPr fontId="2"/>
  </si>
  <si>
    <t>日曜日・祝日</t>
    <rPh sb="0" eb="2">
      <t>ニチヨウ</t>
    </rPh>
    <rPh sb="2" eb="3">
      <t>ビ</t>
    </rPh>
    <rPh sb="4" eb="6">
      <t>シュクジツ</t>
    </rPh>
    <phoneticPr fontId="2"/>
  </si>
  <si>
    <t>サービス提供時間</t>
    <rPh sb="4" eb="6">
      <t>テイキョウ</t>
    </rPh>
    <phoneticPr fontId="2"/>
  </si>
  <si>
    <t>利用定員</t>
    <rPh sb="0" eb="2">
      <t>リヨウ</t>
    </rPh>
    <rPh sb="2" eb="4">
      <t>テイイン</t>
    </rPh>
    <phoneticPr fontId="2"/>
  </si>
  <si>
    <t>サービス提供単位２</t>
    <rPh sb="4" eb="6">
      <t>テイキョウ</t>
    </rPh>
    <phoneticPr fontId="2"/>
  </si>
  <si>
    <t>添付書類</t>
    <rPh sb="0" eb="2">
      <t>テンプ</t>
    </rPh>
    <rPh sb="2" eb="4">
      <t>ショルイ</t>
    </rPh>
    <phoneticPr fontId="2"/>
  </si>
  <si>
    <t>別添のとおり</t>
    <rPh sb="0" eb="2">
      <t>ベッテン</t>
    </rPh>
    <phoneticPr fontId="2"/>
  </si>
  <si>
    <t>備考</t>
    <phoneticPr fontId="2"/>
  </si>
  <si>
    <t>１
２
３
４
５</t>
    <phoneticPr fontId="2"/>
  </si>
  <si>
    <t xml:space="preserve">　記入欄が不足する場合は、適宜欄を設けて記載するか又は次頁の記入欄不足時の書類を添付してください。                         
　事業所の種別について、事業所が診療所である場合は、指定居宅等の事業の人員、設備及び運営に関する基準第111条第１項の適用を受けるものを除き、「診療所（下記のものを除く）」の欄に○をつけてください。
　従業者の員数については、総数を記載してください。                         
　病院、診療所、介護老人保健施設又は介護医療院が行うものについては、法第71条第１項及び第 72 条第１項の規定により指定があったものとみなされる場合は、本申請の必要はありません。
　サービス提供時間は、 送迎時間を除きます。                         
</t>
    <rPh sb="76" eb="79">
      <t>ジギョウショ</t>
    </rPh>
    <rPh sb="80" eb="82">
      <t>シュベツ</t>
    </rPh>
    <rPh sb="87" eb="90">
      <t>ジギョウショ</t>
    </rPh>
    <rPh sb="91" eb="94">
      <t>シンリョウジョ</t>
    </rPh>
    <rPh sb="97" eb="99">
      <t>バアイ</t>
    </rPh>
    <rPh sb="147" eb="150">
      <t>シンリョウジョ</t>
    </rPh>
    <rPh sb="151" eb="153">
      <t>カキ</t>
    </rPh>
    <rPh sb="157" eb="158">
      <t>ノゾ</t>
    </rPh>
    <rPh sb="162" eb="163">
      <t>ラン</t>
    </rPh>
    <phoneticPr fontId="2"/>
  </si>
  <si>
    <t>付表第一号（十一）　短期入所療養介護・介護予防短期入所療養介護事業所の指定等に係る記載事項</t>
    <rPh sb="37" eb="38">
      <t>トウ</t>
    </rPh>
    <phoneticPr fontId="2"/>
  </si>
  <si>
    <t>事　業　所</t>
    <phoneticPr fontId="2"/>
  </si>
  <si>
    <t>名    称</t>
  </si>
  <si>
    <t>（郵便番号             　　　　　　　　　　　　　　　　　　　　　　　　　　　　　　　　　　　　　　　　　　　　　　　　　　　　　　　　　　　　　　　　　　　　　</t>
    <phoneticPr fontId="2"/>
  </si>
  <si>
    <t xml:space="preserve"> ）</t>
  </si>
  <si>
    <t>連絡先</t>
    <phoneticPr fontId="2"/>
  </si>
  <si>
    <t>FAX 番号</t>
  </si>
  <si>
    <t>事業所種別
（該当に○を記入）</t>
    <phoneticPr fontId="2"/>
  </si>
  <si>
    <t>①介護老人保健施設</t>
  </si>
  <si>
    <t>②療養病床を有する病院・診療所</t>
    <phoneticPr fontId="2"/>
  </si>
  <si>
    <t>③②に該当しない診療所</t>
    <phoneticPr fontId="2"/>
  </si>
  <si>
    <t>④介護医療院</t>
    <rPh sb="1" eb="3">
      <t>カイゴ</t>
    </rPh>
    <rPh sb="3" eb="6">
      <t>イリョウイン</t>
    </rPh>
    <phoneticPr fontId="2"/>
  </si>
  <si>
    <t>管理者</t>
    <phoneticPr fontId="2"/>
  </si>
  <si>
    <t>住所</t>
  </si>
  <si>
    <t xml:space="preserve">（郵便番号    　   　        </t>
    <phoneticPr fontId="2"/>
  </si>
  <si>
    <t xml:space="preserve"> －</t>
  </si>
  <si>
    <t>）</t>
  </si>
  <si>
    <t>氏  　  名</t>
    <phoneticPr fontId="2"/>
  </si>
  <si>
    <t>生年月日</t>
  </si>
  <si>
    <t>病棟名</t>
    <rPh sb="0" eb="2">
      <t>ビョウトウ</t>
    </rPh>
    <rPh sb="2" eb="3">
      <t>メイ</t>
    </rPh>
    <phoneticPr fontId="2"/>
  </si>
  <si>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</si>
  <si>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イッホウ</t>
    </rPh>
    <phoneticPr fontId="2"/>
  </si>
  <si>
    <t>従来型</t>
  </si>
  <si>
    <t>ユニット型</t>
    <phoneticPr fontId="2"/>
  </si>
  <si>
    <t>申請を行う部分の入院患者又は入所者の定員</t>
    <phoneticPr fontId="2"/>
  </si>
  <si>
    <t>○人員に関する基準の確認に必要な事項</t>
    <rPh sb="1" eb="18">
      <t>ジ</t>
    </rPh>
    <phoneticPr fontId="2"/>
  </si>
  <si>
    <t>指定申請を行う病棟部分又は診療所の従業者の職種・員数</t>
    <rPh sb="11" eb="12">
      <t>マタ</t>
    </rPh>
    <rPh sb="13" eb="16">
      <t>シンリョウジョ</t>
    </rPh>
    <phoneticPr fontId="2"/>
  </si>
  <si>
    <t>担当医師</t>
    <phoneticPr fontId="2"/>
  </si>
  <si>
    <t>専従</t>
  </si>
  <si>
    <t>兼務</t>
  </si>
  <si>
    <t>常   勤（人）</t>
    <phoneticPr fontId="2"/>
  </si>
  <si>
    <t>非常勤（人）</t>
  </si>
  <si>
    <t>常勤換算後の人数（人）</t>
  </si>
  <si>
    <t>○設備に関する基準の確認に必要な事項</t>
    <rPh sb="1" eb="18">
      <t>セ</t>
    </rPh>
    <phoneticPr fontId="2"/>
  </si>
  <si>
    <t>指定申請を行う病棟（病室）部分の設備基準上の数値記載項目</t>
    <rPh sb="10" eb="12">
      <t>ビョウシツ</t>
    </rPh>
    <phoneticPr fontId="2"/>
  </si>
  <si>
    <t>事業所種別③に該当時</t>
    <phoneticPr fontId="2"/>
  </si>
  <si>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</si>
  <si>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</si>
  <si>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2"/>
  </si>
  <si>
    <t>介護形式（いずれか一方を選択）</t>
    <rPh sb="0" eb="2">
      <t>カイゴ</t>
    </rPh>
    <rPh sb="2" eb="4">
      <t>ケイシキ</t>
    </rPh>
    <rPh sb="9" eb="11">
      <t>イッポウ</t>
    </rPh>
    <phoneticPr fontId="2"/>
  </si>
  <si>
    <t>別添のとおり</t>
    <phoneticPr fontId="2"/>
  </si>
  <si>
    <t xml:space="preserve">１
２
３
</t>
    <phoneticPr fontId="2"/>
  </si>
  <si>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2"/>
  </si>
  <si>
    <t>（参考）  短期入所療養介護・介護予防短期入所療養介護事業所の指定等に係る記載事項記入欄不足時の資料</t>
    <rPh sb="1" eb="3">
      <t>サンコウ</t>
    </rPh>
    <rPh sb="33" eb="34">
      <t>トウ</t>
    </rPh>
    <phoneticPr fontId="2"/>
  </si>
  <si>
    <t>■複数病棟</t>
    <rPh sb="1" eb="3">
      <t>フクスウ</t>
    </rPh>
    <rPh sb="3" eb="5">
      <t>ビョウトウ</t>
    </rPh>
    <phoneticPr fontId="2"/>
  </si>
  <si>
    <t>　　　　（記載例1―勤務時間 ①8：30～17：00、②16：30～1：00、③0：30～9：00、④休日）</t>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</si>
  <si>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</si>
  <si>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</si>
  <si>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</si>
  <si>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事業所番号</t>
    <rPh sb="0" eb="3">
      <t>ジギョウショ</t>
    </rPh>
    <rPh sb="3" eb="5">
      <t>バンゴウ</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</si>
  <si>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</si>
  <si>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</si>
  <si>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</si>
  <si>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</si>
  <si>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</si>
  <si>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</si>
  <si>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</si>
  <si>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</si>
  <si>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</si>
  <si>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</si>
  <si>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</si>
  <si>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</si>
  <si>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</si>
  <si>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</si>
  <si>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</si>
  <si>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</si>
  <si>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</si>
  <si>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</si>
  <si>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</si>
  <si>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</si>
  <si>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</si>
  <si>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</si>
  <si>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</si>
  <si>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</si>
  <si>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</si>
  <si>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</si>
  <si>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</si>
  <si>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</si>
  <si>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</si>
  <si>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</si>
  <si>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</si>
  <si>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</si>
  <si>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</si>
  <si>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</si>
  <si>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</si>
  <si>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</si>
  <si>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</si>
  <si>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</si>
  <si>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</si>
  <si>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</si>
  <si>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</si>
  <si>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</si>
  <si>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</si>
  <si>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</si>
  <si>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</si>
  <si>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</si>
  <si>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</si>
  <si>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</si>
  <si>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</si>
  <si>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</si>
  <si>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</si>
  <si>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</si>
  <si>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</si>
  <si>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</si>
  <si>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</si>
  <si>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</si>
  <si>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</si>
  <si>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</si>
  <si>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</si>
  <si>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30(2)</t>
    <phoneticPr fontId="2"/>
  </si>
  <si>
    <t>（別紙38）</t>
    <rPh sb="1" eb="3">
      <t>ベッシ</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</si>
  <si>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</si>
  <si>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</si>
  <si>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</si>
  <si>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</si>
  <si>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リハビリテーション・口腔・栄養
に係る計画の提出</t>
    <phoneticPr fontId="2"/>
  </si>
  <si>
    <t>高齢者虐待防止措置実施の有無</t>
  </si>
  <si>
    <t>業務継続計画策定の有無</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</si>
  <si>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</si>
  <si>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</si>
  <si>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</si>
  <si>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</si>
  <si>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</si>
  <si>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</si>
  <si>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</si>
  <si>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</si>
  <si>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</si>
  <si>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</si>
  <si>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</si>
  <si>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12(2)</t>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</si>
  <si>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</si>
  <si>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</si>
  <si>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</si>
  <si>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</si>
  <si>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全て「無」の場合、右の「有」を「■」にしてください。</t>
    <rPh sb="0" eb="1">
      <t>スベ</t>
    </rPh>
    <rPh sb="3" eb="4">
      <t>ナ</t>
    </rPh>
    <rPh sb="6" eb="8">
      <t>バアイ</t>
    </rPh>
    <rPh sb="9" eb="10">
      <t>ミギ</t>
    </rPh>
    <rPh sb="12" eb="13">
      <t>ア</t>
    </rPh>
    <phoneticPr fontId="2"/>
  </si>
  <si>
    <t>認知症チームケア推進加算</t>
    <rPh sb="0" eb="3">
      <t>ニンチショウ</t>
    </rPh>
    <rPh sb="8" eb="10">
      <t>スイシン</t>
    </rPh>
    <rPh sb="10" eb="12">
      <t>カサン</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</si>
  <si>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</si>
  <si>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</si>
  <si>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</si>
  <si>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</si>
  <si>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</si>
  <si>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</si>
  <si>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</si>
  <si>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</si>
  <si>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</si>
  <si>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</si>
  <si>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</si>
  <si>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</si>
  <si>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</si>
  <si>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</si>
  <si>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</si>
  <si>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</si>
  <si>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</si>
  <si>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</si>
  <si>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</si>
  <si>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</si>
  <si>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</si>
  <si>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</si>
  <si>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</si>
  <si>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</si>
  <si>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</si>
  <si>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</si>
  <si>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</si>
  <si>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</si>
  <si>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</si>
  <si>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</si>
  <si>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</si>
  <si>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</si>
  <si>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</si>
  <si>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</si>
  <si>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</si>
  <si>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</si>
  <si>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</si>
  <si>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認知症チームケア推進加算に係る届出書</t>
    <phoneticPr fontId="2"/>
  </si>
  <si>
    <t>高齢者施設等感染対策向上加算Ⅰ</t>
  </si>
  <si>
    <t>高齢者施設等感染対策向上加算Ⅱ</t>
  </si>
  <si>
    <t>生産性向上推進体制加算</t>
  </si>
  <si>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</si>
  <si>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</si>
  <si>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</si>
  <si>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</si>
  <si>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</si>
  <si>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</si>
  <si>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</si>
  <si>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</si>
  <si>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</si>
  <si>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</si>
  <si>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</si>
  <si>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</si>
  <si>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</si>
  <si>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</si>
  <si>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</si>
  <si>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</si>
  <si>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</si>
  <si>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</si>
  <si>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</si>
  <si>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</si>
  <si>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</si>
  <si>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</si>
  <si>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</si>
  <si>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</si>
  <si>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</si>
  <si>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</si>
  <si>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</si>
  <si>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</si>
  <si>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</si>
  <si>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</si>
  <si>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</si>
  <si>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</si>
  <si>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</si>
  <si>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</si>
  <si>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</si>
  <si>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</si>
  <si>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高齢者施設等感染対策向上加算に係る届出書</t>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</si>
  <si>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</si>
  <si>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</si>
  <si>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異動等区分</t>
  </si>
  <si>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</si>
  <si>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</si>
  <si>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</si>
  <si>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</si>
  <si>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</si>
  <si>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</si>
  <si>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</si>
  <si>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</si>
  <si>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</si>
  <si>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</si>
  <si>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</si>
  <si>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</si>
  <si>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</si>
  <si>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</si>
  <si>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</si>
  <si>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</si>
  <si>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</si>
  <si>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</si>
  <si>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</si>
  <si>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</si>
  <si>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</si>
  <si>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</si>
  <si>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</si>
  <si>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</si>
  <si>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</si>
  <si>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</si>
  <si>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</si>
  <si>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</si>
  <si>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</si>
  <si>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</si>
  <si>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</si>
  <si>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</si>
  <si>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</si>
  <si>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</si>
  <si>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</si>
  <si>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</si>
  <si>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</si>
  <si>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</si>
  <si>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</si>
  <si>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</si>
  <si>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</si>
  <si>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</si>
  <si>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</si>
  <si>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</si>
  <si>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</si>
  <si>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</si>
  <si>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</si>
  <si>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</si>
  <si>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</si>
  <si>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</si>
  <si>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</si>
  <si>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</si>
  <si>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生産性向上推進体制加算に係る届出書</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</si>
  <si>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</si>
  <si>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</si>
  <si>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</si>
  <si>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</si>
  <si>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</si>
  <si>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</si>
  <si>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</si>
  <si>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</si>
  <si>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</si>
  <si>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</si>
  <si>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</si>
  <si>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</si>
  <si>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</si>
  <si>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r>
      <t>　※（地域密着型）介護老人福祉施設、介護老人保健施設、</t>
    </r>
    <r>
      <rPr>
        <sz val="8"/>
        <rFont val="HGSｺﾞｼｯｸM"/>
        <family val="3"/>
        <charset val="128"/>
      </rPr>
      <t>介護医療院は記載</t>
    </r>
    <rPh sb="33" eb="35">
      <t>キサイ</t>
    </rPh>
    <phoneticPr fontId="2"/>
  </si>
  <si>
    <t>要件を満たすことが分かる根拠書類を準備し、指定権者からの求めがあった場合には、速やかに提出すること。</t>
    <phoneticPr fontId="2"/>
  </si>
  <si>
    <t>14（4）</t>
    <phoneticPr fontId="2"/>
  </si>
  <si>
    <t>医療院32</t>
    <rPh sb="0" eb="2">
      <t>イリョウ</t>
    </rPh>
    <rPh sb="2" eb="3">
      <t>イン</t>
    </rPh>
    <phoneticPr fontId="2"/>
  </si>
  <si>
    <t>医療院33</t>
    <rPh sb="0" eb="2">
      <t>イリョウ</t>
    </rPh>
    <rPh sb="2" eb="3">
      <t>イン</t>
    </rPh>
    <phoneticPr fontId="2"/>
  </si>
  <si>
    <t>医療院34</t>
    <rPh sb="0" eb="2">
      <t>イリョウ</t>
    </rPh>
    <rPh sb="2" eb="3">
      <t>イン</t>
    </rPh>
    <phoneticPr fontId="2"/>
  </si>
  <si>
    <t>医療院35</t>
    <rPh sb="0" eb="2">
      <t>イリョウ</t>
    </rPh>
    <rPh sb="2" eb="3">
      <t>イン</t>
    </rPh>
    <phoneticPr fontId="2"/>
  </si>
  <si>
    <t>医療院36</t>
    <rPh sb="0" eb="2">
      <t>イリョウ</t>
    </rPh>
    <rPh sb="2" eb="3">
      <t>イン</t>
    </rPh>
    <phoneticPr fontId="2"/>
  </si>
  <si>
    <t>医療院37</t>
    <rPh sb="0" eb="2">
      <t>イリョウ</t>
    </rPh>
    <rPh sb="2" eb="3">
      <t>イン</t>
    </rPh>
    <phoneticPr fontId="2"/>
  </si>
  <si>
    <t>医療院38</t>
    <rPh sb="0" eb="2">
      <t>イリョウ</t>
    </rPh>
    <rPh sb="2" eb="3">
      <t>イン</t>
    </rPh>
    <phoneticPr fontId="2"/>
  </si>
  <si>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2"/>
  </si>
  <si>
    <t>１　記入欄が不足する場合は、適宜欄を設けて記載するか又は次頁の記入欄不足時の書類を添付してください。                 
２　管理者の兼務については、添付資料にて確認可能な場合は記載を省略することが可能です。</t>
    <phoneticPr fontId="2"/>
  </si>
  <si>
    <t>人</t>
    <phoneticPr fontId="2"/>
  </si>
  <si>
    <t>利用定員</t>
    <phoneticPr fontId="2"/>
  </si>
  <si>
    <t>曜日ごとに
異なる場合
記入</t>
    <phoneticPr fontId="2"/>
  </si>
  <si>
    <t>土曜日</t>
  </si>
  <si>
    <t>金曜日</t>
  </si>
  <si>
    <t>木曜日</t>
  </si>
  <si>
    <t>営業日（該当に〇）</t>
    <rPh sb="0" eb="3">
      <t>エイギョウビ</t>
    </rPh>
    <rPh sb="4" eb="6">
      <t>ガイトウ</t>
    </rPh>
    <phoneticPr fontId="2"/>
  </si>
  <si>
    <t>○設備に関する基準の確認に必要な事項</t>
    <rPh sb="1" eb="3">
      <t>セツビ</t>
    </rPh>
    <rPh sb="4" eb="5">
      <t>カン</t>
    </rPh>
    <rPh sb="7" eb="9">
      <t>キジュン</t>
    </rPh>
    <rPh sb="10" eb="12">
      <t>カクニン</t>
    </rPh>
    <rPh sb="13" eb="15">
      <t>ヒツヨウ</t>
    </rPh>
    <rPh sb="16" eb="18">
      <t>ジコウ</t>
    </rPh>
    <phoneticPr fontId="2"/>
  </si>
  <si>
    <t>兼務</t>
    <rPh sb="0" eb="2">
      <t>ケンム</t>
    </rPh>
    <phoneticPr fontId="2"/>
  </si>
  <si>
    <t>看護職員</t>
    <rPh sb="0" eb="2">
      <t>カンゴ</t>
    </rPh>
    <rPh sb="2" eb="4">
      <t>ショクイン</t>
    </rPh>
    <phoneticPr fontId="2"/>
  </si>
  <si>
    <t>言語聴覚士</t>
    <rPh sb="0" eb="2">
      <t>ゲンゴ</t>
    </rPh>
    <rPh sb="2" eb="5">
      <t>チョウカクシ</t>
    </rPh>
    <phoneticPr fontId="2"/>
  </si>
  <si>
    <t>従業者の職種・員数</t>
    <rPh sb="0" eb="3">
      <t>ジュウギョウシャ</t>
    </rPh>
    <rPh sb="4" eb="6">
      <t>ショクシュ</t>
    </rPh>
    <rPh sb="7" eb="9">
      <t>インスウ</t>
    </rPh>
    <phoneticPr fontId="2"/>
  </si>
  <si>
    <t>サービス提供単位１</t>
    <rPh sb="4" eb="6">
      <t>テイキョウ</t>
    </rPh>
    <rPh sb="6" eb="8">
      <t>タンイ</t>
    </rPh>
    <phoneticPr fontId="2"/>
  </si>
  <si>
    <t>専用の部屋の面積</t>
    <rPh sb="0" eb="2">
      <t>センヨウ</t>
    </rPh>
    <rPh sb="3" eb="5">
      <t>ヘヤ</t>
    </rPh>
    <rPh sb="6" eb="8">
      <t>メンセキ</t>
    </rPh>
    <phoneticPr fontId="2"/>
  </si>
  <si>
    <t>○通所リハビリテーション（該当する場合のみ）</t>
    <rPh sb="1" eb="3">
      <t>ツウショ</t>
    </rPh>
    <phoneticPr fontId="2"/>
  </si>
  <si>
    <t>入所定員</t>
  </si>
  <si>
    <t>一日当たりの通所総利用者予定数</t>
    <phoneticPr fontId="2"/>
  </si>
  <si>
    <t>入所者の予定数</t>
    <phoneticPr fontId="2"/>
  </si>
  <si>
    <t>食堂（共同生活室）面積</t>
    <phoneticPr fontId="2"/>
  </si>
  <si>
    <t>機能訓練室面積</t>
  </si>
  <si>
    <t>入所者1人あたり最小床面積</t>
  </si>
  <si>
    <t>１室の最大定員</t>
  </si>
  <si>
    <t>療養室</t>
    <phoneticPr fontId="2"/>
  </si>
  <si>
    <t>介護医療院及び通所
リハビリテーション従事人数</t>
    <rPh sb="2" eb="4">
      <t>イリョウ</t>
    </rPh>
    <rPh sb="4" eb="5">
      <t>イン</t>
    </rPh>
    <phoneticPr fontId="2"/>
  </si>
  <si>
    <t>放射線技師</t>
    <rPh sb="0" eb="3">
      <t>ホウシャセン</t>
    </rPh>
    <rPh sb="3" eb="5">
      <t>ギシ</t>
    </rPh>
    <phoneticPr fontId="2"/>
  </si>
  <si>
    <t>栄養士</t>
  </si>
  <si>
    <t>理学･作業療法士</t>
  </si>
  <si>
    <t>薬剤師</t>
  </si>
  <si>
    <t>医  師</t>
    <phoneticPr fontId="2"/>
  </si>
  <si>
    <t>従業者の職種・員数</t>
  </si>
  <si>
    <t>ユニット型</t>
    <rPh sb="4" eb="5">
      <t>ガタ</t>
    </rPh>
    <phoneticPr fontId="2"/>
  </si>
  <si>
    <t>従来型</t>
    <rPh sb="0" eb="2">
      <t>ジュウライ</t>
    </rPh>
    <rPh sb="2" eb="3">
      <t>ガタ</t>
    </rPh>
    <phoneticPr fontId="2"/>
  </si>
  <si>
    <t>介護形式（いずれか一方を選択）</t>
    <rPh sb="0" eb="2">
      <t>カイゴ</t>
    </rPh>
    <rPh sb="2" eb="4">
      <t>ケイシキ</t>
    </rPh>
    <phoneticPr fontId="2"/>
  </si>
  <si>
    <t>サービス提供単位２</t>
    <phoneticPr fontId="2"/>
  </si>
  <si>
    <t>入所定員</t>
    <phoneticPr fontId="2"/>
  </si>
  <si>
    <t>介護形式（いずれか一方を選択）</t>
    <rPh sb="0" eb="2">
      <t>カイゴ</t>
    </rPh>
    <rPh sb="2" eb="4">
      <t>ケイシキ</t>
    </rPh>
    <rPh sb="9" eb="11">
      <t>イッポウ</t>
    </rPh>
    <rPh sb="12" eb="14">
      <t>センタク</t>
    </rPh>
    <phoneticPr fontId="2"/>
  </si>
  <si>
    <t>Ⅱ型介護医療院</t>
    <phoneticPr fontId="2"/>
  </si>
  <si>
    <t>Ⅰ型介護医療院</t>
  </si>
  <si>
    <t>施設類型（いずれか一方を選択）</t>
    <rPh sb="0" eb="2">
      <t>シセツ</t>
    </rPh>
    <rPh sb="2" eb="4">
      <t>ルイガタ</t>
    </rPh>
    <phoneticPr fontId="2"/>
  </si>
  <si>
    <t>療養棟名</t>
    <rPh sb="3" eb="4">
      <t>メイ</t>
    </rPh>
    <phoneticPr fontId="2"/>
  </si>
  <si>
    <t>主な診療科名</t>
  </si>
  <si>
    <t>名称</t>
  </si>
  <si>
    <t>協力医療機関</t>
    <phoneticPr fontId="2"/>
  </si>
  <si>
    <t>名称</t>
    <phoneticPr fontId="2"/>
  </si>
  <si>
    <t>施設を共用する事業所等の名称
(共用する場合記入)</t>
    <phoneticPr fontId="2"/>
  </si>
  <si>
    <t>通所リハビリテーションの実施の有無</t>
    <phoneticPr fontId="2"/>
  </si>
  <si>
    <t>短期入所療養介護の実施の有無</t>
    <phoneticPr fontId="2"/>
  </si>
  <si>
    <t>及び勤務時間等</t>
    <phoneticPr fontId="2"/>
  </si>
  <si>
    <t>兼務する職種</t>
  </si>
  <si>
    <t>同一敷地内の他の事業所又は
施設の従業者との兼務
（兼務の場合のみ記入）</t>
    <phoneticPr fontId="2"/>
  </si>
  <si>
    <t>氏    名</t>
  </si>
  <si>
    <t>管 理 者</t>
    <phoneticPr fontId="2"/>
  </si>
  <si>
    <t>連絡先</t>
  </si>
  <si>
    <t>町　村</t>
    <rPh sb="0" eb="1">
      <t>マチ</t>
    </rPh>
    <rPh sb="2" eb="3">
      <t>ムラ</t>
    </rPh>
    <phoneticPr fontId="2"/>
  </si>
  <si>
    <t>府　県</t>
    <rPh sb="0" eb="1">
      <t>フ</t>
    </rPh>
    <rPh sb="2" eb="3">
      <t>ケン</t>
    </rPh>
    <phoneticPr fontId="2"/>
  </si>
  <si>
    <t>市　区</t>
    <rPh sb="0" eb="1">
      <t>シ</t>
    </rPh>
    <rPh sb="2" eb="3">
      <t>ク</t>
    </rPh>
    <phoneticPr fontId="2"/>
  </si>
  <si>
    <t>都　道</t>
    <rPh sb="0" eb="1">
      <t>ト</t>
    </rPh>
    <rPh sb="2" eb="3">
      <t>ドウ</t>
    </rPh>
    <phoneticPr fontId="2"/>
  </si>
  <si>
    <t>東京</t>
    <rPh sb="0" eb="2">
      <t>トウキョウ</t>
    </rPh>
    <phoneticPr fontId="2"/>
  </si>
  <si>
    <t xml:space="preserve">  ） </t>
  </si>
  <si>
    <t xml:space="preserve"> －</t>
    <phoneticPr fontId="2"/>
  </si>
  <si>
    <t xml:space="preserve">（郵便番号 </t>
    <phoneticPr fontId="2"/>
  </si>
  <si>
    <t xml:space="preserve">
所在地</t>
    <phoneticPr fontId="2"/>
  </si>
  <si>
    <t>法人番号</t>
    <rPh sb="0" eb="2">
      <t>ホウジン</t>
    </rPh>
    <rPh sb="2" eb="4">
      <t>バンゴウ</t>
    </rPh>
    <phoneticPr fontId="2"/>
  </si>
  <si>
    <t>施　設</t>
    <phoneticPr fontId="2"/>
  </si>
  <si>
    <t>付表第一号（十七）  介護医療院の許可等に係る記載事項</t>
    <rPh sb="19" eb="20">
      <t>トウ</t>
    </rPh>
    <phoneticPr fontId="2"/>
  </si>
  <si>
    <t>サービス提供単位４</t>
    <rPh sb="4" eb="6">
      <t>テイキョウ</t>
    </rPh>
    <phoneticPr fontId="2"/>
  </si>
  <si>
    <t>サービス提供単位３</t>
    <rPh sb="4" eb="6">
      <t>テイキョウ</t>
    </rPh>
    <phoneticPr fontId="2"/>
  </si>
  <si>
    <t>■通所リハビリテーションサービス提供単位３以降</t>
    <rPh sb="1" eb="3">
      <t>ツウショ</t>
    </rPh>
    <rPh sb="16" eb="18">
      <t>テイキョウ</t>
    </rPh>
    <rPh sb="18" eb="20">
      <t>タンイ</t>
    </rPh>
    <rPh sb="21" eb="23">
      <t>イコウ</t>
    </rPh>
    <phoneticPr fontId="2"/>
  </si>
  <si>
    <t>サービス提供単位４</t>
    <phoneticPr fontId="2"/>
  </si>
  <si>
    <t>サービス提供単位３</t>
    <rPh sb="4" eb="6">
      <t>テイキョウ</t>
    </rPh>
    <rPh sb="6" eb="8">
      <t>タンイ</t>
    </rPh>
    <phoneticPr fontId="2"/>
  </si>
  <si>
    <t>■複数療養棟</t>
    <rPh sb="1" eb="3">
      <t>フクスウ</t>
    </rPh>
    <rPh sb="3" eb="6">
      <t>リョウヨウトウ</t>
    </rPh>
    <phoneticPr fontId="2"/>
  </si>
  <si>
    <t>■協力医療機関</t>
    <rPh sb="1" eb="3">
      <t>キョウリョク</t>
    </rPh>
    <rPh sb="3" eb="5">
      <t>イリョウ</t>
    </rPh>
    <rPh sb="5" eb="7">
      <t>キカン</t>
    </rPh>
    <phoneticPr fontId="2"/>
  </si>
  <si>
    <t>（参考）  介護医療院の許可等に係る記載事項記入欄不足時の資料</t>
    <rPh sb="1" eb="3">
      <t>サンコウ</t>
    </rPh>
    <rPh sb="6" eb="8">
      <t>カイゴ</t>
    </rPh>
    <rPh sb="8" eb="10">
      <t>イリョウ</t>
    </rPh>
    <rPh sb="10" eb="11">
      <t>イン</t>
    </rPh>
    <rPh sb="14" eb="15">
      <t>トウ</t>
    </rPh>
    <phoneticPr fontId="2"/>
  </si>
  <si>
    <t>A.通常規模の事業所（介護医療院）、B.大規模の事業所（介護医療院）</t>
    <phoneticPr fontId="2"/>
  </si>
  <si>
    <t>【訪問リハビリテーション】</t>
    <rPh sb="1" eb="3">
      <t>ホウモン</t>
    </rPh>
    <phoneticPr fontId="2"/>
  </si>
  <si>
    <t>1.介護保健施設（Ⅰ）、2. ユニット型介護保健施設（Ⅰ）、5.介護保健施設（Ⅱ）、6. ユニット型介護保健施設（Ⅱ）、7.介護保健施設（Ⅲ）、8. ユニット型介護保健施設（Ⅲ）、9.介護保健施設 （Ⅳ）、A. ユニット型介護保健施設 （Ⅳ）</t>
    <phoneticPr fontId="2"/>
  </si>
  <si>
    <t>訪リハ01</t>
    <rPh sb="0" eb="1">
      <t>ホウ</t>
    </rPh>
    <phoneticPr fontId="2"/>
  </si>
  <si>
    <t>高齢者虐待防止措置実施の有無</t>
    <rPh sb="0" eb="5">
      <t>コウレイシャギャクタイ</t>
    </rPh>
    <rPh sb="5" eb="9">
      <t>ボウシソチ</t>
    </rPh>
    <rPh sb="9" eb="11">
      <t>ジッシ</t>
    </rPh>
    <rPh sb="12" eb="14">
      <t>ウム</t>
    </rPh>
    <phoneticPr fontId="2"/>
  </si>
  <si>
    <t>訪リハ02</t>
    <rPh sb="0" eb="1">
      <t>ホウ</t>
    </rPh>
    <phoneticPr fontId="2"/>
  </si>
  <si>
    <t>特別地域加算</t>
    <rPh sb="0" eb="6">
      <t>トクベツチイキカサン</t>
    </rPh>
    <phoneticPr fontId="2"/>
  </si>
  <si>
    <t>訪リハ03</t>
    <rPh sb="0" eb="1">
      <t>ホウ</t>
    </rPh>
    <phoneticPr fontId="2"/>
  </si>
  <si>
    <t>訪リハ04</t>
    <rPh sb="0" eb="1">
      <t>ホウ</t>
    </rPh>
    <phoneticPr fontId="2"/>
  </si>
  <si>
    <t>中山間地域等における小規模事業所加算（規模に関する状況）</t>
    <phoneticPr fontId="2"/>
  </si>
  <si>
    <t>訪リハ05</t>
    <rPh sb="0" eb="1">
      <t>ホウ</t>
    </rPh>
    <phoneticPr fontId="2"/>
  </si>
  <si>
    <t>訪リハ06</t>
    <rPh sb="0" eb="1">
      <t>ホウ</t>
    </rPh>
    <phoneticPr fontId="2"/>
  </si>
  <si>
    <t>訪リハ07</t>
    <rPh sb="0" eb="1">
      <t>ホウ</t>
    </rPh>
    <phoneticPr fontId="2"/>
  </si>
  <si>
    <t>口腔連携強化加算</t>
    <rPh sb="0" eb="6">
      <t>コウクウレンケイキョウカ</t>
    </rPh>
    <rPh sb="6" eb="8">
      <t>カサン</t>
    </rPh>
    <phoneticPr fontId="2"/>
  </si>
  <si>
    <t>訪リハ08</t>
    <rPh sb="0" eb="1">
      <t>ホウ</t>
    </rPh>
    <phoneticPr fontId="2"/>
  </si>
  <si>
    <t>移行支援加算</t>
    <rPh sb="0" eb="6">
      <t>イコウシエンカサン</t>
    </rPh>
    <phoneticPr fontId="2"/>
  </si>
  <si>
    <t>訪リハ09</t>
    <rPh sb="0" eb="1">
      <t>ホウ</t>
    </rPh>
    <phoneticPr fontId="2"/>
  </si>
  <si>
    <t>訪リハ10</t>
    <rPh sb="0" eb="1">
      <t>ホウ</t>
    </rPh>
    <phoneticPr fontId="2"/>
  </si>
  <si>
    <t>【介護予防訪問リハビリテーション】</t>
    <rPh sb="5" eb="7">
      <t>ホウモン</t>
    </rPh>
    <phoneticPr fontId="2"/>
  </si>
  <si>
    <t>予訪リ01</t>
    <rPh sb="0" eb="1">
      <t>ヨ</t>
    </rPh>
    <rPh sb="1" eb="2">
      <t>ホウ</t>
    </rPh>
    <phoneticPr fontId="2"/>
  </si>
  <si>
    <t>予訪リ02</t>
    <rPh sb="0" eb="1">
      <t>ヨ</t>
    </rPh>
    <rPh sb="1" eb="2">
      <t>ホウ</t>
    </rPh>
    <phoneticPr fontId="2"/>
  </si>
  <si>
    <t>予訪リ03</t>
    <rPh sb="0" eb="1">
      <t>ヨ</t>
    </rPh>
    <rPh sb="1" eb="2">
      <t>ホウ</t>
    </rPh>
    <phoneticPr fontId="2"/>
  </si>
  <si>
    <t>予訪リ04</t>
    <rPh sb="0" eb="1">
      <t>ヨ</t>
    </rPh>
    <rPh sb="1" eb="2">
      <t>ホウ</t>
    </rPh>
    <phoneticPr fontId="2"/>
  </si>
  <si>
    <t>予訪リ05</t>
    <rPh sb="0" eb="1">
      <t>ヨ</t>
    </rPh>
    <rPh sb="1" eb="2">
      <t>ホウ</t>
    </rPh>
    <phoneticPr fontId="2"/>
  </si>
  <si>
    <t>予訪リ06</t>
    <rPh sb="0" eb="1">
      <t>ヨ</t>
    </rPh>
    <rPh sb="1" eb="2">
      <t>ホウ</t>
    </rPh>
    <phoneticPr fontId="2"/>
  </si>
  <si>
    <t>予訪リ07</t>
    <rPh sb="0" eb="1">
      <t>ヨ</t>
    </rPh>
    <rPh sb="1" eb="2">
      <t>ホウ</t>
    </rPh>
    <phoneticPr fontId="2"/>
  </si>
  <si>
    <t>参考様式３</t>
    <rPh sb="0" eb="2">
      <t>サンコウ</t>
    </rPh>
    <rPh sb="2" eb="4">
      <t>ヨウシキ</t>
    </rPh>
    <phoneticPr fontId="2"/>
  </si>
  <si>
    <t>７５０&lt;（ｂ）</t>
    <phoneticPr fontId="2"/>
  </si>
  <si>
    <r>
      <t>・・・</t>
    </r>
    <r>
      <rPr>
        <b/>
        <sz val="11"/>
        <rFont val="HGSｺﾞｼｯｸM"/>
        <family val="3"/>
        <charset val="128"/>
      </rPr>
      <t>大規模</t>
    </r>
    <rPh sb="3" eb="6">
      <t>ダイキボ</t>
    </rPh>
    <phoneticPr fontId="2"/>
  </si>
  <si>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2"/>
  </si>
  <si>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2"/>
  </si>
  <si>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2"/>
  </si>
  <si>
    <t>通リハ18</t>
    <rPh sb="0" eb="1">
      <t>ツウ</t>
    </rPh>
    <phoneticPr fontId="2"/>
  </si>
  <si>
    <t>通リハ19</t>
    <rPh sb="0" eb="1">
      <t>ツウ</t>
    </rPh>
    <phoneticPr fontId="2"/>
  </si>
  <si>
    <t>通リハ20</t>
    <rPh sb="0" eb="1">
      <t>ツウ</t>
    </rPh>
    <phoneticPr fontId="2"/>
  </si>
  <si>
    <t>業務継続計画策定の有無</t>
    <rPh sb="0" eb="6">
      <t>ギョウムケイゾクケイカク</t>
    </rPh>
    <rPh sb="6" eb="8">
      <t>サクテイ</t>
    </rPh>
    <rPh sb="9" eb="11">
      <t>ウム</t>
    </rPh>
    <phoneticPr fontId="2"/>
  </si>
  <si>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2"/>
  </si>
  <si>
    <t>AB</t>
    <phoneticPr fontId="2"/>
  </si>
  <si>
    <t>一体的サービス提供加算</t>
    <rPh sb="0" eb="3">
      <t>イッタイテキ</t>
    </rPh>
    <rPh sb="7" eb="11">
      <t>テイキョウカサン</t>
    </rPh>
    <phoneticPr fontId="2"/>
  </si>
  <si>
    <t>（別紙２）</t>
    <phoneticPr fontId="2"/>
  </si>
  <si>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2"/>
  </si>
  <si>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2"/>
  </si>
  <si>
    <t>導入時期</t>
    <rPh sb="0" eb="2">
      <t>ドウニュウ</t>
    </rPh>
    <phoneticPr fontId="2"/>
  </si>
  <si>
    <t>令和　年　月</t>
    <rPh sb="0" eb="2">
      <t>レイワ</t>
    </rPh>
    <rPh sb="3" eb="4">
      <t>ネン</t>
    </rPh>
    <rPh sb="5" eb="6">
      <t>ツキ</t>
    </rPh>
    <phoneticPr fontId="2"/>
  </si>
  <si>
    <t>１　利用者の満足度等の変化</t>
    <rPh sb="9" eb="10">
      <t>ナド</t>
    </rPh>
    <phoneticPr fontId="2"/>
  </si>
  <si>
    <t>事前調査時期</t>
    <rPh sb="0" eb="2">
      <t>ジゼン</t>
    </rPh>
    <phoneticPr fontId="2"/>
  </si>
  <si>
    <t>令和　年　月</t>
    <phoneticPr fontId="2"/>
  </si>
  <si>
    <t>事後調査時期</t>
    <rPh sb="0" eb="2">
      <t>ジゴ</t>
    </rPh>
    <rPh sb="2" eb="4">
      <t>チョウサ</t>
    </rPh>
    <phoneticPr fontId="2"/>
  </si>
  <si>
    <t>　① －１　WHOー５（事前調査）　調査対象人数　人</t>
    <rPh sb="12" eb="14">
      <t>ジゼン</t>
    </rPh>
    <rPh sb="14" eb="16">
      <t>チョウサ</t>
    </rPh>
    <phoneticPr fontId="2"/>
  </si>
  <si>
    <t>点数区分</t>
    <rPh sb="0" eb="2">
      <t>テンスウ</t>
    </rPh>
    <rPh sb="2" eb="4">
      <t>クブン</t>
    </rPh>
    <phoneticPr fontId="2"/>
  </si>
  <si>
    <t>0点～6点</t>
    <rPh sb="1" eb="2">
      <t>テン</t>
    </rPh>
    <rPh sb="4" eb="5">
      <t>テン</t>
    </rPh>
    <phoneticPr fontId="2"/>
  </si>
  <si>
    <t>7点～13点</t>
    <rPh sb="1" eb="2">
      <t>テン</t>
    </rPh>
    <rPh sb="5" eb="6">
      <t>テン</t>
    </rPh>
    <phoneticPr fontId="2"/>
  </si>
  <si>
    <t>14点～19点</t>
    <rPh sb="2" eb="3">
      <t>テン</t>
    </rPh>
    <rPh sb="6" eb="7">
      <t>テン</t>
    </rPh>
    <phoneticPr fontId="2"/>
  </si>
  <si>
    <t>20点～25点</t>
    <rPh sb="2" eb="3">
      <t>テン</t>
    </rPh>
    <rPh sb="6" eb="7">
      <t>テン</t>
    </rPh>
    <phoneticPr fontId="2"/>
  </si>
  <si>
    <t>人数</t>
    <rPh sb="0" eb="2">
      <t>ニンズウ</t>
    </rPh>
    <phoneticPr fontId="2"/>
  </si>
  <si>
    <t>　① －２　WHOー５（事後調査）　調査対象人数　人</t>
    <rPh sb="12" eb="14">
      <t>ジゴ</t>
    </rPh>
    <rPh sb="14" eb="16">
      <t>チョウサ</t>
    </rPh>
    <phoneticPr fontId="2"/>
  </si>
  <si>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2"/>
  </si>
  <si>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2"/>
  </si>
  <si>
    <t>7点～14点</t>
    <rPh sb="1" eb="2">
      <t>テン</t>
    </rPh>
    <rPh sb="5" eb="6">
      <t>テン</t>
    </rPh>
    <phoneticPr fontId="2"/>
  </si>
  <si>
    <t>15点～21点</t>
    <rPh sb="2" eb="3">
      <t>テン</t>
    </rPh>
    <rPh sb="6" eb="7">
      <t>テン</t>
    </rPh>
    <phoneticPr fontId="2"/>
  </si>
  <si>
    <t>22点～28点</t>
    <rPh sb="2" eb="3">
      <t>テン</t>
    </rPh>
    <rPh sb="6" eb="7">
      <t>テン</t>
    </rPh>
    <phoneticPr fontId="2"/>
  </si>
  <si>
    <t>29点～35点</t>
    <rPh sb="2" eb="3">
      <t>テン</t>
    </rPh>
    <rPh sb="6" eb="7">
      <t>テン</t>
    </rPh>
    <phoneticPr fontId="2"/>
  </si>
  <si>
    <t>　② －２　生活・認知機能尺度（事後調査）　調査対象人数　人</t>
    <rPh sb="6" eb="8">
      <t>セイカツ</t>
    </rPh>
    <rPh sb="9" eb="11">
      <t>ニンチ</t>
    </rPh>
    <rPh sb="11" eb="13">
      <t>キノウ</t>
    </rPh>
    <rPh sb="13" eb="15">
      <t>シャクド</t>
    </rPh>
    <rPh sb="16" eb="18">
      <t>ジゴ</t>
    </rPh>
    <rPh sb="18" eb="20">
      <t>チョウサ</t>
    </rPh>
    <phoneticPr fontId="2"/>
  </si>
  <si>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2"/>
  </si>
  <si>
    <t>２　総業務時間及び当該時間に含まれる超過勤務時間の変化　調査対象人数　人</t>
    <phoneticPr fontId="2"/>
  </si>
  <si>
    <t>対象期間</t>
    <rPh sb="0" eb="2">
      <t>タイショウ</t>
    </rPh>
    <rPh sb="2" eb="4">
      <t>キカン</t>
    </rPh>
    <phoneticPr fontId="2"/>
  </si>
  <si>
    <t>(事前)令和　年　月</t>
    <rPh sb="1" eb="3">
      <t>ジゼン</t>
    </rPh>
    <phoneticPr fontId="2"/>
  </si>
  <si>
    <t>(事後)令和　年　月</t>
    <rPh sb="1" eb="3">
      <t>ジゴ</t>
    </rPh>
    <phoneticPr fontId="2"/>
  </si>
  <si>
    <t>総業務時間</t>
    <phoneticPr fontId="2"/>
  </si>
  <si>
    <t>(事前)上表と同じ</t>
    <rPh sb="1" eb="3">
      <t>ジゼン</t>
    </rPh>
    <rPh sb="4" eb="6">
      <t>ジョウヒョウ</t>
    </rPh>
    <rPh sb="7" eb="8">
      <t>オナ</t>
    </rPh>
    <phoneticPr fontId="2"/>
  </si>
  <si>
    <t>(事後)上表と同じ</t>
    <rPh sb="1" eb="3">
      <t>ジゴ</t>
    </rPh>
    <rPh sb="4" eb="6">
      <t>ジョウヒョウ</t>
    </rPh>
    <rPh sb="7" eb="8">
      <t>オナ</t>
    </rPh>
    <phoneticPr fontId="2"/>
  </si>
  <si>
    <t>超過勤務時間</t>
    <rPh sb="0" eb="2">
      <t>チョウカ</t>
    </rPh>
    <rPh sb="2" eb="4">
      <t>キンム</t>
    </rPh>
    <rPh sb="4" eb="6">
      <t>ジカン</t>
    </rPh>
    <phoneticPr fontId="2"/>
  </si>
  <si>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2"/>
  </si>
  <si>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2"/>
  </si>
  <si>
    <t>３　年次有給休暇の取得状況　調査対象人数　人</t>
    <phoneticPr fontId="2"/>
  </si>
  <si>
    <t>(事前)令和　年　月～　月</t>
    <rPh sb="1" eb="3">
      <t>ジゼン</t>
    </rPh>
    <rPh sb="12" eb="13">
      <t>ツキ</t>
    </rPh>
    <phoneticPr fontId="2"/>
  </si>
  <si>
    <t>(事後)令和　年　月～　月</t>
    <rPh sb="1" eb="3">
      <t>ジゴ</t>
    </rPh>
    <phoneticPr fontId="2"/>
  </si>
  <si>
    <t>年次有給休暇取得日数</t>
    <rPh sb="0" eb="2">
      <t>ネンジ</t>
    </rPh>
    <rPh sb="2" eb="4">
      <t>ユウキュウ</t>
    </rPh>
    <rPh sb="4" eb="6">
      <t>キュウカ</t>
    </rPh>
    <rPh sb="6" eb="8">
      <t>シュトク</t>
    </rPh>
    <rPh sb="8" eb="10">
      <t>ニッスウ</t>
    </rPh>
    <phoneticPr fontId="2"/>
  </si>
  <si>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2"/>
  </si>
  <si>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2"/>
  </si>
  <si>
    <t>備考　詳細については、別途通知（「生産性向上推進体制加算に関する基本的考え方並びに事務処理手順及び様式例等の提示</t>
    <rPh sb="0" eb="2">
      <t>ビコウ</t>
    </rPh>
    <rPh sb="51" eb="52">
      <t>レイ</t>
    </rPh>
    <phoneticPr fontId="2"/>
  </si>
  <si>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2"/>
  </si>
  <si>
    <t>　　  組の継続が必要であることに留意すること。</t>
    <phoneticPr fontId="2"/>
  </si>
  <si>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2"/>
  </si>
  <si>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2"/>
  </si>
  <si>
    <t>　　　出すること。</t>
    <rPh sb="3" eb="4">
      <t>デ</t>
    </rPh>
    <phoneticPr fontId="2"/>
  </si>
  <si>
    <t>（別紙22）</t>
    <phoneticPr fontId="2"/>
  </si>
  <si>
    <t>（別紙22－2）</t>
    <rPh sb="1" eb="3">
      <t>ベッシ</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</si>
  <si>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</si>
  <si>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</si>
  <si>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</si>
  <si>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</si>
  <si>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</si>
  <si>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</si>
  <si>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</si>
  <si>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</si>
  <si>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</si>
  <si>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</si>
  <si>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</si>
  <si>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</si>
  <si>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</si>
  <si>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</si>
  <si>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</si>
  <si>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</si>
  <si>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</si>
  <si>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</si>
  <si>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</si>
  <si>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22(2)</t>
    <phoneticPr fontId="2"/>
  </si>
  <si>
    <t>（別紙１4－３）</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</si>
  <si>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</si>
  <si>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</si>
  <si>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</si>
  <si>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</si>
  <si>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14（3）</t>
    <phoneticPr fontId="2"/>
  </si>
  <si>
    <t>◎勤務形態一覧は、職員全員分（算定月）、参考1「人員基準確認表」</t>
  </si>
  <si>
    <t>◎勤務形態一覧は、通リハ職員分のみ（算定月）、参考1「人員基準確認表」</t>
  </si>
  <si>
    <t>◎勤務形態一覧は、通リハ職員分のみ（算定月）</t>
  </si>
  <si>
    <t>◎勤務形態一覧は、通リハ職員分のみ（算定月）、参考1「人員基準確認表」、理学療法士・作業療法士又は言語聴覚士の免許証（写）</t>
  </si>
  <si>
    <t>◎勤務形態一覧は、通リハ職員分のみ（算定月）、参考1「人員基準確認表」、理学療法士・作業療法士又は言語聴覚士の免許証（写）、生活行為の内容の充実を図るための研修の修了証（写）</t>
  </si>
  <si>
    <t>◎勤務形態一覧は、通リハ職員分のみ（算定月）、参考1「人員基準確認表」、管理栄養士の免許証（写）</t>
  </si>
  <si>
    <t>◎勤務形態一覧は、通リハ職員分のみ（算定月）、参考1「人員基準確認表」、言語聴覚士、歯科衛生士又は看護職員の免許証（写）</t>
  </si>
  <si>
    <t>◎勤務形態一覧は、通リハ職員分のみ（算定月）、参考1「人員基準確認表」、看護職員の免許証（写）</t>
  </si>
  <si>
    <t>参考1「人員基準確認表」</t>
  </si>
  <si>
    <t>◎勤務形態一覧は、通リハ職員分のみ（算定月）、参考1「人員基準確認表」、言語聴覚士・歯科衛生士又は看護職員の免許証（写）</t>
  </si>
  <si>
    <t>付表第一号（十七）「介護医療院の開設許可に係る記載事項」</t>
  </si>
  <si>
    <t>付表第一号（十七）「介護医療院の開設許可に係る記載事項」</t>
    <phoneticPr fontId="2"/>
  </si>
  <si>
    <t>口腔連携強化加算</t>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</si>
  <si>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</si>
  <si>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</si>
  <si>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</si>
  <si>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連絡先電話番号</t>
    <rPh sb="0" eb="3">
      <t>レンラクサキ</t>
    </rPh>
    <rPh sb="3" eb="5">
      <t>デンワ</t>
    </rPh>
    <rPh sb="5" eb="7">
      <t>バンゴウ</t>
    </rPh>
    <phoneticPr fontId="2"/>
  </si>
  <si>
    <t xml:space="preserve">       　　年　　月　　日</t>
    <rPh sb="9" eb="10">
      <t>ネン</t>
    </rPh>
    <rPh sb="12" eb="13">
      <t>ガツ</t>
    </rPh>
    <rPh sb="15" eb="16">
      <t>ニチ</t>
    </rPh>
    <phoneticPr fontId="2"/>
  </si>
  <si>
    <t>歯科訪問診療料の算定の実績</t>
    <phoneticPr fontId="2"/>
  </si>
  <si>
    <t>歯科医師名</t>
    <rPh sb="0" eb="4">
      <t>シカイシ</t>
    </rPh>
    <rPh sb="4" eb="5">
      <t>メイ</t>
    </rPh>
    <phoneticPr fontId="2"/>
  </si>
  <si>
    <t>歯科医療機関名</t>
    <rPh sb="0" eb="2">
      <t>シカ</t>
    </rPh>
    <rPh sb="2" eb="4">
      <t>イリョウ</t>
    </rPh>
    <rPh sb="4" eb="6">
      <t>キカン</t>
    </rPh>
    <rPh sb="6" eb="7">
      <t>メイ</t>
    </rPh>
    <phoneticPr fontId="2"/>
  </si>
  <si>
    <t>３．連携歯科医療機関</t>
    <rPh sb="2" eb="4">
      <t>レンケイ</t>
    </rPh>
    <rPh sb="4" eb="6">
      <t>シカ</t>
    </rPh>
    <rPh sb="6" eb="8">
      <t>イリョウ</t>
    </rPh>
    <rPh sb="8" eb="10">
      <t>キカン</t>
    </rPh>
    <phoneticPr fontId="2"/>
  </si>
  <si>
    <t>２．連携歯科医療機関</t>
    <rPh sb="2" eb="4">
      <t>レンケイ</t>
    </rPh>
    <rPh sb="4" eb="6">
      <t>シカ</t>
    </rPh>
    <rPh sb="6" eb="8">
      <t>イリョウ</t>
    </rPh>
    <rPh sb="8" eb="10">
      <t>キカン</t>
    </rPh>
    <phoneticPr fontId="2"/>
  </si>
  <si>
    <t>１．連携歯科医療機関</t>
    <rPh sb="2" eb="4">
      <t>レンケイ</t>
    </rPh>
    <rPh sb="4" eb="6">
      <t>シカ</t>
    </rPh>
    <rPh sb="6" eb="8">
      <t>イリョウ</t>
    </rPh>
    <rPh sb="8" eb="10">
      <t>キカン</t>
    </rPh>
    <phoneticPr fontId="2"/>
  </si>
  <si>
    <t>歯科医療機関との連携の状況</t>
    <rPh sb="0" eb="2">
      <t>シカ</t>
    </rPh>
    <rPh sb="2" eb="4">
      <t>イリョウ</t>
    </rPh>
    <rPh sb="4" eb="6">
      <t>キカン</t>
    </rPh>
    <rPh sb="8" eb="10">
      <t>レンケイ</t>
    </rPh>
    <rPh sb="11" eb="13">
      <t>ジョウキョウ</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</si>
  <si>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</si>
  <si>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</si>
  <si>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</si>
  <si>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3　(介護予防）訪問リハビリテーション事業所</t>
    <rPh sb="3" eb="5">
      <t>カイゴ</t>
    </rPh>
    <rPh sb="5" eb="7">
      <t>ヨボウ</t>
    </rPh>
    <rPh sb="8" eb="10">
      <t>ホウモン</t>
    </rPh>
    <rPh sb="19" eb="22">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</si>
  <si>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</si>
  <si>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1　訪問介護事業所</t>
    <rPh sb="2" eb="4">
      <t>ホウモン</t>
    </rPh>
    <rPh sb="4" eb="6">
      <t>カイゴ</t>
    </rPh>
    <rPh sb="6" eb="9">
      <t>ジギョウショ</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</si>
  <si>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</si>
  <si>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（別紙11）</t>
    <rPh sb="1" eb="3">
      <t>ベッシ</t>
    </rPh>
    <phoneticPr fontId="2"/>
  </si>
  <si>
    <t>口腔連携強化加算に関する届出書</t>
    <phoneticPr fontId="2"/>
  </si>
  <si>
    <t>生産性向上推進体制加算</t>
    <rPh sb="0" eb="5">
      <t>セイサンセイコウジョウ</t>
    </rPh>
    <rPh sb="5" eb="9">
      <t>スイシンタイセイ</t>
    </rPh>
    <rPh sb="9" eb="11">
      <t>カサン</t>
    </rPh>
    <phoneticPr fontId="2"/>
  </si>
  <si>
    <t>短療24</t>
    <rPh sb="0" eb="1">
      <t>タン</t>
    </rPh>
    <rPh sb="1" eb="2">
      <t>イヤス</t>
    </rPh>
    <phoneticPr fontId="2"/>
  </si>
  <si>
    <t>短療25</t>
    <rPh sb="0" eb="1">
      <t>タン</t>
    </rPh>
    <rPh sb="1" eb="2">
      <t>イヤス</t>
    </rPh>
    <phoneticPr fontId="2"/>
  </si>
  <si>
    <t>短療26</t>
    <rPh sb="0" eb="1">
      <t>タン</t>
    </rPh>
    <rPh sb="1" eb="2">
      <t>イヤス</t>
    </rPh>
    <phoneticPr fontId="2"/>
  </si>
  <si>
    <t>短療27</t>
    <rPh sb="0" eb="1">
      <t>タン</t>
    </rPh>
    <rPh sb="1" eb="2">
      <t>イヤス</t>
    </rPh>
    <phoneticPr fontId="2"/>
  </si>
  <si>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2"/>
  </si>
  <si>
    <t>（別紙20）</t>
    <phoneticPr fontId="2"/>
  </si>
  <si>
    <t>訪問リハビリテーション事業所における移行支援加算に係る届出書</t>
    <rPh sb="18" eb="20">
      <t>イコウ</t>
    </rPh>
    <rPh sb="29" eb="30">
      <t>ショ</t>
    </rPh>
    <phoneticPr fontId="2"/>
  </si>
  <si>
    <t>1　移行支援加算</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</si>
  <si>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</si>
  <si>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</si>
  <si>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</si>
  <si>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２５％以上</t>
    <rPh sb="3" eb="5">
      <t>イジョウ</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</si>
  <si>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</si>
  <si>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</si>
  <si>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</si>
  <si>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訪問リハビリテーション事業所における移行支援加算に係る届出書</t>
    <phoneticPr fontId="2"/>
  </si>
  <si>
    <t>歯科医療機関との取り決め内容が確認できる文書（写）</t>
    <rPh sb="0" eb="6">
      <t>シカイリョウキカン</t>
    </rPh>
    <rPh sb="8" eb="9">
      <t>ト</t>
    </rPh>
    <rPh sb="10" eb="11">
      <t>キ</t>
    </rPh>
    <rPh sb="12" eb="14">
      <t>ナイヨウ</t>
    </rPh>
    <rPh sb="15" eb="17">
      <t>カクニン</t>
    </rPh>
    <rPh sb="20" eb="22">
      <t>ブンショ</t>
    </rPh>
    <rPh sb="23" eb="24">
      <t>ウツ</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</si>
  <si>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</si>
  <si>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</si>
  <si>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</si>
  <si>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</si>
  <si>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</si>
  <si>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</si>
  <si>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</si>
  <si>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</si>
  <si>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</si>
  <si>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</si>
  <si>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</si>
  <si>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</si>
  <si>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</si>
  <si>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</si>
  <si>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</si>
  <si>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</si>
  <si>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</si>
  <si>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</si>
  <si>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</si>
  <si>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</si>
  <si>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</si>
  <si>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</si>
  <si>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</si>
  <si>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</si>
  <si>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</si>
  <si>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14(2)</t>
    <phoneticPr fontId="2"/>
  </si>
  <si>
    <t>サービス提供体制強化加算に関する届出書（（介護予防）訪問看護、（介護予防）訪問リハビリテーション、療養通所介護）</t>
    <phoneticPr fontId="2"/>
  </si>
  <si>
    <t>予短療23</t>
    <rPh sb="0" eb="1">
      <t>ヨ</t>
    </rPh>
    <rPh sb="1" eb="2">
      <t>タン</t>
    </rPh>
    <rPh sb="2" eb="3">
      <t>イヤス</t>
    </rPh>
    <phoneticPr fontId="2"/>
  </si>
  <si>
    <t>予短療24</t>
    <rPh sb="0" eb="1">
      <t>ヨ</t>
    </rPh>
    <rPh sb="1" eb="2">
      <t>タン</t>
    </rPh>
    <rPh sb="2" eb="3">
      <t>イヤス</t>
    </rPh>
    <phoneticPr fontId="2"/>
  </si>
  <si>
    <t>予短療25</t>
    <rPh sb="0" eb="1">
      <t>ヨ</t>
    </rPh>
    <rPh sb="1" eb="2">
      <t>タン</t>
    </rPh>
    <rPh sb="2" eb="3">
      <t>イヤス</t>
    </rPh>
    <phoneticPr fontId="2"/>
  </si>
  <si>
    <t>◎勤務形態一覧は、看護・介護職員分、夜勤「夜間勤務等看護加算算定表」と夜勤別紙「夜間勤務等看護加算算定表別紙（介護医療院）」</t>
    <rPh sb="18" eb="20">
      <t>ヤキン</t>
    </rPh>
    <rPh sb="35" eb="37">
      <t>ヤキン</t>
    </rPh>
    <rPh sb="37" eb="39">
      <t>ベッシ</t>
    </rPh>
    <phoneticPr fontId="1"/>
  </si>
  <si>
    <t>◎勤務形態一覧は、職員全員分、参考1「人員基準確認表」</t>
    <rPh sb="15" eb="17">
      <t>サンコウ</t>
    </rPh>
    <rPh sb="19" eb="26">
      <t>ジンインキジュンカクニンヒョウ</t>
    </rPh>
    <phoneticPr fontId="1"/>
  </si>
  <si>
    <t>◎勤務形態一覧は、栄養士・管理栄養士分（変更した月と前月分）</t>
    <rPh sb="9" eb="12">
      <t>エイヨウシ</t>
    </rPh>
    <rPh sb="13" eb="15">
      <t>カンリ</t>
    </rPh>
    <rPh sb="15" eb="18">
      <t>エイヨウシ</t>
    </rPh>
    <rPh sb="20" eb="22">
      <t>ヘンコウ</t>
    </rPh>
    <rPh sb="24" eb="25">
      <t>ツキ</t>
    </rPh>
    <rPh sb="26" eb="28">
      <t>ゼンゲツ</t>
    </rPh>
    <rPh sb="28" eb="29">
      <t>ブン</t>
    </rPh>
    <phoneticPr fontId="1"/>
  </si>
  <si>
    <t>◎勤務形態一覧は、通リハ職員分、参考1「人員基準確認表」</t>
    <rPh sb="9" eb="10">
      <t>ツウ</t>
    </rPh>
    <rPh sb="16" eb="18">
      <t>サンコウ</t>
    </rPh>
    <rPh sb="20" eb="27">
      <t>ジンインキジュンカクニンヒョウ</t>
    </rPh>
    <phoneticPr fontId="1"/>
  </si>
  <si>
    <t>◎勤務形態一覧は、通リハ職員分のみ、参考1「人員基準確認表」</t>
    <rPh sb="18" eb="20">
      <t>サンコウ</t>
    </rPh>
    <rPh sb="22" eb="29">
      <t>ジンインキジュンカクニンヒョウ</t>
    </rPh>
    <phoneticPr fontId="1"/>
  </si>
  <si>
    <t>◎勤務形態一覧は、看護・介護職員分、参考1「人員基準確認表」、夜勤「夜間勤務等看護加算算定表」と夜勤別紙「夜間勤務等看護加算算定表別紙（介護医療院）」</t>
    <rPh sb="18" eb="20">
      <t>サンコウ</t>
    </rPh>
    <rPh sb="22" eb="29">
      <t>ジンインキジュンカクニンヒョウ</t>
    </rPh>
    <rPh sb="31" eb="33">
      <t>ヤキン</t>
    </rPh>
    <rPh sb="48" eb="50">
      <t>ヤキン</t>
    </rPh>
    <rPh sb="50" eb="52">
      <t>ベッシ</t>
    </rPh>
    <phoneticPr fontId="1"/>
  </si>
  <si>
    <t>平面図</t>
    <rPh sb="0" eb="3">
      <t>ヘイメンズ</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</si>
  <si>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</si>
  <si>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</si>
  <si>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</si>
  <si>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</si>
  <si>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</si>
  <si>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</si>
  <si>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</si>
  <si>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</si>
  <si>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</si>
  <si>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</si>
  <si>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</si>
  <si>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</si>
  <si>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</si>
  <si>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</si>
  <si>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</si>
  <si>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</si>
  <si>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</si>
  <si>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</si>
  <si>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</si>
  <si>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◎勤務形態一覧は、入所職員全員分（算定月）、参考1「人員基準確認表」、ユニットリーダー研修修了証（写）、室別面積表</t>
    <rPh sb="9" eb="11">
      <t>ニュウショ</t>
    </rPh>
    <rPh sb="22" eb="24">
      <t>サンコウ</t>
    </rPh>
    <rPh sb="26" eb="33">
      <t>ジンインキジュンカクニンヒョウ</t>
    </rPh>
    <rPh sb="49" eb="50">
      <t>ウツ</t>
    </rPh>
    <phoneticPr fontId="2"/>
  </si>
  <si>
    <t>医療機関との取り決め内容が分かる書類（写）</t>
    <rPh sb="0" eb="4">
      <t>イリョウキカン</t>
    </rPh>
    <rPh sb="6" eb="7">
      <t>ト</t>
    </rPh>
    <rPh sb="8" eb="9">
      <t>キ</t>
    </rPh>
    <rPh sb="10" eb="12">
      <t>ナイヨウ</t>
    </rPh>
    <rPh sb="13" eb="14">
      <t>ワ</t>
    </rPh>
    <rPh sb="16" eb="18">
      <t>ショルイ</t>
    </rPh>
    <rPh sb="19" eb="20">
      <t>ウツ</t>
    </rPh>
    <phoneticPr fontId="2"/>
  </si>
  <si>
    <t>●※</t>
  </si>
  <si>
    <t>●※</t>
    <phoneticPr fontId="2"/>
  </si>
  <si>
    <t>◎勤務形態一覧は、職員全員分（算定月）、参考１「人員基準確認表」
※Ⅰ型の場合は別紙30、Ⅱ型の場合は別紙30-2を提出してください。　　　　　　　　　　　　　　　　　　　　　　　　　　</t>
    <rPh sb="20" eb="22">
      <t>サンコウ</t>
    </rPh>
    <rPh sb="34" eb="36">
      <t>イチガタ</t>
    </rPh>
    <rPh sb="37" eb="39">
      <t>バアイ</t>
    </rPh>
    <rPh sb="40" eb="42">
      <t>ベッシ</t>
    </rPh>
    <rPh sb="45" eb="47">
      <t>ニガタ</t>
    </rPh>
    <rPh sb="48" eb="50">
      <t>バアイ</t>
    </rPh>
    <rPh sb="51" eb="53">
      <t>ベッシ</t>
    </rPh>
    <rPh sb="58" eb="60">
      <t>テイシュツ</t>
    </rPh>
    <phoneticPr fontId="2"/>
  </si>
  <si>
    <t>歯科医療機関との取り決め内容が分かる文書（写）</t>
    <rPh sb="0" eb="2">
      <t>シカ</t>
    </rPh>
    <rPh sb="2" eb="6">
      <t>イリョウキカン</t>
    </rPh>
    <rPh sb="8" eb="9">
      <t>ト</t>
    </rPh>
    <rPh sb="10" eb="11">
      <t>キ</t>
    </rPh>
    <rPh sb="12" eb="14">
      <t>ナイヨウ</t>
    </rPh>
    <rPh sb="15" eb="16">
      <t>ワ</t>
    </rPh>
    <rPh sb="18" eb="20">
      <t>ブンショ</t>
    </rPh>
    <rPh sb="21" eb="22">
      <t>ウツ</t>
    </rPh>
    <phoneticPr fontId="2"/>
  </si>
  <si>
    <t>病院･診療所</t>
    <phoneticPr fontId="2"/>
  </si>
  <si>
    <t>(介護予防訪問ﾘﾊﾋﾞﾘﾃｰｼｮﾝ)</t>
  </si>
  <si>
    <t>介護老人保健施設、介護医療院(みなし事業所)</t>
    <phoneticPr fontId="2"/>
  </si>
  <si>
    <t>介護老人保健施設、介護医療院(みなし事業所)</t>
    <rPh sb="9" eb="11">
      <t>カイゴ</t>
    </rPh>
    <rPh sb="11" eb="13">
      <t>イリョウ</t>
    </rPh>
    <rPh sb="13" eb="14">
      <t>イン</t>
    </rPh>
    <phoneticPr fontId="2"/>
  </si>
  <si>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2"/>
  </si>
  <si>
    <t>研修を実施、または実施することが分かる資料
※特別浴槽がある場合は、次の書類を提出（特別浴槽の納品書又は写真、特別浴槽の仕様が分かるパンフレット）</t>
    <phoneticPr fontId="2"/>
  </si>
  <si>
    <t>付表第一号（十一）、車検証（写）、新旧対照表、運営規程（新）</t>
    <rPh sb="2" eb="5">
      <t>ダイイチゴウ</t>
    </rPh>
    <rPh sb="6" eb="8">
      <t>ジュウイチ</t>
    </rPh>
    <phoneticPr fontId="2"/>
  </si>
  <si>
    <t>※Ⅰ型の場合は別紙30、Ⅱ型の場合は別紙30-2を提出してください。　</t>
  </si>
  <si>
    <t>※Ⅰ型の場合は別紙30、Ⅱ型の場合は別紙30-2を提出してください。　</t>
    <phoneticPr fontId="2"/>
  </si>
  <si>
    <t>※Ⅰ型の場合は別紙30、Ⅱ型の場合は別紙30-2を提出してください。</t>
    <phoneticPr fontId="2"/>
  </si>
  <si>
    <t>３ 加算イ</t>
    <phoneticPr fontId="2"/>
  </si>
  <si>
    <t>６ 加算ロ</t>
    <phoneticPr fontId="2"/>
  </si>
  <si>
    <t>Ｄ　大規模の事業所(病院・診療所)</t>
    <phoneticPr fontId="2"/>
  </si>
  <si>
    <t>Ｅ　大規模の事業所(介護老人保健施設)</t>
    <phoneticPr fontId="2"/>
  </si>
  <si>
    <t>Ｆ　大規模の事業所(介護医療院)</t>
    <phoneticPr fontId="2"/>
  </si>
  <si>
    <t>併設本体施設における介護職員等処遇改善加算Ⅰの届出状況</t>
    <phoneticPr fontId="2"/>
  </si>
  <si>
    <t>注３：認知症と確定診断されていること。ただし、入所者については、入所後３か月間に限り、認知症の確定診断を行うまでの間はＭＭＳＥ（Mini　Mental　State　Examination）において23点以下の者又はＨＤＳ―Ｒ（改訂長谷川式簡易知能評価スケール）において20点以下の者を含むものとする。短期入所療養介護の利用者については、認知症と確定診断を受けた者に限る。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</si>
  <si>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ることは差し支えない。また、入所者に対する介護医療院サービスの提供に支障を来さない場合は、他の施設と兼用して差し支えない。</t>
    <rPh sb="0" eb="1">
      <t>チュウ</t>
    </rPh>
    <phoneticPr fontId="2"/>
  </si>
  <si>
    <t>注１：看護職員の数については、当該介護医療院における入所者等の数を４をもって除した数（その数が１に満たないときは、１とし、その数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</si>
  <si>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https://www.pref.osaka.lg.jp/documents/63688/tuchi.pdf</t>
    <phoneticPr fontId="2"/>
  </si>
  <si>
    <t>＜報告先＞</t>
  </si>
  <si>
    <t>https://www.kaigokensaku.mhlw.go.jp/shinsei/report/</t>
    <phoneticPr fontId="2"/>
  </si>
  <si>
    <t>（別紙１－１）</t>
    <rPh sb="1" eb="3">
      <t>ベッシ</t>
    </rPh>
    <phoneticPr fontId="2"/>
  </si>
  <si>
    <t>1(1)</t>
    <phoneticPr fontId="2"/>
  </si>
  <si>
    <t>身体拘束廃止取組の有無</t>
    <phoneticPr fontId="2"/>
  </si>
  <si>
    <t>◎勤務形態一覧は、薬剤師分（算定月）、様式6、調剤所及び医薬品情報管理室の配置図及び平面図、薬剤師の免許証（写し）</t>
    <rPh sb="19" eb="21">
      <t>ヨウシキ</t>
    </rPh>
    <rPh sb="23" eb="25">
      <t>チョウザイ</t>
    </rPh>
    <rPh sb="25" eb="26">
      <t>ショ</t>
    </rPh>
    <rPh sb="26" eb="27">
      <t>オヨ</t>
    </rPh>
    <rPh sb="28" eb="31">
      <t>イヤクヒン</t>
    </rPh>
    <rPh sb="31" eb="33">
      <t>ジョウホウ</t>
    </rPh>
    <rPh sb="33" eb="35">
      <t>カンリ</t>
    </rPh>
    <rPh sb="35" eb="36">
      <t>シツ</t>
    </rPh>
    <rPh sb="37" eb="39">
      <t>ハイチ</t>
    </rPh>
    <rPh sb="39" eb="40">
      <t>ズ</t>
    </rPh>
    <rPh sb="40" eb="41">
      <t>オヨ</t>
    </rPh>
    <rPh sb="42" eb="45">
      <t>ヘイメンズ</t>
    </rPh>
    <phoneticPr fontId="2"/>
  </si>
  <si>
    <t>◎勤務形態一覧は、リハ職員分のみ（算定月）、様式8、当該治療が行われる専用の施設の配置図及び平面図、リハ職員の免許証（写し）</t>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</si>
  <si>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◎勤務形態一覧は、リハ職員分のみ（算定月）、様式9、当該治療が行われる専用の施設の配置図及び平面図、リハ職員の免許証（写し）</t>
    <rPh sb="22" eb="24">
      <t>ヨウシキ</t>
    </rPh>
    <rPh sb="26" eb="28">
      <t>トウガイ</t>
    </rPh>
    <rPh sb="28" eb="30">
      <t>チリョウ</t>
    </rPh>
    <rPh sb="31" eb="32">
      <t>オコナ</t>
    </rPh>
    <rPh sb="35" eb="37">
      <t>センヨウ</t>
    </rPh>
    <rPh sb="38" eb="40">
      <t>シセツ</t>
    </rPh>
    <rPh sb="41" eb="43">
      <t>ハイチ</t>
    </rPh>
    <rPh sb="43" eb="44">
      <t>ズ</t>
    </rPh>
    <rPh sb="44" eb="45">
      <t>オヨ</t>
    </rPh>
    <rPh sb="46" eb="49">
      <t>ヘイメンズ</t>
    </rPh>
    <phoneticPr fontId="2"/>
  </si>
  <si>
    <t>令和７年４月１日更新</t>
    <rPh sb="3" eb="4">
      <t>ネン</t>
    </rPh>
    <rPh sb="5" eb="6">
      <t>ガツ</t>
    </rPh>
    <rPh sb="7" eb="8">
      <t>ニチ</t>
    </rPh>
    <rPh sb="8" eb="10">
      <t>コウシン</t>
    </rPh>
    <phoneticPr fontId="2"/>
  </si>
  <si>
    <t>介護事業者課
居宅グループ
０６－６９４４－７０９５</t>
    <phoneticPr fontId="2"/>
  </si>
  <si>
    <t>届出受理日が
　毎月15日以前の場合→翌月からの算定
　毎月16日以降の場合→翌々月からの算定</t>
    <phoneticPr fontId="2"/>
  </si>
  <si>
    <t>介護事業者課
居宅グループ
０６－６９４４－７０９５</t>
  </si>
  <si>
    <t>介護事業者課
居宅グループ
０６－６９４４－７０９５</t>
    <rPh sb="0" eb="2">
      <t>カイゴ</t>
    </rPh>
    <rPh sb="2" eb="5">
      <t>ジギョウシャ</t>
    </rPh>
    <rPh sb="5" eb="6">
      <t>カ</t>
    </rPh>
    <phoneticPr fontId="2"/>
  </si>
  <si>
    <t>介護事業者課</t>
    <rPh sb="0" eb="2">
      <t>カイゴ</t>
    </rPh>
    <rPh sb="2" eb="5">
      <t>ジギョウシャ</t>
    </rPh>
    <rPh sb="5" eb="6">
      <t>カ</t>
    </rPh>
    <phoneticPr fontId="2"/>
  </si>
  <si>
    <t>居宅グループ</t>
    <rPh sb="0" eb="2">
      <t>キョタク</t>
    </rPh>
    <phoneticPr fontId="2"/>
  </si>
  <si>
    <t>短療28</t>
    <rPh sb="0" eb="1">
      <t>タン</t>
    </rPh>
    <rPh sb="1" eb="2">
      <t>イヤス</t>
    </rPh>
    <phoneticPr fontId="2"/>
  </si>
  <si>
    <t>予短療26</t>
    <rPh sb="0" eb="1">
      <t>ヨ</t>
    </rPh>
    <rPh sb="1" eb="2">
      <t>タン</t>
    </rPh>
    <rPh sb="2" eb="3">
      <t>イヤス</t>
    </rPh>
    <phoneticPr fontId="2"/>
  </si>
  <si>
    <t>訪リハ11</t>
    <rPh sb="0" eb="1">
      <t>ホウ</t>
    </rPh>
    <phoneticPr fontId="2"/>
  </si>
  <si>
    <t>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2"/>
  </si>
  <si>
    <t>（取り下げ）各種加算における必要な添付書類一覧（介護職員処遇改善加算は除く）</t>
    <rPh sb="1" eb="2">
      <t>ト</t>
    </rPh>
    <rPh sb="3" eb="4">
      <t>サ</t>
    </rPh>
    <rPh sb="6" eb="8">
      <t>カクシュ</t>
    </rPh>
    <rPh sb="35" eb="36">
      <t>ノゾ</t>
    </rPh>
    <phoneticPr fontId="2"/>
  </si>
  <si>
    <t>参考3「通所リハビリテーション算定区分確認表」
※「大規模の事業所(特例)」に変更する場合は、特例の要件を満たしていることが分かる書類。（リハビリテーションマネジメント加算の利用者割合、理学療法士等の数が要件を満たしていることが分かる書類。）</t>
    <rPh sb="0" eb="2">
      <t>サンコウ</t>
    </rPh>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</si>
  <si>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</si>
  <si>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認知症加算</t>
    <rPh sb="0" eb="3">
      <t>ニンチショウ</t>
    </rPh>
    <rPh sb="3" eb="5">
      <t>カサン</t>
    </rPh>
    <phoneticPr fontId="2"/>
  </si>
  <si>
    <t>ADL維持等加算〔申出〕の有無</t>
    <phoneticPr fontId="2"/>
  </si>
  <si>
    <t>３ 加算Ⅰロ</t>
    <phoneticPr fontId="2"/>
  </si>
  <si>
    <t>２ 加算Ⅰイ</t>
    <phoneticPr fontId="2"/>
  </si>
  <si>
    <t>個別機能訓練加算</t>
    <phoneticPr fontId="2"/>
  </si>
  <si>
    <t>２ 加算Ⅱ</t>
    <phoneticPr fontId="2"/>
  </si>
  <si>
    <t>生活機能向上連携加算</t>
    <rPh sb="0" eb="2">
      <t>セイカツ</t>
    </rPh>
    <rPh sb="2" eb="4">
      <t>キノウ</t>
    </rPh>
    <rPh sb="4" eb="6">
      <t>コウジョウ</t>
    </rPh>
    <rPh sb="6" eb="8">
      <t>レンケイ</t>
    </rPh>
    <rPh sb="8" eb="10">
      <t>カサン</t>
    </rPh>
    <phoneticPr fontId="2"/>
  </si>
  <si>
    <t>中重度者ケア体制加算</t>
  </si>
  <si>
    <t>７　大規模型事業所（Ⅱ）</t>
  </si>
  <si>
    <t>生活相談員配置等加算</t>
    <rPh sb="7" eb="8">
      <t>トウ</t>
    </rPh>
    <phoneticPr fontId="2"/>
  </si>
  <si>
    <t>６　大規模型事業所（Ⅰ）</t>
  </si>
  <si>
    <t>４　通常規模型事業所</t>
  </si>
  <si>
    <t>共生型サービスの提供
（放課後等デイサービス事業所）</t>
    <rPh sb="0" eb="3">
      <t>キョウセイガタ</t>
    </rPh>
    <rPh sb="8" eb="10">
      <t>テイキョウ</t>
    </rPh>
    <rPh sb="22" eb="25">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</si>
  <si>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</si>
  <si>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（自立訓練事業所）</t>
    <rPh sb="0" eb="3">
      <t>キョウセイガタ</t>
    </rPh>
    <rPh sb="8" eb="10">
      <t>テイキョウ</t>
    </rPh>
    <rPh sb="16" eb="19">
      <t>ジギョウショ</t>
    </rPh>
    <phoneticPr fontId="2"/>
  </si>
  <si>
    <t>共生型サービスの提供
（生活介護事業所）</t>
    <rPh sb="0" eb="3">
      <t>キョウセイガタ</t>
    </rPh>
    <rPh sb="8" eb="10">
      <t>テイキョウ</t>
    </rPh>
    <rPh sb="16" eb="18">
      <t>ジギョウ</t>
    </rPh>
    <rPh sb="18" eb="19">
      <t>ショ</t>
    </rPh>
    <phoneticPr fontId="2"/>
  </si>
  <si>
    <t>時間延長サービス体制</t>
  </si>
  <si>
    <t>３ 介護職員</t>
    <rPh sb="2" eb="4">
      <t>カイゴ</t>
    </rPh>
    <rPh sb="4" eb="6">
      <t>ショクイン</t>
    </rPh>
    <phoneticPr fontId="2"/>
  </si>
  <si>
    <t>２ 看護職員</t>
    <rPh sb="2" eb="4">
      <t>カンゴ</t>
    </rPh>
    <rPh sb="4" eb="6">
      <t>ショクイン</t>
    </rPh>
    <phoneticPr fontId="2"/>
  </si>
  <si>
    <t>移行支援加算</t>
    <rPh sb="0" eb="2">
      <t>イコウ</t>
    </rPh>
    <rPh sb="2" eb="4">
      <t>シエン</t>
    </rPh>
    <rPh sb="4" eb="6">
      <t>カサン</t>
    </rPh>
    <phoneticPr fontId="3"/>
  </si>
  <si>
    <t>訪問リハビリテーション</t>
    <phoneticPr fontId="2"/>
  </si>
  <si>
    <t>特別地域加算</t>
  </si>
  <si>
    <t>３　定期巡回・随時対応型サービス連携</t>
  </si>
  <si>
    <t>２　病院又は診療所</t>
  </si>
  <si>
    <t>１　訪問看護ステーション</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</si>
  <si>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</si>
  <si>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３　通院等乗降介助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</si>
  <si>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</si>
  <si>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２　生活援助</t>
  </si>
  <si>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</si>
  <si>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</si>
  <si>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共生型サービスの提供
（重度訪問介護事業所）</t>
    <rPh sb="0" eb="3">
      <t>キョウセイガタ</t>
    </rPh>
    <rPh sb="8" eb="10">
      <t>テイキョウ</t>
    </rPh>
    <rPh sb="18" eb="21">
      <t>ジギョウショ</t>
    </rPh>
    <phoneticPr fontId="2"/>
  </si>
  <si>
    <t>共生型サービスの提供
（居宅介護事業所）</t>
    <rPh sb="0" eb="3">
      <t>キョウセイガタ</t>
    </rPh>
    <rPh sb="8" eb="10">
      <t>テイキョウ</t>
    </rPh>
    <rPh sb="16" eb="19">
      <t>ジギョウショ</t>
    </rPh>
    <phoneticPr fontId="2"/>
  </si>
  <si>
    <t>３　定期巡回の整備計画がある</t>
  </si>
  <si>
    <t>２　定期巡回の指定を受けている</t>
  </si>
  <si>
    <t>１　定期巡回の指定を受けていない</t>
  </si>
  <si>
    <t>定期巡回・随時対応サービスに関する状況</t>
    <rPh sb="0" eb="2">
      <t>テイキ</t>
    </rPh>
    <rPh sb="2" eb="4">
      <t>ジュンカイ</t>
    </rPh>
    <rPh sb="5" eb="7">
      <t>ズイジ</t>
    </rPh>
    <rPh sb="7" eb="9">
      <t>タイオウ</t>
    </rPh>
    <rPh sb="14" eb="15">
      <t>カン</t>
    </rPh>
    <rPh sb="17" eb="19">
      <t>ジョウキョウ</t>
    </rPh>
    <phoneticPr fontId="3"/>
  </si>
  <si>
    <t>提供サービス</t>
  </si>
  <si>
    <t>##SATELLITE</t>
    <phoneticPr fontId="2"/>
  </si>
  <si>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2"/>
  </si>
  <si>
    <t>Ａ 加算Ⅳ</t>
    <phoneticPr fontId="2"/>
  </si>
  <si>
    <t>９ 加算Ⅲ</t>
    <phoneticPr fontId="2"/>
  </si>
  <si>
    <t>８ 加算Ⅱ</t>
    <rPh sb="2" eb="4">
      <t>カサン</t>
    </rPh>
    <phoneticPr fontId="2"/>
  </si>
  <si>
    <t>７ 加算Ⅰ</t>
    <phoneticPr fontId="2"/>
  </si>
  <si>
    <t>介護職員等処遇改善加算</t>
    <phoneticPr fontId="3"/>
  </si>
  <si>
    <t>２ 該当</t>
    <phoneticPr fontId="2"/>
  </si>
  <si>
    <t>１ 非該当</t>
    <phoneticPr fontId="2"/>
  </si>
  <si>
    <t>■</t>
  </si>
  <si>
    <t>室料相当額控除</t>
    <phoneticPr fontId="2"/>
  </si>
  <si>
    <t>ターミナルケア体制</t>
    <rPh sb="7" eb="9">
      <t>タイセイ</t>
    </rPh>
    <phoneticPr fontId="2"/>
  </si>
  <si>
    <t>若年性認知症入所者受入加算</t>
    <rPh sb="6" eb="9">
      <t>ニュウショシャ</t>
    </rPh>
    <rPh sb="9" eb="11">
      <t>ウケイレ</t>
    </rPh>
    <rPh sb="11" eb="13">
      <t>カサン</t>
    </rPh>
    <phoneticPr fontId="2"/>
  </si>
  <si>
    <t>認知症ケア加算</t>
    <rPh sb="0" eb="2">
      <t>ニンチ</t>
    </rPh>
    <rPh sb="2" eb="3">
      <t>ショウ</t>
    </rPh>
    <rPh sb="5" eb="7">
      <t>カサン</t>
    </rPh>
    <phoneticPr fontId="2"/>
  </si>
  <si>
    <t>夜勤職員配置加算</t>
    <rPh sb="0" eb="2">
      <t>ヤキン</t>
    </rPh>
    <rPh sb="2" eb="4">
      <t>ショクイン</t>
    </rPh>
    <rPh sb="4" eb="6">
      <t>ハイチ</t>
    </rPh>
    <rPh sb="6" eb="8">
      <t>カサン</t>
    </rPh>
    <phoneticPr fontId="2"/>
  </si>
  <si>
    <t>Ａ　ユニット型介護保健施設（Ⅳ）</t>
  </si>
  <si>
    <t>介護保健施設サービス</t>
  </si>
  <si>
    <t>８ 言語聴覚士</t>
    <rPh sb="2" eb="4">
      <t>ゲンゴ</t>
    </rPh>
    <rPh sb="4" eb="7">
      <t>チョウカクシ</t>
    </rPh>
    <phoneticPr fontId="2"/>
  </si>
  <si>
    <t>７ 介護支援専門員</t>
    <rPh sb="2" eb="4">
      <t>カイゴ</t>
    </rPh>
    <rPh sb="4" eb="6">
      <t>シエン</t>
    </rPh>
    <rPh sb="6" eb="9">
      <t>センモンイン</t>
    </rPh>
    <phoneticPr fontId="2"/>
  </si>
  <si>
    <t>９　介護保健施設（Ⅳ）</t>
  </si>
  <si>
    <t>リハビリ計画書情報加算</t>
    <rPh sb="4" eb="6">
      <t>ケイカク</t>
    </rPh>
    <rPh sb="6" eb="7">
      <t>ショ</t>
    </rPh>
    <rPh sb="7" eb="9">
      <t>ジョウホウ</t>
    </rPh>
    <rPh sb="9" eb="11">
      <t>カサン</t>
    </rPh>
    <phoneticPr fontId="2"/>
  </si>
  <si>
    <t>４ その他</t>
    <rPh sb="4" eb="5">
      <t>タ</t>
    </rPh>
    <phoneticPr fontId="2"/>
  </si>
  <si>
    <t>３ 精神科作業療法</t>
    <rPh sb="2" eb="5">
      <t>セイシンカ</t>
    </rPh>
    <rPh sb="5" eb="7">
      <t>サギョウ</t>
    </rPh>
    <rPh sb="7" eb="9">
      <t>リョウホウ</t>
    </rPh>
    <phoneticPr fontId="2"/>
  </si>
  <si>
    <t>２ 言語聴覚療法</t>
    <rPh sb="2" eb="4">
      <t>ゲンゴ</t>
    </rPh>
    <rPh sb="4" eb="6">
      <t>チョウカク</t>
    </rPh>
    <rPh sb="6" eb="8">
      <t>リョウホウ</t>
    </rPh>
    <phoneticPr fontId="2"/>
  </si>
  <si>
    <t>１ ﾘﾊﾋﾞﾘﾃｰｼｮﾝ指導管理</t>
    <rPh sb="12" eb="14">
      <t>シドウ</t>
    </rPh>
    <rPh sb="14" eb="16">
      <t>カンリ</t>
    </rPh>
    <phoneticPr fontId="2"/>
  </si>
  <si>
    <t>療養体制維持特別加算Ⅱ</t>
    <rPh sb="0" eb="10">
      <t>リョウヨウタイセイイジトクベツカサン</t>
    </rPh>
    <phoneticPr fontId="2"/>
  </si>
  <si>
    <t>療養体制維持特別加算Ⅰ</t>
    <rPh sb="0" eb="2">
      <t>リョウヨウ</t>
    </rPh>
    <rPh sb="2" eb="4">
      <t>タイセイ</t>
    </rPh>
    <rPh sb="4" eb="6">
      <t>イジ</t>
    </rPh>
    <rPh sb="6" eb="8">
      <t>トクベツ</t>
    </rPh>
    <rPh sb="8" eb="10">
      <t>カサン</t>
    </rPh>
    <phoneticPr fontId="2"/>
  </si>
  <si>
    <t>８　ユニット型介護保健施設（Ⅲ）</t>
  </si>
  <si>
    <t>特別療養費加算項目</t>
    <rPh sb="0" eb="2">
      <t>トクベツ</t>
    </rPh>
    <rPh sb="2" eb="5">
      <t>リョウヨウヒ</t>
    </rPh>
    <rPh sb="5" eb="7">
      <t>カサン</t>
    </rPh>
    <rPh sb="7" eb="9">
      <t>コウモク</t>
    </rPh>
    <phoneticPr fontId="2"/>
  </si>
  <si>
    <t>６　ユニット型介護保健施設（Ⅱ）</t>
  </si>
  <si>
    <t>７　介護保健施設（Ⅲ）</t>
  </si>
  <si>
    <t>５　介護保健施設（Ⅱ）</t>
  </si>
  <si>
    <t>褥瘡マネジメント加算</t>
    <phoneticPr fontId="2"/>
  </si>
  <si>
    <t>２　在宅強化型</t>
  </si>
  <si>
    <t>在宅復帰・在宅療養支援機能加算</t>
    <phoneticPr fontId="2"/>
  </si>
  <si>
    <t>１　基本型</t>
  </si>
  <si>
    <t>２　ユニット型介護保健施設（Ⅰ）</t>
  </si>
  <si>
    <t>介護保健施設サービス</t>
    <phoneticPr fontId="2"/>
  </si>
  <si>
    <t>１　介護保健施設（Ⅰ）</t>
  </si>
  <si>
    <t>在宅・入所相互利用体制</t>
    <rPh sb="0" eb="2">
      <t>ザイタク</t>
    </rPh>
    <rPh sb="3" eb="5">
      <t>ニュウショ</t>
    </rPh>
    <rPh sb="5" eb="7">
      <t>ソウゴ</t>
    </rPh>
    <rPh sb="7" eb="9">
      <t>リヨウ</t>
    </rPh>
    <rPh sb="9" eb="11">
      <t>タイセイ</t>
    </rPh>
    <phoneticPr fontId="2"/>
  </si>
  <si>
    <t>看取り介護体制</t>
    <rPh sb="0" eb="2">
      <t>ミト</t>
    </rPh>
    <rPh sb="3" eb="5">
      <t>カイゴ</t>
    </rPh>
    <rPh sb="5" eb="7">
      <t>タイセイ</t>
    </rPh>
    <phoneticPr fontId="2"/>
  </si>
  <si>
    <t>配置医師緊急時対応加算</t>
    <rPh sb="6" eb="7">
      <t>ジ</t>
    </rPh>
    <phoneticPr fontId="2"/>
  </si>
  <si>
    <t>障害者生活支援体制</t>
    <phoneticPr fontId="2"/>
  </si>
  <si>
    <t>精神科医師定期的療養指導</t>
  </si>
  <si>
    <t>常勤専従医師配置</t>
  </si>
  <si>
    <t>４　経過的ユニット型小規模介護福祉施設</t>
  </si>
  <si>
    <t>ADL維持等加算〔申出〕の有無</t>
  </si>
  <si>
    <t>３　ユニット型介護福祉施設</t>
  </si>
  <si>
    <t>５ 加算Ⅲ</t>
    <rPh sb="2" eb="4">
      <t>カサン</t>
    </rPh>
    <phoneticPr fontId="2"/>
  </si>
  <si>
    <t>４ 加算Ⅱ</t>
    <rPh sb="2" eb="4">
      <t>カサン</t>
    </rPh>
    <phoneticPr fontId="2"/>
  </si>
  <si>
    <t>３ 加算Ⅰ</t>
    <rPh sb="2" eb="4">
      <t>カサン</t>
    </rPh>
    <phoneticPr fontId="2"/>
  </si>
  <si>
    <t>個別機能訓練加算</t>
    <rPh sb="0" eb="2">
      <t>コベツ</t>
    </rPh>
    <rPh sb="6" eb="8">
      <t>カサン</t>
    </rPh>
    <phoneticPr fontId="2"/>
  </si>
  <si>
    <t>２　経過的小規模介護福祉施設</t>
  </si>
  <si>
    <t>介護福祉施設サービス</t>
    <rPh sb="4" eb="6">
      <t>シセツ</t>
    </rPh>
    <phoneticPr fontId="2"/>
  </si>
  <si>
    <t>生活機能向上連携加算</t>
    <phoneticPr fontId="2"/>
  </si>
  <si>
    <t>１　介護福祉施設</t>
  </si>
  <si>
    <t>準ユニットケア体制</t>
    <rPh sb="0" eb="1">
      <t>ジュン</t>
    </rPh>
    <rPh sb="7" eb="9">
      <t>タイセイ</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</si>
  <si>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</si>
  <si>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加算Ⅲ・加算Ⅳ</t>
    <rPh sb="6" eb="8">
      <t>カサン</t>
    </rPh>
    <phoneticPr fontId="2"/>
  </si>
  <si>
    <t>２ 加算Ⅰ・加算Ⅱ</t>
    <rPh sb="6" eb="8">
      <t>カサン</t>
    </rPh>
    <phoneticPr fontId="2"/>
  </si>
  <si>
    <t>看護体制加算Ⅱ</t>
    <rPh sb="0" eb="2">
      <t>カンゴ</t>
    </rPh>
    <rPh sb="2" eb="4">
      <t>タイセイ</t>
    </rPh>
    <rPh sb="4" eb="6">
      <t>カサン</t>
    </rPh>
    <phoneticPr fontId="2"/>
  </si>
  <si>
    <t>看護体制加算Ⅰ</t>
    <rPh sb="0" eb="2">
      <t>カンゴ</t>
    </rPh>
    <rPh sb="2" eb="4">
      <t>タイセイ</t>
    </rPh>
    <rPh sb="4" eb="6">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</si>
  <si>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</si>
  <si>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日常生活継続支援加算</t>
    <rPh sb="0" eb="2">
      <t>ニチジョウ</t>
    </rPh>
    <rPh sb="2" eb="4">
      <t>セイカツ</t>
    </rPh>
    <rPh sb="4" eb="6">
      <t>ケイゾク</t>
    </rPh>
    <rPh sb="6" eb="8">
      <t>シエン</t>
    </rPh>
    <rPh sb="8" eb="10">
      <t>カサン</t>
    </rPh>
    <phoneticPr fontId="2"/>
  </si>
  <si>
    <t>４ 介護支援専門員</t>
    <rPh sb="2" eb="4">
      <t>カイゴ</t>
    </rPh>
    <rPh sb="4" eb="6">
      <t>シエン</t>
    </rPh>
    <rPh sb="6" eb="8">
      <t>センモン</t>
    </rPh>
    <phoneticPr fontId="2"/>
  </si>
  <si>
    <t>ターミナルケアマネジメント加算</t>
    <rPh sb="13" eb="15">
      <t>カサン</t>
    </rPh>
    <phoneticPr fontId="2"/>
  </si>
  <si>
    <t>特定事業所医療介護連携加算</t>
    <rPh sb="0" eb="5">
      <t>トクテイジギョウショ</t>
    </rPh>
    <phoneticPr fontId="2"/>
  </si>
  <si>
    <t>５ 加算Ａ</t>
    <phoneticPr fontId="2"/>
  </si>
  <si>
    <t>４ 加算Ⅲ</t>
    <phoneticPr fontId="2"/>
  </si>
  <si>
    <t>特定事業所加算</t>
    <rPh sb="2" eb="5">
      <t>ジギョウショ</t>
    </rPh>
    <rPh sb="5" eb="7">
      <t>カサン</t>
    </rPh>
    <phoneticPr fontId="2"/>
  </si>
  <si>
    <t>特定事業所集中減算</t>
    <rPh sb="0" eb="2">
      <t>トクテイ</t>
    </rPh>
    <rPh sb="2" eb="5">
      <t>ジギョウショ</t>
    </rPh>
    <rPh sb="5" eb="7">
      <t>シュウチュウ</t>
    </rPh>
    <rPh sb="7" eb="9">
      <t>ゲンサン</t>
    </rPh>
    <phoneticPr fontId="2"/>
  </si>
  <si>
    <t>居宅介護支援</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</si>
  <si>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</si>
  <si>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phoneticPr fontId="2"/>
  </si>
  <si>
    <t>サービス提供体制強化加算</t>
    <phoneticPr fontId="2"/>
  </si>
  <si>
    <t>６　軽費老人ホーム（混合型）</t>
  </si>
  <si>
    <t>５　有料老人ホーム（混合型）</t>
  </si>
  <si>
    <t>(短期利用型)</t>
  </si>
  <si>
    <t>若年性認知症入居者受入加算</t>
    <phoneticPr fontId="2"/>
  </si>
  <si>
    <t>２　軽費老人ホーム（介護専用型）</t>
  </si>
  <si>
    <t>２ 加算Ⅱ</t>
    <rPh sb="2" eb="4">
      <t>カサン</t>
    </rPh>
    <phoneticPr fontId="2"/>
  </si>
  <si>
    <t>夜間看護体制加算</t>
    <rPh sb="0" eb="2">
      <t>ヤカン</t>
    </rPh>
    <rPh sb="2" eb="4">
      <t>カンゴ</t>
    </rPh>
    <rPh sb="4" eb="6">
      <t>タイセイ</t>
    </rPh>
    <rPh sb="6" eb="8">
      <t>カサン</t>
    </rPh>
    <phoneticPr fontId="2"/>
  </si>
  <si>
    <t>１　有料老人ホーム（介護専用型）</t>
  </si>
  <si>
    <t>看取り介護加算</t>
    <rPh sb="0" eb="2">
      <t>ミト</t>
    </rPh>
    <rPh sb="3" eb="5">
      <t>カイゴ</t>
    </rPh>
    <rPh sb="5" eb="7">
      <t>カサン</t>
    </rPh>
    <phoneticPr fontId="2"/>
  </si>
  <si>
    <t>７　養護老人ホーム（混合型）</t>
  </si>
  <si>
    <t>　　利用型</t>
  </si>
  <si>
    <t>２　外部サービス</t>
  </si>
  <si>
    <t>３　養護老人ホーム（介護専用型）</t>
  </si>
  <si>
    <t>特定施設入居者生活介護</t>
    <phoneticPr fontId="2"/>
  </si>
  <si>
    <t>１　一般型</t>
  </si>
  <si>
    <t>テクノロジーの導入
（入居継続支援加算関係）</t>
    <rPh sb="11" eb="13">
      <t>ニュウキョ</t>
    </rPh>
    <rPh sb="13" eb="15">
      <t>ケイゾク</t>
    </rPh>
    <rPh sb="15" eb="17">
      <t>シエン</t>
    </rPh>
    <rPh sb="17" eb="19">
      <t>カサン</t>
    </rPh>
    <rPh sb="19" eb="21">
      <t>カンケイ</t>
    </rPh>
    <phoneticPr fontId="2"/>
  </si>
  <si>
    <t>入居継続支援加算</t>
    <rPh sb="0" eb="2">
      <t>ニュウキョ</t>
    </rPh>
    <rPh sb="2" eb="4">
      <t>ケイゾク</t>
    </rPh>
    <rPh sb="4" eb="6">
      <t>シエン</t>
    </rPh>
    <phoneticPr fontId="2"/>
  </si>
  <si>
    <t>ﾘﾊﾋﾞﾘﾃｰｼｮﾝ提供体制</t>
    <phoneticPr fontId="2"/>
  </si>
  <si>
    <t>特定診療費項目</t>
    <phoneticPr fontId="2"/>
  </si>
  <si>
    <t>　　強化型Ｂ</t>
  </si>
  <si>
    <t>３　療養機能</t>
  </si>
  <si>
    <t>認知症専門ケア加算</t>
    <phoneticPr fontId="2"/>
  </si>
  <si>
    <t>　　強化型Ａ</t>
  </si>
  <si>
    <t>２　療養機能</t>
  </si>
  <si>
    <t>７　ユニット型診療所型</t>
  </si>
  <si>
    <t>　　強化型以外</t>
  </si>
  <si>
    <t>１　療養機能</t>
  </si>
  <si>
    <t>食堂の有無</t>
    <rPh sb="0" eb="2">
      <t>ショクドウ</t>
    </rPh>
    <rPh sb="3" eb="5">
      <t>ウム</t>
    </rPh>
    <phoneticPr fontId="2"/>
  </si>
  <si>
    <t>設備基準</t>
    <rPh sb="0" eb="2">
      <t>セツビ</t>
    </rPh>
    <rPh sb="2" eb="4">
      <t>キジュン</t>
    </rPh>
    <phoneticPr fontId="2"/>
  </si>
  <si>
    <t>　　強化型Ｂ）</t>
  </si>
  <si>
    <t>特定診療費項目</t>
  </si>
  <si>
    <t>４　Ⅰ型（療養機能</t>
  </si>
  <si>
    <t>　　強化型Ａ）</t>
    <phoneticPr fontId="2"/>
  </si>
  <si>
    <t>２　診療所型</t>
  </si>
  <si>
    <t>３　Ⅰ型（療養機能</t>
  </si>
  <si>
    <t>　　強化型以外）</t>
  </si>
  <si>
    <t>１　Ⅰ型（療養機能</t>
  </si>
  <si>
    <t>３　Ⅱ型</t>
  </si>
  <si>
    <t>Ｃ　ユニット型病院経過型</t>
  </si>
  <si>
    <t>２　Ⅰ型</t>
  </si>
  <si>
    <t>Ａ　病院経過型</t>
  </si>
  <si>
    <t>２ 医療法施行規則第49条適用</t>
    <rPh sb="2" eb="4">
      <t>イリョウ</t>
    </rPh>
    <rPh sb="4" eb="5">
      <t>ホウ</t>
    </rPh>
    <rPh sb="5" eb="7">
      <t>シコウ</t>
    </rPh>
    <rPh sb="7" eb="9">
      <t>キソク</t>
    </rPh>
    <rPh sb="9" eb="10">
      <t>ダイ</t>
    </rPh>
    <rPh sb="12" eb="13">
      <t>ジョウ</t>
    </rPh>
    <rPh sb="13" eb="15">
      <t>テキヨウ</t>
    </rPh>
    <phoneticPr fontId="2"/>
  </si>
  <si>
    <t>１ 基準</t>
    <rPh sb="2" eb="4">
      <t>キジュン</t>
    </rPh>
    <phoneticPr fontId="2"/>
  </si>
  <si>
    <t>医師の配置基準</t>
  </si>
  <si>
    <t>療養環境基準</t>
    <phoneticPr fontId="2"/>
  </si>
  <si>
    <t>６　ユニット型病院療養型</t>
  </si>
  <si>
    <t>４　Ⅲ型</t>
  </si>
  <si>
    <t>　　強化型）</t>
  </si>
  <si>
    <t>７　Ⅱ型（療養機能</t>
  </si>
  <si>
    <t>３　Ⅱ型（療養機能</t>
  </si>
  <si>
    <t>１　病院療養型</t>
  </si>
  <si>
    <t>６　Ⅰ型（療養機能</t>
  </si>
  <si>
    <t>　　強化型Ａ）</t>
  </si>
  <si>
    <t>５　Ⅰ型（療養機能</t>
  </si>
  <si>
    <t>２　Ⅰ型（療養機能</t>
  </si>
  <si>
    <t>Ａ　ユニット型介護老人保健施設（Ⅳ）</t>
  </si>
  <si>
    <t>９　介護老人保健施設（Ⅳ）</t>
  </si>
  <si>
    <t>療養体制維持特別加算Ⅱ</t>
    <rPh sb="0" eb="2">
      <t>リョウヨウ</t>
    </rPh>
    <rPh sb="2" eb="4">
      <t>タイセイ</t>
    </rPh>
    <rPh sb="4" eb="6">
      <t>イジ</t>
    </rPh>
    <rPh sb="6" eb="8">
      <t>トクベツ</t>
    </rPh>
    <rPh sb="8" eb="10">
      <t>カサン</t>
    </rPh>
    <phoneticPr fontId="2"/>
  </si>
  <si>
    <t>特別療養費加算項目</t>
    <rPh sb="0" eb="2">
      <t>トクベツ</t>
    </rPh>
    <rPh sb="2" eb="4">
      <t>リョウヨウ</t>
    </rPh>
    <rPh sb="4" eb="5">
      <t>ヒ</t>
    </rPh>
    <rPh sb="5" eb="7">
      <t>カサン</t>
    </rPh>
    <rPh sb="7" eb="9">
      <t>コウモク</t>
    </rPh>
    <phoneticPr fontId="2"/>
  </si>
  <si>
    <t>８　ユニット型介護老人保健施設（Ⅲ）</t>
  </si>
  <si>
    <t>６　ユニット型介護老人保健施設（Ⅱ）</t>
  </si>
  <si>
    <t>３ その他</t>
    <rPh sb="4" eb="5">
      <t>タ</t>
    </rPh>
    <phoneticPr fontId="2"/>
  </si>
  <si>
    <t>２ 精神科作業療法</t>
    <rPh sb="2" eb="5">
      <t>セイシンカ</t>
    </rPh>
    <rPh sb="5" eb="7">
      <t>サギョウ</t>
    </rPh>
    <rPh sb="7" eb="9">
      <t>リョウホウ</t>
    </rPh>
    <phoneticPr fontId="2"/>
  </si>
  <si>
    <t>１ 言語聴覚療法</t>
    <rPh sb="2" eb="4">
      <t>ゲンゴ</t>
    </rPh>
    <rPh sb="4" eb="6">
      <t>チョウカク</t>
    </rPh>
    <rPh sb="6" eb="8">
      <t>リョウホウ</t>
    </rPh>
    <phoneticPr fontId="2"/>
  </si>
  <si>
    <t>ﾘﾊﾋﾞﾘﾃｰｼｮﾝ提供体制</t>
    <rPh sb="10" eb="12">
      <t>テイキョウ</t>
    </rPh>
    <rPh sb="12" eb="14">
      <t>タイセイ</t>
    </rPh>
    <phoneticPr fontId="2"/>
  </si>
  <si>
    <t>７　介護老人保健施設（Ⅲ）</t>
  </si>
  <si>
    <t>５　介護老人保健施設（Ⅱ）</t>
  </si>
  <si>
    <t>２　ユニット型介護老人保健施設（Ⅰ）</t>
  </si>
  <si>
    <t>１　介護老人保健施設（Ⅰ）</t>
  </si>
  <si>
    <t>７ 加算Ⅲ</t>
    <rPh sb="2" eb="4">
      <t>カサン</t>
    </rPh>
    <phoneticPr fontId="2"/>
  </si>
  <si>
    <t>５ 加算Ⅱ</t>
    <rPh sb="2" eb="4">
      <t>カサン</t>
    </rPh>
    <phoneticPr fontId="2"/>
  </si>
  <si>
    <t>６ 加算Ⅰ</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</si>
  <si>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</si>
  <si>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サービス提供体制強化加算
（単独型）</t>
    <rPh sb="4" eb="6">
      <t>テイキョウ</t>
    </rPh>
    <rPh sb="6" eb="8">
      <t>タイセイ</t>
    </rPh>
    <rPh sb="8" eb="10">
      <t>キョウカ</t>
    </rPh>
    <rPh sb="10" eb="12">
      <t>カサン</t>
    </rPh>
    <rPh sb="14" eb="17">
      <t>タンドクガタ</t>
    </rPh>
    <phoneticPr fontId="2"/>
  </si>
  <si>
    <t>４　併設型・空床型ユニット型</t>
  </si>
  <si>
    <t>３ 加算Ⅲ・加算Ⅳ</t>
    <rPh sb="2" eb="4">
      <t>カサン</t>
    </rPh>
    <rPh sb="6" eb="8">
      <t>カサン</t>
    </rPh>
    <phoneticPr fontId="2"/>
  </si>
  <si>
    <t>３　単独型ユニット型</t>
  </si>
  <si>
    <t>看取り連携体制加算</t>
    <phoneticPr fontId="2"/>
  </si>
  <si>
    <t>２　併設型・空床型</t>
  </si>
  <si>
    <t>短期入所生活介護</t>
    <phoneticPr fontId="2"/>
  </si>
  <si>
    <t>医療連携強化加算</t>
    <rPh sb="0" eb="2">
      <t>イリョウ</t>
    </rPh>
    <rPh sb="2" eb="4">
      <t>レンケイ</t>
    </rPh>
    <rPh sb="4" eb="6">
      <t>キョウカ</t>
    </rPh>
    <rPh sb="6" eb="8">
      <t>カサン</t>
    </rPh>
    <phoneticPr fontId="2"/>
  </si>
  <si>
    <t>１　単独型</t>
  </si>
  <si>
    <t>３ 加算Ⅳ</t>
    <phoneticPr fontId="2"/>
  </si>
  <si>
    <t>看護体制加算Ⅱ又はⅣ</t>
    <rPh sb="0" eb="2">
      <t>カンゴ</t>
    </rPh>
    <rPh sb="2" eb="4">
      <t>タイセイ</t>
    </rPh>
    <rPh sb="4" eb="6">
      <t>カサン</t>
    </rPh>
    <rPh sb="7" eb="8">
      <t>マタ</t>
    </rPh>
    <phoneticPr fontId="2"/>
  </si>
  <si>
    <t>３ 加算Ⅲ</t>
    <phoneticPr fontId="2"/>
  </si>
  <si>
    <t>看護体制加算Ⅰ又はⅢ</t>
    <rPh sb="0" eb="2">
      <t>カンゴ</t>
    </rPh>
    <rPh sb="2" eb="4">
      <t>タイセイ</t>
    </rPh>
    <rPh sb="4" eb="6">
      <t>カサン</t>
    </rPh>
    <rPh sb="7" eb="8">
      <t>マタ</t>
    </rPh>
    <phoneticPr fontId="2"/>
  </si>
  <si>
    <t>個別機能訓練体制</t>
    <rPh sb="0" eb="2">
      <t>コベツ</t>
    </rPh>
    <rPh sb="2" eb="4">
      <t>キノウ</t>
    </rPh>
    <rPh sb="4" eb="6">
      <t>クンレン</t>
    </rPh>
    <rPh sb="6" eb="8">
      <t>タイセイ</t>
    </rPh>
    <phoneticPr fontId="2"/>
  </si>
  <si>
    <t>機能訓練指導体制</t>
  </si>
  <si>
    <t>生活相談員配置等加算</t>
    <rPh sb="0" eb="2">
      <t>セイカツ</t>
    </rPh>
    <rPh sb="2" eb="5">
      <t>ソウダンイン</t>
    </rPh>
    <rPh sb="5" eb="7">
      <t>ハイチ</t>
    </rPh>
    <rPh sb="7" eb="8">
      <t>トウ</t>
    </rPh>
    <rPh sb="8" eb="10">
      <t>カサン</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</si>
  <si>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</si>
  <si>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個別機能訓練加算</t>
    <rPh sb="0" eb="2">
      <t>コベツ</t>
    </rPh>
    <rPh sb="2" eb="4">
      <t>キノウ</t>
    </rPh>
    <rPh sb="4" eb="8">
      <t>クンレンカサン</t>
    </rPh>
    <phoneticPr fontId="2"/>
  </si>
  <si>
    <t>在宅中心静脈栄養法加算</t>
    <phoneticPr fontId="2"/>
  </si>
  <si>
    <t>医療用麻薬持続注射療法加算</t>
    <phoneticPr fontId="2"/>
  </si>
  <si>
    <t>居宅療養管理指導</t>
    <rPh sb="0" eb="2">
      <t>キョタク</t>
    </rPh>
    <rPh sb="2" eb="4">
      <t>リョウヨウ</t>
    </rPh>
    <rPh sb="4" eb="6">
      <t>カンリ</t>
    </rPh>
    <rPh sb="6" eb="8">
      <t>シドウ</t>
    </rPh>
    <phoneticPr fontId="2"/>
  </si>
  <si>
    <t>３ 加算Ⅱ（ハの場合）</t>
    <phoneticPr fontId="2"/>
  </si>
  <si>
    <t>５ 加算Ⅰ（ハの場合）</t>
    <phoneticPr fontId="2"/>
  </si>
  <si>
    <t>２ 加算Ⅱ（イ及びロの場合）</t>
    <rPh sb="7" eb="8">
      <t>オヨ</t>
    </rPh>
    <rPh sb="11" eb="13">
      <t>バアイ</t>
    </rPh>
    <phoneticPr fontId="2"/>
  </si>
  <si>
    <t>４ 加算Ⅰ（イ及びロの場合）</t>
    <rPh sb="7" eb="8">
      <t>オヨ</t>
    </rPh>
    <rPh sb="11" eb="13">
      <t>バアイ</t>
    </rPh>
    <phoneticPr fontId="2"/>
  </si>
  <si>
    <t>看護体制強化加算</t>
    <rPh sb="0" eb="2">
      <t>カンゴ</t>
    </rPh>
    <rPh sb="2" eb="4">
      <t>タイセイ</t>
    </rPh>
    <rPh sb="4" eb="6">
      <t>キョウカ</t>
    </rPh>
    <rPh sb="6" eb="8">
      <t>カサン</t>
    </rPh>
    <phoneticPr fontId="2"/>
  </si>
  <si>
    <t>看護体制強化加算</t>
    <rPh sb="0" eb="2">
      <t>カンゴ</t>
    </rPh>
    <rPh sb="2" eb="4">
      <t>タイセイ</t>
    </rPh>
    <rPh sb="4" eb="6">
      <t>キョウカ</t>
    </rPh>
    <rPh sb="6" eb="8">
      <t>カサン</t>
    </rPh>
    <phoneticPr fontId="3"/>
  </si>
  <si>
    <t>遠隔死亡診断補助加算</t>
    <rPh sb="0" eb="2">
      <t>エンカク</t>
    </rPh>
    <rPh sb="2" eb="4">
      <t>シボウ</t>
    </rPh>
    <rPh sb="4" eb="6">
      <t>シンダン</t>
    </rPh>
    <rPh sb="6" eb="8">
      <t>ホジョ</t>
    </rPh>
    <rPh sb="8" eb="10">
      <t>カサン</t>
    </rPh>
    <phoneticPr fontId="3"/>
  </si>
  <si>
    <t>ターミナルケア体制</t>
    <rPh sb="7" eb="9">
      <t>タイセイ</t>
    </rPh>
    <phoneticPr fontId="3"/>
  </si>
  <si>
    <t>専門管理加算</t>
    <rPh sb="0" eb="2">
      <t>センモン</t>
    </rPh>
    <rPh sb="2" eb="4">
      <t>カンリ</t>
    </rPh>
    <rPh sb="4" eb="6">
      <t>カサン</t>
    </rPh>
    <phoneticPr fontId="3"/>
  </si>
  <si>
    <t>３　定期巡回・随時対応サービス連携</t>
  </si>
  <si>
    <t>特別管理体制</t>
    <phoneticPr fontId="2"/>
  </si>
  <si>
    <t>特別管理体制</t>
    <phoneticPr fontId="3"/>
  </si>
  <si>
    <t>緊急時訪問看護加算</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</si>
  <si>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</si>
  <si>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</si>
  <si>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特別地域加算</t>
    <rPh sb="0" eb="2">
      <t>トクベツ</t>
    </rPh>
    <rPh sb="2" eb="4">
      <t>チイキ</t>
    </rPh>
    <rPh sb="4" eb="6">
      <t>カサン</t>
    </rPh>
    <phoneticPr fontId="3"/>
  </si>
  <si>
    <t>５ 加算Ⅲ</t>
    <phoneticPr fontId="2"/>
  </si>
  <si>
    <t>４ 加算Ⅰ</t>
    <phoneticPr fontId="2"/>
  </si>
  <si>
    <t>特別地域加算</t>
    <phoneticPr fontId="3"/>
  </si>
  <si>
    <t>３　通院等乗降介助</t>
    <phoneticPr fontId="2"/>
  </si>
  <si>
    <t>特定事業所加算Ⅴ</t>
    <rPh sb="0" eb="2">
      <t>トクテイ</t>
    </rPh>
    <rPh sb="2" eb="5">
      <t>ジギョウショ</t>
    </rPh>
    <rPh sb="5" eb="7">
      <t>カサン</t>
    </rPh>
    <phoneticPr fontId="3"/>
  </si>
  <si>
    <t>５ 加算Ⅳ</t>
    <phoneticPr fontId="2"/>
  </si>
  <si>
    <t>特定事業所加算（Ⅴ以外）</t>
    <rPh sb="0" eb="2">
      <t>トクテイ</t>
    </rPh>
    <rPh sb="2" eb="5">
      <t>ジギョウショ</t>
    </rPh>
    <rPh sb="5" eb="7">
      <t>カサン</t>
    </rPh>
    <rPh sb="9" eb="11">
      <t>イガイ</t>
    </rPh>
    <phoneticPr fontId="3"/>
  </si>
  <si>
    <t>介護予防訪問看護</t>
  </si>
  <si>
    <t>２　該当</t>
    <phoneticPr fontId="2"/>
  </si>
  <si>
    <t>２　居宅介護支援事業者</t>
    <phoneticPr fontId="2"/>
  </si>
  <si>
    <t>１　なし</t>
    <phoneticPr fontId="2"/>
  </si>
  <si>
    <t>１　地域包括支援センター</t>
    <phoneticPr fontId="2"/>
  </si>
  <si>
    <t>介護予防福祉用具貸与</t>
  </si>
  <si>
    <t>３　養護老人ホーム</t>
  </si>
  <si>
    <t>生活介護</t>
  </si>
  <si>
    <t>２　軽費老人ホーム</t>
  </si>
  <si>
    <t>介護予防特定施設入居者</t>
  </si>
  <si>
    <t>１　有料老人ホーム</t>
  </si>
  <si>
    <t>介護予防短期入所療養介護</t>
    <phoneticPr fontId="2"/>
  </si>
  <si>
    <t>２　診療所型</t>
    <phoneticPr fontId="2"/>
  </si>
  <si>
    <t>介護予防短期入所療養介護</t>
  </si>
  <si>
    <t>療養環境基準</t>
  </si>
  <si>
    <t>６　ユニット型病院療養型</t>
    <phoneticPr fontId="2"/>
  </si>
  <si>
    <t>１　病院療養型</t>
    <phoneticPr fontId="2"/>
  </si>
  <si>
    <t>療養体制維持特別加算Ⅰ</t>
    <rPh sb="0" eb="10">
      <t>リョウヨウタイセイイジトクベツカサン</t>
    </rPh>
    <phoneticPr fontId="2"/>
  </si>
  <si>
    <t>１　介護老人保健施設（Ⅰ）</t>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</si>
  <si>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</si>
  <si>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居宅療養管理指導</t>
    <phoneticPr fontId="2"/>
  </si>
  <si>
    <t>介護予防</t>
    <rPh sb="0" eb="2">
      <t>カイゴ</t>
    </rPh>
    <rPh sb="2" eb="4">
      <t>ヨボウ</t>
    </rPh>
    <phoneticPr fontId="2"/>
  </si>
  <si>
    <t>緊急時介護予防訪問看護加算</t>
    <rPh sb="3" eb="5">
      <t>カイゴ</t>
    </rPh>
    <rPh sb="5" eb="7">
      <t>ヨボウ</t>
    </rPh>
    <phoneticPr fontId="2"/>
  </si>
  <si>
    <t>そ　 　　の　 　　他　　 　該　　 　当　　 　す 　　　る 　　　体 　　　制 　　　等</t>
  </si>
  <si>
    <t>介 護 給 付 費 算 定 に 係 る 体 制 等 状 況 一 覧 表 （介護予防サービス）</t>
    <rPh sb="37" eb="38">
      <t>スケ</t>
    </rPh>
    <rPh sb="38" eb="39">
      <t>ユズル</t>
    </rPh>
    <rPh sb="39" eb="40">
      <t>ヨ</t>
    </rPh>
    <rPh sb="40" eb="41">
      <t>ボウ</t>
    </rPh>
    <phoneticPr fontId="2"/>
  </si>
  <si>
    <t>（別紙１－２）</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</si>
</sst>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h:mm;@"/>
    <numFmt numFmtId="190" formatCode="0_ "/>
    <numFmt numFmtId="191" formatCode="[&lt;=999]000;[&lt;=9999]000\-00;000\-0000"/>
    <numFmt numFmtId="192" formatCode="0.00_ "/>
  </numFmts>
  <fonts count="145" x14ac:knownFonts="1">
    <font>
      <sz val="11"/>
      <name val="ＭＳ Ｐゴシック"/>
      <family val="3"/>
      <charset val="128"/>
    </font>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b/>
      <sz val="9"/>
      <name val="ＭＳ Ｐゴシック"/>
      <family val="3"/>
      <charset val="128"/>
    </font>
    <font>
      <sz val="10"/>
      <name val="ＭＳ Ｐゴシック"/>
      <family val="3"/>
      <charset val="128"/>
    </font>
    <font>
      <sz val="10"/>
      <color indexed="10"/>
      <name val="HGSｺﾞｼｯｸM"/>
      <family val="3"/>
      <charset val="128"/>
    </font>
    <font>
      <sz val="9"/>
      <name val="HGSｺﾞｼｯｸM"/>
      <family val="3"/>
      <charset val="128"/>
    </font>
    <font>
      <sz val="8"/>
      <name val="HGSｺﾞｼｯｸM"/>
      <family val="3"/>
      <charset val="128"/>
    </font>
    <font>
      <sz val="12"/>
      <name val="HGSｺﾞｼｯｸM"/>
      <family val="3"/>
      <charset val="128"/>
    </font>
    <font>
      <b/>
      <sz val="14"/>
      <name val="HGSｺﾞｼｯｸM"/>
      <family val="3"/>
      <charset val="128"/>
    </font>
    <font>
      <b/>
      <sz val="11"/>
      <name val="HGSｺﾞｼｯｸM"/>
      <family val="3"/>
      <charset val="128"/>
    </font>
    <font>
      <sz val="11"/>
      <name val="HGPｺﾞｼｯｸM"/>
      <family val="3"/>
      <charset val="128"/>
    </font>
    <font>
      <sz val="16"/>
      <name val="HGPｺﾞｼｯｸM"/>
      <family val="3"/>
      <charset val="128"/>
    </font>
    <font>
      <sz val="12"/>
      <name val="HGPｺﾞｼｯｸM"/>
      <family val="3"/>
      <charset val="128"/>
    </font>
    <font>
      <vertAlign val="superscript"/>
      <sz val="10"/>
      <name val="HGSｺﾞｼｯｸM"/>
      <family val="3"/>
      <charset val="128"/>
    </font>
    <font>
      <sz val="16"/>
      <name val="HGSｺﾞｼｯｸM"/>
      <family val="3"/>
      <charset val="128"/>
    </font>
    <font>
      <u/>
      <sz val="10"/>
      <name val="HGSｺﾞｼｯｸM"/>
      <family val="3"/>
      <charset val="128"/>
    </font>
    <font>
      <sz val="6"/>
      <name val="ＭＳ Ｐ明朝"/>
      <family val="1"/>
      <charset val="128"/>
    </font>
    <font>
      <sz val="9"/>
      <name val="HGPｺﾞｼｯｸM"/>
      <family val="3"/>
      <charset val="128"/>
    </font>
    <font>
      <sz val="14"/>
      <name val="HGPｺﾞｼｯｸM"/>
      <family val="3"/>
      <charset val="128"/>
    </font>
    <font>
      <sz val="10"/>
      <name val="HGPｺﾞｼｯｸM"/>
      <family val="3"/>
      <charset val="128"/>
    </font>
    <font>
      <b/>
      <sz val="14"/>
      <color indexed="12"/>
      <name val="HGPｺﾞｼｯｸM"/>
      <family val="3"/>
      <charset val="128"/>
    </font>
    <font>
      <u/>
      <sz val="11"/>
      <name val="HGPｺﾞｼｯｸM"/>
      <family val="3"/>
      <charset val="128"/>
    </font>
    <font>
      <u/>
      <sz val="14"/>
      <name val="HGPｺﾞｼｯｸM"/>
      <family val="3"/>
      <charset val="128"/>
    </font>
    <font>
      <u/>
      <sz val="10.5"/>
      <name val="HGPｺﾞｼｯｸM"/>
      <family val="3"/>
      <charset val="128"/>
    </font>
    <font>
      <sz val="18"/>
      <name val="HGPｺﾞｼｯｸM"/>
      <family val="3"/>
      <charset val="128"/>
    </font>
    <font>
      <b/>
      <sz val="12"/>
      <name val="HGPｺﾞｼｯｸM"/>
      <family val="3"/>
      <charset val="128"/>
    </font>
    <font>
      <sz val="11"/>
      <color indexed="10"/>
      <name val="HGPｺﾞｼｯｸM"/>
      <family val="3"/>
      <charset val="128"/>
    </font>
    <font>
      <b/>
      <sz val="14"/>
      <name val="HGPｺﾞｼｯｸM"/>
      <family val="3"/>
      <charset val="128"/>
    </font>
    <font>
      <sz val="9"/>
      <color indexed="81"/>
      <name val="HGPｺﾞｼｯｸM"/>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20"/>
      <name val="HGSｺﾞｼｯｸM"/>
      <family val="3"/>
      <charset val="128"/>
    </font>
    <font>
      <sz val="12"/>
      <name val="HGPｺﾞｼｯｸE"/>
      <family val="3"/>
      <charset val="128"/>
    </font>
    <font>
      <sz val="10"/>
      <color indexed="12"/>
      <name val="HGSｺﾞｼｯｸM"/>
      <family val="3"/>
      <charset val="128"/>
    </font>
    <font>
      <sz val="10"/>
      <color indexed="10"/>
      <name val="HGSｺﾞｼｯｸM"/>
      <family val="3"/>
      <charset val="128"/>
    </font>
    <font>
      <sz val="10"/>
      <color indexed="9"/>
      <name val="HGSｺﾞｼｯｸM"/>
      <family val="3"/>
      <charset val="128"/>
    </font>
    <font>
      <sz val="8"/>
      <color indexed="9"/>
      <name val="HGSｺﾞｼｯｸM"/>
      <family val="3"/>
      <charset val="128"/>
    </font>
    <font>
      <sz val="8"/>
      <color indexed="8"/>
      <name val="HGSｺﾞｼｯｸM"/>
      <family val="3"/>
      <charset val="128"/>
    </font>
    <font>
      <sz val="10"/>
      <color indexed="8"/>
      <name val="HGSｺﾞｼｯｸM"/>
      <family val="3"/>
      <charset val="128"/>
    </font>
    <font>
      <sz val="8"/>
      <color indexed="10"/>
      <name val="HGPｺﾞｼｯｸM"/>
      <family val="3"/>
      <charset val="128"/>
    </font>
    <font>
      <b/>
      <sz val="14"/>
      <color indexed="10"/>
      <name val="HGSｺﾞｼｯｸM"/>
      <family val="3"/>
      <charset val="128"/>
    </font>
    <font>
      <sz val="11"/>
      <color indexed="10"/>
      <name val="HGPｺﾞｼｯｸM"/>
      <family val="3"/>
      <charset val="128"/>
    </font>
    <font>
      <b/>
      <sz val="14"/>
      <color indexed="10"/>
      <name val="HGPｺﾞｼｯｸM"/>
      <family val="3"/>
      <charset val="128"/>
    </font>
    <font>
      <sz val="11"/>
      <color indexed="9"/>
      <name val="HGPｺﾞｼｯｸM"/>
      <family val="3"/>
      <charset val="128"/>
    </font>
    <font>
      <b/>
      <sz val="12"/>
      <color indexed="9"/>
      <name val="HGSｺﾞｼｯｸM"/>
      <family val="3"/>
      <charset val="128"/>
    </font>
    <font>
      <b/>
      <sz val="14"/>
      <color indexed="9"/>
      <name val="HGPｺﾞｼｯｸM"/>
      <family val="3"/>
      <charset val="128"/>
    </font>
    <font>
      <b/>
      <sz val="9"/>
      <color indexed="10"/>
      <name val="HGPｺﾞｼｯｸM"/>
      <family val="3"/>
      <charset val="128"/>
    </font>
    <font>
      <sz val="11"/>
      <color indexed="8"/>
      <name val="HGSｺﾞｼｯｸM"/>
      <family val="3"/>
      <charset val="128"/>
    </font>
    <font>
      <sz val="12"/>
      <color indexed="8"/>
      <name val="HGSｺﾞｼｯｸM"/>
      <family val="3"/>
      <charset val="128"/>
    </font>
    <font>
      <sz val="6"/>
      <name val="HGSｺﾞｼｯｸM"/>
      <family val="3"/>
      <charset val="128"/>
    </font>
    <font>
      <b/>
      <sz val="16"/>
      <color indexed="8"/>
      <name val="Meiryo UI"/>
      <family val="3"/>
      <charset val="128"/>
    </font>
    <font>
      <sz val="6"/>
      <name val="ＭＳ Ｐゴシック"/>
      <family val="3"/>
      <charset val="128"/>
    </font>
    <font>
      <sz val="14"/>
      <color indexed="8"/>
      <name val="Meiryo UI"/>
      <family val="3"/>
      <charset val="128"/>
    </font>
    <font>
      <b/>
      <sz val="14"/>
      <color indexed="8"/>
      <name val="Meiryo UI"/>
      <family val="3"/>
      <charset val="128"/>
    </font>
    <font>
      <sz val="12"/>
      <color indexed="8"/>
      <name val="Meiryo UI"/>
      <family val="3"/>
      <charset val="128"/>
    </font>
    <font>
      <sz val="9"/>
      <color indexed="8"/>
      <name val="Meiryo UI"/>
      <family val="3"/>
      <charset val="128"/>
    </font>
    <font>
      <sz val="11"/>
      <color indexed="8"/>
      <name val="Meiryo UI"/>
      <family val="3"/>
      <charset val="128"/>
    </font>
    <font>
      <sz val="13"/>
      <color indexed="8"/>
      <name val="Meiryo UI"/>
      <family val="3"/>
      <charset val="128"/>
    </font>
    <font>
      <sz val="11.5"/>
      <color indexed="8"/>
      <name val="Meiryo UI"/>
      <family val="3"/>
      <charset val="128"/>
    </font>
    <font>
      <sz val="11"/>
      <color indexed="8"/>
      <name val="ＭＳ Ｐゴシック"/>
      <family val="3"/>
      <charset val="128"/>
    </font>
    <font>
      <sz val="12"/>
      <color indexed="8"/>
      <name val="ＭＳ ゴシック"/>
      <family val="3"/>
      <charset val="128"/>
    </font>
    <font>
      <sz val="12"/>
      <color indexed="8"/>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9"/>
      <color indexed="8"/>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10"/>
      <color indexed="8"/>
      <name val="ＭＳ Ｐゴシック"/>
      <family val="3"/>
      <charset val="128"/>
    </font>
    <font>
      <b/>
      <sz val="16"/>
      <name val="HGSｺﾞｼｯｸM"/>
      <family val="3"/>
      <charset val="128"/>
    </font>
    <font>
      <b/>
      <sz val="18"/>
      <color indexed="10"/>
      <name val="HGSｺﾞｼｯｸM"/>
      <family val="3"/>
      <charset val="128"/>
    </font>
    <font>
      <sz val="11"/>
      <color theme="1"/>
      <name val="ＭＳ Ｐゴシック"/>
      <family val="3"/>
      <charset val="128"/>
      <scheme val="minor"/>
    </font>
    <font>
      <b/>
      <u/>
      <sz val="16"/>
      <color theme="1"/>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6"/>
      <color theme="0"/>
      <name val="HGSｺﾞｼｯｸM"/>
      <family val="3"/>
      <charset val="128"/>
    </font>
    <font>
      <b/>
      <sz val="11"/>
      <color theme="0"/>
      <name val="HGSｺﾞｼｯｸM"/>
      <family val="3"/>
      <charset val="128"/>
    </font>
    <font>
      <sz val="11"/>
      <color rgb="FFFF0000"/>
      <name val="HGSｺﾞｼｯｸM"/>
      <family val="3"/>
      <charset val="128"/>
    </font>
    <font>
      <b/>
      <u/>
      <sz val="11"/>
      <color theme="1"/>
      <name val="ＭＳ Ｐゴシック"/>
      <family val="3"/>
      <charset val="128"/>
      <scheme val="minor"/>
    </font>
    <font>
      <strike/>
      <sz val="11"/>
      <color rgb="FFFF0000"/>
      <name val="HGSｺﾞｼｯｸM"/>
      <family val="3"/>
      <charset val="128"/>
    </font>
    <font>
      <sz val="11"/>
      <color rgb="FFFF0000"/>
      <name val="HGPｺﾞｼｯｸM"/>
      <family val="3"/>
      <charset val="128"/>
    </font>
    <font>
      <sz val="10"/>
      <color rgb="FF000000"/>
      <name val="Times New Roman"/>
      <family val="1"/>
    </font>
    <font>
      <b/>
      <sz val="10"/>
      <color theme="1"/>
      <name val="ＭＳ Ｐゴシック"/>
      <family val="3"/>
      <charset val="128"/>
    </font>
    <font>
      <b/>
      <sz val="10"/>
      <color theme="1"/>
      <name val="Times New Roman"/>
      <family val="1"/>
    </font>
    <font>
      <sz val="10"/>
      <color theme="1"/>
      <name val="ＭＳ Ｐゴシック"/>
      <family val="3"/>
      <charset val="128"/>
      <scheme val="minor"/>
    </font>
    <font>
      <sz val="10"/>
      <color theme="1"/>
      <name val="ＭＳ Ｐゴシック"/>
      <family val="3"/>
      <charset val="128"/>
      <scheme val="major"/>
    </font>
    <font>
      <sz val="10"/>
      <color theme="1"/>
      <name val="ＭＳ Ｐゴシック"/>
      <family val="3"/>
      <charset val="128"/>
    </font>
    <font>
      <sz val="12"/>
      <name val="ＭＳ Ｐゴシック"/>
      <family val="3"/>
      <charset val="128"/>
    </font>
    <font>
      <sz val="9"/>
      <color theme="1"/>
      <name val="ＭＳ Ｐゴシック"/>
      <family val="3"/>
      <charset val="128"/>
    </font>
    <font>
      <sz val="10.5"/>
      <color theme="1"/>
      <name val="ＭＳ Ｐゴシック"/>
      <family val="3"/>
      <charset val="128"/>
      <scheme val="minor"/>
    </font>
    <font>
      <sz val="9.5"/>
      <color theme="1"/>
      <name val="ＭＳ Ｐゴシック"/>
      <family val="3"/>
      <charset val="128"/>
      <scheme val="minor"/>
    </font>
    <font>
      <sz val="10"/>
      <name val="ＭＳ Ｐゴシック"/>
      <family val="3"/>
      <charset val="128"/>
      <scheme val="minor"/>
    </font>
    <font>
      <sz val="9"/>
      <color rgb="FF000000"/>
      <name val="Meiryo UI"/>
      <family val="3"/>
      <charset val="128"/>
    </font>
    <font>
      <b/>
      <sz val="12"/>
      <color theme="1"/>
      <name val="ＭＳ Ｐゴシック"/>
      <family val="3"/>
      <charset val="128"/>
      <scheme val="minor"/>
    </font>
    <font>
      <sz val="10.5"/>
      <color theme="1"/>
      <name val="ＭＳ Ｐゴシック"/>
      <family val="3"/>
      <charset val="128"/>
    </font>
    <font>
      <b/>
      <sz val="11"/>
      <name val="ＭＳ Ｐゴシック"/>
      <family val="3"/>
      <charset val="128"/>
      <scheme val="minor"/>
    </font>
    <font>
      <b/>
      <sz val="12"/>
      <name val="ＭＳ Ｐゴシック"/>
      <family val="3"/>
      <charset val="128"/>
      <scheme val="minor"/>
    </font>
    <font>
      <sz val="10.5"/>
      <name val="ＭＳ Ｐゴシック"/>
      <family val="3"/>
      <charset val="128"/>
      <scheme val="minor"/>
    </font>
    <font>
      <sz val="10"/>
      <color rgb="FF00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10"/>
      <color rgb="FFFF0000"/>
      <name val="HGSｺﾞｼｯｸM"/>
      <family val="3"/>
      <charset val="128"/>
    </font>
    <font>
      <strike/>
      <sz val="11"/>
      <name val="HGSｺﾞｼｯｸM"/>
      <family val="3"/>
      <charset val="128"/>
    </font>
    <font>
      <strike/>
      <sz val="10"/>
      <name val="HGSｺﾞｼｯｸM"/>
      <family val="3"/>
      <charset val="128"/>
    </font>
    <font>
      <sz val="11"/>
      <color theme="1"/>
      <name val="HGSｺﾞｼｯｸM"/>
      <family val="3"/>
      <charset val="128"/>
    </font>
    <font>
      <sz val="10.5"/>
      <color theme="1"/>
      <name val="ＭＳ Ｐゴシック"/>
      <family val="3"/>
      <charset val="128"/>
      <scheme val="major"/>
    </font>
    <font>
      <sz val="9"/>
      <name val="ＭＳ Ｐゴシック"/>
      <family val="3"/>
      <charset val="128"/>
      <scheme val="minor"/>
    </font>
    <font>
      <sz val="10"/>
      <color rgb="FF0000FF"/>
      <name val="HGSｺﾞｼｯｸM"/>
      <family val="3"/>
      <charset val="128"/>
    </font>
    <font>
      <b/>
      <sz val="14"/>
      <color rgb="FFFF0000"/>
      <name val="HGSｺﾞｼｯｸM"/>
      <family val="3"/>
      <charset val="128"/>
    </font>
    <font>
      <b/>
      <sz val="11"/>
      <color rgb="FFFF0000"/>
      <name val="HGSｺﾞｼｯｸM"/>
      <family val="3"/>
      <charset val="128"/>
    </font>
    <font>
      <sz val="8"/>
      <color rgb="FF0000FF"/>
      <name val="HGSｺﾞｼｯｸM"/>
      <family val="3"/>
      <charset val="128"/>
    </font>
    <font>
      <sz val="11"/>
      <name val="Wingdings"/>
      <charset val="2"/>
    </font>
    <font>
      <b/>
      <u/>
      <sz val="14"/>
      <color rgb="FFFF0000"/>
      <name val="HGSｺﾞｼｯｸM"/>
      <family val="3"/>
      <charset val="128"/>
    </font>
    <font>
      <b/>
      <sz val="14"/>
      <color theme="1"/>
      <name val="HGSｺﾞｼｯｸM"/>
      <family val="3"/>
      <charset val="128"/>
    </font>
    <font>
      <u/>
      <sz val="11"/>
      <color theme="10"/>
      <name val="ＭＳ Ｐゴシック"/>
      <family val="3"/>
      <charset val="128"/>
    </font>
    <font>
      <sz val="10"/>
      <color theme="1"/>
      <name val="HGSｺﾞｼｯｸM"/>
      <family val="3"/>
      <charset val="128"/>
    </font>
    <font>
      <sz val="11"/>
      <color theme="1"/>
      <name val="ＭＳ Ｐゴシック"/>
      <family val="3"/>
      <charset val="128"/>
    </font>
    <font>
      <u/>
      <sz val="10.5"/>
      <name val="HGSｺﾞｼｯｸM"/>
      <family val="3"/>
      <charset val="128"/>
    </font>
    <font>
      <sz val="11"/>
      <color theme="1"/>
      <name val="ＭＳ ゴシック"/>
      <family val="3"/>
      <charset val="128"/>
    </font>
    <font>
      <strike/>
      <sz val="11"/>
      <color theme="1"/>
      <name val="HGSｺﾞｼｯｸM"/>
      <family val="3"/>
      <charset val="128"/>
    </font>
    <font>
      <strike/>
      <sz val="11"/>
      <color theme="1"/>
      <name val="ＭＳ Ｐゴシック"/>
      <family val="3"/>
      <charset val="128"/>
    </font>
    <font>
      <sz val="11"/>
      <color rgb="FFFF0000"/>
      <name val="ＭＳ Ｐゴシック"/>
      <family val="3"/>
      <charset val="128"/>
    </font>
    <font>
      <sz val="16"/>
      <color theme="1"/>
      <name val="HGSｺﾞｼｯｸM"/>
      <family val="3"/>
      <charset val="128"/>
    </font>
    <font>
      <sz val="14"/>
      <color theme="1"/>
      <name val="HGSｺﾞｼｯｸM"/>
      <family val="3"/>
      <charset val="128"/>
    </font>
    <font>
      <strike/>
      <sz val="11"/>
      <color theme="1"/>
      <name val="游ゴシック Light"/>
      <family val="3"/>
      <charset val="128"/>
    </font>
    <font>
      <sz val="11"/>
      <color theme="1"/>
      <name val="HGｺﾞｼｯｸM"/>
      <family val="3"/>
      <charset val="128"/>
    </font>
    <font>
      <sz val="11"/>
      <color theme="1"/>
      <name val="ＭＳ Ｐゴシック"/>
      <family val="3"/>
      <charset val="128"/>
      <scheme val="major"/>
    </font>
    <font>
      <sz val="11"/>
      <color theme="1"/>
      <name val="HGPｺﾞｼｯｸM"/>
      <family val="3"/>
      <charset val="128"/>
    </font>
    <font>
      <strike/>
      <sz val="11"/>
      <color theme="1"/>
      <name val="HGPｺﾞｼｯｸM"/>
      <family val="3"/>
      <charset val="128"/>
    </font>
  </fonts>
  <fills count="24">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12"/>
        <bgColor indexed="64"/>
      </patternFill>
    </fill>
    <fill>
      <patternFill patternType="solid">
        <fgColor indexed="4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CC"/>
        <bgColor indexed="64"/>
      </patternFill>
    </fill>
    <fill>
      <patternFill patternType="solid">
        <fgColor rgb="FF0000FF"/>
        <bgColor indexed="64"/>
      </patternFill>
    </fill>
    <fill>
      <patternFill patternType="solid">
        <fgColor theme="6" tint="0.79995117038483843"/>
        <bgColor theme="6" tint="0.79998168889431442"/>
      </patternFill>
    </fill>
    <fill>
      <patternFill patternType="solid">
        <fgColor rgb="FFFFC00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25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medium">
        <color indexed="64"/>
      </top>
      <bottom style="medium">
        <color indexed="64"/>
      </bottom>
      <diagonal/>
    </border>
    <border>
      <left/>
      <right/>
      <top style="medium">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thin">
        <color rgb="FF000000"/>
      </top>
      <bottom style="thin">
        <color rgb="FF000000"/>
      </bottom>
      <diagonal/>
    </border>
    <border>
      <left/>
      <right style="medium">
        <color indexed="64"/>
      </right>
      <top/>
      <bottom style="medium">
        <color indexed="64"/>
      </bottom>
      <diagonal/>
    </border>
    <border>
      <left style="thin">
        <color indexed="64"/>
      </left>
      <right/>
      <top/>
      <bottom style="medium">
        <color indexed="64"/>
      </bottom>
      <diagonal/>
    </border>
    <border>
      <left style="medium">
        <color rgb="FF000000"/>
      </left>
      <right/>
      <top/>
      <bottom style="medium">
        <color indexed="64"/>
      </bottom>
      <diagonal/>
    </border>
    <border>
      <left style="medium">
        <color rgb="FF000000"/>
      </left>
      <right/>
      <top style="thin">
        <color indexed="64"/>
      </top>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medium">
        <color rgb="FF000000"/>
      </left>
      <right/>
      <top style="thin">
        <color rgb="FF000000"/>
      </top>
      <bottom/>
      <diagonal/>
    </border>
    <border>
      <left/>
      <right style="medium">
        <color indexed="64"/>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indexed="64"/>
      </right>
      <top style="medium">
        <color indexed="64"/>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right style="medium">
        <color indexed="64"/>
      </right>
      <top style="dashed">
        <color rgb="FF000000"/>
      </top>
      <bottom/>
      <diagonal/>
    </border>
    <border>
      <left/>
      <right/>
      <top style="dashed">
        <color rgb="FF000000"/>
      </top>
      <bottom/>
      <diagonal/>
    </border>
    <border>
      <left/>
      <right style="medium">
        <color indexed="64"/>
      </right>
      <top style="thin">
        <color rgb="FF000000"/>
      </top>
      <bottom style="dashed">
        <color rgb="FF000000"/>
      </bottom>
      <diagonal/>
    </border>
    <border>
      <left/>
      <right/>
      <top style="thin">
        <color rgb="FF000000"/>
      </top>
      <bottom style="dashed">
        <color rgb="FF000000"/>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medium">
        <color indexed="64"/>
      </top>
      <bottom style="thin">
        <color indexed="64"/>
      </bottom>
      <diagonal/>
    </border>
    <border>
      <left style="hair">
        <color indexed="64"/>
      </left>
      <right style="thin">
        <color indexed="64"/>
      </right>
      <top/>
      <bottom style="hair">
        <color indexed="64"/>
      </bottom>
      <diagonal/>
    </border>
    <border>
      <left/>
      <right/>
      <top style="dotted">
        <color indexed="64"/>
      </top>
      <bottom style="dash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s>
  <cellStyleXfs count="24">
    <xf numFmtId="0" fontId="0" fillId="0" borderId="0"/>
    <xf numFmtId="9" fontId="1" fillId="0" borderId="0" applyFont="0" applyFill="0" applyBorder="0" applyAlignment="0" applyProtection="0"/>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38" fontId="1" fillId="0" borderId="0" applyFont="0" applyFill="0" applyBorder="0" applyAlignment="0" applyProtection="0"/>
    <xf numFmtId="38" fontId="8" fillId="0" borderId="0" applyFont="0" applyFill="0" applyBorder="0" applyAlignment="0" applyProtection="0"/>
    <xf numFmtId="38" fontId="69" fillId="0" borderId="0" applyFont="0" applyFill="0" applyBorder="0" applyAlignment="0" applyProtection="0">
      <alignment vertical="center"/>
    </xf>
    <xf numFmtId="0" fontId="8" fillId="0" borderId="0">
      <alignment vertical="center"/>
    </xf>
    <xf numFmtId="0" fontId="8" fillId="0" borderId="0"/>
    <xf numFmtId="0" fontId="8" fillId="0" borderId="0">
      <alignment vertical="center"/>
    </xf>
    <xf numFmtId="0" fontId="84" fillId="0" borderId="0">
      <alignment vertical="center"/>
    </xf>
    <xf numFmtId="0" fontId="11" fillId="0" borderId="0">
      <alignment vertical="center"/>
    </xf>
    <xf numFmtId="0" fontId="96" fillId="0" borderId="0"/>
    <xf numFmtId="0" fontId="1" fillId="0" borderId="0"/>
    <xf numFmtId="0" fontId="102" fillId="0" borderId="0" applyBorder="0"/>
    <xf numFmtId="0" fontId="1" fillId="0" borderId="0"/>
    <xf numFmtId="38" fontId="84"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xf numFmtId="0" fontId="84" fillId="0" borderId="0">
      <alignment vertical="center"/>
    </xf>
    <xf numFmtId="9" fontId="84" fillId="0" borderId="0" applyFont="0" applyFill="0" applyBorder="0" applyAlignment="0" applyProtection="0">
      <alignment vertical="center"/>
    </xf>
    <xf numFmtId="0" fontId="130" fillId="0" borderId="0" applyNumberFormat="0" applyFill="0" applyBorder="0" applyAlignment="0" applyProtection="0"/>
  </cellStyleXfs>
  <cellXfs count="352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5"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vertical="center" shrinkToFit="1"/>
    </xf>
    <xf numFmtId="0" fontId="42" fillId="2" borderId="0" xfId="0" applyFont="1" applyFill="1" applyAlignment="1">
      <alignment vertical="center"/>
    </xf>
    <xf numFmtId="0" fontId="5" fillId="2" borderId="0" xfId="0" applyFont="1" applyFill="1" applyAlignment="1">
      <alignment vertical="top"/>
    </xf>
    <xf numFmtId="0" fontId="42" fillId="2" borderId="0" xfId="0" applyFont="1" applyFill="1" applyAlignment="1">
      <alignment vertical="top"/>
    </xf>
    <xf numFmtId="0" fontId="5" fillId="2" borderId="0" xfId="0" applyFont="1" applyFill="1" applyAlignment="1">
      <alignment horizontal="left" vertical="top"/>
    </xf>
    <xf numFmtId="0" fontId="43" fillId="2" borderId="0" xfId="0" applyFont="1" applyFill="1" applyAlignment="1">
      <alignment horizontal="left" vertical="top"/>
    </xf>
    <xf numFmtId="0" fontId="5" fillId="2" borderId="0" xfId="0" applyFont="1" applyFill="1" applyAlignment="1">
      <alignment vertical="top" shrinkToFit="1"/>
    </xf>
    <xf numFmtId="0" fontId="5" fillId="2" borderId="0" xfId="0" applyFont="1" applyFill="1" applyAlignment="1">
      <alignment horizontal="center" vertical="center" shrinkToFit="1"/>
    </xf>
    <xf numFmtId="0" fontId="5" fillId="2" borderId="0" xfId="0" applyFont="1" applyFill="1" applyAlignment="1">
      <alignment horizontal="left" vertical="center"/>
    </xf>
    <xf numFmtId="0" fontId="42" fillId="2" borderId="0" xfId="0" applyFont="1" applyFill="1" applyAlignment="1">
      <alignment vertical="top" shrinkToFit="1"/>
    </xf>
    <xf numFmtId="0" fontId="5" fillId="2" borderId="0" xfId="0" applyFont="1" applyFill="1" applyAlignment="1">
      <alignment vertical="center" wrapText="1"/>
    </xf>
    <xf numFmtId="0" fontId="4" fillId="2" borderId="0" xfId="0" applyFont="1" applyFill="1" applyAlignment="1">
      <alignment vertical="center"/>
    </xf>
    <xf numFmtId="0" fontId="4" fillId="2" borderId="0" xfId="0" applyFont="1" applyFill="1" applyAlignment="1">
      <alignment vertical="center" shrinkToFit="1"/>
    </xf>
    <xf numFmtId="0" fontId="4" fillId="2" borderId="3" xfId="0" applyFont="1" applyFill="1" applyBorder="1" applyAlignment="1">
      <alignment vertical="center" shrinkToFit="1"/>
    </xf>
    <xf numFmtId="0" fontId="4" fillId="2" borderId="17" xfId="0" applyFont="1" applyFill="1" applyBorder="1" applyAlignment="1">
      <alignment vertical="center" shrinkToFit="1"/>
    </xf>
    <xf numFmtId="0" fontId="4" fillId="3" borderId="0" xfId="0" applyFont="1" applyFill="1" applyAlignment="1">
      <alignment horizontal="center" vertical="center" shrinkToFit="1"/>
    </xf>
    <xf numFmtId="0" fontId="4" fillId="2" borderId="16" xfId="0" applyFont="1" applyFill="1" applyBorder="1" applyAlignment="1">
      <alignment vertical="center" shrinkToFit="1"/>
    </xf>
    <xf numFmtId="0" fontId="5" fillId="2" borderId="16" xfId="0" applyFont="1" applyFill="1" applyBorder="1" applyAlignment="1">
      <alignment vertical="center"/>
    </xf>
    <xf numFmtId="0" fontId="18" fillId="2" borderId="0" xfId="0" applyFont="1" applyFill="1" applyAlignment="1">
      <alignment vertical="center"/>
    </xf>
    <xf numFmtId="0" fontId="5" fillId="2" borderId="7" xfId="0" applyFont="1" applyFill="1" applyBorder="1" applyAlignment="1">
      <alignment vertical="center"/>
    </xf>
    <xf numFmtId="0" fontId="5" fillId="2" borderId="8" xfId="0" applyFont="1" applyFill="1" applyBorder="1" applyAlignment="1">
      <alignment vertical="center"/>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7" xfId="0" applyFont="1" applyFill="1" applyBorder="1" applyAlignment="1">
      <alignment horizontal="center" vertical="center"/>
    </xf>
    <xf numFmtId="0" fontId="5" fillId="2" borderId="17" xfId="0" applyFont="1" applyFill="1" applyBorder="1" applyAlignment="1">
      <alignment vertical="center"/>
    </xf>
    <xf numFmtId="0" fontId="5" fillId="2" borderId="5"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0" fontId="5" fillId="2" borderId="8" xfId="0" applyFont="1" applyFill="1" applyBorder="1" applyAlignment="1">
      <alignment horizontal="center" vertical="center"/>
    </xf>
    <xf numFmtId="0" fontId="4" fillId="2" borderId="0" xfId="0" applyFont="1" applyFill="1" applyAlignment="1">
      <alignment horizontal="left" vertical="center"/>
    </xf>
    <xf numFmtId="0" fontId="4" fillId="2" borderId="0" xfId="0" applyFont="1" applyFill="1" applyAlignment="1">
      <alignment vertical="center" wrapText="1"/>
    </xf>
    <xf numFmtId="0" fontId="4" fillId="2" borderId="3" xfId="0" applyFont="1" applyFill="1" applyBorder="1" applyAlignment="1">
      <alignment horizontal="left" vertical="center"/>
    </xf>
    <xf numFmtId="0" fontId="4" fillId="2" borderId="17" xfId="0" applyFont="1" applyFill="1" applyBorder="1" applyAlignment="1">
      <alignment horizontal="left" vertical="center"/>
    </xf>
    <xf numFmtId="0" fontId="5" fillId="2" borderId="6" xfId="0" applyFont="1" applyFill="1" applyBorder="1" applyAlignment="1">
      <alignment horizontal="center" vertical="center"/>
    </xf>
    <xf numFmtId="0" fontId="5" fillId="2" borderId="3" xfId="0" applyFont="1" applyFill="1" applyBorder="1" applyAlignment="1">
      <alignment vertical="center"/>
    </xf>
    <xf numFmtId="0" fontId="5" fillId="2" borderId="8" xfId="0" applyFont="1" applyFill="1" applyBorder="1" applyAlignment="1">
      <alignment horizontal="center" vertical="center" shrinkToFit="1"/>
    </xf>
    <xf numFmtId="0" fontId="5" fillId="4" borderId="7"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5" fillId="2" borderId="8" xfId="0" applyFont="1" applyFill="1" applyBorder="1" applyAlignment="1">
      <alignment horizontal="left" vertical="center"/>
    </xf>
    <xf numFmtId="0" fontId="5" fillId="2" borderId="2" xfId="0" applyFont="1" applyFill="1" applyBorder="1" applyAlignment="1">
      <alignment vertical="center"/>
    </xf>
    <xf numFmtId="0" fontId="5" fillId="6" borderId="7" xfId="0" applyFont="1" applyFill="1" applyBorder="1" applyAlignment="1">
      <alignment vertical="center"/>
    </xf>
    <xf numFmtId="0" fontId="5" fillId="6" borderId="7" xfId="0" applyFont="1" applyFill="1" applyBorder="1" applyAlignment="1">
      <alignment horizontal="center" vertical="center" shrinkToFit="1"/>
    </xf>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5" fillId="2" borderId="0" xfId="0" applyFont="1" applyFill="1" applyAlignment="1">
      <alignment vertical="top" wrapText="1"/>
    </xf>
    <xf numFmtId="180" fontId="44" fillId="2" borderId="0" xfId="0" applyNumberFormat="1" applyFont="1" applyFill="1" applyAlignment="1">
      <alignment horizontal="right" vertical="center"/>
    </xf>
    <xf numFmtId="0" fontId="44" fillId="2" borderId="0" xfId="0" applyFont="1" applyFill="1" applyAlignment="1">
      <alignment vertical="center"/>
    </xf>
    <xf numFmtId="0" fontId="14" fillId="2" borderId="16" xfId="0" applyFont="1" applyFill="1" applyBorder="1" applyAlignment="1">
      <alignment horizontal="center" vertical="top" wrapText="1"/>
    </xf>
    <xf numFmtId="0" fontId="14" fillId="6" borderId="5" xfId="0" applyFont="1" applyFill="1" applyBorder="1" applyAlignment="1">
      <alignment vertical="top" wrapText="1"/>
    </xf>
    <xf numFmtId="0" fontId="14" fillId="2" borderId="5" xfId="0" applyFont="1" applyFill="1" applyBorder="1" applyAlignment="1">
      <alignment horizontal="center" vertical="top" wrapText="1"/>
    </xf>
    <xf numFmtId="0" fontId="14" fillId="2" borderId="15" xfId="0" applyFont="1" applyFill="1" applyBorder="1" applyAlignment="1">
      <alignment vertical="top" wrapText="1"/>
    </xf>
    <xf numFmtId="0" fontId="45" fillId="2" borderId="0" xfId="0" applyFont="1" applyFill="1" applyAlignment="1">
      <alignment horizontal="center" vertical="top" wrapText="1"/>
    </xf>
    <xf numFmtId="2" fontId="5" fillId="2" borderId="1" xfId="0" applyNumberFormat="1" applyFont="1" applyFill="1" applyBorder="1" applyAlignment="1">
      <alignment horizontal="left" vertical="center"/>
    </xf>
    <xf numFmtId="2" fontId="44" fillId="2" borderId="0" xfId="0" applyNumberFormat="1" applyFont="1" applyFill="1" applyAlignment="1">
      <alignment horizontal="left" vertical="center"/>
    </xf>
    <xf numFmtId="180" fontId="44" fillId="2" borderId="0" xfId="0" applyNumberFormat="1" applyFont="1" applyFill="1" applyAlignment="1">
      <alignment horizontal="center" vertical="center"/>
    </xf>
    <xf numFmtId="0" fontId="14" fillId="2" borderId="29"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46" fillId="2" borderId="0" xfId="0" applyFont="1" applyFill="1" applyAlignment="1">
      <alignment vertical="top" wrapText="1"/>
    </xf>
    <xf numFmtId="0" fontId="46" fillId="2" borderId="3" xfId="0" applyFont="1" applyFill="1" applyBorder="1" applyAlignment="1">
      <alignment vertical="center"/>
    </xf>
    <xf numFmtId="0" fontId="46" fillId="2" borderId="4" xfId="0" applyFont="1" applyFill="1" applyBorder="1" applyAlignment="1">
      <alignment vertical="center"/>
    </xf>
    <xf numFmtId="180" fontId="47" fillId="2" borderId="4" xfId="0" applyNumberFormat="1" applyFont="1" applyFill="1" applyBorder="1" applyAlignment="1">
      <alignment horizontal="right" vertical="center"/>
    </xf>
    <xf numFmtId="0" fontId="47" fillId="2" borderId="4" xfId="0" applyFont="1" applyFill="1" applyBorder="1" applyAlignment="1">
      <alignment vertical="center"/>
    </xf>
    <xf numFmtId="0" fontId="46" fillId="2" borderId="1" xfId="0" applyFont="1" applyFill="1" applyBorder="1" applyAlignment="1">
      <alignment vertical="center"/>
    </xf>
    <xf numFmtId="0" fontId="46" fillId="2" borderId="0" xfId="0" applyFont="1" applyFill="1" applyAlignment="1">
      <alignment vertical="center"/>
    </xf>
    <xf numFmtId="0" fontId="45" fillId="2" borderId="0" xfId="0" applyFont="1" applyFill="1" applyAlignment="1">
      <alignment vertical="center"/>
    </xf>
    <xf numFmtId="0" fontId="46" fillId="2" borderId="16" xfId="0" applyFont="1" applyFill="1" applyBorder="1" applyAlignment="1">
      <alignment vertical="center"/>
    </xf>
    <xf numFmtId="180" fontId="47" fillId="5" borderId="5" xfId="0" applyNumberFormat="1" applyFont="1" applyFill="1" applyBorder="1" applyAlignment="1">
      <alignment horizontal="right" vertical="center"/>
    </xf>
    <xf numFmtId="0" fontId="47" fillId="2" borderId="5" xfId="0" applyFont="1" applyFill="1" applyBorder="1" applyAlignment="1">
      <alignment vertical="center"/>
    </xf>
    <xf numFmtId="180" fontId="47" fillId="2" borderId="5" xfId="0" applyNumberFormat="1" applyFont="1" applyFill="1" applyBorder="1" applyAlignment="1">
      <alignment horizontal="right" vertical="center"/>
    </xf>
    <xf numFmtId="0" fontId="46" fillId="2" borderId="15" xfId="0" applyFont="1" applyFill="1" applyBorder="1" applyAlignment="1">
      <alignment vertical="center"/>
    </xf>
    <xf numFmtId="0" fontId="47" fillId="2" borderId="0" xfId="0" applyFont="1" applyFill="1" applyAlignment="1">
      <alignment vertical="center"/>
    </xf>
    <xf numFmtId="0" fontId="46" fillId="2" borderId="0" xfId="0" applyFont="1" applyFill="1" applyAlignment="1">
      <alignment horizontal="left" vertical="center"/>
    </xf>
    <xf numFmtId="180" fontId="47" fillId="2" borderId="0" xfId="0" applyNumberFormat="1" applyFont="1" applyFill="1" applyAlignment="1">
      <alignment horizontal="right" vertical="center"/>
    </xf>
    <xf numFmtId="0" fontId="47" fillId="2" borderId="0" xfId="0" applyFont="1" applyFill="1" applyAlignment="1">
      <alignment horizontal="left" vertical="center"/>
    </xf>
    <xf numFmtId="0" fontId="47" fillId="2" borderId="0" xfId="0" applyFont="1" applyFill="1" applyAlignment="1">
      <alignment horizontal="right" vertical="center"/>
    </xf>
    <xf numFmtId="0" fontId="47" fillId="2" borderId="0" xfId="0" applyFont="1" applyFill="1" applyAlignment="1">
      <alignment horizontal="center" vertical="center"/>
    </xf>
    <xf numFmtId="180" fontId="47" fillId="2" borderId="0" xfId="0" applyNumberFormat="1" applyFont="1" applyFill="1" applyAlignment="1">
      <alignment vertical="center"/>
    </xf>
    <xf numFmtId="0" fontId="44" fillId="2" borderId="0" xfId="0" applyFont="1" applyFill="1" applyAlignment="1">
      <alignment vertical="top" wrapText="1"/>
    </xf>
    <xf numFmtId="0" fontId="44" fillId="2" borderId="0" xfId="0" applyFont="1" applyFill="1" applyAlignment="1">
      <alignment horizontal="right" vertical="center"/>
    </xf>
    <xf numFmtId="0" fontId="14" fillId="2" borderId="3" xfId="0" applyFont="1" applyFill="1" applyBorder="1" applyAlignment="1">
      <alignment vertical="top"/>
    </xf>
    <xf numFmtId="0" fontId="14" fillId="2" borderId="4" xfId="0" applyFont="1" applyFill="1" applyBorder="1" applyAlignment="1">
      <alignment vertical="top"/>
    </xf>
    <xf numFmtId="0" fontId="14" fillId="2" borderId="1" xfId="0" applyFont="1" applyFill="1" applyBorder="1" applyAlignment="1">
      <alignment vertical="top"/>
    </xf>
    <xf numFmtId="0" fontId="14" fillId="2" borderId="17" xfId="0" applyFont="1" applyFill="1" applyBorder="1" applyAlignment="1">
      <alignment vertical="top"/>
    </xf>
    <xf numFmtId="0" fontId="14" fillId="2" borderId="0" xfId="0" applyFont="1" applyFill="1" applyAlignment="1">
      <alignment vertical="top"/>
    </xf>
    <xf numFmtId="0" fontId="14" fillId="2" borderId="29" xfId="0" applyFont="1" applyFill="1" applyBorder="1" applyAlignment="1">
      <alignment vertical="top"/>
    </xf>
    <xf numFmtId="0" fontId="14" fillId="2" borderId="16" xfId="0" applyFont="1" applyFill="1" applyBorder="1" applyAlignment="1">
      <alignment vertical="top"/>
    </xf>
    <xf numFmtId="0" fontId="14" fillId="2" borderId="5" xfId="0" applyFont="1" applyFill="1" applyBorder="1" applyAlignment="1">
      <alignment vertical="top"/>
    </xf>
    <xf numFmtId="0" fontId="14" fillId="2" borderId="15" xfId="0" applyFont="1" applyFill="1" applyBorder="1" applyAlignment="1">
      <alignment vertical="top"/>
    </xf>
    <xf numFmtId="0" fontId="18" fillId="0" borderId="0" xfId="7" applyFont="1">
      <alignment vertical="center"/>
    </xf>
    <xf numFmtId="0" fontId="18" fillId="2" borderId="0" xfId="7" applyFont="1" applyFill="1">
      <alignment vertical="center"/>
    </xf>
    <xf numFmtId="0" fontId="18" fillId="2" borderId="0" xfId="7" applyFont="1" applyFill="1" applyAlignment="1">
      <alignment horizontal="center" vertical="center"/>
    </xf>
    <xf numFmtId="0" fontId="18" fillId="2" borderId="0" xfId="7" applyFont="1" applyFill="1" applyAlignment="1">
      <alignment horizontal="left" vertical="center"/>
    </xf>
    <xf numFmtId="0" fontId="18" fillId="2" borderId="0" xfId="7" applyFont="1" applyFill="1" applyAlignment="1">
      <alignment horizontal="center" vertical="center" shrinkToFit="1"/>
    </xf>
    <xf numFmtId="0" fontId="20" fillId="2" borderId="0" xfId="7" applyFont="1" applyFill="1" applyAlignment="1">
      <alignment horizontal="center" vertical="center"/>
    </xf>
    <xf numFmtId="0" fontId="18" fillId="2" borderId="2" xfId="7" applyFont="1" applyFill="1" applyBorder="1" applyAlignment="1">
      <alignment horizontal="center" vertical="center"/>
    </xf>
    <xf numFmtId="0" fontId="26" fillId="2" borderId="0" xfId="7" applyFont="1" applyFill="1" applyAlignment="1">
      <alignment horizontal="center" vertical="center"/>
    </xf>
    <xf numFmtId="0" fontId="27" fillId="2" borderId="0" xfId="7" applyFont="1" applyFill="1" applyAlignment="1">
      <alignment horizontal="left" vertical="center"/>
    </xf>
    <xf numFmtId="0" fontId="20" fillId="3" borderId="30" xfId="7" applyFont="1" applyFill="1" applyBorder="1" applyAlignment="1">
      <alignment horizontal="center" vertical="center" shrinkToFit="1"/>
    </xf>
    <xf numFmtId="0" fontId="20" fillId="3" borderId="31" xfId="7" applyFont="1" applyFill="1" applyBorder="1" applyAlignment="1">
      <alignment horizontal="center" vertical="center" shrinkToFit="1"/>
    </xf>
    <xf numFmtId="0" fontId="18" fillId="5" borderId="2" xfId="7" applyFont="1" applyFill="1" applyBorder="1" applyAlignment="1">
      <alignment horizontal="center" vertical="center"/>
    </xf>
    <xf numFmtId="0" fontId="18" fillId="2" borderId="16" xfId="7" applyFont="1" applyFill="1" applyBorder="1" applyAlignment="1">
      <alignment vertical="center" shrinkToFit="1"/>
    </xf>
    <xf numFmtId="0" fontId="18" fillId="2" borderId="32" xfId="7" applyFont="1" applyFill="1" applyBorder="1" applyAlignment="1">
      <alignment horizontal="right" vertical="center"/>
    </xf>
    <xf numFmtId="0" fontId="18" fillId="2" borderId="32" xfId="7" applyFont="1" applyFill="1" applyBorder="1" applyAlignment="1">
      <alignment horizontal="left" vertical="center"/>
    </xf>
    <xf numFmtId="0" fontId="18" fillId="2" borderId="6" xfId="7" applyFont="1" applyFill="1" applyBorder="1" applyAlignment="1">
      <alignment vertical="center" shrinkToFit="1"/>
    </xf>
    <xf numFmtId="0" fontId="18" fillId="2" borderId="7" xfId="7" applyFont="1" applyFill="1" applyBorder="1" applyAlignment="1">
      <alignment horizontal="right" vertical="center"/>
    </xf>
    <xf numFmtId="0" fontId="18" fillId="2" borderId="7" xfId="7" applyFont="1" applyFill="1" applyBorder="1" applyAlignment="1">
      <alignment horizontal="left" vertical="center"/>
    </xf>
    <xf numFmtId="0" fontId="20" fillId="2" borderId="3" xfId="7" applyFont="1" applyFill="1" applyBorder="1" applyAlignment="1">
      <alignment horizontal="left" vertical="center"/>
    </xf>
    <xf numFmtId="0" fontId="20" fillId="2" borderId="4" xfId="7" applyFont="1" applyFill="1" applyBorder="1" applyAlignment="1">
      <alignment horizontal="left" vertical="center"/>
    </xf>
    <xf numFmtId="0" fontId="18" fillId="2" borderId="4" xfId="7" applyFont="1" applyFill="1" applyBorder="1">
      <alignment vertical="center"/>
    </xf>
    <xf numFmtId="0" fontId="18" fillId="2" borderId="1" xfId="7" applyFont="1" applyFill="1" applyBorder="1">
      <alignment vertical="center"/>
    </xf>
    <xf numFmtId="0" fontId="18" fillId="2" borderId="17" xfId="7" applyFont="1" applyFill="1" applyBorder="1">
      <alignment vertical="center"/>
    </xf>
    <xf numFmtId="0" fontId="20" fillId="2" borderId="17" xfId="7" applyFont="1" applyFill="1" applyBorder="1" applyAlignment="1">
      <alignment horizontal="left" vertical="center"/>
    </xf>
    <xf numFmtId="0" fontId="20" fillId="2" borderId="16" xfId="7" applyFont="1" applyFill="1" applyBorder="1" applyAlignment="1">
      <alignment horizontal="left"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18" fillId="2" borderId="7" xfId="7" applyFont="1" applyFill="1" applyBorder="1">
      <alignment vertical="center"/>
    </xf>
    <xf numFmtId="0" fontId="18" fillId="2" borderId="7" xfId="7" applyFont="1" applyFill="1" applyBorder="1" applyAlignment="1">
      <alignment horizontal="center" vertical="center"/>
    </xf>
    <xf numFmtId="0" fontId="18" fillId="2" borderId="8" xfId="7" applyFont="1" applyFill="1" applyBorder="1" applyAlignment="1">
      <alignment horizontal="center" vertical="center"/>
    </xf>
    <xf numFmtId="0" fontId="18" fillId="2" borderId="17" xfId="7" applyFont="1" applyFill="1" applyBorder="1" applyAlignment="1">
      <alignment horizontal="center" vertical="center"/>
    </xf>
    <xf numFmtId="0" fontId="18" fillId="2" borderId="29" xfId="7" applyFont="1" applyFill="1" applyBorder="1" applyAlignment="1">
      <alignment horizontal="center" vertical="center"/>
    </xf>
    <xf numFmtId="0" fontId="18" fillId="2" borderId="16" xfId="7" applyFont="1" applyFill="1" applyBorder="1" applyAlignment="1">
      <alignment horizontal="center" vertical="center"/>
    </xf>
    <xf numFmtId="0" fontId="18" fillId="2" borderId="5" xfId="7" applyFont="1" applyFill="1" applyBorder="1" applyAlignment="1">
      <alignment horizontal="center" vertical="center"/>
    </xf>
    <xf numFmtId="0" fontId="20" fillId="2" borderId="5" xfId="7" applyFont="1" applyFill="1" applyBorder="1" applyAlignment="1">
      <alignment horizontal="center" vertical="center"/>
    </xf>
    <xf numFmtId="0" fontId="18" fillId="2" borderId="15" xfId="7" applyFont="1" applyFill="1" applyBorder="1" applyAlignment="1">
      <alignment horizontal="center" vertical="center"/>
    </xf>
    <xf numFmtId="0" fontId="48" fillId="2" borderId="33" xfId="7" applyFont="1" applyFill="1" applyBorder="1" applyAlignment="1">
      <alignment horizontal="left" vertical="center" wrapText="1"/>
    </xf>
    <xf numFmtId="0" fontId="48" fillId="2" borderId="8" xfId="7" applyFont="1" applyFill="1" applyBorder="1" applyAlignment="1">
      <alignment horizontal="left" vertical="center" wrapText="1"/>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34" xfId="7" applyFont="1" applyFill="1" applyBorder="1" applyAlignment="1">
      <alignment horizontal="left" vertical="center"/>
    </xf>
    <xf numFmtId="0" fontId="18" fillId="2" borderId="32" xfId="7" applyFont="1" applyFill="1" applyBorder="1">
      <alignment vertical="center"/>
    </xf>
    <xf numFmtId="0" fontId="18" fillId="2" borderId="6" xfId="7" applyFont="1" applyFill="1" applyBorder="1" applyAlignment="1">
      <alignment horizontal="left" vertical="center"/>
    </xf>
    <xf numFmtId="0" fontId="18" fillId="2" borderId="1" xfId="7" applyFont="1" applyFill="1" applyBorder="1" applyAlignment="1">
      <alignment horizontal="left" vertical="center"/>
    </xf>
    <xf numFmtId="0" fontId="18" fillId="2" borderId="5" xfId="7" applyFont="1" applyFill="1" applyBorder="1" applyAlignment="1">
      <alignment horizontal="left" vertical="center"/>
    </xf>
    <xf numFmtId="0" fontId="18" fillId="2" borderId="5" xfId="7" applyFont="1" applyFill="1" applyBorder="1" applyAlignment="1">
      <alignment horizontal="right" vertical="center"/>
    </xf>
    <xf numFmtId="0" fontId="48" fillId="2" borderId="15" xfId="7" applyFont="1" applyFill="1" applyBorder="1" applyAlignment="1">
      <alignment vertical="center" wrapText="1"/>
    </xf>
    <xf numFmtId="0" fontId="18" fillId="2" borderId="6" xfId="7" applyFont="1" applyFill="1" applyBorder="1">
      <alignment vertical="center"/>
    </xf>
    <xf numFmtId="0" fontId="18" fillId="2" borderId="8" xfId="7" applyFont="1" applyFill="1" applyBorder="1" applyAlignment="1">
      <alignment horizontal="left" vertical="center"/>
    </xf>
    <xf numFmtId="0" fontId="26" fillId="2" borderId="0" xfId="7" applyFont="1" applyFill="1">
      <alignment vertical="center"/>
    </xf>
    <xf numFmtId="0" fontId="28" fillId="2" borderId="0" xfId="7" applyFont="1" applyFill="1" applyAlignment="1">
      <alignment horizontal="left" vertical="center"/>
    </xf>
    <xf numFmtId="0" fontId="29" fillId="2" borderId="5" xfId="7" applyFont="1" applyFill="1" applyBorder="1">
      <alignment vertical="center"/>
    </xf>
    <xf numFmtId="0" fontId="30" fillId="2" borderId="5" xfId="7" applyFont="1" applyFill="1" applyBorder="1">
      <alignment vertical="center"/>
    </xf>
    <xf numFmtId="0" fontId="18" fillId="2" borderId="2" xfId="7" applyFont="1" applyFill="1" applyBorder="1" applyAlignment="1">
      <alignment horizontal="center" vertical="center" wrapText="1"/>
    </xf>
    <xf numFmtId="49" fontId="18" fillId="2" borderId="2" xfId="7" applyNumberFormat="1" applyFont="1" applyFill="1" applyBorder="1" applyAlignment="1">
      <alignment horizontal="right" vertical="center" shrinkToFit="1"/>
    </xf>
    <xf numFmtId="49" fontId="18" fillId="2" borderId="2" xfId="7" applyNumberFormat="1" applyFont="1" applyFill="1" applyBorder="1" applyAlignment="1">
      <alignment vertical="center" shrinkToFit="1"/>
    </xf>
    <xf numFmtId="49" fontId="18" fillId="2" borderId="6" xfId="7" applyNumberFormat="1" applyFont="1" applyFill="1" applyBorder="1" applyAlignment="1">
      <alignment horizontal="right" vertical="center" shrinkToFit="1"/>
    </xf>
    <xf numFmtId="0" fontId="18" fillId="2" borderId="35" xfId="7" applyFont="1" applyFill="1" applyBorder="1" applyAlignment="1">
      <alignment horizontal="center" vertical="center"/>
    </xf>
    <xf numFmtId="0" fontId="18" fillId="2" borderId="8" xfId="7" applyFont="1" applyFill="1" applyBorder="1" applyAlignment="1">
      <alignment vertical="center" shrinkToFit="1"/>
    </xf>
    <xf numFmtId="49" fontId="18" fillId="2" borderId="6" xfId="7" applyNumberFormat="1" applyFont="1" applyFill="1" applyBorder="1" applyAlignment="1">
      <alignment vertical="center" shrinkToFit="1"/>
    </xf>
    <xf numFmtId="0" fontId="27" fillId="2" borderId="8" xfId="7" applyFont="1" applyFill="1" applyBorder="1" applyAlignment="1">
      <alignment vertical="center" shrinkToFit="1"/>
    </xf>
    <xf numFmtId="0" fontId="18" fillId="2" borderId="25" xfId="7" applyFont="1" applyFill="1" applyBorder="1" applyAlignment="1">
      <alignment horizontal="center" vertical="center" wrapText="1"/>
    </xf>
    <xf numFmtId="0" fontId="18" fillId="2" borderId="25" xfId="7" applyFont="1" applyFill="1" applyBorder="1" applyAlignment="1">
      <alignment horizontal="center" vertical="center"/>
    </xf>
    <xf numFmtId="49" fontId="18" fillId="2" borderId="25" xfId="7" applyNumberFormat="1" applyFont="1" applyFill="1" applyBorder="1" applyAlignment="1">
      <alignment vertical="center" shrinkToFit="1"/>
    </xf>
    <xf numFmtId="49" fontId="18" fillId="2" borderId="3" xfId="7" applyNumberFormat="1" applyFont="1" applyFill="1" applyBorder="1" applyAlignment="1">
      <alignment vertical="center" shrinkToFit="1"/>
    </xf>
    <xf numFmtId="0" fontId="18" fillId="2" borderId="36" xfId="7" applyFont="1" applyFill="1" applyBorder="1" applyAlignment="1">
      <alignment horizontal="center" vertical="center"/>
    </xf>
    <xf numFmtId="0" fontId="18" fillId="2" borderId="1" xfId="7" applyFont="1" applyFill="1" applyBorder="1" applyAlignment="1">
      <alignment horizontal="center" vertical="center"/>
    </xf>
    <xf numFmtId="0" fontId="18" fillId="2" borderId="1" xfId="7" applyFont="1" applyFill="1" applyBorder="1" applyAlignment="1">
      <alignment vertical="center" shrinkToFit="1"/>
    </xf>
    <xf numFmtId="0" fontId="18" fillId="2" borderId="37" xfId="7" applyFont="1" applyFill="1" applyBorder="1" applyAlignment="1">
      <alignment vertical="center" wrapText="1"/>
    </xf>
    <xf numFmtId="0" fontId="18" fillId="2" borderId="37" xfId="7" applyFont="1" applyFill="1" applyBorder="1" applyAlignment="1">
      <alignment vertical="center" shrinkToFit="1"/>
    </xf>
    <xf numFmtId="0" fontId="18" fillId="2" borderId="38" xfId="7" applyFont="1" applyFill="1" applyBorder="1" applyAlignment="1">
      <alignment vertical="center" shrinkToFit="1"/>
    </xf>
    <xf numFmtId="0" fontId="27" fillId="2" borderId="39" xfId="7" applyFont="1" applyFill="1" applyBorder="1" applyAlignment="1">
      <alignment horizontal="left" vertical="top" wrapText="1"/>
    </xf>
    <xf numFmtId="0" fontId="27" fillId="2" borderId="40" xfId="7" applyFont="1" applyFill="1" applyBorder="1" applyAlignment="1">
      <alignment horizontal="center" vertical="center" wrapText="1"/>
    </xf>
    <xf numFmtId="0" fontId="18" fillId="2" borderId="40" xfId="7" applyFont="1" applyFill="1" applyBorder="1" applyAlignment="1">
      <alignment vertical="center" shrinkToFit="1"/>
    </xf>
    <xf numFmtId="0" fontId="18" fillId="2" borderId="41" xfId="7" applyFont="1" applyFill="1" applyBorder="1" applyAlignment="1">
      <alignment vertical="center" wrapText="1"/>
    </xf>
    <xf numFmtId="0" fontId="18" fillId="2" borderId="41" xfId="7" applyFont="1" applyFill="1" applyBorder="1" applyAlignment="1">
      <alignment vertical="center" shrinkToFit="1"/>
    </xf>
    <xf numFmtId="0" fontId="18" fillId="2" borderId="42" xfId="7" applyFont="1" applyFill="1" applyBorder="1" applyAlignment="1">
      <alignment vertical="center" shrinkToFit="1"/>
    </xf>
    <xf numFmtId="0" fontId="27" fillId="2" borderId="43" xfId="7" applyFont="1" applyFill="1" applyBorder="1" applyAlignment="1">
      <alignment horizontal="left" vertical="top" wrapText="1"/>
    </xf>
    <xf numFmtId="0" fontId="27" fillId="2" borderId="44" xfId="7" applyFont="1" applyFill="1" applyBorder="1" applyAlignment="1">
      <alignment horizontal="left" vertical="top" wrapText="1"/>
    </xf>
    <xf numFmtId="0" fontId="18" fillId="2" borderId="44" xfId="7" applyFont="1" applyFill="1" applyBorder="1" applyAlignment="1">
      <alignment vertical="center" shrinkToFit="1"/>
    </xf>
    <xf numFmtId="0" fontId="18" fillId="2" borderId="0" xfId="7" applyFont="1" applyFill="1" applyAlignment="1">
      <alignment vertical="center" wrapText="1"/>
    </xf>
    <xf numFmtId="0" fontId="18" fillId="2" borderId="0" xfId="7" applyFont="1" applyFill="1" applyAlignment="1">
      <alignment horizontal="left" vertical="center" wrapText="1"/>
    </xf>
    <xf numFmtId="0" fontId="27" fillId="2" borderId="0" xfId="7" applyFont="1" applyFill="1" applyAlignment="1">
      <alignment horizontal="left" vertical="center" wrapText="1"/>
    </xf>
    <xf numFmtId="0" fontId="27" fillId="2" borderId="0" xfId="7" applyFont="1" applyFill="1" applyAlignment="1">
      <alignment vertical="center" wrapText="1"/>
    </xf>
    <xf numFmtId="0" fontId="31" fillId="2" borderId="0" xfId="7" applyFont="1" applyFill="1" applyAlignment="1">
      <alignment horizontal="left" vertical="center" shrinkToFit="1"/>
    </xf>
    <xf numFmtId="0" fontId="27" fillId="2" borderId="0" xfId="7" applyFont="1" applyFill="1">
      <alignment vertical="center"/>
    </xf>
    <xf numFmtId="0" fontId="18" fillId="2" borderId="5" xfId="7" applyFont="1" applyFill="1" applyBorder="1">
      <alignment vertical="center"/>
    </xf>
    <xf numFmtId="0" fontId="29" fillId="2" borderId="0" xfId="7" applyFont="1" applyFill="1" applyAlignment="1">
      <alignment horizontal="right" vertical="center"/>
    </xf>
    <xf numFmtId="0" fontId="18" fillId="2" borderId="5" xfId="7" applyFont="1" applyFill="1" applyBorder="1" applyAlignment="1">
      <alignment horizontal="right" vertical="center" shrinkToFit="1"/>
    </xf>
    <xf numFmtId="0" fontId="18" fillId="5" borderId="5" xfId="7" applyFont="1" applyFill="1" applyBorder="1" applyAlignment="1">
      <alignment horizontal="right" vertical="center" shrinkToFit="1"/>
    </xf>
    <xf numFmtId="0" fontId="18" fillId="2" borderId="5" xfId="7" applyFont="1" applyFill="1" applyBorder="1" applyAlignment="1">
      <alignment vertical="center" shrinkToFit="1"/>
    </xf>
    <xf numFmtId="0" fontId="26" fillId="0" borderId="0" xfId="7" applyFont="1">
      <alignment vertical="center"/>
    </xf>
    <xf numFmtId="0" fontId="28" fillId="0" borderId="0" xfId="7" applyFont="1" applyAlignment="1">
      <alignment horizontal="left" vertical="center"/>
    </xf>
    <xf numFmtId="0" fontId="29" fillId="0" borderId="5" xfId="7" applyFont="1" applyBorder="1">
      <alignment vertical="center"/>
    </xf>
    <xf numFmtId="0" fontId="30" fillId="0" borderId="5" xfId="7" applyFont="1" applyBorder="1">
      <alignment vertical="center"/>
    </xf>
    <xf numFmtId="0" fontId="18" fillId="0" borderId="2" xfId="7" applyFont="1" applyBorder="1" applyAlignment="1">
      <alignment horizontal="center" vertical="center" wrapText="1"/>
    </xf>
    <xf numFmtId="0" fontId="18" fillId="5" borderId="2" xfId="7" applyFont="1" applyFill="1" applyBorder="1" applyAlignment="1">
      <alignment horizontal="center" vertical="center" wrapText="1"/>
    </xf>
    <xf numFmtId="49" fontId="18" fillId="5" borderId="2" xfId="7" applyNumberFormat="1" applyFont="1" applyFill="1" applyBorder="1" applyAlignment="1">
      <alignment horizontal="right" vertical="center" shrinkToFit="1"/>
    </xf>
    <xf numFmtId="49" fontId="18" fillId="5" borderId="2" xfId="7" applyNumberFormat="1" applyFont="1" applyFill="1" applyBorder="1" applyAlignment="1">
      <alignment vertical="center" shrinkToFit="1"/>
    </xf>
    <xf numFmtId="49" fontId="20" fillId="5" borderId="2" xfId="7" applyNumberFormat="1" applyFont="1" applyFill="1" applyBorder="1" applyAlignment="1">
      <alignment horizontal="center" vertical="center" shrinkToFit="1"/>
    </xf>
    <xf numFmtId="0" fontId="18" fillId="5" borderId="8" xfId="7" applyFont="1" applyFill="1" applyBorder="1" applyAlignment="1">
      <alignment horizontal="center" vertical="center"/>
    </xf>
    <xf numFmtId="0" fontId="32" fillId="5" borderId="2" xfId="7" applyFont="1" applyFill="1" applyBorder="1" applyAlignment="1">
      <alignment horizontal="center" vertical="center" textRotation="255" wrapText="1"/>
    </xf>
    <xf numFmtId="0" fontId="18" fillId="0" borderId="45" xfId="7" applyFont="1" applyBorder="1" applyAlignment="1">
      <alignment vertical="center" wrapText="1"/>
    </xf>
    <xf numFmtId="0" fontId="18" fillId="5" borderId="45" xfId="7" applyFont="1" applyFill="1" applyBorder="1" applyAlignment="1">
      <alignment vertical="center" shrinkToFit="1"/>
    </xf>
    <xf numFmtId="0" fontId="18" fillId="5" borderId="34" xfId="7" applyFont="1" applyFill="1" applyBorder="1" applyAlignment="1">
      <alignment vertical="center" shrinkToFit="1"/>
    </xf>
    <xf numFmtId="0" fontId="18" fillId="0" borderId="33" xfId="7" applyFont="1" applyBorder="1" applyAlignment="1">
      <alignment vertical="center" shrinkToFit="1"/>
    </xf>
    <xf numFmtId="0" fontId="18" fillId="5" borderId="2" xfId="7" applyFont="1" applyFill="1" applyBorder="1" applyAlignment="1">
      <alignment vertical="center" shrinkToFit="1"/>
    </xf>
    <xf numFmtId="0" fontId="27" fillId="5" borderId="2" xfId="7" applyFont="1" applyFill="1" applyBorder="1" applyAlignment="1">
      <alignment vertical="center" shrinkToFit="1"/>
    </xf>
    <xf numFmtId="0" fontId="18" fillId="5" borderId="6" xfId="7" applyFont="1" applyFill="1" applyBorder="1" applyAlignment="1">
      <alignment horizontal="center" vertical="center"/>
    </xf>
    <xf numFmtId="0" fontId="18" fillId="0" borderId="46" xfId="7" applyFont="1" applyBorder="1" applyAlignment="1">
      <alignment vertical="center" wrapText="1"/>
    </xf>
    <xf numFmtId="0" fontId="18" fillId="5" borderId="46" xfId="7" applyFont="1" applyFill="1" applyBorder="1" applyAlignment="1">
      <alignment vertical="center" shrinkToFit="1"/>
    </xf>
    <xf numFmtId="0" fontId="18" fillId="5" borderId="47" xfId="7" applyFont="1" applyFill="1" applyBorder="1" applyAlignment="1">
      <alignment vertical="center" shrinkToFit="1"/>
    </xf>
    <xf numFmtId="0" fontId="18" fillId="5" borderId="48" xfId="7" applyFont="1" applyFill="1" applyBorder="1" applyAlignment="1">
      <alignment horizontal="center" vertical="center" wrapText="1"/>
    </xf>
    <xf numFmtId="0" fontId="18" fillId="0" borderId="48" xfId="7" applyFont="1" applyBorder="1" applyAlignment="1">
      <alignment vertical="center" shrinkToFit="1"/>
    </xf>
    <xf numFmtId="0" fontId="27" fillId="5" borderId="49" xfId="7" applyFont="1" applyFill="1" applyBorder="1" applyAlignment="1">
      <alignment horizontal="left" vertical="top" wrapText="1"/>
    </xf>
    <xf numFmtId="0" fontId="18" fillId="5" borderId="50" xfId="7" applyFont="1" applyFill="1" applyBorder="1" applyAlignment="1">
      <alignment horizontal="center" vertical="center" wrapText="1"/>
    </xf>
    <xf numFmtId="0" fontId="27" fillId="5" borderId="47" xfId="7" applyFont="1" applyFill="1" applyBorder="1" applyAlignment="1">
      <alignment horizontal="left" vertical="top" wrapText="1"/>
    </xf>
    <xf numFmtId="0" fontId="16" fillId="2" borderId="0" xfId="0" applyFont="1" applyFill="1" applyAlignment="1">
      <alignment vertical="center"/>
    </xf>
    <xf numFmtId="0" fontId="49" fillId="2" borderId="0" xfId="0" applyFont="1" applyFill="1" applyAlignment="1">
      <alignment vertical="center"/>
    </xf>
    <xf numFmtId="0" fontId="27" fillId="2" borderId="0" xfId="0" applyFont="1" applyFill="1" applyAlignment="1">
      <alignment vertical="center"/>
    </xf>
    <xf numFmtId="0" fontId="18" fillId="2" borderId="0" xfId="0" applyFont="1" applyFill="1" applyAlignment="1">
      <alignment vertical="top"/>
    </xf>
    <xf numFmtId="0" fontId="35" fillId="2" borderId="0" xfId="0" applyFont="1" applyFill="1" applyAlignment="1">
      <alignment vertical="top"/>
    </xf>
    <xf numFmtId="0" fontId="50" fillId="2" borderId="0" xfId="0" applyFont="1" applyFill="1" applyAlignment="1">
      <alignment vertical="top"/>
    </xf>
    <xf numFmtId="0" fontId="51" fillId="2" borderId="0" xfId="0" applyFont="1" applyFill="1" applyAlignment="1">
      <alignment vertical="top"/>
    </xf>
    <xf numFmtId="0" fontId="52" fillId="7" borderId="25" xfId="0" applyFont="1" applyFill="1" applyBorder="1" applyAlignment="1">
      <alignment horizontal="center" vertical="center" shrinkToFit="1"/>
    </xf>
    <xf numFmtId="0" fontId="52" fillId="7" borderId="2" xfId="0" applyFont="1" applyFill="1" applyBorder="1" applyAlignment="1">
      <alignment horizontal="center" vertical="center" shrinkToFit="1"/>
    </xf>
    <xf numFmtId="0" fontId="18" fillId="3" borderId="0" xfId="0" applyFont="1" applyFill="1" applyAlignment="1">
      <alignment horizontal="center" vertical="center" shrinkToFit="1"/>
    </xf>
    <xf numFmtId="0" fontId="20" fillId="2" borderId="0" xfId="0" applyFont="1" applyFill="1" applyAlignment="1">
      <alignment vertical="top"/>
    </xf>
    <xf numFmtId="0" fontId="4" fillId="2" borderId="0" xfId="0" applyFont="1" applyFill="1" applyAlignment="1">
      <alignment horizontal="center" vertical="center" shrinkToFit="1"/>
    </xf>
    <xf numFmtId="0" fontId="4" fillId="2" borderId="0" xfId="0" applyFont="1" applyFill="1" applyAlignment="1">
      <alignment horizontal="right" vertical="center" shrinkToFit="1"/>
    </xf>
    <xf numFmtId="0" fontId="18" fillId="2" borderId="5" xfId="0" applyFont="1" applyFill="1" applyBorder="1" applyAlignment="1">
      <alignment horizontal="center" vertical="center"/>
    </xf>
    <xf numFmtId="0" fontId="4" fillId="2" borderId="29" xfId="0" applyFont="1" applyFill="1" applyBorder="1" applyAlignment="1">
      <alignment vertical="center" wrapText="1"/>
    </xf>
    <xf numFmtId="0" fontId="4" fillId="2" borderId="0" xfId="0" applyFont="1" applyFill="1" applyAlignment="1">
      <alignment vertical="top" wrapText="1"/>
    </xf>
    <xf numFmtId="0" fontId="5" fillId="2" borderId="60" xfId="0" applyFont="1" applyFill="1" applyBorder="1" applyAlignment="1">
      <alignment vertical="center" wrapText="1" shrinkToFit="1"/>
    </xf>
    <xf numFmtId="0" fontId="5" fillId="2" borderId="49" xfId="0" applyFont="1" applyFill="1" applyBorder="1" applyAlignment="1">
      <alignment vertical="center" wrapText="1" shrinkToFit="1"/>
    </xf>
    <xf numFmtId="0" fontId="5" fillId="2" borderId="49"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60" xfId="0" applyFont="1" applyFill="1" applyBorder="1" applyAlignment="1">
      <alignment vertical="center" wrapText="1"/>
    </xf>
    <xf numFmtId="0" fontId="5" fillId="2" borderId="54" xfId="0" applyFont="1" applyFill="1" applyBorder="1" applyAlignment="1">
      <alignment vertical="center" wrapText="1" shrinkToFit="1"/>
    </xf>
    <xf numFmtId="0" fontId="5" fillId="2" borderId="51" xfId="0" applyFont="1" applyFill="1" applyBorder="1" applyAlignment="1">
      <alignment vertical="center" wrapText="1" shrinkToFit="1"/>
    </xf>
    <xf numFmtId="0" fontId="5" fillId="2" borderId="51" xfId="0" applyFont="1" applyFill="1" applyBorder="1" applyAlignment="1">
      <alignment horizontal="center" vertical="center" shrinkToFit="1"/>
    </xf>
    <xf numFmtId="0" fontId="5" fillId="2" borderId="54" xfId="0" applyFont="1" applyFill="1" applyBorder="1" applyAlignment="1">
      <alignment horizontal="center" vertical="center" shrinkToFit="1"/>
    </xf>
    <xf numFmtId="0" fontId="5" fillId="2" borderId="54" xfId="0" applyFont="1" applyFill="1" applyBorder="1" applyAlignment="1">
      <alignment vertical="center" wrapText="1"/>
    </xf>
    <xf numFmtId="0" fontId="5" fillId="2" borderId="51" xfId="0" applyFont="1" applyFill="1" applyBorder="1" applyAlignment="1">
      <alignment vertical="center" shrinkToFit="1"/>
    </xf>
    <xf numFmtId="0" fontId="5" fillId="2" borderId="54" xfId="0" applyFont="1" applyFill="1" applyBorder="1" applyAlignment="1">
      <alignment vertical="center"/>
    </xf>
    <xf numFmtId="0" fontId="5" fillId="2" borderId="54" xfId="0" applyFont="1" applyFill="1" applyBorder="1" applyAlignment="1">
      <alignment vertical="center" shrinkToFit="1"/>
    </xf>
    <xf numFmtId="0" fontId="5" fillId="2" borderId="51" xfId="0" applyFont="1" applyFill="1" applyBorder="1" applyAlignment="1">
      <alignment vertical="center" wrapText="1"/>
    </xf>
    <xf numFmtId="0" fontId="5" fillId="2" borderId="46" xfId="0" applyFont="1" applyFill="1" applyBorder="1" applyAlignment="1">
      <alignment vertical="center" shrinkToFit="1"/>
    </xf>
    <xf numFmtId="0" fontId="5" fillId="2" borderId="47" xfId="0" applyFont="1" applyFill="1" applyBorder="1" applyAlignment="1">
      <alignment horizontal="center" vertical="center" shrinkToFit="1"/>
    </xf>
    <xf numFmtId="0" fontId="5" fillId="2" borderId="46" xfId="0" applyFont="1" applyFill="1" applyBorder="1" applyAlignment="1">
      <alignment horizontal="center" vertical="center" shrinkToFit="1"/>
    </xf>
    <xf numFmtId="0" fontId="5" fillId="2" borderId="46" xfId="0" applyFont="1" applyFill="1" applyBorder="1" applyAlignment="1">
      <alignment vertical="center" wrapText="1"/>
    </xf>
    <xf numFmtId="0" fontId="43" fillId="2" borderId="54" xfId="0" applyFont="1" applyFill="1" applyBorder="1" applyAlignment="1">
      <alignment vertical="center" wrapText="1"/>
    </xf>
    <xf numFmtId="0" fontId="5" fillId="2" borderId="54" xfId="0" applyFont="1" applyFill="1" applyBorder="1" applyAlignment="1">
      <alignment horizontal="center" vertical="top" shrinkToFit="1"/>
    </xf>
    <xf numFmtId="0" fontId="5" fillId="2" borderId="51" xfId="0" applyFont="1" applyFill="1" applyBorder="1" applyAlignment="1">
      <alignment horizontal="center" vertical="top" shrinkToFit="1"/>
    </xf>
    <xf numFmtId="0" fontId="5" fillId="2" borderId="47" xfId="0" applyFont="1" applyFill="1" applyBorder="1" applyAlignment="1">
      <alignment vertical="center" wrapText="1"/>
    </xf>
    <xf numFmtId="179" fontId="18" fillId="6" borderId="5" xfId="7" applyNumberFormat="1" applyFont="1" applyFill="1" applyBorder="1" applyAlignment="1">
      <alignment horizontal="center" vertical="center" shrinkToFit="1"/>
    </xf>
    <xf numFmtId="0" fontId="18" fillId="6" borderId="5" xfId="7" applyFont="1" applyFill="1" applyBorder="1" applyAlignment="1">
      <alignment horizontal="center" vertical="center" shrinkToFit="1"/>
    </xf>
    <xf numFmtId="2" fontId="18" fillId="6" borderId="7" xfId="7" applyNumberFormat="1" applyFont="1" applyFill="1" applyBorder="1" applyAlignment="1">
      <alignment horizontal="left" vertical="center" shrinkToFit="1"/>
    </xf>
    <xf numFmtId="0" fontId="18" fillId="6" borderId="7" xfId="7" applyFont="1" applyFill="1" applyBorder="1" applyAlignment="1">
      <alignment horizontal="left" vertical="center" shrinkToFit="1"/>
    </xf>
    <xf numFmtId="2" fontId="18" fillId="6" borderId="32" xfId="7" applyNumberFormat="1" applyFont="1" applyFill="1" applyBorder="1" applyAlignment="1">
      <alignment horizontal="left" vertical="center" shrinkToFit="1"/>
    </xf>
    <xf numFmtId="0" fontId="18" fillId="6" borderId="32" xfId="7" applyFont="1" applyFill="1" applyBorder="1" applyAlignment="1">
      <alignment horizontal="left" vertical="center" shrinkToFit="1"/>
    </xf>
    <xf numFmtId="0" fontId="4" fillId="2" borderId="4"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29" xfId="0" applyFont="1" applyFill="1" applyBorder="1" applyAlignment="1">
      <alignment horizontal="center" vertical="center" shrinkToFit="1"/>
    </xf>
    <xf numFmtId="0" fontId="4" fillId="2" borderId="5" xfId="0" applyFont="1" applyFill="1" applyBorder="1" applyAlignment="1">
      <alignment vertical="center" shrinkToFit="1"/>
    </xf>
    <xf numFmtId="0" fontId="4" fillId="2" borderId="2" xfId="0" applyFont="1" applyFill="1" applyBorder="1" applyAlignment="1">
      <alignment horizontal="center" vertical="center" shrinkToFit="1"/>
    </xf>
    <xf numFmtId="0" fontId="4" fillId="2" borderId="4" xfId="0" applyFont="1" applyFill="1" applyBorder="1" applyAlignment="1">
      <alignment vertical="center" shrinkToFit="1"/>
    </xf>
    <xf numFmtId="0" fontId="4" fillId="2" borderId="1" xfId="0" applyFont="1" applyFill="1" applyBorder="1" applyAlignment="1">
      <alignment vertical="center" shrinkToFit="1"/>
    </xf>
    <xf numFmtId="0" fontId="4" fillId="2" borderId="15" xfId="0" applyFont="1" applyFill="1" applyBorder="1" applyAlignment="1">
      <alignment vertical="center" shrinkToFit="1"/>
    </xf>
    <xf numFmtId="0" fontId="4" fillId="2" borderId="29" xfId="0" applyFont="1" applyFill="1" applyBorder="1" applyAlignment="1">
      <alignment vertical="center" shrinkToFit="1"/>
    </xf>
    <xf numFmtId="0" fontId="4" fillId="2" borderId="16" xfId="0" applyFont="1" applyFill="1" applyBorder="1" applyAlignment="1">
      <alignment horizontal="distributed" vertical="center" wrapText="1"/>
    </xf>
    <xf numFmtId="0" fontId="4" fillId="2" borderId="5" xfId="0" applyFont="1" applyFill="1" applyBorder="1" applyAlignment="1">
      <alignment horizontal="distributed" vertical="center" wrapText="1"/>
    </xf>
    <xf numFmtId="0" fontId="4" fillId="2" borderId="15" xfId="0" applyFont="1" applyFill="1" applyBorder="1" applyAlignment="1">
      <alignment horizontal="distributed" vertical="center" wrapText="1"/>
    </xf>
    <xf numFmtId="0" fontId="18" fillId="2" borderId="0" xfId="0" applyFont="1" applyFill="1" applyAlignment="1">
      <alignment horizontal="left" vertical="center"/>
    </xf>
    <xf numFmtId="0" fontId="27" fillId="2" borderId="0" xfId="0" applyFont="1" applyFill="1" applyAlignment="1">
      <alignment horizontal="left" vertical="center"/>
    </xf>
    <xf numFmtId="0" fontId="18" fillId="2" borderId="2" xfId="0" applyFont="1" applyFill="1" applyBorder="1" applyAlignment="1">
      <alignment horizontal="center" vertical="center"/>
    </xf>
    <xf numFmtId="0" fontId="35" fillId="2" borderId="0" xfId="0" applyFont="1" applyFill="1" applyAlignment="1">
      <alignment horizontal="center" vertical="center"/>
    </xf>
    <xf numFmtId="0" fontId="35" fillId="2" borderId="4"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15" xfId="0" applyFont="1" applyFill="1" applyBorder="1" applyAlignment="1">
      <alignment horizontal="center" vertical="center"/>
    </xf>
    <xf numFmtId="0" fontId="4" fillId="2" borderId="17" xfId="0" applyFont="1" applyFill="1" applyBorder="1" applyAlignment="1">
      <alignment vertical="center" textRotation="255" shrinkToFit="1"/>
    </xf>
    <xf numFmtId="0" fontId="18" fillId="2" borderId="0" xfId="0" applyFont="1" applyFill="1" applyAlignment="1">
      <alignment vertical="center" shrinkToFit="1"/>
    </xf>
    <xf numFmtId="0" fontId="4" fillId="2" borderId="29" xfId="0" applyFont="1" applyFill="1" applyBorder="1" applyAlignment="1">
      <alignment vertical="top" wrapText="1"/>
    </xf>
    <xf numFmtId="0" fontId="4" fillId="2" borderId="16" xfId="0" applyFont="1" applyFill="1" applyBorder="1" applyAlignment="1">
      <alignment vertical="top" wrapText="1"/>
    </xf>
    <xf numFmtId="0" fontId="4" fillId="2" borderId="5" xfId="0" applyFont="1" applyFill="1" applyBorder="1" applyAlignment="1">
      <alignment vertical="top" wrapText="1"/>
    </xf>
    <xf numFmtId="0" fontId="4" fillId="2" borderId="15" xfId="0" applyFont="1" applyFill="1" applyBorder="1" applyAlignment="1">
      <alignment vertical="top" wrapText="1"/>
    </xf>
    <xf numFmtId="0" fontId="4" fillId="2" borderId="16" xfId="0" applyFont="1" applyFill="1" applyBorder="1" applyAlignment="1">
      <alignment vertical="center" textRotation="255" shrinkToFit="1"/>
    </xf>
    <xf numFmtId="0" fontId="4" fillId="2" borderId="0" xfId="0" applyFont="1" applyFill="1" applyAlignment="1">
      <alignment horizontal="center" vertical="center" wrapText="1" shrinkToFit="1"/>
    </xf>
    <xf numFmtId="0" fontId="4" fillId="2" borderId="4" xfId="0" applyFont="1" applyFill="1" applyBorder="1" applyAlignment="1">
      <alignment vertical="center" wrapText="1"/>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15" xfId="0" applyFont="1" applyFill="1" applyBorder="1" applyAlignment="1">
      <alignment vertical="center" wrapText="1"/>
    </xf>
    <xf numFmtId="0" fontId="5" fillId="5" borderId="51" xfId="0" applyFont="1" applyFill="1" applyBorder="1" applyAlignment="1">
      <alignment horizontal="center" vertical="center" shrinkToFit="1"/>
    </xf>
    <xf numFmtId="0" fontId="5" fillId="5" borderId="54" xfId="0" applyFont="1" applyFill="1" applyBorder="1" applyAlignment="1">
      <alignment vertical="center" wrapText="1" shrinkToFit="1"/>
    </xf>
    <xf numFmtId="0" fontId="5" fillId="5" borderId="51" xfId="0" applyFont="1" applyFill="1" applyBorder="1" applyAlignment="1">
      <alignment vertical="center" wrapText="1" shrinkToFit="1"/>
    </xf>
    <xf numFmtId="0" fontId="5" fillId="5" borderId="54" xfId="0" applyFont="1" applyFill="1" applyBorder="1" applyAlignment="1">
      <alignment horizontal="center" vertical="center" shrinkToFit="1"/>
    </xf>
    <xf numFmtId="0" fontId="5" fillId="5" borderId="54" xfId="0" applyFont="1" applyFill="1" applyBorder="1" applyAlignment="1">
      <alignment vertical="center" wrapText="1"/>
    </xf>
    <xf numFmtId="0" fontId="5" fillId="2" borderId="55" xfId="0" applyFont="1" applyFill="1" applyBorder="1" applyAlignment="1">
      <alignment vertical="center" wrapText="1" shrinkToFit="1"/>
    </xf>
    <xf numFmtId="0" fontId="5" fillId="2" borderId="55"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6" xfId="0" applyFont="1" applyFill="1" applyBorder="1" applyAlignment="1">
      <alignment vertical="center" wrapText="1"/>
    </xf>
    <xf numFmtId="0" fontId="5" fillId="2" borderId="27" xfId="0" applyFont="1" applyFill="1" applyBorder="1" applyAlignment="1">
      <alignment vertical="center" shrinkToFit="1"/>
    </xf>
    <xf numFmtId="0" fontId="5" fillId="2" borderId="16" xfId="0" applyFont="1" applyFill="1" applyBorder="1" applyAlignment="1">
      <alignment vertical="center" wrapText="1" shrinkToFit="1"/>
    </xf>
    <xf numFmtId="0" fontId="5" fillId="2" borderId="27" xfId="0" applyFont="1" applyFill="1" applyBorder="1" applyAlignment="1">
      <alignment horizontal="center" vertical="center" shrinkToFit="1"/>
    </xf>
    <xf numFmtId="0" fontId="5" fillId="2" borderId="56" xfId="0" applyFont="1" applyFill="1" applyBorder="1" applyAlignment="1">
      <alignment vertical="center" wrapText="1" shrinkToFit="1"/>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4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1"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4" fillId="0" borderId="29" xfId="0" applyFont="1" applyBorder="1"/>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9"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41" fillId="0" borderId="0" xfId="0" applyFont="1" applyAlignment="1">
      <alignment horizontal="left" vertical="center"/>
    </xf>
    <xf numFmtId="0" fontId="61" fillId="0" borderId="0" xfId="0" applyFont="1" applyAlignment="1">
      <alignment vertical="center"/>
    </xf>
    <xf numFmtId="0" fontId="61" fillId="0" borderId="2" xfId="0" applyFont="1" applyBorder="1" applyAlignment="1">
      <alignment vertical="center"/>
    </xf>
    <xf numFmtId="0" fontId="61" fillId="0" borderId="0" xfId="0" applyFont="1" applyAlignment="1">
      <alignment horizontal="left" vertical="center"/>
    </xf>
    <xf numFmtId="0" fontId="62" fillId="0" borderId="0" xfId="0" applyFont="1" applyAlignment="1">
      <alignment vertical="center"/>
    </xf>
    <xf numFmtId="0" fontId="61" fillId="0" borderId="0" xfId="0" applyFont="1" applyAlignment="1">
      <alignment horizontal="right" vertical="center"/>
    </xf>
    <xf numFmtId="0" fontId="61" fillId="0" borderId="2" xfId="0" applyFont="1" applyBorder="1" applyAlignment="1">
      <alignment horizontal="left" vertical="center"/>
    </xf>
    <xf numFmtId="0" fontId="61" fillId="0" borderId="7" xfId="0" applyFont="1" applyBorder="1" applyAlignment="1">
      <alignment vertical="center"/>
    </xf>
    <xf numFmtId="0" fontId="61" fillId="0" borderId="8" xfId="0" applyFont="1" applyBorder="1" applyAlignment="1">
      <alignment vertical="center"/>
    </xf>
    <xf numFmtId="182" fontId="61" fillId="0" borderId="0" xfId="0" applyNumberFormat="1" applyFont="1" applyAlignment="1">
      <alignment horizontal="right" vertical="center"/>
    </xf>
    <xf numFmtId="58" fontId="61" fillId="0" borderId="0" xfId="0" applyNumberFormat="1" applyFont="1" applyAlignment="1">
      <alignment vertical="center"/>
    </xf>
    <xf numFmtId="0" fontId="61" fillId="0" borderId="1" xfId="0" applyFont="1" applyBorder="1" applyAlignment="1">
      <alignment horizontal="center" vertical="center"/>
    </xf>
    <xf numFmtId="0" fontId="61" fillId="0" borderId="0" xfId="0" applyFont="1" applyAlignment="1">
      <alignment horizontal="center" vertical="center"/>
    </xf>
    <xf numFmtId="0" fontId="61" fillId="0" borderId="8" xfId="0" applyFont="1" applyBorder="1" applyAlignment="1">
      <alignment horizontal="center" vertical="center"/>
    </xf>
    <xf numFmtId="183" fontId="61" fillId="0" borderId="0" xfId="4" applyNumberFormat="1" applyFont="1" applyAlignment="1">
      <alignment horizontal="right" vertical="center"/>
    </xf>
    <xf numFmtId="10" fontId="61" fillId="0" borderId="0" xfId="1" applyNumberFormat="1" applyFont="1" applyAlignment="1">
      <alignment horizontal="center" vertical="center"/>
    </xf>
    <xf numFmtId="0" fontId="63" fillId="0" borderId="0" xfId="0" applyFont="1" applyAlignment="1">
      <alignment horizontal="left" vertical="center" wrapText="1"/>
    </xf>
    <xf numFmtId="0" fontId="64" fillId="0" borderId="0" xfId="0" applyFont="1" applyAlignment="1">
      <alignment horizontal="right"/>
    </xf>
    <xf numFmtId="0" fontId="64" fillId="0" borderId="0" xfId="0" applyFont="1" applyAlignment="1">
      <alignment horizontal="left"/>
    </xf>
    <xf numFmtId="0" fontId="64" fillId="0" borderId="0" xfId="0" applyFont="1"/>
    <xf numFmtId="0" fontId="65" fillId="0" borderId="0" xfId="0" applyFont="1" applyAlignment="1">
      <alignment vertical="center"/>
    </xf>
    <xf numFmtId="0" fontId="68" fillId="0" borderId="0" xfId="7" applyFont="1">
      <alignment vertical="center"/>
    </xf>
    <xf numFmtId="0" fontId="11" fillId="0" borderId="0" xfId="8" applyFont="1" applyAlignment="1">
      <alignment horizontal="left" vertical="center"/>
    </xf>
    <xf numFmtId="0" fontId="8" fillId="0" borderId="0" xfId="8" applyAlignment="1">
      <alignment horizontal="left" vertical="center"/>
    </xf>
    <xf numFmtId="0" fontId="70" fillId="0" borderId="0" xfId="9" applyFont="1">
      <alignment vertical="center"/>
    </xf>
    <xf numFmtId="0" fontId="72" fillId="0" borderId="0" xfId="8" applyFont="1" applyAlignment="1">
      <alignment horizontal="center"/>
    </xf>
    <xf numFmtId="0" fontId="11" fillId="0" borderId="0" xfId="8" applyFont="1" applyAlignment="1">
      <alignment horizontal="center" vertical="center"/>
    </xf>
    <xf numFmtId="0" fontId="68" fillId="0" borderId="0" xfId="7" applyFont="1" applyAlignment="1">
      <alignment vertical="center" wrapText="1"/>
    </xf>
    <xf numFmtId="0" fontId="68" fillId="0" borderId="0" xfId="0" applyFont="1"/>
    <xf numFmtId="0" fontId="74" fillId="0" borderId="0" xfId="8" applyFont="1" applyAlignment="1">
      <alignment vertical="center"/>
    </xf>
    <xf numFmtId="0" fontId="75" fillId="0" borderId="0" xfId="8" applyFont="1" applyAlignment="1">
      <alignment vertical="center"/>
    </xf>
    <xf numFmtId="0" fontId="76" fillId="0" borderId="0" xfId="9" applyFont="1">
      <alignment vertical="center"/>
    </xf>
    <xf numFmtId="0" fontId="75" fillId="2" borderId="3" xfId="8" applyFont="1" applyFill="1" applyBorder="1" applyAlignment="1">
      <alignment vertical="center" textRotation="255"/>
    </xf>
    <xf numFmtId="0" fontId="75" fillId="2" borderId="4" xfId="8" applyFont="1" applyFill="1" applyBorder="1" applyAlignment="1">
      <alignment vertical="center"/>
    </xf>
    <xf numFmtId="0" fontId="75" fillId="2" borderId="4" xfId="8" applyFont="1" applyFill="1" applyBorder="1" applyAlignment="1">
      <alignment horizontal="center" vertical="center"/>
    </xf>
    <xf numFmtId="0" fontId="75" fillId="2" borderId="1" xfId="8" applyFont="1" applyFill="1" applyBorder="1" applyAlignment="1">
      <alignment horizontal="center" vertical="center"/>
    </xf>
    <xf numFmtId="0" fontId="75" fillId="2" borderId="6" xfId="8" applyFont="1" applyFill="1" applyBorder="1"/>
    <xf numFmtId="0" fontId="75" fillId="2" borderId="7" xfId="8" applyFont="1" applyFill="1" applyBorder="1"/>
    <xf numFmtId="0" fontId="75" fillId="2" borderId="7" xfId="8" applyFont="1" applyFill="1" applyBorder="1" applyAlignment="1">
      <alignment horizontal="right"/>
    </xf>
    <xf numFmtId="0" fontId="75" fillId="2" borderId="8" xfId="8" applyFont="1" applyFill="1" applyBorder="1"/>
    <xf numFmtId="0" fontId="75" fillId="2" borderId="16" xfId="8" applyFont="1" applyFill="1" applyBorder="1" applyAlignment="1">
      <alignment vertical="center" textRotation="255"/>
    </xf>
    <xf numFmtId="0" fontId="75" fillId="2" borderId="5" xfId="8" applyFont="1" applyFill="1" applyBorder="1" applyAlignment="1">
      <alignment vertical="center"/>
    </xf>
    <xf numFmtId="0" fontId="75" fillId="2" borderId="5" xfId="8" applyFont="1" applyFill="1" applyBorder="1" applyAlignment="1">
      <alignment horizontal="center" vertical="center"/>
    </xf>
    <xf numFmtId="0" fontId="75" fillId="2" borderId="15" xfId="8" applyFont="1" applyFill="1" applyBorder="1" applyAlignment="1">
      <alignment horizontal="center" vertical="center"/>
    </xf>
    <xf numFmtId="0" fontId="75" fillId="2" borderId="7" xfId="8" applyFont="1" applyFill="1" applyBorder="1" applyAlignment="1">
      <alignment horizontal="center"/>
    </xf>
    <xf numFmtId="0" fontId="75" fillId="2" borderId="2" xfId="8" applyFont="1" applyFill="1" applyBorder="1" applyAlignment="1">
      <alignment horizontal="center"/>
    </xf>
    <xf numFmtId="0" fontId="75" fillId="2" borderId="8" xfId="8" applyFont="1" applyFill="1" applyBorder="1" applyAlignment="1">
      <alignment horizontal="center"/>
    </xf>
    <xf numFmtId="12" fontId="11" fillId="0" borderId="28" xfId="8" applyNumberFormat="1" applyFont="1" applyBorder="1" applyAlignment="1">
      <alignment horizontal="center" vertical="center"/>
    </xf>
    <xf numFmtId="2" fontId="8" fillId="0" borderId="62" xfId="6" applyNumberFormat="1" applyFont="1" applyFill="1" applyBorder="1" applyAlignment="1" applyProtection="1"/>
    <xf numFmtId="12" fontId="11" fillId="0" borderId="54" xfId="8" applyNumberFormat="1" applyFont="1" applyBorder="1" applyAlignment="1">
      <alignment horizontal="center" vertical="center"/>
    </xf>
    <xf numFmtId="0" fontId="11" fillId="0" borderId="54" xfId="8" applyFont="1" applyBorder="1" applyAlignment="1">
      <alignment horizontal="center" vertical="center"/>
    </xf>
    <xf numFmtId="12" fontId="11" fillId="2" borderId="25" xfId="8" applyNumberFormat="1" applyFont="1" applyFill="1" applyBorder="1" applyAlignment="1">
      <alignment horizontal="center" vertical="center"/>
    </xf>
    <xf numFmtId="12" fontId="11" fillId="2" borderId="54" xfId="8" applyNumberFormat="1" applyFont="1" applyFill="1" applyBorder="1" applyAlignment="1">
      <alignment horizontal="center" vertical="center"/>
    </xf>
    <xf numFmtId="0" fontId="11" fillId="0" borderId="56" xfId="8" applyFont="1" applyBorder="1" applyAlignment="1">
      <alignment horizontal="center" vertical="center"/>
    </xf>
    <xf numFmtId="0" fontId="11" fillId="0" borderId="3" xfId="8" applyFont="1" applyBorder="1" applyAlignment="1">
      <alignment horizontal="center" vertical="center" shrinkToFit="1"/>
    </xf>
    <xf numFmtId="0" fontId="11" fillId="0" borderId="25" xfId="8" applyFont="1" applyBorder="1" applyAlignment="1">
      <alignment horizontal="center" vertical="center"/>
    </xf>
    <xf numFmtId="0" fontId="11" fillId="0" borderId="6" xfId="8" applyFont="1" applyBorder="1" applyAlignment="1">
      <alignment horizontal="center" vertical="center" textRotation="255"/>
    </xf>
    <xf numFmtId="0" fontId="11" fillId="0" borderId="7" xfId="8" applyFont="1" applyBorder="1" applyAlignment="1">
      <alignment horizontal="center" vertical="center"/>
    </xf>
    <xf numFmtId="0" fontId="75" fillId="0" borderId="7" xfId="8" applyFont="1" applyBorder="1" applyAlignment="1">
      <alignment horizontal="left" vertical="center" wrapText="1"/>
    </xf>
    <xf numFmtId="0" fontId="11" fillId="0" borderId="8" xfId="8" applyFont="1" applyBorder="1" applyAlignment="1">
      <alignment horizontal="center" vertical="center"/>
    </xf>
    <xf numFmtId="185" fontId="8" fillId="0" borderId="8" xfId="6" applyNumberFormat="1" applyFont="1" applyFill="1" applyBorder="1" applyAlignment="1" applyProtection="1">
      <alignment vertical="center"/>
    </xf>
    <xf numFmtId="185" fontId="8" fillId="0" borderId="2" xfId="6" applyNumberFormat="1" applyFont="1" applyFill="1" applyBorder="1" applyAlignment="1" applyProtection="1">
      <alignment vertical="center"/>
    </xf>
    <xf numFmtId="185" fontId="68" fillId="0" borderId="2" xfId="5" applyNumberFormat="1" applyFont="1" applyFill="1" applyBorder="1" applyAlignment="1" applyProtection="1">
      <alignment vertical="center"/>
    </xf>
    <xf numFmtId="0" fontId="11" fillId="2" borderId="6" xfId="8" applyFont="1" applyFill="1" applyBorder="1" applyAlignment="1">
      <alignment horizontal="center" vertical="center" textRotation="255"/>
    </xf>
    <xf numFmtId="0" fontId="11" fillId="2" borderId="8" xfId="8" applyFont="1" applyFill="1" applyBorder="1" applyAlignment="1">
      <alignment horizontal="center"/>
    </xf>
    <xf numFmtId="185" fontId="68" fillId="0" borderId="62" xfId="5" applyNumberFormat="1" applyFont="1" applyFill="1" applyBorder="1" applyAlignment="1" applyProtection="1">
      <alignment vertical="center"/>
    </xf>
    <xf numFmtId="0" fontId="11" fillId="2" borderId="3" xfId="8" applyFont="1" applyFill="1" applyBorder="1" applyAlignment="1">
      <alignment horizontal="center" vertical="center" textRotation="255"/>
    </xf>
    <xf numFmtId="0" fontId="11" fillId="2" borderId="1" xfId="8" applyFont="1" applyFill="1" applyBorder="1" applyAlignment="1">
      <alignment horizontal="center"/>
    </xf>
    <xf numFmtId="49" fontId="8" fillId="0" borderId="17" xfId="8" applyNumberFormat="1" applyBorder="1" applyAlignment="1">
      <alignment horizontal="left" shrinkToFit="1"/>
    </xf>
    <xf numFmtId="49" fontId="8" fillId="0" borderId="0" xfId="8" applyNumberFormat="1" applyAlignment="1">
      <alignment horizontal="left" shrinkToFit="1"/>
    </xf>
    <xf numFmtId="49" fontId="8" fillId="0" borderId="0" xfId="8" quotePrefix="1" applyNumberFormat="1" applyAlignment="1">
      <alignment horizontal="left" shrinkToFit="1"/>
    </xf>
    <xf numFmtId="0" fontId="8" fillId="0" borderId="0" xfId="8" applyAlignment="1">
      <alignment vertical="top" wrapText="1"/>
    </xf>
    <xf numFmtId="0" fontId="8" fillId="0" borderId="0" xfId="8" applyAlignment="1">
      <alignment horizontal="center" vertical="center" wrapText="1"/>
    </xf>
    <xf numFmtId="9" fontId="8" fillId="0" borderId="0" xfId="1" applyFont="1" applyFill="1" applyBorder="1" applyAlignment="1" applyProtection="1">
      <alignment horizontal="center" vertical="center" wrapText="1"/>
    </xf>
    <xf numFmtId="0" fontId="68" fillId="2" borderId="0" xfId="7" applyFont="1" applyFill="1">
      <alignment vertical="center"/>
    </xf>
    <xf numFmtId="0" fontId="18" fillId="9" borderId="27" xfId="0" applyFont="1" applyFill="1" applyBorder="1" applyAlignment="1">
      <alignment horizontal="center" vertical="center" shrinkToFit="1"/>
    </xf>
    <xf numFmtId="0" fontId="5" fillId="10" borderId="3" xfId="0" applyFont="1" applyFill="1" applyBorder="1" applyAlignment="1">
      <alignment horizontal="center" vertical="center"/>
    </xf>
    <xf numFmtId="0" fontId="5" fillId="10" borderId="1" xfId="0" applyFont="1" applyFill="1" applyBorder="1" applyAlignment="1">
      <alignment horizontal="right" vertical="center" shrinkToFit="1"/>
    </xf>
    <xf numFmtId="0" fontId="5" fillId="10" borderId="4" xfId="0" applyFont="1" applyFill="1" applyBorder="1" applyAlignment="1">
      <alignment horizontal="right" vertical="center" shrinkToFit="1"/>
    </xf>
    <xf numFmtId="0" fontId="5" fillId="10" borderId="6" xfId="0"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2" xfId="0" applyFont="1" applyFill="1" applyBorder="1" applyAlignment="1">
      <alignment horizontal="center" vertical="center"/>
    </xf>
    <xf numFmtId="0" fontId="5" fillId="10" borderId="17" xfId="0" applyFont="1" applyFill="1" applyBorder="1" applyAlignment="1">
      <alignment vertical="center"/>
    </xf>
    <xf numFmtId="0" fontId="5" fillId="10" borderId="29" xfId="0" applyFont="1" applyFill="1" applyBorder="1" applyAlignment="1">
      <alignment vertical="center" shrinkToFit="1"/>
    </xf>
    <xf numFmtId="0" fontId="5" fillId="10" borderId="0" xfId="0" applyFont="1" applyFill="1" applyAlignment="1">
      <alignment vertical="center" shrinkToFit="1"/>
    </xf>
    <xf numFmtId="0" fontId="5" fillId="10" borderId="16" xfId="0" applyFont="1" applyFill="1" applyBorder="1" applyAlignment="1">
      <alignment horizontal="center" vertical="center"/>
    </xf>
    <xf numFmtId="0" fontId="5" fillId="10" borderId="15" xfId="0" applyFont="1" applyFill="1" applyBorder="1" applyAlignment="1">
      <alignment vertical="center" shrinkToFit="1"/>
    </xf>
    <xf numFmtId="0" fontId="5" fillId="10" borderId="5" xfId="0" applyFont="1" applyFill="1" applyBorder="1" applyAlignment="1">
      <alignment vertical="center" shrinkToFit="1"/>
    </xf>
    <xf numFmtId="0" fontId="5" fillId="10" borderId="60" xfId="0" applyFont="1" applyFill="1" applyBorder="1" applyAlignment="1">
      <alignment vertical="center"/>
    </xf>
    <xf numFmtId="0" fontId="5" fillId="10" borderId="54" xfId="0" applyFont="1" applyFill="1" applyBorder="1" applyAlignment="1">
      <alignment vertical="center"/>
    </xf>
    <xf numFmtId="0" fontId="5" fillId="10" borderId="46" xfId="0" applyFont="1" applyFill="1" applyBorder="1" applyAlignment="1">
      <alignment vertical="center"/>
    </xf>
    <xf numFmtId="0" fontId="18" fillId="10" borderId="2" xfId="7" applyFont="1" applyFill="1" applyBorder="1" applyAlignment="1">
      <alignment horizontal="center" vertical="center" wrapText="1"/>
    </xf>
    <xf numFmtId="0" fontId="18" fillId="10" borderId="6" xfId="7" applyFont="1" applyFill="1" applyBorder="1" applyAlignment="1">
      <alignment horizontal="center" vertical="center" wrapText="1"/>
    </xf>
    <xf numFmtId="0" fontId="18" fillId="10" borderId="15" xfId="7" applyFont="1" applyFill="1" applyBorder="1" applyAlignment="1">
      <alignment horizontal="center" vertical="center" wrapText="1"/>
    </xf>
    <xf numFmtId="0" fontId="18" fillId="10" borderId="27" xfId="7" applyFont="1" applyFill="1" applyBorder="1" applyAlignment="1">
      <alignment horizontal="center" vertical="center" wrapText="1"/>
    </xf>
    <xf numFmtId="0" fontId="18" fillId="10" borderId="16" xfId="7" applyFont="1" applyFill="1" applyBorder="1" applyAlignment="1">
      <alignment horizontal="center" vertical="center" wrapText="1"/>
    </xf>
    <xf numFmtId="0" fontId="0" fillId="0" borderId="4" xfId="0" applyBorder="1"/>
    <xf numFmtId="185" fontId="8" fillId="11" borderId="60" xfId="6" applyNumberFormat="1" applyFont="1" applyFill="1" applyBorder="1" applyAlignment="1" applyProtection="1">
      <alignment vertical="center"/>
      <protection locked="0"/>
    </xf>
    <xf numFmtId="185" fontId="8" fillId="11" borderId="54" xfId="6" applyNumberFormat="1" applyFont="1" applyFill="1" applyBorder="1" applyAlignment="1" applyProtection="1">
      <alignment vertical="center"/>
      <protection locked="0"/>
    </xf>
    <xf numFmtId="185" fontId="8" fillId="11" borderId="46" xfId="6" applyNumberFormat="1" applyFont="1" applyFill="1" applyBorder="1" applyAlignment="1" applyProtection="1">
      <alignment vertical="center"/>
      <protection locked="0"/>
    </xf>
    <xf numFmtId="185" fontId="8" fillId="11" borderId="0" xfId="6" applyNumberFormat="1" applyFont="1" applyFill="1" applyBorder="1" applyAlignment="1" applyProtection="1">
      <alignment vertical="center"/>
      <protection locked="0"/>
    </xf>
    <xf numFmtId="185" fontId="8" fillId="11" borderId="28" xfId="6" applyNumberFormat="1" applyFont="1" applyFill="1" applyBorder="1" applyAlignment="1" applyProtection="1">
      <alignment vertical="center"/>
      <protection locked="0"/>
    </xf>
    <xf numFmtId="185" fontId="8" fillId="11" borderId="29" xfId="6" applyNumberFormat="1" applyFont="1" applyFill="1" applyBorder="1" applyAlignment="1" applyProtection="1">
      <alignment vertical="center"/>
      <protection locked="0"/>
    </xf>
    <xf numFmtId="185" fontId="8" fillId="11" borderId="53" xfId="6" applyNumberFormat="1" applyFont="1" applyFill="1" applyBorder="1" applyAlignment="1" applyProtection="1">
      <alignment vertical="center"/>
      <protection locked="0"/>
    </xf>
    <xf numFmtId="185" fontId="8" fillId="11" borderId="52" xfId="6" applyNumberFormat="1" applyFont="1" applyFill="1" applyBorder="1" applyAlignment="1" applyProtection="1">
      <alignment vertical="center"/>
      <protection locked="0"/>
    </xf>
    <xf numFmtId="185" fontId="8" fillId="11" borderId="5" xfId="6" applyNumberFormat="1" applyFont="1" applyFill="1" applyBorder="1" applyAlignment="1" applyProtection="1">
      <alignment vertical="center"/>
      <protection locked="0"/>
    </xf>
    <xf numFmtId="185" fontId="8" fillId="11" borderId="27" xfId="6" applyNumberFormat="1" applyFont="1" applyFill="1" applyBorder="1" applyAlignment="1" applyProtection="1">
      <alignment vertical="center"/>
      <protection locked="0"/>
    </xf>
    <xf numFmtId="185" fontId="8" fillId="11" borderId="15" xfId="6" applyNumberFormat="1" applyFont="1" applyFill="1" applyBorder="1" applyAlignment="1" applyProtection="1">
      <alignment vertical="center"/>
      <protection locked="0"/>
    </xf>
    <xf numFmtId="0" fontId="75" fillId="11" borderId="7" xfId="8" applyFont="1" applyFill="1" applyBorder="1" applyAlignment="1">
      <alignment horizontal="center"/>
    </xf>
    <xf numFmtId="2" fontId="8" fillId="12" borderId="8" xfId="6" applyNumberFormat="1" applyFont="1" applyFill="1" applyBorder="1" applyAlignment="1" applyProtection="1"/>
    <xf numFmtId="179" fontId="8" fillId="12" borderId="1" xfId="6" applyNumberFormat="1" applyFont="1" applyFill="1" applyBorder="1" applyAlignment="1" applyProtection="1"/>
    <xf numFmtId="2" fontId="8" fillId="12" borderId="1" xfId="6" applyNumberFormat="1" applyFont="1" applyFill="1" applyBorder="1" applyAlignment="1" applyProtection="1"/>
    <xf numFmtId="2" fontId="8" fillId="12" borderId="7" xfId="6" applyNumberFormat="1" applyFont="1" applyFill="1" applyBorder="1" applyAlignment="1" applyProtection="1"/>
    <xf numFmtId="186" fontId="68" fillId="12" borderId="25" xfId="5" applyNumberFormat="1" applyFont="1" applyFill="1" applyBorder="1" applyAlignment="1" applyProtection="1">
      <alignment vertical="center"/>
    </xf>
    <xf numFmtId="179" fontId="80" fillId="12" borderId="63" xfId="6" applyNumberFormat="1" applyFont="1" applyFill="1" applyBorder="1" applyAlignment="1" applyProtection="1">
      <alignment vertical="center"/>
    </xf>
    <xf numFmtId="12" fontId="11" fillId="13" borderId="8" xfId="6" applyNumberFormat="1" applyFont="1" applyFill="1" applyBorder="1" applyAlignment="1" applyProtection="1">
      <alignment horizontal="center"/>
      <protection locked="0"/>
    </xf>
    <xf numFmtId="0" fontId="4" fillId="9" borderId="0" xfId="0" applyFont="1" applyFill="1" applyAlignment="1">
      <alignment vertical="center"/>
    </xf>
    <xf numFmtId="0" fontId="4" fillId="14" borderId="7" xfId="0" applyFont="1" applyFill="1" applyBorder="1" applyAlignment="1">
      <alignment horizontal="center" vertical="center" shrinkToFit="1"/>
    </xf>
    <xf numFmtId="0" fontId="4" fillId="9" borderId="7" xfId="0" applyFont="1" applyFill="1" applyBorder="1" applyAlignment="1">
      <alignment horizontal="left" vertical="center" shrinkToFit="1"/>
    </xf>
    <xf numFmtId="0" fontId="4" fillId="9" borderId="6" xfId="0" applyFont="1" applyFill="1" applyBorder="1" applyAlignment="1">
      <alignment horizontal="right" vertical="center" shrinkToFit="1"/>
    </xf>
    <xf numFmtId="0" fontId="4" fillId="15" borderId="7" xfId="0" applyFont="1" applyFill="1" applyBorder="1" applyAlignment="1">
      <alignment horizontal="right" vertical="center" shrinkToFit="1"/>
    </xf>
    <xf numFmtId="0" fontId="4" fillId="9" borderId="8" xfId="0" applyFont="1" applyFill="1" applyBorder="1" applyAlignment="1">
      <alignment horizontal="left" vertical="center" shrinkToFit="1"/>
    </xf>
    <xf numFmtId="0" fontId="4" fillId="9" borderId="25" xfId="0" applyFont="1" applyFill="1" applyBorder="1" applyAlignment="1">
      <alignment horizontal="center" vertical="center"/>
    </xf>
    <xf numFmtId="0" fontId="4" fillId="9" borderId="3" xfId="0" applyFont="1" applyFill="1" applyBorder="1" applyAlignment="1">
      <alignment horizontal="center" vertical="center"/>
    </xf>
    <xf numFmtId="0" fontId="4" fillId="15" borderId="64" xfId="0" applyFont="1" applyFill="1" applyBorder="1" applyAlignment="1">
      <alignment vertical="center" shrinkToFit="1"/>
    </xf>
    <xf numFmtId="0" fontId="4" fillId="15" borderId="65" xfId="0" applyFont="1" applyFill="1" applyBorder="1" applyAlignment="1">
      <alignment vertical="center" shrinkToFit="1"/>
    </xf>
    <xf numFmtId="0" fontId="4" fillId="15" borderId="63" xfId="0" applyFont="1" applyFill="1" applyBorder="1" applyAlignment="1">
      <alignment vertical="center" shrinkToFit="1"/>
    </xf>
    <xf numFmtId="0" fontId="4" fillId="9" borderId="67" xfId="0" applyFont="1" applyFill="1" applyBorder="1" applyAlignment="1">
      <alignment vertical="center" shrinkToFit="1"/>
    </xf>
    <xf numFmtId="0" fontId="4" fillId="14" borderId="68" xfId="0" applyFont="1" applyFill="1" applyBorder="1" applyAlignment="1">
      <alignment vertical="center" shrinkToFit="1"/>
    </xf>
    <xf numFmtId="179" fontId="4" fillId="14" borderId="68" xfId="0" applyNumberFormat="1" applyFont="1" applyFill="1" applyBorder="1" applyAlignment="1">
      <alignment vertical="center" shrinkToFit="1"/>
    </xf>
    <xf numFmtId="0" fontId="5" fillId="9" borderId="0" xfId="0" applyFont="1" applyFill="1" applyAlignment="1">
      <alignment vertical="center"/>
    </xf>
    <xf numFmtId="0" fontId="4" fillId="9" borderId="3" xfId="0" applyFont="1" applyFill="1" applyBorder="1" applyAlignment="1">
      <alignment vertical="center"/>
    </xf>
    <xf numFmtId="0" fontId="4" fillId="9" borderId="1" xfId="0" applyFont="1" applyFill="1" applyBorder="1" applyAlignment="1">
      <alignment vertical="center"/>
    </xf>
    <xf numFmtId="0" fontId="4" fillId="9" borderId="17" xfId="0" applyFont="1" applyFill="1" applyBorder="1" applyAlignment="1">
      <alignment vertical="center"/>
    </xf>
    <xf numFmtId="0" fontId="4" fillId="9" borderId="29" xfId="0" applyFont="1" applyFill="1" applyBorder="1" applyAlignment="1">
      <alignment vertical="center"/>
    </xf>
    <xf numFmtId="0" fontId="16" fillId="15" borderId="69" xfId="0" applyFont="1" applyFill="1" applyBorder="1" applyAlignment="1">
      <alignment horizontal="center" vertical="center" shrinkToFit="1"/>
    </xf>
    <xf numFmtId="0" fontId="4" fillId="9" borderId="70" xfId="0" applyFont="1" applyFill="1" applyBorder="1" applyAlignment="1">
      <alignment horizontal="center"/>
    </xf>
    <xf numFmtId="0" fontId="4" fillId="9" borderId="16" xfId="0" applyFont="1" applyFill="1" applyBorder="1" applyAlignment="1">
      <alignment vertical="center" wrapText="1"/>
    </xf>
    <xf numFmtId="49" fontId="4" fillId="9" borderId="5" xfId="0" applyNumberFormat="1" applyFont="1" applyFill="1" applyBorder="1" applyAlignment="1">
      <alignment vertical="center"/>
    </xf>
    <xf numFmtId="0" fontId="7" fillId="14" borderId="2" xfId="0" applyFont="1" applyFill="1" applyBorder="1" applyAlignment="1">
      <alignment horizontal="center" vertical="center"/>
    </xf>
    <xf numFmtId="0" fontId="84" fillId="16" borderId="0" xfId="10" applyFill="1" applyAlignment="1">
      <alignment horizontal="center" vertical="center"/>
    </xf>
    <xf numFmtId="178" fontId="88" fillId="9" borderId="0" xfId="2" applyNumberFormat="1"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5" xfId="0" applyFont="1" applyBorder="1" applyAlignment="1">
      <alignment horizontal="center" vertical="center" wrapText="1"/>
    </xf>
    <xf numFmtId="0" fontId="84" fillId="0" borderId="2" xfId="10" applyBorder="1" applyAlignment="1">
      <alignment horizontal="center" vertical="center"/>
    </xf>
    <xf numFmtId="0" fontId="84" fillId="16" borderId="2" xfId="10" applyFill="1" applyBorder="1" applyAlignment="1">
      <alignment horizontal="center" vertical="center"/>
    </xf>
    <xf numFmtId="0" fontId="4" fillId="0" borderId="16" xfId="0" applyFont="1" applyBorder="1" applyAlignment="1">
      <alignment horizont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9"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vertical="center" wrapText="1"/>
    </xf>
    <xf numFmtId="0" fontId="4" fillId="0" borderId="29" xfId="0" applyFont="1" applyBorder="1" applyAlignment="1">
      <alignment vertical="center" wrapText="1"/>
    </xf>
    <xf numFmtId="0" fontId="4" fillId="0" borderId="17" xfId="0" applyFont="1" applyBorder="1" applyAlignment="1">
      <alignment vertical="center"/>
    </xf>
    <xf numFmtId="0" fontId="4" fillId="0" borderId="29" xfId="0" applyFont="1" applyBorder="1" applyAlignment="1">
      <alignment horizontal="center" vertical="center"/>
    </xf>
    <xf numFmtId="0" fontId="4" fillId="0" borderId="28" xfId="0" applyFont="1" applyBorder="1" applyAlignment="1">
      <alignment vertical="center"/>
    </xf>
    <xf numFmtId="0" fontId="4" fillId="0" borderId="17" xfId="0" applyFont="1" applyBorder="1" applyAlignment="1">
      <alignment horizontal="left" vertical="center"/>
    </xf>
    <xf numFmtId="0" fontId="4" fillId="0" borderId="29" xfId="0" applyFont="1" applyBorder="1" applyAlignment="1">
      <alignment vertical="center"/>
    </xf>
    <xf numFmtId="0" fontId="4" fillId="0" borderId="0" xfId="0" applyFont="1" applyAlignment="1">
      <alignment vertical="top"/>
    </xf>
    <xf numFmtId="0" fontId="4" fillId="0" borderId="29" xfId="0" applyFont="1" applyBorder="1" applyAlignment="1">
      <alignment vertical="top"/>
    </xf>
    <xf numFmtId="0" fontId="4" fillId="0" borderId="17" xfId="0" applyFont="1" applyBorder="1" applyAlignment="1">
      <alignment vertical="top"/>
    </xf>
    <xf numFmtId="0" fontId="4" fillId="0" borderId="126" xfId="0" applyFont="1" applyBorder="1" applyAlignment="1">
      <alignment horizontal="left" vertical="center"/>
    </xf>
    <xf numFmtId="0" fontId="4" fillId="0" borderId="29" xfId="0" applyFont="1" applyBorder="1" applyAlignment="1">
      <alignment horizontal="left" vertical="center"/>
    </xf>
    <xf numFmtId="0" fontId="4" fillId="0" borderId="16" xfId="0" applyFont="1" applyBorder="1" applyAlignment="1">
      <alignment vertical="center"/>
    </xf>
    <xf numFmtId="0" fontId="4" fillId="0" borderId="27" xfId="0" applyFont="1" applyBorder="1" applyAlignment="1">
      <alignment vertical="center"/>
    </xf>
    <xf numFmtId="0" fontId="4" fillId="0" borderId="16" xfId="0" applyFont="1" applyBorder="1" applyAlignment="1">
      <alignment horizontal="left" vertical="center"/>
    </xf>
    <xf numFmtId="0" fontId="4" fillId="0" borderId="15" xfId="0" applyFont="1" applyBorder="1" applyAlignment="1">
      <alignment vertical="center"/>
    </xf>
    <xf numFmtId="0" fontId="4" fillId="0" borderId="15" xfId="0" applyFont="1" applyBorder="1" applyAlignment="1">
      <alignment horizontal="left" vertical="center"/>
    </xf>
    <xf numFmtId="0" fontId="4" fillId="0" borderId="5" xfId="0" applyFont="1" applyBorder="1" applyAlignment="1">
      <alignment vertical="center"/>
    </xf>
    <xf numFmtId="0" fontId="4" fillId="0" borderId="2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horizontal="left" vertical="center" wrapText="1"/>
    </xf>
    <xf numFmtId="0" fontId="4" fillId="0" borderId="0" xfId="0" applyFont="1" applyAlignment="1">
      <alignment horizontal="center"/>
    </xf>
    <xf numFmtId="0" fontId="0" fillId="0" borderId="0" xfId="0" applyAlignment="1">
      <alignment horizontal="right"/>
    </xf>
    <xf numFmtId="0" fontId="4" fillId="0" borderId="0" xfId="0" applyFont="1" applyAlignment="1">
      <alignment horizontal="left" vertical="top" wrapText="1"/>
    </xf>
    <xf numFmtId="0" fontId="4" fillId="9" borderId="2" xfId="0" applyFont="1" applyFill="1" applyBorder="1" applyAlignment="1">
      <alignment horizontal="center" vertical="center"/>
    </xf>
    <xf numFmtId="0" fontId="4" fillId="9" borderId="2" xfId="0" applyFont="1" applyFill="1" applyBorder="1" applyAlignment="1">
      <alignment vertical="center"/>
    </xf>
    <xf numFmtId="0" fontId="4" fillId="9" borderId="5" xfId="0" applyFont="1" applyFill="1" applyBorder="1" applyAlignment="1">
      <alignment horizontal="left" vertical="center"/>
    </xf>
    <xf numFmtId="0" fontId="4" fillId="9" borderId="15" xfId="0" applyFont="1" applyFill="1" applyBorder="1" applyAlignment="1">
      <alignment horizontal="left" vertical="center"/>
    </xf>
    <xf numFmtId="0" fontId="4" fillId="9" borderId="5" xfId="0" applyFont="1" applyFill="1" applyBorder="1" applyAlignment="1">
      <alignment vertical="center"/>
    </xf>
    <xf numFmtId="0" fontId="4" fillId="9" borderId="27" xfId="0" applyFont="1" applyFill="1" applyBorder="1" applyAlignment="1">
      <alignment vertical="center"/>
    </xf>
    <xf numFmtId="0" fontId="4" fillId="9" borderId="0" xfId="0" applyFont="1" applyFill="1" applyAlignment="1">
      <alignment horizontal="left" wrapText="1"/>
    </xf>
    <xf numFmtId="0" fontId="4" fillId="9" borderId="17" xfId="0" applyFont="1" applyFill="1" applyBorder="1" applyAlignment="1">
      <alignment vertical="center" wrapText="1"/>
    </xf>
    <xf numFmtId="0" fontId="4" fillId="9" borderId="4" xfId="0" applyFont="1" applyFill="1" applyBorder="1" applyAlignment="1">
      <alignment horizontal="center" vertical="center" shrinkToFit="1"/>
    </xf>
    <xf numFmtId="0" fontId="4" fillId="9" borderId="1" xfId="0" applyFont="1" applyFill="1" applyBorder="1" applyAlignment="1">
      <alignment horizontal="center" vertical="center" shrinkToFit="1"/>
    </xf>
    <xf numFmtId="0" fontId="4" fillId="9" borderId="0" xfId="0" applyFont="1" applyFill="1" applyAlignment="1">
      <alignment vertical="center" wrapText="1"/>
    </xf>
    <xf numFmtId="0" fontId="4" fillId="9" borderId="6" xfId="0" applyFont="1" applyFill="1" applyBorder="1" applyAlignment="1">
      <alignment horizontal="center" vertical="center" shrinkToFit="1"/>
    </xf>
    <xf numFmtId="0" fontId="4" fillId="9" borderId="7" xfId="0" applyFont="1" applyFill="1" applyBorder="1" applyAlignment="1">
      <alignment horizontal="center" vertical="center" shrinkToFit="1"/>
    </xf>
    <xf numFmtId="0" fontId="99" fillId="9" borderId="0" xfId="12" applyFont="1" applyFill="1" applyAlignment="1">
      <alignment horizontal="left" vertical="top"/>
    </xf>
    <xf numFmtId="0" fontId="100" fillId="9" borderId="16" xfId="12" applyFont="1" applyFill="1" applyBorder="1" applyAlignment="1">
      <alignment horizontal="left" vertical="center"/>
    </xf>
    <xf numFmtId="0" fontId="100" fillId="9" borderId="5" xfId="12" applyFont="1" applyFill="1" applyBorder="1" applyAlignment="1">
      <alignment horizontal="left" vertical="center"/>
    </xf>
    <xf numFmtId="0" fontId="100" fillId="9" borderId="158" xfId="12" applyFont="1" applyFill="1" applyBorder="1" applyAlignment="1">
      <alignment horizontal="left" vertical="center"/>
    </xf>
    <xf numFmtId="0" fontId="101" fillId="9" borderId="4" xfId="13" applyFont="1" applyFill="1" applyBorder="1" applyAlignment="1">
      <alignment horizontal="center" vertical="center" wrapText="1"/>
    </xf>
    <xf numFmtId="0" fontId="101" fillId="9" borderId="4" xfId="13" applyFont="1" applyFill="1" applyBorder="1" applyAlignment="1">
      <alignment vertical="center" wrapText="1"/>
    </xf>
    <xf numFmtId="0" fontId="101" fillId="9" borderId="0" xfId="13" applyFont="1" applyFill="1" applyAlignment="1">
      <alignment horizontal="center" vertical="center" wrapText="1"/>
    </xf>
    <xf numFmtId="49" fontId="103" fillId="9" borderId="7" xfId="14" applyNumberFormat="1" applyFont="1" applyFill="1" applyBorder="1" applyAlignment="1">
      <alignment vertical="center"/>
    </xf>
    <xf numFmtId="49" fontId="101" fillId="9" borderId="7" xfId="14" applyNumberFormat="1" applyFont="1" applyFill="1" applyBorder="1" applyAlignment="1">
      <alignment vertical="center"/>
    </xf>
    <xf numFmtId="0" fontId="100" fillId="21" borderId="35" xfId="12" applyFont="1" applyFill="1" applyBorder="1" applyAlignment="1">
      <alignment vertical="center"/>
    </xf>
    <xf numFmtId="0" fontId="100" fillId="21" borderId="7" xfId="12" applyFont="1" applyFill="1" applyBorder="1" applyAlignment="1">
      <alignment vertical="center"/>
    </xf>
    <xf numFmtId="0" fontId="100" fillId="21" borderId="160" xfId="12" applyFont="1" applyFill="1" applyBorder="1" applyAlignment="1">
      <alignment vertical="center"/>
    </xf>
    <xf numFmtId="0" fontId="100" fillId="9" borderId="4" xfId="12" applyFont="1" applyFill="1" applyBorder="1" applyAlignment="1">
      <alignment vertical="center"/>
    </xf>
    <xf numFmtId="0" fontId="100" fillId="9" borderId="0" xfId="12" applyFont="1" applyFill="1" applyAlignment="1">
      <alignment vertical="center"/>
    </xf>
    <xf numFmtId="0" fontId="99" fillId="9" borderId="0" xfId="12" applyFont="1" applyFill="1" applyAlignment="1">
      <alignment horizontal="left" vertical="center"/>
    </xf>
    <xf numFmtId="0" fontId="104" fillId="9" borderId="0" xfId="12" applyFont="1" applyFill="1" applyAlignment="1">
      <alignment horizontal="left" vertical="top"/>
    </xf>
    <xf numFmtId="0" fontId="104" fillId="9" borderId="86" xfId="12" applyFont="1" applyFill="1" applyBorder="1" applyAlignment="1">
      <alignment horizontal="center" vertical="center" wrapText="1"/>
    </xf>
    <xf numFmtId="0" fontId="104" fillId="9" borderId="86" xfId="12" applyFont="1" applyFill="1" applyBorder="1" applyAlignment="1">
      <alignment vertical="center" wrapText="1"/>
    </xf>
    <xf numFmtId="0" fontId="104" fillId="9" borderId="113" xfId="12" applyFont="1" applyFill="1" applyBorder="1" applyAlignment="1">
      <alignment vertical="center" wrapText="1"/>
    </xf>
    <xf numFmtId="0" fontId="99" fillId="9" borderId="87" xfId="12" applyFont="1" applyFill="1" applyBorder="1" applyAlignment="1">
      <alignment horizontal="left" vertical="center"/>
    </xf>
    <xf numFmtId="0" fontId="104" fillId="9" borderId="4" xfId="12" applyFont="1" applyFill="1" applyBorder="1" applyAlignment="1">
      <alignment horizontal="center" vertical="center" wrapText="1"/>
    </xf>
    <xf numFmtId="0" fontId="104" fillId="9" borderId="7" xfId="12" applyFont="1" applyFill="1" applyBorder="1" applyAlignment="1">
      <alignment horizontal="center" vertical="center" wrapText="1"/>
    </xf>
    <xf numFmtId="0" fontId="104" fillId="9" borderId="166" xfId="12" applyFont="1" applyFill="1" applyBorder="1" applyAlignment="1">
      <alignment vertical="center" wrapText="1"/>
    </xf>
    <xf numFmtId="0" fontId="89" fillId="9" borderId="29" xfId="12" applyFont="1" applyFill="1" applyBorder="1" applyAlignment="1">
      <alignment vertical="center" wrapText="1"/>
    </xf>
    <xf numFmtId="0" fontId="104" fillId="9" borderId="88" xfId="12" applyFont="1" applyFill="1" applyBorder="1" applyAlignment="1">
      <alignment vertical="center" wrapText="1"/>
    </xf>
    <xf numFmtId="0" fontId="89" fillId="9" borderId="15" xfId="12" applyFont="1" applyFill="1" applyBorder="1" applyAlignment="1">
      <alignment vertical="center" wrapText="1"/>
    </xf>
    <xf numFmtId="0" fontId="104" fillId="9" borderId="169" xfId="12" applyFont="1" applyFill="1" applyBorder="1" applyAlignment="1">
      <alignment horizontal="center" vertical="center" wrapText="1"/>
    </xf>
    <xf numFmtId="189" fontId="104" fillId="9" borderId="86" xfId="12" applyNumberFormat="1" applyFont="1" applyFill="1" applyBorder="1" applyAlignment="1">
      <alignment horizontal="center" vertical="center" wrapText="1"/>
    </xf>
    <xf numFmtId="0" fontId="104" fillId="9" borderId="179" xfId="12" applyFont="1" applyFill="1" applyBorder="1" applyAlignment="1">
      <alignment vertical="center" wrapText="1"/>
    </xf>
    <xf numFmtId="0" fontId="104" fillId="9" borderId="177" xfId="12" applyFont="1" applyFill="1" applyBorder="1" applyAlignment="1">
      <alignment vertical="center" wrapText="1"/>
    </xf>
    <xf numFmtId="0" fontId="104" fillId="9" borderId="180" xfId="12" applyFont="1" applyFill="1" applyBorder="1" applyAlignment="1">
      <alignment vertical="center" wrapText="1"/>
    </xf>
    <xf numFmtId="49" fontId="104" fillId="9" borderId="187" xfId="12" applyNumberFormat="1" applyFont="1" applyFill="1" applyBorder="1" applyAlignment="1">
      <alignment horizontal="center" vertical="center" wrapText="1"/>
    </xf>
    <xf numFmtId="0" fontId="104" fillId="9" borderId="187" xfId="12" applyFont="1" applyFill="1" applyBorder="1" applyAlignment="1">
      <alignment horizontal="center" vertical="center" wrapText="1"/>
    </xf>
    <xf numFmtId="0" fontId="104" fillId="9" borderId="29" xfId="12" applyFont="1" applyFill="1" applyBorder="1" applyAlignment="1">
      <alignment horizontal="center" vertical="center" wrapText="1"/>
    </xf>
    <xf numFmtId="0" fontId="101" fillId="9" borderId="0" xfId="15" applyFont="1" applyFill="1" applyAlignment="1">
      <alignment horizontal="center" vertical="center" wrapText="1"/>
    </xf>
    <xf numFmtId="0" fontId="101" fillId="9" borderId="0" xfId="15" applyFont="1" applyFill="1" applyAlignment="1">
      <alignment vertical="center" wrapText="1"/>
    </xf>
    <xf numFmtId="0" fontId="104" fillId="9" borderId="0" xfId="12" applyFont="1" applyFill="1" applyAlignment="1">
      <alignment horizontal="left" vertical="center" wrapText="1"/>
    </xf>
    <xf numFmtId="0" fontId="104" fillId="9" borderId="8" xfId="12" applyFont="1" applyFill="1" applyBorder="1" applyAlignment="1">
      <alignment horizontal="center" vertical="center" wrapText="1"/>
    </xf>
    <xf numFmtId="49" fontId="104" fillId="9" borderId="3" xfId="12" applyNumberFormat="1" applyFont="1" applyFill="1" applyBorder="1" applyAlignment="1">
      <alignment vertical="center" wrapText="1"/>
    </xf>
    <xf numFmtId="0" fontId="89" fillId="9" borderId="0" xfId="12" applyFont="1" applyFill="1" applyAlignment="1">
      <alignment horizontal="center" vertical="center" wrapText="1"/>
    </xf>
    <xf numFmtId="0" fontId="104" fillId="22" borderId="69" xfId="12" applyFont="1" applyFill="1" applyBorder="1" applyAlignment="1">
      <alignment vertical="center" textRotation="255" wrapText="1"/>
    </xf>
    <xf numFmtId="0" fontId="104" fillId="9" borderId="31" xfId="12" applyFont="1" applyFill="1" applyBorder="1" applyAlignment="1">
      <alignment horizontal="left" vertical="center" wrapText="1"/>
    </xf>
    <xf numFmtId="0" fontId="104" fillId="9" borderId="30" xfId="12" applyFont="1" applyFill="1" applyBorder="1" applyAlignment="1">
      <alignment vertical="top" wrapText="1"/>
    </xf>
    <xf numFmtId="0" fontId="104" fillId="9" borderId="30" xfId="12" applyFont="1" applyFill="1" applyBorder="1" applyAlignment="1">
      <alignment vertical="center" wrapText="1"/>
    </xf>
    <xf numFmtId="0" fontId="99" fillId="9" borderId="30" xfId="12" applyFont="1" applyFill="1" applyBorder="1" applyAlignment="1">
      <alignment horizontal="left" vertical="center"/>
    </xf>
    <xf numFmtId="0" fontId="99" fillId="9" borderId="82" xfId="12" applyFont="1" applyFill="1" applyBorder="1" applyAlignment="1">
      <alignment horizontal="left" vertical="center"/>
    </xf>
    <xf numFmtId="0" fontId="104" fillId="0" borderId="0" xfId="12" applyFont="1" applyAlignment="1">
      <alignment horizontal="center" vertical="center" wrapText="1"/>
    </xf>
    <xf numFmtId="49" fontId="104" fillId="9" borderId="0" xfId="12" applyNumberFormat="1" applyFont="1" applyFill="1" applyAlignment="1">
      <alignment vertical="center" wrapText="1"/>
    </xf>
    <xf numFmtId="49" fontId="104" fillId="9" borderId="162" xfId="12" applyNumberFormat="1" applyFont="1" applyFill="1" applyBorder="1" applyAlignment="1">
      <alignment vertical="center" wrapText="1"/>
    </xf>
    <xf numFmtId="0" fontId="104" fillId="9" borderId="2" xfId="12" applyFont="1" applyFill="1" applyBorder="1" applyAlignment="1">
      <alignment horizontal="center" vertical="center" wrapText="1"/>
    </xf>
    <xf numFmtId="0" fontId="104" fillId="9" borderId="181" xfId="12" applyFont="1" applyFill="1" applyBorder="1" applyAlignment="1">
      <alignment horizontal="left" vertical="center"/>
    </xf>
    <xf numFmtId="0" fontId="104" fillId="9" borderId="182" xfId="12" applyFont="1" applyFill="1" applyBorder="1" applyAlignment="1">
      <alignment horizontal="left" vertical="center"/>
    </xf>
    <xf numFmtId="0" fontId="104" fillId="9" borderId="182" xfId="12" applyFont="1" applyFill="1" applyBorder="1" applyAlignment="1">
      <alignment horizontal="left" vertical="center" wrapText="1"/>
    </xf>
    <xf numFmtId="0" fontId="104" fillId="9" borderId="177" xfId="12" applyFont="1" applyFill="1" applyBorder="1" applyAlignment="1">
      <alignment horizontal="right" vertical="center" wrapText="1"/>
    </xf>
    <xf numFmtId="0" fontId="104" fillId="9" borderId="182" xfId="12" applyFont="1" applyFill="1" applyBorder="1" applyAlignment="1">
      <alignment horizontal="center" vertical="center" wrapText="1"/>
    </xf>
    <xf numFmtId="0" fontId="104" fillId="9" borderId="178" xfId="12" applyFont="1" applyFill="1" applyBorder="1" applyAlignment="1">
      <alignment horizontal="center" vertical="center" wrapText="1"/>
    </xf>
    <xf numFmtId="0" fontId="104" fillId="9" borderId="0" xfId="12" applyFont="1" applyFill="1" applyAlignment="1">
      <alignment horizontal="center" vertical="top" wrapText="1"/>
    </xf>
    <xf numFmtId="0" fontId="104" fillId="9" borderId="213" xfId="12" applyFont="1" applyFill="1" applyBorder="1" applyAlignment="1">
      <alignment horizontal="left" vertical="center"/>
    </xf>
    <xf numFmtId="0" fontId="104" fillId="9" borderId="214" xfId="12" applyFont="1" applyFill="1" applyBorder="1" applyAlignment="1">
      <alignment horizontal="left" vertical="center" wrapText="1"/>
    </xf>
    <xf numFmtId="0" fontId="104" fillId="9" borderId="169" xfId="12" applyFont="1" applyFill="1" applyBorder="1" applyAlignment="1">
      <alignment horizontal="right" vertical="center" wrapText="1"/>
    </xf>
    <xf numFmtId="0" fontId="104" fillId="9" borderId="214" xfId="12" applyFont="1" applyFill="1" applyBorder="1" applyAlignment="1">
      <alignment horizontal="center" vertical="center" wrapText="1"/>
    </xf>
    <xf numFmtId="49" fontId="104" fillId="9" borderId="215" xfId="12" applyNumberFormat="1" applyFont="1" applyFill="1" applyBorder="1" applyAlignment="1">
      <alignment vertical="center" wrapText="1"/>
    </xf>
    <xf numFmtId="0" fontId="104" fillId="9" borderId="100" xfId="12" applyFont="1" applyFill="1" applyBorder="1" applyAlignment="1">
      <alignment vertical="center"/>
    </xf>
    <xf numFmtId="0" fontId="104" fillId="9" borderId="100" xfId="12" applyFont="1" applyFill="1" applyBorder="1" applyAlignment="1">
      <alignment vertical="center" wrapText="1"/>
    </xf>
    <xf numFmtId="0" fontId="104" fillId="9" borderId="70" xfId="12" applyFont="1" applyFill="1" applyBorder="1" applyAlignment="1">
      <alignment vertical="top" wrapText="1"/>
    </xf>
    <xf numFmtId="0" fontId="99" fillId="9" borderId="0" xfId="12" applyFont="1" applyFill="1" applyAlignment="1">
      <alignment horizontal="left" vertical="top" indent="4"/>
    </xf>
    <xf numFmtId="0" fontId="99" fillId="9" borderId="0" xfId="12" applyFont="1" applyFill="1" applyAlignment="1">
      <alignment horizontal="left" vertical="top" indent="6"/>
    </xf>
    <xf numFmtId="0" fontId="106" fillId="9" borderId="0" xfId="12" applyFont="1" applyFill="1" applyAlignment="1">
      <alignment horizontal="left" vertical="top"/>
    </xf>
    <xf numFmtId="0" fontId="111" fillId="9" borderId="0" xfId="12" applyFont="1" applyFill="1" applyAlignment="1">
      <alignment horizontal="left" vertical="top"/>
    </xf>
    <xf numFmtId="0" fontId="112" fillId="22" borderId="69" xfId="12" applyFont="1" applyFill="1" applyBorder="1" applyAlignment="1">
      <alignment vertical="center" textRotation="255" wrapText="1"/>
    </xf>
    <xf numFmtId="0" fontId="112" fillId="9" borderId="100" xfId="12" applyFont="1" applyFill="1" applyBorder="1" applyAlignment="1">
      <alignment vertical="center" wrapText="1"/>
    </xf>
    <xf numFmtId="0" fontId="112" fillId="9" borderId="70" xfId="12" applyFont="1" applyFill="1" applyBorder="1" applyAlignment="1">
      <alignment vertical="center" wrapText="1"/>
    </xf>
    <xf numFmtId="0" fontId="113" fillId="9" borderId="0" xfId="12" applyFont="1" applyFill="1" applyAlignment="1">
      <alignment horizontal="left" vertical="center"/>
    </xf>
    <xf numFmtId="0" fontId="112" fillId="9" borderId="16" xfId="12" applyFont="1" applyFill="1" applyBorder="1" applyAlignment="1">
      <alignment horizontal="left" vertical="center" wrapText="1"/>
    </xf>
    <xf numFmtId="0" fontId="112" fillId="9" borderId="5" xfId="12" applyFont="1" applyFill="1" applyBorder="1" applyAlignment="1">
      <alignment vertical="top" wrapText="1"/>
    </xf>
    <xf numFmtId="0" fontId="112" fillId="9" borderId="5" xfId="12" applyFont="1" applyFill="1" applyBorder="1" applyAlignment="1">
      <alignment vertical="center" wrapText="1"/>
    </xf>
    <xf numFmtId="0" fontId="106" fillId="9" borderId="5" xfId="12" applyFont="1" applyFill="1" applyBorder="1" applyAlignment="1">
      <alignment horizontal="left" vertical="center"/>
    </xf>
    <xf numFmtId="0" fontId="106" fillId="9" borderId="158" xfId="12" applyFont="1" applyFill="1" applyBorder="1" applyAlignment="1">
      <alignment horizontal="left" vertical="center"/>
    </xf>
    <xf numFmtId="0" fontId="112" fillId="0" borderId="0" xfId="12" applyFont="1" applyAlignment="1">
      <alignment horizontal="center" vertical="center" wrapText="1"/>
    </xf>
    <xf numFmtId="49" fontId="112" fillId="9" borderId="0" xfId="12" applyNumberFormat="1" applyFont="1" applyFill="1" applyAlignment="1">
      <alignment vertical="center" wrapText="1"/>
    </xf>
    <xf numFmtId="49" fontId="112" fillId="9" borderId="162" xfId="12" applyNumberFormat="1" applyFont="1" applyFill="1" applyBorder="1" applyAlignment="1">
      <alignment vertical="center" wrapText="1"/>
    </xf>
    <xf numFmtId="0" fontId="112" fillId="9" borderId="2" xfId="12" applyFont="1" applyFill="1" applyBorder="1" applyAlignment="1">
      <alignment horizontal="center" vertical="center" wrapText="1"/>
    </xf>
    <xf numFmtId="0" fontId="112" fillId="9" borderId="181" xfId="12" applyFont="1" applyFill="1" applyBorder="1" applyAlignment="1">
      <alignment horizontal="left" vertical="center"/>
    </xf>
    <xf numFmtId="0" fontId="112" fillId="9" borderId="182" xfId="12" applyFont="1" applyFill="1" applyBorder="1" applyAlignment="1">
      <alignment horizontal="left" vertical="center"/>
    </xf>
    <xf numFmtId="0" fontId="112" fillId="9" borderId="182" xfId="12" applyFont="1" applyFill="1" applyBorder="1" applyAlignment="1">
      <alignment horizontal="left" vertical="center" wrapText="1"/>
    </xf>
    <xf numFmtId="0" fontId="112" fillId="9" borderId="177" xfId="12" applyFont="1" applyFill="1" applyBorder="1" applyAlignment="1">
      <alignment horizontal="right" vertical="center" wrapText="1"/>
    </xf>
    <xf numFmtId="0" fontId="112" fillId="9" borderId="182" xfId="12" applyFont="1" applyFill="1" applyBorder="1" applyAlignment="1">
      <alignment horizontal="center" vertical="center" wrapText="1"/>
    </xf>
    <xf numFmtId="0" fontId="112" fillId="9" borderId="178" xfId="12" applyFont="1" applyFill="1" applyBorder="1" applyAlignment="1">
      <alignment horizontal="center" vertical="center" wrapText="1"/>
    </xf>
    <xf numFmtId="0" fontId="112" fillId="9" borderId="0" xfId="12" applyFont="1" applyFill="1" applyAlignment="1">
      <alignment horizontal="center" vertical="top" wrapText="1"/>
    </xf>
    <xf numFmtId="0" fontId="112" fillId="9" borderId="169" xfId="12" applyFont="1" applyFill="1" applyBorder="1" applyAlignment="1">
      <alignment horizontal="center" vertical="center" wrapText="1"/>
    </xf>
    <xf numFmtId="0" fontId="112" fillId="9" borderId="186" xfId="12" applyFont="1" applyFill="1" applyBorder="1" applyAlignment="1">
      <alignment horizontal="left" vertical="center"/>
    </xf>
    <xf numFmtId="0" fontId="112" fillId="9" borderId="187" xfId="12" applyFont="1" applyFill="1" applyBorder="1" applyAlignment="1">
      <alignment horizontal="left" vertical="center" wrapText="1"/>
    </xf>
    <xf numFmtId="0" fontId="112" fillId="9" borderId="0" xfId="12" applyFont="1" applyFill="1" applyAlignment="1">
      <alignment horizontal="right" vertical="center" wrapText="1"/>
    </xf>
    <xf numFmtId="0" fontId="112" fillId="9" borderId="187" xfId="12" applyFont="1" applyFill="1" applyBorder="1" applyAlignment="1">
      <alignment horizontal="center" vertical="center" wrapText="1"/>
    </xf>
    <xf numFmtId="49" fontId="112" fillId="9" borderId="215" xfId="12" applyNumberFormat="1" applyFont="1" applyFill="1" applyBorder="1" applyAlignment="1">
      <alignment vertical="center" wrapText="1"/>
    </xf>
    <xf numFmtId="0" fontId="112" fillId="9" borderId="31" xfId="12" applyFont="1" applyFill="1" applyBorder="1" applyAlignment="1">
      <alignment horizontal="left" vertical="center" wrapText="1"/>
    </xf>
    <xf numFmtId="0" fontId="112" fillId="9" borderId="30" xfId="12" applyFont="1" applyFill="1" applyBorder="1" applyAlignment="1">
      <alignment vertical="top" wrapText="1"/>
    </xf>
    <xf numFmtId="0" fontId="112" fillId="9" borderId="30" xfId="12" applyFont="1" applyFill="1" applyBorder="1" applyAlignment="1">
      <alignment vertical="center" wrapText="1"/>
    </xf>
    <xf numFmtId="0" fontId="106" fillId="9" borderId="30" xfId="12" applyFont="1" applyFill="1" applyBorder="1" applyAlignment="1">
      <alignment horizontal="left" vertical="center"/>
    </xf>
    <xf numFmtId="0" fontId="106" fillId="9" borderId="82" xfId="12" applyFont="1" applyFill="1" applyBorder="1" applyAlignment="1">
      <alignment horizontal="left" vertical="center"/>
    </xf>
    <xf numFmtId="0" fontId="112" fillId="9" borderId="213" xfId="12" applyFont="1" applyFill="1" applyBorder="1" applyAlignment="1">
      <alignment horizontal="left" vertical="center"/>
    </xf>
    <xf numFmtId="0" fontId="112" fillId="9" borderId="214" xfId="12" applyFont="1" applyFill="1" applyBorder="1" applyAlignment="1">
      <alignment horizontal="left" vertical="center" wrapText="1"/>
    </xf>
    <xf numFmtId="0" fontId="112" fillId="9" borderId="169" xfId="12" applyFont="1" applyFill="1" applyBorder="1" applyAlignment="1">
      <alignment horizontal="right" vertical="center" wrapText="1"/>
    </xf>
    <xf numFmtId="0" fontId="112" fillId="9" borderId="214" xfId="12" applyFont="1" applyFill="1" applyBorder="1" applyAlignment="1">
      <alignment horizontal="center" vertical="center" wrapText="1"/>
    </xf>
    <xf numFmtId="0" fontId="4" fillId="0" borderId="126" xfId="0" applyFont="1" applyBorder="1"/>
    <xf numFmtId="0" fontId="114" fillId="9" borderId="0" xfId="10" applyFont="1" applyFill="1">
      <alignment vertical="center"/>
    </xf>
    <xf numFmtId="0" fontId="115" fillId="9" borderId="0" xfId="10" applyFont="1" applyFill="1">
      <alignment vertical="center"/>
    </xf>
    <xf numFmtId="0" fontId="84" fillId="9" borderId="0" xfId="10" applyFill="1">
      <alignment vertical="center"/>
    </xf>
    <xf numFmtId="0" fontId="84" fillId="9" borderId="0" xfId="10" applyFill="1" applyAlignment="1">
      <alignment horizontal="right" vertical="center"/>
    </xf>
    <xf numFmtId="0" fontId="84" fillId="9" borderId="0" xfId="10" applyFill="1" applyAlignment="1">
      <alignment horizontal="center" vertical="center"/>
    </xf>
    <xf numFmtId="0" fontId="85" fillId="9" borderId="0" xfId="10" applyFont="1" applyFill="1" applyAlignment="1">
      <alignment horizontal="center" vertical="center"/>
    </xf>
    <xf numFmtId="0" fontId="84" fillId="9" borderId="0" xfId="10" applyFill="1" applyAlignment="1">
      <alignment horizontal="center" vertical="center" shrinkToFit="1"/>
    </xf>
    <xf numFmtId="0" fontId="84" fillId="9" borderId="29" xfId="10" applyFill="1" applyBorder="1" applyAlignment="1">
      <alignment horizontal="center" vertical="center"/>
    </xf>
    <xf numFmtId="0" fontId="86" fillId="9" borderId="0" xfId="10" applyFont="1" applyFill="1">
      <alignment vertical="center"/>
    </xf>
    <xf numFmtId="0" fontId="84" fillId="9" borderId="2" xfId="10" applyFill="1" applyBorder="1">
      <alignment vertical="center"/>
    </xf>
    <xf numFmtId="187" fontId="84" fillId="0" borderId="28" xfId="10" applyNumberFormat="1" applyBorder="1" applyAlignment="1">
      <alignment horizontal="center" vertical="center"/>
    </xf>
    <xf numFmtId="0" fontId="87" fillId="9" borderId="60" xfId="10" applyFont="1" applyFill="1" applyBorder="1" applyAlignment="1">
      <alignment vertical="center" wrapText="1"/>
    </xf>
    <xf numFmtId="38" fontId="88" fillId="16" borderId="60" xfId="16" applyFont="1" applyFill="1" applyBorder="1">
      <alignment vertical="center"/>
    </xf>
    <xf numFmtId="0" fontId="84" fillId="9" borderId="60" xfId="10" applyFill="1" applyBorder="1">
      <alignment vertical="center"/>
    </xf>
    <xf numFmtId="0" fontId="84" fillId="0" borderId="2" xfId="10" applyBorder="1">
      <alignment vertical="center"/>
    </xf>
    <xf numFmtId="0" fontId="84" fillId="9" borderId="27" xfId="10" applyFill="1" applyBorder="1" applyAlignment="1">
      <alignment horizontal="center" vertical="center"/>
    </xf>
    <xf numFmtId="0" fontId="87" fillId="9" borderId="46" xfId="10" applyFont="1" applyFill="1" applyBorder="1" applyAlignment="1">
      <alignment vertical="center" wrapText="1"/>
    </xf>
    <xf numFmtId="38" fontId="88" fillId="16" borderId="46" xfId="16" applyFont="1" applyFill="1" applyBorder="1">
      <alignment vertical="center"/>
    </xf>
    <xf numFmtId="0" fontId="84" fillId="9" borderId="46" xfId="10" applyFill="1" applyBorder="1">
      <alignment vertical="center"/>
    </xf>
    <xf numFmtId="187" fontId="84" fillId="9" borderId="28" xfId="10" applyNumberFormat="1" applyFill="1" applyBorder="1" applyAlignment="1">
      <alignment horizontal="center" vertical="center"/>
    </xf>
    <xf numFmtId="0" fontId="87" fillId="9" borderId="45" xfId="10" applyFont="1" applyFill="1" applyBorder="1" applyAlignment="1">
      <alignment vertical="center" wrapText="1"/>
    </xf>
    <xf numFmtId="38" fontId="88" fillId="16" borderId="45" xfId="16" applyFont="1" applyFill="1" applyBorder="1">
      <alignment vertical="center"/>
    </xf>
    <xf numFmtId="0" fontId="84" fillId="9" borderId="45" xfId="10" applyFill="1" applyBorder="1">
      <alignment vertical="center"/>
    </xf>
    <xf numFmtId="0" fontId="84" fillId="9" borderId="4" xfId="10" applyFill="1" applyBorder="1" applyAlignment="1">
      <alignment horizontal="center" vertical="center"/>
    </xf>
    <xf numFmtId="177" fontId="1" fillId="9" borderId="4" xfId="16" applyNumberFormat="1" applyFont="1" applyFill="1" applyBorder="1" applyAlignment="1">
      <alignment horizontal="center" vertical="center"/>
    </xf>
    <xf numFmtId="0" fontId="84" fillId="9" borderId="4" xfId="10" applyFill="1" applyBorder="1" applyAlignment="1">
      <alignment vertical="center" wrapText="1"/>
    </xf>
    <xf numFmtId="38" fontId="1" fillId="9" borderId="4" xfId="16" applyFont="1" applyFill="1" applyBorder="1">
      <alignment vertical="center"/>
    </xf>
    <xf numFmtId="0" fontId="84" fillId="9" borderId="4" xfId="10" applyFill="1" applyBorder="1">
      <alignment vertical="center"/>
    </xf>
    <xf numFmtId="38" fontId="1" fillId="9" borderId="5" xfId="16" applyFont="1" applyFill="1" applyBorder="1">
      <alignment vertical="center"/>
    </xf>
    <xf numFmtId="0" fontId="84" fillId="9" borderId="5" xfId="10" applyFill="1" applyBorder="1">
      <alignment vertical="center"/>
    </xf>
    <xf numFmtId="180" fontId="84" fillId="9" borderId="7" xfId="10" applyNumberFormat="1" applyFill="1" applyBorder="1" applyAlignment="1">
      <alignment horizontal="center" vertical="center"/>
    </xf>
    <xf numFmtId="0" fontId="84" fillId="9" borderId="17" xfId="10" applyFill="1" applyBorder="1">
      <alignment vertical="center"/>
    </xf>
    <xf numFmtId="0" fontId="89" fillId="9" borderId="60" xfId="10" applyFont="1" applyFill="1" applyBorder="1" applyAlignment="1">
      <alignment vertical="center" wrapText="1"/>
    </xf>
    <xf numFmtId="0" fontId="84" fillId="16" borderId="27" xfId="10" applyFill="1" applyBorder="1" applyAlignment="1">
      <alignment horizontal="center" vertical="center"/>
    </xf>
    <xf numFmtId="0" fontId="89" fillId="9" borderId="46" xfId="10" applyFont="1" applyFill="1" applyBorder="1" applyAlignment="1">
      <alignment vertical="center" wrapText="1"/>
    </xf>
    <xf numFmtId="187" fontId="84" fillId="16" borderId="28" xfId="10" applyNumberFormat="1" applyFill="1" applyBorder="1" applyAlignment="1">
      <alignment horizontal="center" vertical="center"/>
    </xf>
    <xf numFmtId="0" fontId="89" fillId="9" borderId="45" xfId="10" applyFont="1" applyFill="1" applyBorder="1" applyAlignment="1">
      <alignment vertical="center" wrapText="1"/>
    </xf>
    <xf numFmtId="0" fontId="84" fillId="9" borderId="0" xfId="10" applyFill="1" applyAlignment="1">
      <alignment horizontal="left" vertical="center"/>
    </xf>
    <xf numFmtId="0" fontId="84" fillId="9" borderId="16" xfId="10" applyFill="1" applyBorder="1">
      <alignment vertical="center"/>
    </xf>
    <xf numFmtId="0" fontId="4" fillId="0" borderId="6" xfId="17" applyFont="1" applyBorder="1" applyAlignment="1">
      <alignment horizontal="center" vertical="center"/>
    </xf>
    <xf numFmtId="0" fontId="4" fillId="0" borderId="7" xfId="0" applyFont="1" applyBorder="1" applyAlignment="1">
      <alignment vertical="center"/>
    </xf>
    <xf numFmtId="0" fontId="4" fillId="0" borderId="0" xfId="17" applyFont="1" applyAlignment="1">
      <alignment horizontal="center" vertical="center"/>
    </xf>
    <xf numFmtId="0" fontId="4" fillId="0" borderId="3" xfId="17" applyFont="1" applyBorder="1" applyAlignment="1">
      <alignment horizontal="center" vertical="center"/>
    </xf>
    <xf numFmtId="0" fontId="4" fillId="0" borderId="17" xfId="0" applyFont="1" applyBorder="1"/>
    <xf numFmtId="0" fontId="4" fillId="0" borderId="17" xfId="17" applyFont="1" applyBorder="1" applyAlignment="1">
      <alignment horizontal="center" vertical="center"/>
    </xf>
    <xf numFmtId="0" fontId="4" fillId="0" borderId="16" xfId="0" applyFont="1" applyBorder="1"/>
    <xf numFmtId="0" fontId="4" fillId="0" borderId="16" xfId="17" applyFont="1" applyBorder="1" applyAlignment="1">
      <alignment horizontal="center" vertical="center"/>
    </xf>
    <xf numFmtId="0" fontId="4" fillId="0" borderId="4" xfId="0" applyFont="1" applyBorder="1" applyAlignment="1">
      <alignment horizontal="right" vertical="center"/>
    </xf>
    <xf numFmtId="0" fontId="5" fillId="0" borderId="2" xfId="0" applyFont="1" applyBorder="1" applyAlignment="1">
      <alignment horizontal="center" vertical="center"/>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29" xfId="0" applyFont="1" applyBorder="1" applyAlignment="1">
      <alignment horizontal="center" vertical="center"/>
    </xf>
    <xf numFmtId="0" fontId="4" fillId="0" borderId="29" xfId="17"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indent="1"/>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29" xfId="0" applyFont="1" applyBorder="1" applyAlignment="1">
      <alignment horizontal="left" vertical="center"/>
    </xf>
    <xf numFmtId="0" fontId="17" fillId="0" borderId="0" xfId="0" applyFont="1" applyAlignment="1">
      <alignment horizontal="left" vertical="center"/>
    </xf>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left"/>
    </xf>
    <xf numFmtId="0" fontId="4" fillId="0" borderId="8" xfId="0" applyFont="1" applyBorder="1" applyAlignment="1">
      <alignment vertical="center"/>
    </xf>
    <xf numFmtId="0" fontId="4" fillId="0" borderId="7" xfId="17" applyFont="1" applyBorder="1" applyAlignment="1">
      <alignment horizontal="center" vertical="center"/>
    </xf>
    <xf numFmtId="0" fontId="118" fillId="0" borderId="0" xfId="0" applyFont="1" applyAlignment="1">
      <alignment vertical="center"/>
    </xf>
    <xf numFmtId="0" fontId="4" fillId="0" borderId="17" xfId="0" applyFont="1" applyBorder="1" applyAlignment="1">
      <alignment horizontal="center" vertical="top"/>
    </xf>
    <xf numFmtId="0" fontId="4" fillId="0" borderId="17" xfId="0" applyFont="1" applyBorder="1" applyAlignment="1">
      <alignment horizontal="center"/>
    </xf>
    <xf numFmtId="0" fontId="4" fillId="0" borderId="5" xfId="0" applyFont="1" applyBorder="1" applyAlignment="1">
      <alignment horizontal="right" vertical="center"/>
    </xf>
    <xf numFmtId="0" fontId="4" fillId="0" borderId="28" xfId="0" applyFont="1" applyBorder="1"/>
    <xf numFmtId="0" fontId="4" fillId="0" borderId="0" xfId="0" applyFont="1" applyAlignment="1">
      <alignment vertical="top" wrapText="1"/>
    </xf>
    <xf numFmtId="0" fontId="4" fillId="0" borderId="2" xfId="0" applyFont="1" applyBorder="1" applyAlignment="1">
      <alignment horizontal="centerContinuous" vertical="center"/>
    </xf>
    <xf numFmtId="0" fontId="119" fillId="0" borderId="0" xfId="0" applyFont="1" applyAlignment="1">
      <alignment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9" xfId="0" applyFont="1" applyBorder="1" applyAlignment="1">
      <alignment vertical="center"/>
    </xf>
    <xf numFmtId="0" fontId="5" fillId="0" borderId="17" xfId="0" applyFont="1" applyBorder="1" applyAlignment="1">
      <alignment horizontal="center" vertical="center"/>
    </xf>
    <xf numFmtId="0" fontId="4" fillId="0" borderId="6" xfId="0" applyFont="1" applyBorder="1" applyAlignment="1">
      <alignment vertical="center"/>
    </xf>
    <xf numFmtId="1" fontId="4" fillId="0" borderId="7" xfId="0" applyNumberFormat="1" applyFont="1" applyBorder="1" applyAlignment="1">
      <alignment vertical="center"/>
    </xf>
    <xf numFmtId="0" fontId="14"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7" fillId="0" borderId="3" xfId="0" applyFont="1" applyBorder="1" applyAlignment="1">
      <alignment horizontal="center" vertical="center"/>
    </xf>
    <xf numFmtId="0" fontId="5" fillId="0" borderId="0" xfId="0" applyFont="1" applyAlignment="1">
      <alignment horizontal="left" vertical="center"/>
    </xf>
    <xf numFmtId="0" fontId="5" fillId="0" borderId="17" xfId="0" applyFont="1"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horizontal="center"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9"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29" xfId="0" applyFont="1" applyBorder="1" applyAlignment="1">
      <alignment horizontal="center" vertical="center"/>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4" fillId="0" borderId="15" xfId="17" applyFont="1" applyBorder="1" applyAlignment="1">
      <alignment horizontal="center" vertical="center"/>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vertical="center" wrapText="1"/>
    </xf>
    <xf numFmtId="0" fontId="5" fillId="0" borderId="16" xfId="0" applyFont="1" applyBorder="1" applyAlignment="1">
      <alignment horizontal="center" vertical="center"/>
    </xf>
    <xf numFmtId="0" fontId="17" fillId="0" borderId="4" xfId="0" applyFont="1" applyBorder="1" applyAlignment="1">
      <alignment horizontal="center" vertical="center"/>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17" fillId="0" borderId="1"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Alignment="1">
      <alignment wrapText="1"/>
    </xf>
    <xf numFmtId="0" fontId="120" fillId="0" borderId="17" xfId="0" applyFont="1" applyBorder="1" applyAlignment="1">
      <alignment vertical="center"/>
    </xf>
    <xf numFmtId="0" fontId="120" fillId="0" borderId="16" xfId="0" applyFont="1" applyBorder="1" applyAlignment="1">
      <alignment vertical="center"/>
    </xf>
    <xf numFmtId="0" fontId="120" fillId="0" borderId="0" xfId="0" applyFont="1" applyAlignment="1">
      <alignment horizontal="left" vertical="center"/>
    </xf>
    <xf numFmtId="0" fontId="92" fillId="0" borderId="0" xfId="0" applyFont="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7" xfId="0" applyFont="1" applyBorder="1" applyAlignment="1">
      <alignment vertical="center"/>
    </xf>
    <xf numFmtId="0" fontId="37" fillId="0" borderId="8" xfId="0" applyFont="1" applyBorder="1" applyAlignment="1">
      <alignment vertical="center"/>
    </xf>
    <xf numFmtId="0" fontId="4" fillId="0" borderId="4" xfId="17" applyFont="1" applyBorder="1" applyAlignment="1">
      <alignment horizontal="center" vertical="center"/>
    </xf>
    <xf numFmtId="0" fontId="37" fillId="0" borderId="4" xfId="0"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37" fillId="0" borderId="29" xfId="0" applyFont="1" applyBorder="1" applyAlignment="1">
      <alignment vertical="center"/>
    </xf>
    <xf numFmtId="0" fontId="4" fillId="0" borderId="5" xfId="17" applyFont="1" applyBorder="1" applyAlignment="1">
      <alignment horizontal="center" vertical="center"/>
    </xf>
    <xf numFmtId="0" fontId="37" fillId="0" borderId="5" xfId="0" applyFont="1" applyBorder="1" applyAlignment="1">
      <alignment vertical="center"/>
    </xf>
    <xf numFmtId="0" fontId="37" fillId="0" borderId="15" xfId="0" applyFont="1" applyBorder="1" applyAlignment="1">
      <alignment vertical="center"/>
    </xf>
    <xf numFmtId="0" fontId="92" fillId="0" borderId="0" xfId="0" applyFont="1" applyAlignment="1">
      <alignment wrapText="1"/>
    </xf>
    <xf numFmtId="0" fontId="37" fillId="0" borderId="25" xfId="0" applyFont="1" applyBorder="1" applyAlignment="1">
      <alignment vertical="center"/>
    </xf>
    <xf numFmtId="0" fontId="92"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9" xfId="0" applyFont="1" applyBorder="1" applyAlignment="1">
      <alignment horizontal="center" vertical="center"/>
    </xf>
    <xf numFmtId="0" fontId="0" fillId="0" borderId="5" xfId="0" applyBorder="1"/>
    <xf numFmtId="0" fontId="4" fillId="0" borderId="5" xfId="0" applyFont="1" applyBorder="1" applyAlignment="1">
      <alignment horizontal="center" vertical="center" wrapText="1"/>
    </xf>
    <xf numFmtId="0" fontId="4" fillId="0" borderId="17" xfId="17" applyFont="1" applyBorder="1" applyAlignment="1">
      <alignment vertical="center"/>
    </xf>
    <xf numFmtId="0" fontId="4" fillId="0" borderId="0" xfId="17" applyFont="1" applyAlignment="1">
      <alignment vertical="center"/>
    </xf>
    <xf numFmtId="0" fontId="4" fillId="0" borderId="29" xfId="17" applyFont="1" applyBorder="1" applyAlignment="1">
      <alignment vertical="center"/>
    </xf>
    <xf numFmtId="0" fontId="4" fillId="0" borderId="5" xfId="17" applyFont="1" applyBorder="1" applyAlignment="1">
      <alignment horizontal="left" vertical="center"/>
    </xf>
    <xf numFmtId="0" fontId="4" fillId="0" borderId="15" xfId="17" applyFont="1" applyBorder="1" applyAlignment="1">
      <alignment horizontal="left" vertical="center"/>
    </xf>
    <xf numFmtId="0" fontId="4" fillId="0" borderId="0" xfId="17" applyFont="1" applyAlignment="1">
      <alignment horizontal="left" vertical="center"/>
    </xf>
    <xf numFmtId="0" fontId="4" fillId="0" borderId="4" xfId="17" applyFont="1" applyBorder="1" applyAlignment="1">
      <alignment horizontal="left" vertical="center"/>
    </xf>
    <xf numFmtId="0" fontId="4" fillId="0" borderId="1" xfId="17" applyFont="1" applyBorder="1" applyAlignment="1">
      <alignment horizontal="left" vertical="center"/>
    </xf>
    <xf numFmtId="0" fontId="37" fillId="0" borderId="28" xfId="0" applyFont="1" applyBorder="1" applyAlignment="1">
      <alignment vertical="center"/>
    </xf>
    <xf numFmtId="0" fontId="37" fillId="0" borderId="6" xfId="0" applyFont="1" applyBorder="1" applyAlignment="1">
      <alignment vertical="center"/>
    </xf>
    <xf numFmtId="0" fontId="4" fillId="0" borderId="0" xfId="0" applyFont="1" applyAlignment="1">
      <alignment horizontal="center" vertical="center" wrapText="1"/>
    </xf>
    <xf numFmtId="191" fontId="4" fillId="0" borderId="7" xfId="17" applyNumberFormat="1" applyFont="1" applyBorder="1" applyAlignment="1">
      <alignment horizontal="center" vertical="center"/>
    </xf>
    <xf numFmtId="191" fontId="4" fillId="0" borderId="8" xfId="17" applyNumberFormat="1" applyFont="1" applyBorder="1" applyAlignment="1">
      <alignment horizontal="center" vertical="center"/>
    </xf>
    <xf numFmtId="191" fontId="4" fillId="0" borderId="29" xfId="17" applyNumberFormat="1" applyFont="1" applyBorder="1" applyAlignment="1">
      <alignment vertical="center"/>
    </xf>
    <xf numFmtId="0" fontId="4" fillId="0" borderId="16" xfId="0" applyFont="1" applyBorder="1" applyAlignment="1">
      <alignment vertical="center" wrapText="1"/>
    </xf>
    <xf numFmtId="191" fontId="4" fillId="0" borderId="5" xfId="17" applyNumberFormat="1" applyFont="1" applyBorder="1" applyAlignment="1">
      <alignment horizontal="center" vertical="center"/>
    </xf>
    <xf numFmtId="191" fontId="4" fillId="0" borderId="15" xfId="17" applyNumberFormat="1" applyFont="1" applyBorder="1" applyAlignment="1">
      <alignment vertical="center"/>
    </xf>
    <xf numFmtId="178" fontId="4" fillId="0" borderId="0" xfId="0" applyNumberFormat="1" applyFont="1" applyAlignment="1">
      <alignment vertical="center"/>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horizontal="center" vertical="center"/>
    </xf>
    <xf numFmtId="0" fontId="13" fillId="0" borderId="0" xfId="0" applyFont="1" applyAlignment="1">
      <alignment horizontal="left" vertical="top"/>
    </xf>
    <xf numFmtId="0" fontId="4" fillId="0" borderId="0" xfId="0" applyFont="1" applyAlignment="1">
      <alignment horizontal="left" vertical="top"/>
    </xf>
    <xf numFmtId="0" fontId="13" fillId="0" borderId="0" xfId="0" applyFont="1" applyAlignment="1">
      <alignment vertical="center"/>
    </xf>
    <xf numFmtId="0" fontId="117" fillId="0" borderId="54" xfId="0" applyFont="1" applyBorder="1" applyAlignment="1">
      <alignment horizontal="center" vertical="center" shrinkToFit="1"/>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94" fillId="0" borderId="0" xfId="0" applyFont="1" applyAlignment="1">
      <alignment vertical="center"/>
    </xf>
    <xf numFmtId="0" fontId="14" fillId="0" borderId="29" xfId="0" applyFont="1" applyBorder="1" applyAlignment="1">
      <alignment vertical="center" shrinkToFit="1"/>
    </xf>
    <xf numFmtId="0" fontId="4" fillId="0" borderId="2" xfId="0" applyFont="1" applyBorder="1" applyAlignment="1">
      <alignment horizontal="center" vertical="center"/>
    </xf>
    <xf numFmtId="0" fontId="4" fillId="0" borderId="27" xfId="0" applyFont="1" applyBorder="1" applyAlignment="1">
      <alignment horizontal="center" vertical="center"/>
    </xf>
    <xf numFmtId="0" fontId="37" fillId="0" borderId="5" xfId="0" applyFont="1" applyBorder="1" applyAlignment="1">
      <alignment horizontal="left" vertical="center"/>
    </xf>
    <xf numFmtId="178" fontId="4" fillId="0" borderId="5" xfId="0" applyNumberFormat="1" applyFont="1" applyBorder="1" applyAlignment="1">
      <alignment vertical="center"/>
    </xf>
    <xf numFmtId="178" fontId="4" fillId="0" borderId="4" xfId="0" applyNumberFormat="1" applyFont="1" applyBorder="1" applyAlignment="1">
      <alignment vertical="center"/>
    </xf>
    <xf numFmtId="0" fontId="14" fillId="0" borderId="0" xfId="0" applyFont="1" applyAlignment="1">
      <alignment vertical="top"/>
    </xf>
    <xf numFmtId="0" fontId="14" fillId="0" borderId="0" xfId="0" applyFont="1" applyAlignment="1">
      <alignment vertical="center"/>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5" xfId="0" applyFont="1" applyBorder="1" applyAlignment="1">
      <alignment horizontal="center" vertical="center"/>
    </xf>
    <xf numFmtId="178" fontId="4" fillId="0" borderId="5" xfId="0" applyNumberFormat="1" applyFont="1" applyBorder="1" applyAlignment="1">
      <alignment horizontal="center" vertical="center"/>
    </xf>
    <xf numFmtId="178" fontId="4" fillId="0" borderId="0" xfId="0" applyNumberFormat="1" applyFont="1" applyAlignment="1">
      <alignment horizontal="center" vertical="center"/>
    </xf>
    <xf numFmtId="0" fontId="117" fillId="5" borderId="54" xfId="0" applyFont="1" applyFill="1" applyBorder="1" applyAlignment="1">
      <alignment vertical="center" wrapText="1"/>
    </xf>
    <xf numFmtId="0" fontId="5" fillId="10" borderId="60" xfId="0" applyFont="1" applyFill="1" applyBorder="1" applyAlignment="1">
      <alignment vertical="center" shrinkToFit="1"/>
    </xf>
    <xf numFmtId="0" fontId="5" fillId="10" borderId="54" xfId="0" applyFont="1" applyFill="1" applyBorder="1" applyAlignment="1">
      <alignment vertical="center" shrinkToFit="1"/>
    </xf>
    <xf numFmtId="0" fontId="5" fillId="10" borderId="46" xfId="0" applyFont="1" applyFill="1" applyBorder="1" applyAlignment="1">
      <alignment vertical="center" shrinkToFit="1"/>
    </xf>
    <xf numFmtId="0" fontId="99" fillId="9" borderId="0" xfId="12" applyFont="1" applyFill="1" applyAlignment="1">
      <alignment horizontal="left" vertical="center" indent="3"/>
    </xf>
    <xf numFmtId="0" fontId="104" fillId="9" borderId="0" xfId="12" applyFont="1" applyFill="1" applyAlignment="1">
      <alignment horizontal="left" vertical="center" indent="4"/>
    </xf>
    <xf numFmtId="0" fontId="104" fillId="9" borderId="0" xfId="12" applyFont="1" applyFill="1" applyAlignment="1">
      <alignment horizontal="left" vertical="center"/>
    </xf>
    <xf numFmtId="189" fontId="104" fillId="9" borderId="87" xfId="12" applyNumberFormat="1" applyFont="1" applyFill="1" applyBorder="1" applyAlignment="1">
      <alignment vertical="center" wrapText="1"/>
    </xf>
    <xf numFmtId="189" fontId="104" fillId="9" borderId="86" xfId="12" applyNumberFormat="1" applyFont="1" applyFill="1" applyBorder="1" applyAlignment="1">
      <alignment vertical="center" wrapText="1"/>
    </xf>
    <xf numFmtId="189" fontId="104" fillId="9" borderId="7" xfId="12" applyNumberFormat="1" applyFont="1" applyFill="1" applyBorder="1" applyAlignment="1">
      <alignment horizontal="center" vertical="center" wrapText="1"/>
    </xf>
    <xf numFmtId="189" fontId="104" fillId="9" borderId="7" xfId="12" applyNumberFormat="1" applyFont="1" applyFill="1" applyBorder="1" applyAlignment="1">
      <alignment vertical="center" wrapText="1"/>
    </xf>
    <xf numFmtId="49" fontId="104" fillId="9" borderId="7" xfId="12" applyNumberFormat="1" applyFont="1" applyFill="1" applyBorder="1" applyAlignment="1">
      <alignment vertical="center" wrapText="1"/>
    </xf>
    <xf numFmtId="189" fontId="104" fillId="9" borderId="7" xfId="12" applyNumberFormat="1" applyFont="1" applyFill="1" applyBorder="1" applyAlignment="1">
      <alignment horizontal="left" vertical="center" wrapText="1"/>
    </xf>
    <xf numFmtId="0" fontId="104" fillId="9" borderId="5" xfId="12" applyFont="1" applyFill="1" applyBorder="1" applyAlignment="1">
      <alignment vertical="center" wrapText="1"/>
    </xf>
    <xf numFmtId="0" fontId="104" fillId="9" borderId="0" xfId="12" applyFont="1" applyFill="1" applyAlignment="1">
      <alignment vertical="center" wrapText="1"/>
    </xf>
    <xf numFmtId="189" fontId="104" fillId="0" borderId="25" xfId="12" applyNumberFormat="1" applyFont="1" applyBorder="1" applyAlignment="1">
      <alignment horizontal="center" vertical="center" wrapText="1"/>
    </xf>
    <xf numFmtId="189" fontId="104" fillId="0" borderId="2" xfId="12" applyNumberFormat="1" applyFont="1" applyBorder="1" applyAlignment="1">
      <alignment horizontal="center" vertical="center" wrapText="1"/>
    </xf>
    <xf numFmtId="0" fontId="99" fillId="9" borderId="27" xfId="12" applyFont="1" applyFill="1" applyBorder="1" applyAlignment="1">
      <alignment horizontal="center" vertical="center" wrapText="1"/>
    </xf>
    <xf numFmtId="0" fontId="99" fillId="9" borderId="16" xfId="12" applyFont="1" applyFill="1" applyBorder="1" applyAlignment="1">
      <alignment horizontal="center" vertical="center" wrapText="1"/>
    </xf>
    <xf numFmtId="0" fontId="104" fillId="9" borderId="161" xfId="12" applyFont="1" applyFill="1" applyBorder="1" applyAlignment="1">
      <alignment horizontal="center" vertical="center" wrapText="1"/>
    </xf>
    <xf numFmtId="0" fontId="104" fillId="9" borderId="222" xfId="12" applyFont="1" applyFill="1" applyBorder="1" applyAlignment="1">
      <alignment horizontal="center" vertical="center" wrapText="1"/>
    </xf>
    <xf numFmtId="0" fontId="104" fillId="9" borderId="1" xfId="12" applyFont="1" applyFill="1" applyBorder="1" applyAlignment="1">
      <alignment horizontal="center" vertical="center" wrapText="1"/>
    </xf>
    <xf numFmtId="0" fontId="104" fillId="9" borderId="160" xfId="12" applyFont="1" applyFill="1" applyBorder="1" applyAlignment="1">
      <alignment horizontal="center" vertical="center" wrapText="1"/>
    </xf>
    <xf numFmtId="0" fontId="99" fillId="9" borderId="2" xfId="12" applyFont="1" applyFill="1" applyBorder="1" applyAlignment="1">
      <alignment horizontal="center" vertical="center" wrapText="1"/>
    </xf>
    <xf numFmtId="0" fontId="104" fillId="9" borderId="225" xfId="12" applyFont="1" applyFill="1" applyBorder="1" applyAlignment="1">
      <alignment horizontal="center" vertical="center" wrapText="1"/>
    </xf>
    <xf numFmtId="0" fontId="104" fillId="9" borderId="169" xfId="12" applyFont="1" applyFill="1" applyBorder="1" applyAlignment="1">
      <alignment vertical="center" wrapText="1"/>
    </xf>
    <xf numFmtId="0" fontId="104" fillId="9" borderId="215" xfId="12" applyFont="1" applyFill="1" applyBorder="1" applyAlignment="1">
      <alignment horizontal="center" vertical="center" wrapText="1"/>
    </xf>
    <xf numFmtId="0" fontId="104" fillId="9" borderId="226" xfId="12" applyFont="1" applyFill="1" applyBorder="1" applyAlignment="1">
      <alignment vertical="center" wrapText="1"/>
    </xf>
    <xf numFmtId="0" fontId="104" fillId="22" borderId="166" xfId="12" applyFont="1" applyFill="1" applyBorder="1" applyAlignment="1">
      <alignment vertical="center" wrapText="1"/>
    </xf>
    <xf numFmtId="0" fontId="104" fillId="22" borderId="166" xfId="12" applyFont="1" applyFill="1" applyBorder="1" applyAlignment="1">
      <alignment horizontal="left" vertical="top" wrapText="1"/>
    </xf>
    <xf numFmtId="0" fontId="99" fillId="9" borderId="225" xfId="12" applyFont="1" applyFill="1" applyBorder="1" applyAlignment="1">
      <alignment vertical="center"/>
    </xf>
    <xf numFmtId="0" fontId="99" fillId="9" borderId="169" xfId="12" applyFont="1" applyFill="1" applyBorder="1" applyAlignment="1">
      <alignment vertical="center"/>
    </xf>
    <xf numFmtId="190" fontId="104" fillId="9" borderId="169" xfId="12" applyNumberFormat="1" applyFont="1" applyFill="1" applyBorder="1" applyAlignment="1">
      <alignment horizontal="right" vertical="center" wrapText="1"/>
    </xf>
    <xf numFmtId="0" fontId="99" fillId="9" borderId="160" xfId="12" applyFont="1" applyFill="1" applyBorder="1" applyAlignment="1">
      <alignment vertical="center"/>
    </xf>
    <xf numFmtId="0" fontId="99" fillId="9" borderId="7" xfId="12" applyFont="1" applyFill="1" applyBorder="1" applyAlignment="1">
      <alignment vertical="center"/>
    </xf>
    <xf numFmtId="190" fontId="104" fillId="9" borderId="6" xfId="12" applyNumberFormat="1" applyFont="1" applyFill="1" applyBorder="1" applyAlignment="1">
      <alignment horizontal="right" vertical="center" wrapText="1"/>
    </xf>
    <xf numFmtId="190" fontId="104" fillId="9" borderId="4" xfId="12" applyNumberFormat="1" applyFont="1" applyFill="1" applyBorder="1" applyAlignment="1">
      <alignment horizontal="right" vertical="center" wrapText="1"/>
    </xf>
    <xf numFmtId="192" fontId="104" fillId="9" borderId="7" xfId="12" applyNumberFormat="1" applyFont="1" applyFill="1" applyBorder="1" applyAlignment="1">
      <alignment horizontal="right" vertical="center"/>
    </xf>
    <xf numFmtId="0" fontId="104" fillId="9" borderId="36" xfId="12" applyFont="1" applyFill="1" applyBorder="1" applyAlignment="1">
      <alignment vertical="center" wrapText="1"/>
    </xf>
    <xf numFmtId="0" fontId="104" fillId="9" borderId="15" xfId="12" applyFont="1" applyFill="1" applyBorder="1" applyAlignment="1">
      <alignment horizontal="center" vertical="center" wrapText="1"/>
    </xf>
    <xf numFmtId="190" fontId="104" fillId="9" borderId="5" xfId="12" applyNumberFormat="1" applyFont="1" applyFill="1" applyBorder="1" applyAlignment="1">
      <alignment horizontal="right" vertical="center" wrapText="1"/>
    </xf>
    <xf numFmtId="49" fontId="104" fillId="9" borderId="238" xfId="12" applyNumberFormat="1" applyFont="1" applyFill="1" applyBorder="1" applyAlignment="1">
      <alignment horizontal="center" vertical="center" wrapText="1"/>
    </xf>
    <xf numFmtId="49" fontId="104" fillId="9" borderId="239" xfId="12" applyNumberFormat="1" applyFont="1" applyFill="1" applyBorder="1" applyAlignment="1">
      <alignment horizontal="center" vertical="center" wrapText="1"/>
    </xf>
    <xf numFmtId="49" fontId="104" fillId="9" borderId="200" xfId="12" applyNumberFormat="1" applyFont="1" applyFill="1" applyBorder="1" applyAlignment="1">
      <alignment horizontal="center" vertical="center" wrapText="1"/>
    </xf>
    <xf numFmtId="49" fontId="104" fillId="9" borderId="240" xfId="12" applyNumberFormat="1" applyFont="1" applyFill="1" applyBorder="1" applyAlignment="1">
      <alignment horizontal="center" vertical="center" wrapText="1"/>
    </xf>
    <xf numFmtId="49" fontId="104" fillId="9" borderId="241" xfId="12" applyNumberFormat="1" applyFont="1" applyFill="1" applyBorder="1" applyAlignment="1">
      <alignment horizontal="center" vertical="center" wrapText="1"/>
    </xf>
    <xf numFmtId="49" fontId="104" fillId="9" borderId="199" xfId="12" applyNumberFormat="1" applyFont="1" applyFill="1" applyBorder="1" applyAlignment="1">
      <alignment horizontal="center" vertical="center" wrapText="1"/>
    </xf>
    <xf numFmtId="49" fontId="104" fillId="9" borderId="182" xfId="12" applyNumberFormat="1" applyFont="1" applyFill="1" applyBorder="1" applyAlignment="1">
      <alignment horizontal="center" vertical="center" wrapText="1"/>
    </xf>
    <xf numFmtId="0" fontId="104" fillId="9" borderId="240" xfId="12" applyFont="1" applyFill="1" applyBorder="1" applyAlignment="1">
      <alignment horizontal="center" vertical="center" wrapText="1"/>
    </xf>
    <xf numFmtId="0" fontId="104" fillId="9" borderId="241" xfId="12" applyFont="1" applyFill="1" applyBorder="1" applyAlignment="1">
      <alignment horizontal="center" vertical="center" wrapText="1"/>
    </xf>
    <xf numFmtId="0" fontId="104" fillId="9" borderId="201" xfId="12" applyFont="1" applyFill="1" applyBorder="1" applyAlignment="1">
      <alignment vertical="top" wrapText="1"/>
    </xf>
    <xf numFmtId="0" fontId="104" fillId="9" borderId="0" xfId="12" applyFont="1" applyFill="1" applyAlignment="1">
      <alignment vertical="top" wrapText="1"/>
    </xf>
    <xf numFmtId="0" fontId="104" fillId="9" borderId="166" xfId="12" applyFont="1" applyFill="1" applyBorder="1" applyAlignment="1">
      <alignment vertical="top" wrapText="1"/>
    </xf>
    <xf numFmtId="49" fontId="104" fillId="9" borderId="25" xfId="12" applyNumberFormat="1" applyFont="1" applyFill="1" applyBorder="1" applyAlignment="1">
      <alignment horizontal="center" vertical="center" wrapText="1"/>
    </xf>
    <xf numFmtId="49" fontId="104" fillId="9" borderId="2" xfId="12" applyNumberFormat="1" applyFont="1" applyFill="1" applyBorder="1" applyAlignment="1">
      <alignment horizontal="center" vertical="center" wrapText="1"/>
    </xf>
    <xf numFmtId="49" fontId="104" fillId="9" borderId="27" xfId="12" applyNumberFormat="1" applyFont="1" applyFill="1" applyBorder="1" applyAlignment="1">
      <alignment horizontal="center" vertical="center" wrapText="1"/>
    </xf>
    <xf numFmtId="49" fontId="104" fillId="9" borderId="177" xfId="12" applyNumberFormat="1" applyFont="1" applyFill="1" applyBorder="1" applyAlignment="1">
      <alignment horizontal="center" vertical="center" wrapText="1"/>
    </xf>
    <xf numFmtId="0" fontId="104" fillId="9" borderId="206" xfId="12" applyFont="1" applyFill="1" applyBorder="1" applyAlignment="1">
      <alignment horizontal="center" vertical="center" wrapText="1"/>
    </xf>
    <xf numFmtId="0" fontId="104" fillId="9" borderId="82" xfId="12" applyFont="1" applyFill="1" applyBorder="1" applyAlignment="1">
      <alignment vertical="top" wrapText="1"/>
    </xf>
    <xf numFmtId="0" fontId="104" fillId="9" borderId="31" xfId="12" applyFont="1" applyFill="1" applyBorder="1" applyAlignment="1">
      <alignment vertical="top" wrapText="1"/>
    </xf>
    <xf numFmtId="0" fontId="104" fillId="9" borderId="4" xfId="12" applyFont="1" applyFill="1" applyBorder="1" applyAlignment="1">
      <alignment vertical="top" wrapText="1"/>
    </xf>
    <xf numFmtId="0" fontId="104" fillId="21" borderId="116" xfId="12" applyFont="1" applyFill="1" applyBorder="1" applyAlignment="1">
      <alignment vertical="center" textRotation="255" wrapText="1"/>
    </xf>
    <xf numFmtId="0" fontId="104" fillId="21" borderId="170" xfId="12" applyFont="1" applyFill="1" applyBorder="1" applyAlignment="1">
      <alignment vertical="center" textRotation="255" wrapText="1"/>
    </xf>
    <xf numFmtId="0" fontId="104" fillId="9" borderId="7" xfId="12" applyFont="1" applyFill="1" applyBorder="1" applyAlignment="1">
      <alignment vertical="top" wrapText="1"/>
    </xf>
    <xf numFmtId="0" fontId="104" fillId="9" borderId="190" xfId="12" applyFont="1" applyFill="1" applyBorder="1" applyAlignment="1">
      <alignment horizontal="left" vertical="center" wrapText="1"/>
    </xf>
    <xf numFmtId="0" fontId="89" fillId="9" borderId="182" xfId="12" applyFont="1" applyFill="1" applyBorder="1" applyAlignment="1">
      <alignment horizontal="right" vertical="center" wrapText="1"/>
    </xf>
    <xf numFmtId="0" fontId="113" fillId="9" borderId="0" xfId="12" applyFont="1" applyFill="1" applyAlignment="1">
      <alignment horizontal="left" vertical="top"/>
    </xf>
    <xf numFmtId="0" fontId="106" fillId="9" borderId="0" xfId="12" applyFont="1" applyFill="1" applyAlignment="1">
      <alignment horizontal="left" vertical="center"/>
    </xf>
    <xf numFmtId="0" fontId="112" fillId="9" borderId="0" xfId="12" applyFont="1" applyFill="1" applyAlignment="1">
      <alignment horizontal="left" vertical="center" wrapText="1"/>
    </xf>
    <xf numFmtId="189" fontId="112" fillId="9" borderId="87" xfId="12" applyNumberFormat="1" applyFont="1" applyFill="1" applyBorder="1" applyAlignment="1">
      <alignment vertical="center" wrapText="1"/>
    </xf>
    <xf numFmtId="189" fontId="112" fillId="9" borderId="86" xfId="12" applyNumberFormat="1" applyFont="1" applyFill="1" applyBorder="1" applyAlignment="1">
      <alignment vertical="center" wrapText="1"/>
    </xf>
    <xf numFmtId="189" fontId="112" fillId="9" borderId="7" xfId="12" applyNumberFormat="1" applyFont="1" applyFill="1" applyBorder="1" applyAlignment="1">
      <alignment horizontal="center" vertical="center" wrapText="1"/>
    </xf>
    <xf numFmtId="189" fontId="112" fillId="9" borderId="7" xfId="12" applyNumberFormat="1" applyFont="1" applyFill="1" applyBorder="1" applyAlignment="1">
      <alignment vertical="center" wrapText="1"/>
    </xf>
    <xf numFmtId="49" fontId="112" fillId="9" borderId="7" xfId="12" applyNumberFormat="1" applyFont="1" applyFill="1" applyBorder="1" applyAlignment="1">
      <alignment vertical="center" wrapText="1"/>
    </xf>
    <xf numFmtId="189" fontId="112" fillId="9" borderId="7" xfId="12" applyNumberFormat="1" applyFont="1" applyFill="1" applyBorder="1" applyAlignment="1">
      <alignment horizontal="left" vertical="center" wrapText="1"/>
    </xf>
    <xf numFmtId="0" fontId="112" fillId="9" borderId="0" xfId="12" applyFont="1" applyFill="1" applyAlignment="1">
      <alignment vertical="center" wrapText="1"/>
    </xf>
    <xf numFmtId="189" fontId="112" fillId="0" borderId="25" xfId="12" applyNumberFormat="1" applyFont="1" applyBorder="1" applyAlignment="1">
      <alignment horizontal="center" vertical="center" wrapText="1"/>
    </xf>
    <xf numFmtId="189" fontId="112" fillId="0" borderId="2" xfId="12" applyNumberFormat="1" applyFont="1" applyBorder="1" applyAlignment="1">
      <alignment horizontal="center" vertical="center" wrapText="1"/>
    </xf>
    <xf numFmtId="0" fontId="106" fillId="9" borderId="27" xfId="12" applyFont="1" applyFill="1" applyBorder="1" applyAlignment="1">
      <alignment horizontal="center" vertical="center" wrapText="1"/>
    </xf>
    <xf numFmtId="0" fontId="106" fillId="9" borderId="16" xfId="12" applyFont="1" applyFill="1" applyBorder="1" applyAlignment="1">
      <alignment horizontal="center" vertical="center" wrapText="1"/>
    </xf>
    <xf numFmtId="0" fontId="112" fillId="9" borderId="161" xfId="12" applyFont="1" applyFill="1" applyBorder="1" applyAlignment="1">
      <alignment horizontal="center" vertical="center" wrapText="1"/>
    </xf>
    <xf numFmtId="0" fontId="112" fillId="9" borderId="222" xfId="12" applyFont="1" applyFill="1" applyBorder="1" applyAlignment="1">
      <alignment horizontal="center" vertical="center" wrapText="1"/>
    </xf>
    <xf numFmtId="0" fontId="112" fillId="9" borderId="1" xfId="12" applyFont="1" applyFill="1" applyBorder="1" applyAlignment="1">
      <alignment horizontal="center" vertical="center" wrapText="1"/>
    </xf>
    <xf numFmtId="0" fontId="112" fillId="9" borderId="160" xfId="12" applyFont="1" applyFill="1" applyBorder="1" applyAlignment="1">
      <alignment horizontal="center" vertical="center" wrapText="1"/>
    </xf>
    <xf numFmtId="0" fontId="112" fillId="9" borderId="8" xfId="12" applyFont="1" applyFill="1" applyBorder="1" applyAlignment="1">
      <alignment horizontal="center" vertical="center" wrapText="1"/>
    </xf>
    <xf numFmtId="0" fontId="106" fillId="9" borderId="2" xfId="12" applyFont="1" applyFill="1" applyBorder="1" applyAlignment="1">
      <alignment horizontal="center" vertical="center" wrapText="1"/>
    </xf>
    <xf numFmtId="0" fontId="106" fillId="9" borderId="169" xfId="12" applyFont="1" applyFill="1" applyBorder="1" applyAlignment="1">
      <alignment horizontal="center" vertical="center"/>
    </xf>
    <xf numFmtId="0" fontId="112" fillId="9" borderId="169" xfId="12" applyFont="1" applyFill="1" applyBorder="1" applyAlignment="1">
      <alignment vertical="center" wrapText="1"/>
    </xf>
    <xf numFmtId="0" fontId="106" fillId="9" borderId="0" xfId="12" applyFont="1" applyFill="1" applyAlignment="1">
      <alignment horizontal="center" vertical="center"/>
    </xf>
    <xf numFmtId="0" fontId="112" fillId="9" borderId="0" xfId="12" applyFont="1" applyFill="1" applyAlignment="1">
      <alignment horizontal="center" vertical="center" wrapText="1"/>
    </xf>
    <xf numFmtId="0" fontId="106" fillId="9" borderId="225" xfId="12" applyFont="1" applyFill="1" applyBorder="1" applyAlignment="1">
      <alignment vertical="center"/>
    </xf>
    <xf numFmtId="0" fontId="106" fillId="9" borderId="169" xfId="12" applyFont="1" applyFill="1" applyBorder="1" applyAlignment="1">
      <alignment vertical="center"/>
    </xf>
    <xf numFmtId="0" fontId="112" fillId="9" borderId="86" xfId="12" applyFont="1" applyFill="1" applyBorder="1" applyAlignment="1">
      <alignment horizontal="center" vertical="center" wrapText="1"/>
    </xf>
    <xf numFmtId="190" fontId="112" fillId="9" borderId="169" xfId="12" applyNumberFormat="1" applyFont="1" applyFill="1" applyBorder="1" applyAlignment="1">
      <alignment horizontal="right" vertical="center" wrapText="1"/>
    </xf>
    <xf numFmtId="0" fontId="106" fillId="9" borderId="160" xfId="12" applyFont="1" applyFill="1" applyBorder="1" applyAlignment="1">
      <alignment vertical="center"/>
    </xf>
    <xf numFmtId="0" fontId="106" fillId="9" borderId="7" xfId="12" applyFont="1" applyFill="1" applyBorder="1" applyAlignment="1">
      <alignment vertical="center"/>
    </xf>
    <xf numFmtId="0" fontId="112" fillId="9" borderId="7" xfId="12" applyFont="1" applyFill="1" applyBorder="1" applyAlignment="1">
      <alignment horizontal="center" vertical="center" wrapText="1"/>
    </xf>
    <xf numFmtId="190" fontId="112" fillId="9" borderId="6" xfId="12" applyNumberFormat="1" applyFont="1" applyFill="1" applyBorder="1" applyAlignment="1">
      <alignment horizontal="right" vertical="center" wrapText="1"/>
    </xf>
    <xf numFmtId="0" fontId="112" fillId="9" borderId="4" xfId="12" applyFont="1" applyFill="1" applyBorder="1" applyAlignment="1">
      <alignment horizontal="center" vertical="center" wrapText="1"/>
    </xf>
    <xf numFmtId="190" fontId="112" fillId="9" borderId="4" xfId="12" applyNumberFormat="1" applyFont="1" applyFill="1" applyBorder="1" applyAlignment="1">
      <alignment horizontal="right" vertical="center" wrapText="1"/>
    </xf>
    <xf numFmtId="192" fontId="112" fillId="9" borderId="7" xfId="12" applyNumberFormat="1" applyFont="1" applyFill="1" applyBorder="1" applyAlignment="1">
      <alignment horizontal="right" vertical="center"/>
    </xf>
    <xf numFmtId="0" fontId="112" fillId="9" borderId="4" xfId="12" applyFont="1" applyFill="1" applyBorder="1" applyAlignment="1">
      <alignment vertical="center" wrapText="1"/>
    </xf>
    <xf numFmtId="0" fontId="112" fillId="9" borderId="29" xfId="12" applyFont="1" applyFill="1" applyBorder="1" applyAlignment="1">
      <alignment horizontal="center" vertical="center" wrapText="1"/>
    </xf>
    <xf numFmtId="0" fontId="112" fillId="9" borderId="15" xfId="12" applyFont="1" applyFill="1" applyBorder="1" applyAlignment="1">
      <alignment horizontal="center" vertical="center" wrapText="1"/>
    </xf>
    <xf numFmtId="190" fontId="112" fillId="9" borderId="5" xfId="12" applyNumberFormat="1" applyFont="1" applyFill="1" applyBorder="1" applyAlignment="1">
      <alignment horizontal="right" vertical="center" wrapText="1"/>
    </xf>
    <xf numFmtId="49" fontId="112" fillId="9" borderId="238" xfId="12" applyNumberFormat="1" applyFont="1" applyFill="1" applyBorder="1" applyAlignment="1">
      <alignment horizontal="center" vertical="center" wrapText="1"/>
    </xf>
    <xf numFmtId="49" fontId="112" fillId="9" borderId="239" xfId="12" applyNumberFormat="1" applyFont="1" applyFill="1" applyBorder="1" applyAlignment="1">
      <alignment horizontal="center" vertical="center" wrapText="1"/>
    </xf>
    <xf numFmtId="49" fontId="112" fillId="9" borderId="200" xfId="12" applyNumberFormat="1" applyFont="1" applyFill="1" applyBorder="1" applyAlignment="1">
      <alignment horizontal="center" vertical="center" wrapText="1"/>
    </xf>
    <xf numFmtId="49" fontId="112" fillId="9" borderId="187" xfId="12" applyNumberFormat="1" applyFont="1" applyFill="1" applyBorder="1" applyAlignment="1">
      <alignment horizontal="center" vertical="center" wrapText="1"/>
    </xf>
    <xf numFmtId="49" fontId="112" fillId="9" borderId="240" xfId="12" applyNumberFormat="1" applyFont="1" applyFill="1" applyBorder="1" applyAlignment="1">
      <alignment horizontal="center" vertical="center" wrapText="1"/>
    </xf>
    <xf numFmtId="49" fontId="112" fillId="9" borderId="241" xfId="12" applyNumberFormat="1" applyFont="1" applyFill="1" applyBorder="1" applyAlignment="1">
      <alignment horizontal="center" vertical="center" wrapText="1"/>
    </xf>
    <xf numFmtId="49" fontId="112" fillId="9" borderId="199" xfId="12" applyNumberFormat="1" applyFont="1" applyFill="1" applyBorder="1" applyAlignment="1">
      <alignment horizontal="center" vertical="center" wrapText="1"/>
    </xf>
    <xf numFmtId="49" fontId="112" fillId="9" borderId="182" xfId="12" applyNumberFormat="1" applyFont="1" applyFill="1" applyBorder="1" applyAlignment="1">
      <alignment horizontal="center" vertical="center" wrapText="1"/>
    </xf>
    <xf numFmtId="0" fontId="112" fillId="9" borderId="240" xfId="12" applyFont="1" applyFill="1" applyBorder="1" applyAlignment="1">
      <alignment horizontal="center" vertical="center" wrapText="1"/>
    </xf>
    <xf numFmtId="0" fontId="112" fillId="9" borderId="241" xfId="12" applyFont="1" applyFill="1" applyBorder="1" applyAlignment="1">
      <alignment horizontal="center" vertical="center" wrapText="1"/>
    </xf>
    <xf numFmtId="0" fontId="112" fillId="9" borderId="201" xfId="12" applyFont="1" applyFill="1" applyBorder="1" applyAlignment="1">
      <alignment vertical="top" wrapText="1"/>
    </xf>
    <xf numFmtId="0" fontId="112" fillId="9" borderId="0" xfId="12" applyFont="1" applyFill="1" applyAlignment="1">
      <alignment vertical="top" wrapText="1"/>
    </xf>
    <xf numFmtId="49" fontId="112" fillId="9" borderId="25" xfId="12" applyNumberFormat="1" applyFont="1" applyFill="1" applyBorder="1" applyAlignment="1">
      <alignment horizontal="center" vertical="center" wrapText="1"/>
    </xf>
    <xf numFmtId="49" fontId="112" fillId="9" borderId="2" xfId="12" applyNumberFormat="1" applyFont="1" applyFill="1" applyBorder="1" applyAlignment="1">
      <alignment horizontal="center" vertical="center" wrapText="1"/>
    </xf>
    <xf numFmtId="49" fontId="112" fillId="9" borderId="27" xfId="12" applyNumberFormat="1" applyFont="1" applyFill="1" applyBorder="1" applyAlignment="1">
      <alignment horizontal="center" vertical="center" wrapText="1"/>
    </xf>
    <xf numFmtId="49" fontId="112" fillId="9" borderId="177" xfId="12" applyNumberFormat="1" applyFont="1" applyFill="1" applyBorder="1" applyAlignment="1">
      <alignment horizontal="center" vertical="center" wrapText="1"/>
    </xf>
    <xf numFmtId="0" fontId="112" fillId="9" borderId="206" xfId="12" applyFont="1" applyFill="1" applyBorder="1" applyAlignment="1">
      <alignment horizontal="center" vertical="center" wrapText="1"/>
    </xf>
    <xf numFmtId="0" fontId="112" fillId="9" borderId="82" xfId="12" applyFont="1" applyFill="1" applyBorder="1" applyAlignment="1">
      <alignment vertical="top" wrapText="1"/>
    </xf>
    <xf numFmtId="0" fontId="112" fillId="9" borderId="31" xfId="12" applyFont="1" applyFill="1" applyBorder="1" applyAlignment="1">
      <alignment vertical="top" wrapText="1"/>
    </xf>
    <xf numFmtId="0" fontId="112" fillId="9" borderId="88" xfId="12" applyFont="1" applyFill="1" applyBorder="1" applyAlignment="1">
      <alignment vertical="center" wrapText="1"/>
    </xf>
    <xf numFmtId="0" fontId="112" fillId="9" borderId="36" xfId="12" applyFont="1" applyFill="1" applyBorder="1" applyAlignment="1">
      <alignment vertical="center" wrapText="1"/>
    </xf>
    <xf numFmtId="0" fontId="112" fillId="9" borderId="166" xfId="12" applyFont="1" applyFill="1" applyBorder="1" applyAlignment="1">
      <alignment vertical="center" wrapText="1"/>
    </xf>
    <xf numFmtId="0" fontId="112" fillId="9" borderId="166" xfId="12" applyFont="1" applyFill="1" applyBorder="1" applyAlignment="1">
      <alignment vertical="top" wrapText="1"/>
    </xf>
    <xf numFmtId="0" fontId="112" fillId="9" borderId="4" xfId="12" applyFont="1" applyFill="1" applyBorder="1" applyAlignment="1">
      <alignment vertical="top" wrapText="1"/>
    </xf>
    <xf numFmtId="0" fontId="112" fillId="21" borderId="116" xfId="12" applyFont="1" applyFill="1" applyBorder="1" applyAlignment="1">
      <alignment vertical="center" textRotation="255" wrapText="1"/>
    </xf>
    <xf numFmtId="0" fontId="112" fillId="21" borderId="170" xfId="12" applyFont="1" applyFill="1" applyBorder="1" applyAlignment="1">
      <alignment vertical="center" textRotation="255" wrapText="1"/>
    </xf>
    <xf numFmtId="0" fontId="106" fillId="9" borderId="0" xfId="12" applyFont="1" applyFill="1" applyAlignment="1">
      <alignment horizontal="left" vertical="center" wrapText="1"/>
    </xf>
    <xf numFmtId="0" fontId="112" fillId="9" borderId="0" xfId="12" applyFont="1" applyFill="1" applyAlignment="1">
      <alignment horizontal="center" vertical="center"/>
    </xf>
    <xf numFmtId="0" fontId="122" fillId="9" borderId="0" xfId="12" applyFont="1" applyFill="1" applyAlignment="1">
      <alignment horizontal="center" vertical="center" wrapText="1"/>
    </xf>
    <xf numFmtId="0" fontId="5" fillId="9" borderId="0" xfId="0" applyFont="1" applyFill="1" applyAlignment="1">
      <alignment vertical="center" shrinkToFit="1"/>
    </xf>
    <xf numFmtId="0" fontId="5" fillId="9" borderId="0" xfId="0" applyFont="1" applyFill="1" applyAlignment="1">
      <alignment vertical="top"/>
    </xf>
    <xf numFmtId="0" fontId="123" fillId="9" borderId="0" xfId="0" applyFont="1" applyFill="1" applyAlignment="1">
      <alignment vertical="center"/>
    </xf>
    <xf numFmtId="0" fontId="124" fillId="9" borderId="5" xfId="0" applyFont="1" applyFill="1" applyBorder="1" applyAlignment="1">
      <alignment vertical="center"/>
    </xf>
    <xf numFmtId="0" fontId="123" fillId="9" borderId="5" xfId="0" applyFont="1" applyFill="1" applyBorder="1" applyAlignment="1">
      <alignment vertical="center"/>
    </xf>
    <xf numFmtId="0" fontId="5" fillId="9" borderId="60" xfId="0" applyFont="1" applyFill="1" applyBorder="1" applyAlignment="1">
      <alignment horizontal="center" vertical="center" shrinkToFit="1"/>
    </xf>
    <xf numFmtId="0" fontId="5" fillId="9" borderId="49" xfId="0" applyFont="1" applyFill="1" applyBorder="1" applyAlignment="1">
      <alignment horizontal="center" vertical="center" shrinkToFit="1"/>
    </xf>
    <xf numFmtId="0" fontId="5" fillId="9" borderId="251" xfId="0" applyFont="1" applyFill="1" applyBorder="1" applyAlignment="1">
      <alignment horizontal="center" vertical="center" shrinkToFit="1"/>
    </xf>
    <xf numFmtId="0" fontId="5" fillId="9" borderId="45" xfId="0" applyFont="1" applyFill="1" applyBorder="1" applyAlignment="1">
      <alignment horizontal="center" vertical="center" shrinkToFit="1"/>
    </xf>
    <xf numFmtId="0" fontId="5" fillId="9" borderId="34" xfId="0" applyFont="1" applyFill="1" applyBorder="1" applyAlignment="1">
      <alignment horizontal="center" vertical="center" shrinkToFit="1"/>
    </xf>
    <xf numFmtId="0" fontId="5" fillId="10" borderId="45" xfId="0" applyFont="1" applyFill="1" applyBorder="1" applyAlignment="1">
      <alignment vertical="center"/>
    </xf>
    <xf numFmtId="0" fontId="5" fillId="9" borderId="0" xfId="0" applyFont="1" applyFill="1" applyAlignment="1">
      <alignment vertical="top" shrinkToFit="1"/>
    </xf>
    <xf numFmtId="0" fontId="5" fillId="9" borderId="51" xfId="0" applyFont="1" applyFill="1" applyBorder="1" applyAlignment="1">
      <alignment vertical="center" shrinkToFit="1"/>
    </xf>
    <xf numFmtId="0" fontId="5" fillId="9" borderId="51" xfId="0" applyFont="1" applyFill="1" applyBorder="1" applyAlignment="1">
      <alignment horizontal="center" vertical="center" shrinkToFit="1"/>
    </xf>
    <xf numFmtId="0" fontId="5" fillId="9" borderId="54" xfId="0" applyFont="1" applyFill="1" applyBorder="1" applyAlignment="1">
      <alignment horizontal="center" vertical="center" shrinkToFit="1"/>
    </xf>
    <xf numFmtId="0" fontId="5" fillId="9" borderId="54" xfId="0" applyFont="1" applyFill="1" applyBorder="1" applyAlignment="1">
      <alignment vertical="center" shrinkToFit="1"/>
    </xf>
    <xf numFmtId="0" fontId="5" fillId="9" borderId="54" xfId="0" applyFont="1" applyFill="1" applyBorder="1" applyAlignment="1">
      <alignment vertical="center" wrapText="1" shrinkToFit="1"/>
    </xf>
    <xf numFmtId="0" fontId="5" fillId="9" borderId="56" xfId="0" applyFont="1" applyFill="1" applyBorder="1" applyAlignment="1">
      <alignment horizontal="center" vertical="center" shrinkToFit="1"/>
    </xf>
    <xf numFmtId="0" fontId="5" fillId="10" borderId="27" xfId="0" applyFont="1" applyFill="1" applyBorder="1" applyAlignment="1">
      <alignment vertical="center"/>
    </xf>
    <xf numFmtId="0" fontId="5" fillId="9" borderId="27" xfId="0" applyFont="1" applyFill="1" applyBorder="1" applyAlignment="1">
      <alignment vertical="center" shrinkToFit="1"/>
    </xf>
    <xf numFmtId="0" fontId="5" fillId="9" borderId="16" xfId="0" applyFont="1" applyFill="1" applyBorder="1" applyAlignment="1">
      <alignment vertical="center" shrinkToFit="1"/>
    </xf>
    <xf numFmtId="0" fontId="5" fillId="9" borderId="16" xfId="0" applyFont="1" applyFill="1" applyBorder="1" applyAlignment="1">
      <alignment horizontal="center" vertical="center" shrinkToFit="1"/>
    </xf>
    <xf numFmtId="0" fontId="5" fillId="9" borderId="27" xfId="0" applyFont="1" applyFill="1" applyBorder="1" applyAlignment="1">
      <alignment horizontal="center" vertical="center" shrinkToFit="1"/>
    </xf>
    <xf numFmtId="0" fontId="125" fillId="9" borderId="0" xfId="0" applyFont="1" applyFill="1" applyAlignment="1">
      <alignment vertical="center"/>
    </xf>
    <xf numFmtId="0" fontId="126" fillId="9" borderId="0" xfId="0" applyFont="1" applyFill="1" applyAlignment="1">
      <alignment vertical="center"/>
    </xf>
    <xf numFmtId="0" fontId="5" fillId="10" borderId="45" xfId="0" applyFont="1" applyFill="1" applyBorder="1" applyAlignment="1">
      <alignment vertical="center" shrinkToFit="1"/>
    </xf>
    <xf numFmtId="0" fontId="117" fillId="9" borderId="54" xfId="0" applyFont="1" applyFill="1" applyBorder="1" applyAlignment="1">
      <alignment horizontal="center" vertical="center" shrinkToFit="1"/>
    </xf>
    <xf numFmtId="0" fontId="5" fillId="10" borderId="27" xfId="0" applyFont="1" applyFill="1" applyBorder="1" applyAlignment="1">
      <alignment vertical="center" shrinkToFit="1"/>
    </xf>
    <xf numFmtId="0" fontId="5" fillId="10" borderId="56" xfId="0" applyFont="1" applyFill="1" applyBorder="1" applyAlignment="1">
      <alignment vertical="center"/>
    </xf>
    <xf numFmtId="0" fontId="27" fillId="9" borderId="2" xfId="19" applyFont="1" applyFill="1" applyBorder="1" applyAlignment="1">
      <alignment horizontal="center" vertical="center"/>
    </xf>
    <xf numFmtId="0" fontId="4" fillId="9" borderId="0" xfId="0" applyFont="1" applyFill="1" applyAlignment="1">
      <alignment vertical="top" wrapText="1"/>
    </xf>
    <xf numFmtId="0" fontId="4" fillId="9" borderId="0" xfId="0" applyFont="1" applyFill="1" applyAlignment="1">
      <alignment horizontal="center" vertical="center"/>
    </xf>
    <xf numFmtId="0" fontId="7" fillId="14" borderId="0" xfId="0" applyFont="1" applyFill="1" applyAlignment="1">
      <alignment horizontal="center" vertical="center"/>
    </xf>
    <xf numFmtId="0" fontId="4" fillId="9" borderId="0" xfId="0" applyFont="1" applyFill="1" applyAlignment="1">
      <alignment vertical="center" shrinkToFit="1"/>
    </xf>
    <xf numFmtId="0" fontId="4" fillId="9" borderId="0" xfId="0" applyFont="1" applyFill="1" applyAlignment="1">
      <alignment horizontal="left" vertical="center" shrinkToFit="1"/>
    </xf>
    <xf numFmtId="0" fontId="16" fillId="9" borderId="0" xfId="0" applyFont="1" applyFill="1" applyAlignment="1">
      <alignment horizontal="center" vertical="center" wrapText="1"/>
    </xf>
    <xf numFmtId="0" fontId="4" fillId="9" borderId="70" xfId="0" applyFont="1" applyFill="1" applyBorder="1"/>
    <xf numFmtId="0" fontId="4" fillId="9" borderId="0" xfId="0" applyFont="1" applyFill="1" applyAlignment="1">
      <alignment horizontal="center" vertical="center" wrapText="1"/>
    </xf>
    <xf numFmtId="0" fontId="83" fillId="9" borderId="0" xfId="0" applyFont="1" applyFill="1" applyAlignment="1">
      <alignment vertical="center"/>
    </xf>
    <xf numFmtId="0" fontId="4" fillId="9" borderId="0" xfId="0" applyFont="1" applyFill="1" applyAlignment="1">
      <alignment horizontal="left" vertical="center"/>
    </xf>
    <xf numFmtId="0" fontId="7" fillId="0" borderId="0" xfId="0" applyFont="1" applyAlignment="1">
      <alignment horizontal="center" vertical="center"/>
    </xf>
    <xf numFmtId="0" fontId="4" fillId="0" borderId="0" xfId="0" applyFont="1" applyAlignment="1">
      <alignment vertical="center" shrinkToFit="1"/>
    </xf>
    <xf numFmtId="0" fontId="117" fillId="5" borderId="51" xfId="0" applyFont="1" applyFill="1" applyBorder="1" applyAlignment="1">
      <alignment horizontal="center" vertical="center" shrinkToFit="1"/>
    </xf>
    <xf numFmtId="0" fontId="5" fillId="9" borderId="49" xfId="0" applyFont="1" applyFill="1" applyBorder="1" applyAlignment="1">
      <alignment vertical="center" shrinkToFit="1"/>
    </xf>
    <xf numFmtId="0" fontId="123" fillId="9" borderId="0" xfId="0" applyFont="1" applyFill="1" applyAlignment="1">
      <alignment vertical="top"/>
    </xf>
    <xf numFmtId="0" fontId="5" fillId="9" borderId="60" xfId="0" applyFont="1" applyFill="1" applyBorder="1" applyAlignment="1">
      <alignment vertical="center" wrapText="1" shrinkToFit="1"/>
    </xf>
    <xf numFmtId="0" fontId="5" fillId="9" borderId="27" xfId="0" applyFont="1" applyFill="1" applyBorder="1" applyAlignment="1">
      <alignment vertical="center" wrapText="1" shrinkToFit="1"/>
    </xf>
    <xf numFmtId="0" fontId="13" fillId="0" borderId="0" xfId="0" applyFont="1" applyAlignment="1">
      <alignment horizontal="left" vertical="center"/>
    </xf>
    <xf numFmtId="0" fontId="5" fillId="9" borderId="60" xfId="0" applyFont="1" applyFill="1" applyBorder="1" applyAlignment="1">
      <alignment vertical="center" shrinkToFit="1"/>
    </xf>
    <xf numFmtId="0" fontId="5" fillId="9" borderId="56" xfId="0" applyFont="1" applyFill="1" applyBorder="1" applyAlignment="1">
      <alignment vertical="center" shrinkToFit="1"/>
    </xf>
    <xf numFmtId="0" fontId="5" fillId="9" borderId="55" xfId="0" applyFont="1" applyFill="1" applyBorder="1" applyAlignment="1">
      <alignment horizontal="center" vertical="center" shrinkToFit="1"/>
    </xf>
    <xf numFmtId="0" fontId="5" fillId="9" borderId="46" xfId="0" applyFont="1" applyFill="1" applyBorder="1" applyAlignment="1">
      <alignment vertical="center" shrinkToFi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5" fillId="0" borderId="54" xfId="0" applyFont="1" applyBorder="1" applyAlignment="1">
      <alignment horizontal="center" vertical="center" shrinkToFit="1"/>
    </xf>
    <xf numFmtId="0" fontId="127" fillId="0" borderId="5" xfId="0" applyFont="1" applyBorder="1" applyAlignment="1">
      <alignment horizontal="center" vertical="center"/>
    </xf>
    <xf numFmtId="0" fontId="127" fillId="0" borderId="0" xfId="0" applyFont="1" applyAlignment="1">
      <alignment horizontal="center" vertical="center"/>
    </xf>
    <xf numFmtId="179" fontId="4" fillId="0" borderId="0" xfId="0" applyNumberFormat="1" applyFont="1" applyAlignment="1">
      <alignment horizontal="left" vertical="center"/>
    </xf>
    <xf numFmtId="0" fontId="4" fillId="0" borderId="17" xfId="0" applyFont="1" applyBorder="1" applyAlignment="1">
      <alignment horizontal="left" vertical="center" indent="1"/>
    </xf>
    <xf numFmtId="0" fontId="15" fillId="0" borderId="0" xfId="0" applyFont="1" applyAlignment="1">
      <alignment horizontal="left" vertical="center"/>
    </xf>
    <xf numFmtId="0" fontId="114" fillId="0" borderId="0" xfId="21" applyFont="1">
      <alignment vertical="center"/>
    </xf>
    <xf numFmtId="0" fontId="84" fillId="0" borderId="0" xfId="21">
      <alignment vertical="center"/>
    </xf>
    <xf numFmtId="0" fontId="84" fillId="0" borderId="0" xfId="21" applyAlignment="1">
      <alignment horizontal="right" vertical="center"/>
    </xf>
    <xf numFmtId="0" fontId="84" fillId="0" borderId="0" xfId="21" applyAlignment="1">
      <alignment horizontal="center" vertical="center"/>
    </xf>
    <xf numFmtId="0" fontId="84" fillId="16" borderId="0" xfId="21" applyFill="1" applyAlignment="1">
      <alignment horizontal="center" vertical="center"/>
    </xf>
    <xf numFmtId="0" fontId="84" fillId="0" borderId="8" xfId="21" applyBorder="1" applyAlignment="1">
      <alignment horizontal="center" vertical="center"/>
    </xf>
    <xf numFmtId="0" fontId="84" fillId="0" borderId="8" xfId="21" applyBorder="1">
      <alignment vertical="center"/>
    </xf>
    <xf numFmtId="0" fontId="84" fillId="0" borderId="5" xfId="21" applyBorder="1">
      <alignment vertical="center"/>
    </xf>
    <xf numFmtId="0" fontId="84" fillId="0" borderId="5" xfId="21" applyBorder="1" applyAlignment="1">
      <alignment horizontal="center" vertical="center" wrapText="1"/>
    </xf>
    <xf numFmtId="0" fontId="84" fillId="0" borderId="5" xfId="21" applyBorder="1" applyAlignment="1">
      <alignment horizontal="center" vertical="center"/>
    </xf>
    <xf numFmtId="180" fontId="84" fillId="0" borderId="5" xfId="21" applyNumberFormat="1" applyBorder="1" applyAlignment="1">
      <alignment horizontal="center" vertical="center"/>
    </xf>
    <xf numFmtId="178" fontId="0" fillId="0" borderId="5" xfId="22" applyNumberFormat="1" applyFont="1" applyFill="1" applyBorder="1" applyAlignment="1">
      <alignment horizontal="center" vertical="center"/>
    </xf>
    <xf numFmtId="0" fontId="84" fillId="0" borderId="4" xfId="21" applyBorder="1">
      <alignment vertical="center"/>
    </xf>
    <xf numFmtId="0" fontId="123" fillId="9" borderId="0" xfId="0" applyFont="1" applyFill="1" applyAlignment="1">
      <alignment vertical="top" shrinkToFit="1"/>
    </xf>
    <xf numFmtId="0" fontId="5" fillId="9" borderId="54" xfId="0" applyFont="1" applyFill="1" applyBorder="1" applyAlignment="1">
      <alignment vertical="center"/>
    </xf>
    <xf numFmtId="0" fontId="5" fillId="15" borderId="51" xfId="0" applyFont="1" applyFill="1" applyBorder="1" applyAlignment="1">
      <alignment horizontal="center" vertical="center" shrinkToFit="1"/>
    </xf>
    <xf numFmtId="0" fontId="5" fillId="9" borderId="47" xfId="0" applyFont="1" applyFill="1" applyBorder="1" applyAlignment="1">
      <alignment horizontal="center" vertical="center" shrinkToFit="1"/>
    </xf>
    <xf numFmtId="0" fontId="5" fillId="9" borderId="51" xfId="0" applyFont="1" applyFill="1" applyBorder="1" applyAlignment="1">
      <alignment horizontal="center" vertical="top" shrinkToFit="1"/>
    </xf>
    <xf numFmtId="178" fontId="4" fillId="0" borderId="17" xfId="0" applyNumberFormat="1" applyFont="1" applyBorder="1" applyAlignment="1">
      <alignment horizontal="center" vertical="center"/>
    </xf>
    <xf numFmtId="0" fontId="37" fillId="0" borderId="16" xfId="0" applyFont="1" applyBorder="1" applyAlignment="1">
      <alignment horizontal="left" vertical="center"/>
    </xf>
    <xf numFmtId="0" fontId="5" fillId="16" borderId="7" xfId="0" applyFont="1" applyFill="1" applyBorder="1" applyAlignment="1">
      <alignment vertical="center"/>
    </xf>
    <xf numFmtId="0" fontId="14" fillId="16" borderId="5" xfId="0" applyFont="1" applyFill="1" applyBorder="1" applyAlignment="1">
      <alignment horizontal="center" vertical="top" wrapText="1"/>
    </xf>
    <xf numFmtId="0" fontId="4" fillId="0" borderId="29" xfId="0" applyFont="1" applyBorder="1" applyAlignment="1">
      <alignment vertical="top" wrapText="1"/>
    </xf>
    <xf numFmtId="0" fontId="117" fillId="0" borderId="51" xfId="0" applyFont="1" applyBorder="1" applyAlignment="1">
      <alignment horizontal="center"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 fillId="0" borderId="51" xfId="0" applyFont="1" applyBorder="1" applyAlignment="1">
      <alignment horizontal="center" vertical="center" shrinkToFit="1"/>
    </xf>
    <xf numFmtId="0" fontId="117" fillId="0" borderId="54" xfId="0" applyFont="1" applyBorder="1" applyAlignment="1">
      <alignment vertical="center" wrapText="1"/>
    </xf>
    <xf numFmtId="0" fontId="5" fillId="0" borderId="54" xfId="0" applyFont="1" applyBorder="1" applyAlignment="1">
      <alignment vertical="center" wrapText="1"/>
    </xf>
    <xf numFmtId="0" fontId="117" fillId="0" borderId="56" xfId="0" applyFont="1" applyBorder="1" applyAlignment="1">
      <alignment vertical="center" wrapText="1"/>
    </xf>
    <xf numFmtId="0" fontId="5" fillId="0" borderId="56" xfId="0" applyFont="1" applyBorder="1" applyAlignment="1">
      <alignment vertical="center" wrapText="1"/>
    </xf>
    <xf numFmtId="0" fontId="5" fillId="0" borderId="46" xfId="0" applyFont="1" applyBorder="1" applyAlignment="1">
      <alignment vertical="center" wrapText="1"/>
    </xf>
    <xf numFmtId="0" fontId="43" fillId="0" borderId="54" xfId="0" applyFont="1" applyBorder="1" applyAlignment="1">
      <alignment vertical="center" wrapText="1"/>
    </xf>
    <xf numFmtId="0" fontId="15" fillId="2" borderId="0" xfId="0" applyFont="1" applyFill="1" applyAlignment="1">
      <alignment horizontal="left" vertical="top"/>
    </xf>
    <xf numFmtId="0" fontId="15" fillId="2" borderId="0" xfId="0" applyFont="1" applyFill="1" applyAlignment="1">
      <alignment horizontal="left" vertical="center"/>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15" fillId="2" borderId="1" xfId="0" applyFont="1" applyFill="1" applyBorder="1" applyAlignment="1">
      <alignment horizontal="left" vertical="top"/>
    </xf>
    <xf numFmtId="0" fontId="15" fillId="2" borderId="17" xfId="0" applyFont="1" applyFill="1" applyBorder="1" applyAlignment="1">
      <alignment horizontal="left" vertical="top"/>
    </xf>
    <xf numFmtId="0" fontId="15" fillId="2" borderId="29" xfId="0" applyFont="1" applyFill="1" applyBorder="1" applyAlignment="1">
      <alignment horizontal="left" vertical="top"/>
    </xf>
    <xf numFmtId="0" fontId="15" fillId="2" borderId="17" xfId="0" applyFont="1" applyFill="1" applyBorder="1" applyAlignment="1">
      <alignment horizontal="center" vertical="center"/>
    </xf>
    <xf numFmtId="0" fontId="15" fillId="2" borderId="0" xfId="0" applyFont="1" applyFill="1" applyAlignment="1">
      <alignment horizontal="center" vertical="center"/>
    </xf>
    <xf numFmtId="0" fontId="15" fillId="2" borderId="29" xfId="0" applyFont="1" applyFill="1" applyBorder="1" applyAlignment="1">
      <alignment horizontal="center" vertical="center"/>
    </xf>
    <xf numFmtId="0" fontId="15" fillId="2" borderId="16" xfId="0" applyFont="1" applyFill="1" applyBorder="1" applyAlignment="1">
      <alignment horizontal="left" vertical="top"/>
    </xf>
    <xf numFmtId="0" fontId="15" fillId="2" borderId="5" xfId="0" applyFont="1" applyFill="1" applyBorder="1" applyAlignment="1">
      <alignment horizontal="left" vertical="top"/>
    </xf>
    <xf numFmtId="0" fontId="15" fillId="2" borderId="15" xfId="0" applyFont="1" applyFill="1" applyBorder="1" applyAlignment="1">
      <alignment horizontal="left" vertical="top"/>
    </xf>
    <xf numFmtId="0" fontId="15" fillId="2" borderId="0" xfId="0" applyFont="1" applyFill="1" applyAlignment="1">
      <alignment horizontal="right" vertical="top"/>
    </xf>
    <xf numFmtId="0" fontId="15" fillId="2" borderId="0" xfId="0" applyFont="1" applyFill="1" applyAlignment="1">
      <alignment horizontal="left"/>
    </xf>
    <xf numFmtId="0" fontId="15" fillId="2" borderId="0" xfId="0" applyFont="1" applyFill="1"/>
    <xf numFmtId="0" fontId="5" fillId="0" borderId="49" xfId="0" applyFont="1" applyBorder="1" applyAlignment="1">
      <alignment horizontal="center" vertical="center" shrinkToFit="1"/>
    </xf>
    <xf numFmtId="0" fontId="18" fillId="9" borderId="0" xfId="0" applyFont="1" applyFill="1" applyAlignment="1">
      <alignment vertical="top"/>
    </xf>
    <xf numFmtId="0" fontId="18" fillId="19" borderId="3" xfId="0" applyFont="1" applyFill="1" applyBorder="1" applyAlignment="1">
      <alignment vertical="center" shrinkToFit="1"/>
    </xf>
    <xf numFmtId="0" fontId="18" fillId="9" borderId="25" xfId="0" applyFont="1" applyFill="1" applyBorder="1" applyAlignment="1">
      <alignment vertical="center" shrinkToFit="1"/>
    </xf>
    <xf numFmtId="0" fontId="18" fillId="9" borderId="17" xfId="0" applyFont="1" applyFill="1" applyBorder="1" applyAlignment="1">
      <alignment vertical="top"/>
    </xf>
    <xf numFmtId="0" fontId="18" fillId="19" borderId="17" xfId="0" applyFont="1" applyFill="1" applyBorder="1" applyAlignment="1">
      <alignment vertical="center" shrinkToFit="1"/>
    </xf>
    <xf numFmtId="0" fontId="18" fillId="9" borderId="45" xfId="0" applyFont="1" applyFill="1" applyBorder="1" applyAlignment="1">
      <alignment vertical="center" shrinkToFit="1"/>
    </xf>
    <xf numFmtId="0" fontId="95" fillId="19" borderId="28" xfId="0" applyFont="1" applyFill="1" applyBorder="1" applyAlignment="1">
      <alignment horizontal="center" vertical="center" shrinkToFit="1"/>
    </xf>
    <xf numFmtId="0" fontId="18" fillId="19" borderId="28" xfId="0" applyFont="1" applyFill="1" applyBorder="1" applyAlignment="1">
      <alignment vertical="center" shrinkToFit="1"/>
    </xf>
    <xf numFmtId="0" fontId="18" fillId="19" borderId="16" xfId="0" applyFont="1" applyFill="1" applyBorder="1" applyAlignment="1">
      <alignment vertical="center" shrinkToFit="1"/>
    </xf>
    <xf numFmtId="0" fontId="95" fillId="19" borderId="27" xfId="0" applyFont="1" applyFill="1" applyBorder="1" applyAlignment="1">
      <alignment horizontal="center" vertical="center" shrinkToFit="1"/>
    </xf>
    <xf numFmtId="0" fontId="5" fillId="0" borderId="60" xfId="0" applyFont="1" applyBorder="1" applyAlignment="1">
      <alignment vertical="center" wrapText="1" shrinkToFit="1"/>
    </xf>
    <xf numFmtId="0" fontId="5" fillId="0" borderId="49" xfId="0" applyFont="1" applyBorder="1" applyAlignment="1">
      <alignment vertical="center" wrapText="1" shrinkToFit="1"/>
    </xf>
    <xf numFmtId="0" fontId="5" fillId="0" borderId="60" xfId="0" applyFont="1" applyBorder="1" applyAlignment="1">
      <alignment horizontal="center" vertical="center" shrinkToFit="1"/>
    </xf>
    <xf numFmtId="0" fontId="5" fillId="0" borderId="54" xfId="0" applyFont="1" applyBorder="1" applyAlignment="1">
      <alignment vertical="center" wrapText="1" shrinkToFit="1"/>
    </xf>
    <xf numFmtId="0" fontId="5" fillId="0" borderId="51" xfId="0" applyFont="1" applyBorder="1" applyAlignment="1">
      <alignment vertical="center" wrapText="1" shrinkToFit="1"/>
    </xf>
    <xf numFmtId="0" fontId="5" fillId="0" borderId="51" xfId="0" applyFont="1" applyBorder="1" applyAlignment="1">
      <alignment vertical="center" shrinkToFit="1"/>
    </xf>
    <xf numFmtId="0" fontId="5" fillId="0" borderId="54" xfId="0" applyFont="1" applyBorder="1" applyAlignment="1">
      <alignment vertical="center"/>
    </xf>
    <xf numFmtId="0" fontId="5" fillId="0" borderId="54" xfId="0" applyFont="1" applyBorder="1" applyAlignment="1">
      <alignment vertical="center" shrinkToFit="1"/>
    </xf>
    <xf numFmtId="0" fontId="5" fillId="0" borderId="51" xfId="0" applyFont="1" applyBorder="1" applyAlignment="1">
      <alignment vertical="center" wrapText="1"/>
    </xf>
    <xf numFmtId="0" fontId="5" fillId="10" borderId="3" xfId="0" applyFont="1" applyFill="1" applyBorder="1" applyAlignment="1">
      <alignment horizontal="center" vertical="center" shrinkToFit="1"/>
    </xf>
    <xf numFmtId="0" fontId="5" fillId="0" borderId="56" xfId="0" applyFont="1" applyBorder="1" applyAlignment="1">
      <alignment vertical="center" shrinkToFit="1"/>
    </xf>
    <xf numFmtId="0" fontId="5" fillId="0" borderId="55" xfId="0" applyFont="1" applyBorder="1" applyAlignment="1">
      <alignment horizontal="center" vertical="center" shrinkToFit="1"/>
    </xf>
    <xf numFmtId="0" fontId="5" fillId="0" borderId="56" xfId="0" applyFont="1" applyBorder="1" applyAlignment="1">
      <alignment horizontal="center" vertical="center" shrinkToFit="1"/>
    </xf>
    <xf numFmtId="0" fontId="42" fillId="0" borderId="0" xfId="0" applyFont="1" applyAlignment="1">
      <alignment vertical="center"/>
    </xf>
    <xf numFmtId="0" fontId="5" fillId="0" borderId="49" xfId="0" applyFont="1" applyBorder="1" applyAlignment="1">
      <alignment vertical="center" shrinkToFit="1"/>
    </xf>
    <xf numFmtId="0" fontId="5" fillId="0" borderId="27" xfId="0" applyFont="1" applyBorder="1" applyAlignment="1">
      <alignment vertical="center" wrapText="1" shrinkToFit="1"/>
    </xf>
    <xf numFmtId="0" fontId="5" fillId="0" borderId="16" xfId="0" applyFont="1" applyBorder="1" applyAlignment="1">
      <alignment vertical="center" shrinkToFit="1"/>
    </xf>
    <xf numFmtId="0" fontId="5" fillId="0" borderId="16"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60" xfId="0" applyFont="1" applyBorder="1" applyAlignment="1">
      <alignment vertical="center" wrapText="1"/>
    </xf>
    <xf numFmtId="0" fontId="5" fillId="0" borderId="54" xfId="0" applyFont="1" applyBorder="1" applyAlignment="1">
      <alignment horizontal="center" vertical="top" shrinkToFit="1"/>
    </xf>
    <xf numFmtId="0" fontId="5" fillId="0" borderId="51" xfId="0" applyFont="1" applyBorder="1" applyAlignment="1">
      <alignment horizontal="center" vertical="top" shrinkToFit="1"/>
    </xf>
    <xf numFmtId="0" fontId="5" fillId="0" borderId="56" xfId="0" applyFont="1" applyBorder="1" applyAlignment="1">
      <alignment vertical="center" wrapText="1" shrinkToFit="1"/>
    </xf>
    <xf numFmtId="0" fontId="5" fillId="0" borderId="55" xfId="0" applyFont="1" applyBorder="1" applyAlignment="1">
      <alignment vertical="center" wrapText="1" shrinkToFit="1"/>
    </xf>
    <xf numFmtId="0" fontId="5" fillId="0" borderId="45" xfId="0" applyFont="1" applyBorder="1" applyAlignment="1">
      <alignment horizontal="center" vertical="center" shrinkToFit="1"/>
    </xf>
    <xf numFmtId="0" fontId="5" fillId="0" borderId="34" xfId="0" applyFont="1" applyBorder="1" applyAlignment="1">
      <alignment horizontal="center" vertical="center" shrinkToFit="1"/>
    </xf>
    <xf numFmtId="0" fontId="5" fillId="0" borderId="45" xfId="0" applyFont="1" applyBorder="1" applyAlignment="1">
      <alignment vertical="center" shrinkToFit="1"/>
    </xf>
    <xf numFmtId="0" fontId="5" fillId="0" borderId="34" xfId="0" applyFont="1" applyBorder="1" applyAlignment="1">
      <alignment vertical="center" shrinkToFit="1"/>
    </xf>
    <xf numFmtId="0" fontId="13" fillId="0" borderId="54" xfId="0" applyFont="1" applyBorder="1" applyAlignment="1">
      <alignment vertical="center" wrapText="1" shrinkToFit="1"/>
    </xf>
    <xf numFmtId="0" fontId="5" fillId="0" borderId="60" xfId="0" applyFont="1" applyBorder="1" applyAlignment="1">
      <alignment vertical="center" shrinkToFit="1"/>
    </xf>
    <xf numFmtId="0" fontId="5" fillId="0" borderId="251" xfId="0" applyFont="1" applyBorder="1" applyAlignment="1">
      <alignment horizontal="center" vertical="center" shrinkToFit="1"/>
    </xf>
    <xf numFmtId="0" fontId="5" fillId="0" borderId="27" xfId="0" applyFont="1" applyBorder="1" applyAlignment="1">
      <alignment vertical="center" shrinkToFit="1"/>
    </xf>
    <xf numFmtId="0" fontId="5" fillId="0" borderId="16" xfId="0" applyFont="1" applyBorder="1" applyAlignment="1">
      <alignment vertical="center" wrapText="1" shrinkToFit="1"/>
    </xf>
    <xf numFmtId="0" fontId="5" fillId="0" borderId="47" xfId="0" applyFont="1" applyBorder="1" applyAlignment="1">
      <alignment horizontal="center" vertical="center" shrinkToFit="1"/>
    </xf>
    <xf numFmtId="0" fontId="5" fillId="0" borderId="45" xfId="0" applyFont="1" applyBorder="1" applyAlignment="1">
      <alignment horizontal="center" vertical="center" shrinkToFit="1"/>
    </xf>
    <xf numFmtId="0" fontId="5" fillId="9" borderId="0" xfId="0" applyFont="1" applyFill="1" applyAlignment="1">
      <alignment vertical="top" shrinkToFit="1"/>
    </xf>
    <xf numFmtId="0" fontId="5" fillId="2" borderId="0" xfId="0" applyFont="1" applyFill="1" applyAlignment="1">
      <alignment vertical="top" shrinkToFit="1"/>
    </xf>
    <xf numFmtId="0" fontId="132" fillId="0" borderId="17" xfId="0" applyFont="1" applyBorder="1" applyAlignment="1">
      <alignment horizontal="center" vertical="center"/>
    </xf>
    <xf numFmtId="0" fontId="120" fillId="0" borderId="0" xfId="0" applyFont="1" applyAlignment="1">
      <alignment vertical="center"/>
    </xf>
    <xf numFmtId="0" fontId="120" fillId="0" borderId="0" xfId="0" applyFont="1" applyAlignment="1">
      <alignment vertical="top"/>
    </xf>
    <xf numFmtId="0" fontId="120" fillId="0" borderId="29" xfId="0" applyFont="1" applyBorder="1" applyAlignment="1">
      <alignment vertical="top"/>
    </xf>
    <xf numFmtId="0" fontId="95" fillId="20" borderId="0" xfId="0" applyFont="1" applyFill="1" applyAlignment="1">
      <alignment horizontal="right" vertical="top"/>
    </xf>
    <xf numFmtId="0" fontId="18" fillId="9" borderId="3" xfId="0" applyFont="1" applyFill="1" applyBorder="1" applyAlignment="1">
      <alignment vertical="center" shrinkToFit="1"/>
    </xf>
    <xf numFmtId="0" fontId="18" fillId="9" borderId="4" xfId="0" applyFont="1" applyFill="1" applyBorder="1" applyAlignment="1">
      <alignment vertical="center" shrinkToFit="1"/>
    </xf>
    <xf numFmtId="0" fontId="18" fillId="9" borderId="16" xfId="0" applyFont="1" applyFill="1" applyBorder="1" applyAlignment="1">
      <alignment vertical="center" shrinkToFit="1"/>
    </xf>
    <xf numFmtId="0" fontId="18" fillId="9" borderId="5" xfId="0" applyFont="1" applyFill="1" applyBorder="1" applyAlignment="1">
      <alignment vertical="center" shrinkToFit="1"/>
    </xf>
    <xf numFmtId="0" fontId="18" fillId="9" borderId="17" xfId="0" applyFont="1" applyFill="1" applyBorder="1" applyAlignment="1">
      <alignment vertical="center" shrinkToFit="1"/>
    </xf>
    <xf numFmtId="0" fontId="18" fillId="9" borderId="28" xfId="0" applyFont="1" applyFill="1" applyBorder="1" applyAlignment="1">
      <alignment vertical="center" shrinkToFit="1"/>
    </xf>
    <xf numFmtId="0" fontId="95" fillId="19" borderId="56" xfId="0" applyFont="1" applyFill="1" applyBorder="1" applyAlignment="1">
      <alignment horizontal="center" vertical="center" shrinkToFit="1"/>
    </xf>
    <xf numFmtId="0" fontId="18" fillId="19" borderId="56" xfId="0" applyFont="1" applyFill="1" applyBorder="1" applyAlignment="1">
      <alignment vertical="center" shrinkToFit="1"/>
    </xf>
    <xf numFmtId="0" fontId="18" fillId="19" borderId="27" xfId="0" applyFont="1" applyFill="1" applyBorder="1" applyAlignment="1">
      <alignment vertical="center" shrinkToFit="1"/>
    </xf>
    <xf numFmtId="0" fontId="18" fillId="9" borderId="0" xfId="0" applyFont="1" applyFill="1" applyAlignment="1">
      <alignment vertical="center" shrinkToFit="1"/>
    </xf>
    <xf numFmtId="0" fontId="18" fillId="19" borderId="25" xfId="0" applyFont="1" applyFill="1" applyBorder="1" applyAlignment="1">
      <alignment vertical="center" shrinkToFit="1"/>
    </xf>
    <xf numFmtId="0" fontId="18" fillId="9" borderId="28" xfId="0" applyFont="1" applyFill="1" applyBorder="1" applyAlignment="1">
      <alignment horizontal="center" vertical="center" shrinkToFit="1"/>
    </xf>
    <xf numFmtId="0" fontId="18" fillId="19" borderId="1" xfId="0" applyFont="1" applyFill="1" applyBorder="1" applyAlignment="1">
      <alignment vertical="center" shrinkToFit="1"/>
    </xf>
    <xf numFmtId="0" fontId="18" fillId="19" borderId="29" xfId="0" applyFont="1" applyFill="1" applyBorder="1" applyAlignment="1">
      <alignment vertical="center" shrinkToFit="1"/>
    </xf>
    <xf numFmtId="0" fontId="18" fillId="9" borderId="34" xfId="0" applyFont="1" applyFill="1" applyBorder="1" applyAlignment="1">
      <alignment vertical="center" shrinkToFit="1"/>
    </xf>
    <xf numFmtId="0" fontId="18" fillId="19" borderId="25" xfId="0" applyFont="1" applyFill="1" applyBorder="1" applyAlignment="1">
      <alignment horizontal="center" vertical="center" shrinkToFit="1"/>
    </xf>
    <xf numFmtId="0" fontId="18" fillId="19" borderId="28" xfId="0" applyFont="1" applyFill="1" applyBorder="1" applyAlignment="1">
      <alignment horizontal="center" vertical="center" shrinkToFit="1"/>
    </xf>
    <xf numFmtId="0" fontId="18" fillId="19" borderId="45" xfId="0" applyFont="1" applyFill="1" applyBorder="1" applyAlignment="1">
      <alignment horizontal="center" vertical="center" shrinkToFit="1"/>
    </xf>
    <xf numFmtId="0" fontId="18" fillId="9" borderId="27" xfId="0" applyFont="1" applyFill="1" applyBorder="1" applyAlignment="1">
      <alignment vertical="center" shrinkToFit="1"/>
    </xf>
    <xf numFmtId="0" fontId="18" fillId="19" borderId="0" xfId="0" applyFont="1" applyFill="1" applyAlignment="1">
      <alignment horizontal="center" vertical="center" shrinkToFit="1"/>
    </xf>
    <xf numFmtId="0" fontId="18" fillId="19" borderId="15" xfId="0" applyFont="1" applyFill="1" applyBorder="1" applyAlignment="1">
      <alignment horizontal="center" vertical="center" shrinkToFit="1"/>
    </xf>
    <xf numFmtId="0" fontId="131" fillId="20" borderId="54" xfId="0" applyFont="1" applyFill="1" applyBorder="1" applyAlignment="1">
      <alignment vertical="center" shrinkToFit="1"/>
    </xf>
    <xf numFmtId="0" fontId="5" fillId="20" borderId="51" xfId="0" applyFont="1" applyFill="1" applyBorder="1" applyAlignment="1">
      <alignment vertical="center" shrinkToFit="1"/>
    </xf>
    <xf numFmtId="0" fontId="131" fillId="20" borderId="51" xfId="0" applyFont="1" applyFill="1" applyBorder="1" applyAlignment="1">
      <alignment horizontal="center" vertical="center" shrinkToFit="1"/>
    </xf>
    <xf numFmtId="0" fontId="131" fillId="20" borderId="54" xfId="0" applyFont="1" applyFill="1" applyBorder="1" applyAlignment="1">
      <alignment horizontal="center" vertical="center" shrinkToFit="1"/>
    </xf>
    <xf numFmtId="0" fontId="5" fillId="20" borderId="51" xfId="0" applyFont="1" applyFill="1" applyBorder="1" applyAlignment="1">
      <alignment horizontal="center" vertical="center" shrinkToFit="1"/>
    </xf>
    <xf numFmtId="0" fontId="5" fillId="20" borderId="54" xfId="0" applyFont="1" applyFill="1" applyBorder="1" applyAlignment="1">
      <alignment horizontal="center" vertical="center" shrinkToFit="1"/>
    </xf>
    <xf numFmtId="0" fontId="131" fillId="20" borderId="51" xfId="0" applyFont="1" applyFill="1" applyBorder="1" applyAlignment="1">
      <alignment vertical="center" shrinkToFit="1"/>
    </xf>
    <xf numFmtId="0" fontId="5" fillId="0" borderId="54" xfId="0" applyFont="1" applyBorder="1" applyAlignment="1">
      <alignment horizontal="left" vertical="center" shrinkToFit="1"/>
    </xf>
    <xf numFmtId="0" fontId="5" fillId="0" borderId="54" xfId="0" applyFont="1" applyBorder="1" applyAlignment="1">
      <alignment horizontal="left" vertical="center" wrapText="1"/>
    </xf>
    <xf numFmtId="0" fontId="5" fillId="0" borderId="27" xfId="0" applyFont="1" applyBorder="1" applyAlignment="1">
      <alignment horizontal="left" vertical="center" shrinkToFit="1"/>
    </xf>
    <xf numFmtId="0" fontId="5" fillId="9" borderId="60" xfId="0" applyFont="1" applyFill="1" applyBorder="1" applyAlignment="1">
      <alignment horizontal="left" vertical="center" shrinkToFit="1"/>
    </xf>
    <xf numFmtId="0" fontId="5" fillId="9" borderId="54" xfId="0" applyFont="1" applyFill="1" applyBorder="1" applyAlignment="1">
      <alignment horizontal="left" vertical="center" shrinkToFit="1"/>
    </xf>
    <xf numFmtId="0" fontId="5" fillId="9" borderId="54" xfId="0" applyFont="1" applyFill="1" applyBorder="1" applyAlignment="1">
      <alignment horizontal="left" vertical="center" wrapText="1"/>
    </xf>
    <xf numFmtId="0" fontId="5" fillId="9" borderId="56" xfId="0" applyFont="1" applyFill="1" applyBorder="1" applyAlignment="1">
      <alignment horizontal="left" vertical="center" shrinkToFit="1"/>
    </xf>
    <xf numFmtId="0" fontId="5" fillId="9" borderId="27" xfId="0" applyFont="1" applyFill="1" applyBorder="1" applyAlignment="1">
      <alignment horizontal="left" vertical="center" shrinkToFit="1"/>
    </xf>
    <xf numFmtId="0" fontId="117" fillId="0" borderId="54" xfId="0" applyFont="1" applyBorder="1" applyAlignment="1">
      <alignment horizontal="left" vertical="center" shrinkToFit="1"/>
    </xf>
    <xf numFmtId="0" fontId="5" fillId="0" borderId="51" xfId="0" applyFont="1" applyFill="1" applyBorder="1" applyAlignment="1">
      <alignment horizontal="center" vertical="center" shrinkToFit="1"/>
    </xf>
    <xf numFmtId="0" fontId="5" fillId="0" borderId="28" xfId="0" applyFont="1" applyBorder="1" applyAlignment="1">
      <alignment vertical="center" wrapText="1"/>
    </xf>
    <xf numFmtId="0" fontId="133" fillId="0" borderId="28" xfId="23" applyFont="1" applyFill="1" applyBorder="1" applyAlignment="1">
      <alignment vertical="center" wrapText="1"/>
    </xf>
    <xf numFmtId="0" fontId="37" fillId="0" borderId="28" xfId="23" applyFont="1" applyFill="1" applyBorder="1" applyAlignment="1">
      <alignment vertical="center" wrapText="1"/>
    </xf>
    <xf numFmtId="0" fontId="133" fillId="0" borderId="45" xfId="23" applyFont="1" applyFill="1" applyBorder="1" applyAlignment="1">
      <alignment vertical="center" wrapText="1"/>
    </xf>
    <xf numFmtId="0" fontId="18" fillId="9" borderId="56" xfId="0" applyFont="1" applyFill="1" applyBorder="1" applyAlignment="1">
      <alignment horizontal="center" vertical="center" shrinkToFit="1"/>
    </xf>
    <xf numFmtId="0" fontId="4" fillId="0" borderId="0" xfId="0" applyFont="1" applyAlignment="1">
      <alignment horizontal="left" vertical="center"/>
    </xf>
    <xf numFmtId="0" fontId="0" fillId="0" borderId="0" xfId="0" applyAlignment="1">
      <alignment horizontal="center" vertical="center"/>
    </xf>
    <xf numFmtId="0" fontId="4" fillId="0" borderId="17" xfId="0" applyFont="1" applyBorder="1" applyAlignment="1">
      <alignment horizontal="left" vertical="center" wrapText="1"/>
    </xf>
    <xf numFmtId="0" fontId="4" fillId="0" borderId="29" xfId="0" applyFont="1" applyBorder="1" applyAlignment="1">
      <alignment horizontal="center" vertical="center"/>
    </xf>
    <xf numFmtId="0" fontId="4" fillId="0" borderId="17" xfId="0" applyFont="1" applyBorder="1" applyAlignment="1">
      <alignment horizontal="left" vertical="center"/>
    </xf>
    <xf numFmtId="0" fontId="4" fillId="0" borderId="17" xfId="0" applyFont="1" applyBorder="1" applyAlignment="1">
      <alignment vertical="center" wrapText="1"/>
    </xf>
    <xf numFmtId="0" fontId="4" fillId="0" borderId="29" xfId="0" applyFont="1" applyBorder="1" applyAlignment="1">
      <alignment vertical="center" wrapText="1"/>
    </xf>
    <xf numFmtId="0" fontId="5" fillId="0" borderId="60" xfId="0" applyFont="1" applyBorder="1" applyAlignment="1">
      <alignment horizontal="left" vertical="center" wrapText="1" shrinkToFit="1"/>
    </xf>
    <xf numFmtId="0" fontId="95" fillId="19" borderId="56" xfId="0" applyFont="1" applyFill="1" applyBorder="1" applyAlignment="1">
      <alignment horizontal="left" vertical="center" wrapText="1" shrinkToFit="1"/>
    </xf>
    <xf numFmtId="0" fontId="95" fillId="19" borderId="28" xfId="0" applyFont="1" applyFill="1" applyBorder="1" applyAlignment="1">
      <alignment horizontal="left" vertical="center" wrapText="1" shrinkToFit="1"/>
    </xf>
    <xf numFmtId="0" fontId="95" fillId="19" borderId="27" xfId="0" applyFont="1" applyFill="1" applyBorder="1" applyAlignment="1">
      <alignment horizontal="left" vertical="center" wrapText="1" shrinkToFit="1"/>
    </xf>
    <xf numFmtId="0" fontId="18" fillId="19" borderId="25" xfId="0" applyFont="1" applyFill="1" applyBorder="1" applyAlignment="1">
      <alignment vertical="center" wrapText="1"/>
    </xf>
    <xf numFmtId="0" fontId="18" fillId="19" borderId="28" xfId="0" applyFont="1" applyFill="1" applyBorder="1" applyAlignment="1">
      <alignment vertical="center" wrapText="1"/>
    </xf>
    <xf numFmtId="0" fontId="95" fillId="19" borderId="28" xfId="0" applyFont="1" applyFill="1" applyBorder="1" applyAlignment="1">
      <alignment vertical="center" wrapText="1"/>
    </xf>
    <xf numFmtId="0" fontId="95" fillId="19" borderId="27" xfId="0" applyFont="1" applyFill="1" applyBorder="1" applyAlignment="1">
      <alignment vertical="center" wrapText="1"/>
    </xf>
    <xf numFmtId="0" fontId="18" fillId="10" borderId="0" xfId="0" applyFont="1" applyFill="1" applyAlignment="1">
      <alignment vertical="top" wrapText="1"/>
    </xf>
    <xf numFmtId="0" fontId="95" fillId="9" borderId="4" xfId="0" applyFont="1" applyFill="1" applyBorder="1" applyAlignment="1">
      <alignment vertical="center" wrapText="1"/>
    </xf>
    <xf numFmtId="0" fontId="95" fillId="9" borderId="5" xfId="0" applyFont="1" applyFill="1" applyBorder="1" applyAlignment="1">
      <alignment vertical="center" wrapText="1"/>
    </xf>
    <xf numFmtId="0" fontId="18" fillId="19" borderId="56" xfId="0" applyFont="1" applyFill="1" applyBorder="1" applyAlignment="1">
      <alignment vertical="center" wrapText="1"/>
    </xf>
    <xf numFmtId="0" fontId="0" fillId="19" borderId="28" xfId="0" applyFill="1" applyBorder="1" applyAlignment="1">
      <alignment vertical="center" wrapText="1"/>
    </xf>
    <xf numFmtId="0" fontId="0" fillId="19" borderId="27" xfId="0" applyFill="1" applyBorder="1" applyAlignment="1">
      <alignment vertical="center" wrapText="1"/>
    </xf>
    <xf numFmtId="0" fontId="18" fillId="9" borderId="17" xfId="0" applyFont="1" applyFill="1" applyBorder="1" applyAlignment="1">
      <alignment vertical="center" shrinkToFit="1"/>
    </xf>
    <xf numFmtId="0" fontId="18" fillId="9" borderId="0" xfId="0" applyFont="1" applyFill="1" applyAlignment="1">
      <alignment vertical="center" shrinkToFit="1"/>
    </xf>
    <xf numFmtId="0" fontId="18" fillId="9" borderId="55" xfId="0" applyFont="1" applyFill="1" applyBorder="1" applyAlignment="1">
      <alignment vertical="center" wrapText="1"/>
    </xf>
    <xf numFmtId="0" fontId="18" fillId="9" borderId="16" xfId="0" applyFont="1" applyFill="1" applyBorder="1" applyAlignment="1">
      <alignment vertical="center" wrapText="1"/>
    </xf>
    <xf numFmtId="0" fontId="18" fillId="19" borderId="3" xfId="0" applyFont="1" applyFill="1" applyBorder="1" applyAlignment="1">
      <alignment vertical="center" wrapText="1"/>
    </xf>
    <xf numFmtId="0" fontId="0" fillId="19" borderId="17" xfId="0" applyFill="1" applyBorder="1" applyAlignment="1">
      <alignment vertical="center" wrapText="1"/>
    </xf>
    <xf numFmtId="0" fontId="0" fillId="19" borderId="34" xfId="0" applyFill="1" applyBorder="1" applyAlignment="1">
      <alignment vertical="center" wrapText="1"/>
    </xf>
    <xf numFmtId="0" fontId="95" fillId="19" borderId="29" xfId="0" applyFont="1" applyFill="1" applyBorder="1" applyAlignment="1">
      <alignment vertical="center" wrapText="1"/>
    </xf>
    <xf numFmtId="0" fontId="18" fillId="9" borderId="28" xfId="0" applyFont="1" applyFill="1" applyBorder="1" applyAlignment="1">
      <alignment horizontal="center" vertical="center" wrapText="1" shrinkToFit="1"/>
    </xf>
    <xf numFmtId="0" fontId="18" fillId="9" borderId="25" xfId="0" applyFont="1" applyFill="1" applyBorder="1" applyAlignment="1">
      <alignment horizontal="left" vertical="center" wrapText="1" shrinkToFit="1"/>
    </xf>
    <xf numFmtId="0" fontId="18" fillId="9" borderId="28" xfId="0" applyFont="1" applyFill="1" applyBorder="1" applyAlignment="1">
      <alignment horizontal="left" vertical="center" shrinkToFit="1"/>
    </xf>
    <xf numFmtId="0" fontId="18" fillId="9" borderId="27" xfId="0" applyFont="1" applyFill="1" applyBorder="1" applyAlignment="1">
      <alignment horizontal="left" vertical="center" shrinkToFit="1"/>
    </xf>
    <xf numFmtId="0" fontId="18" fillId="9" borderId="25" xfId="0" applyFont="1" applyFill="1" applyBorder="1" applyAlignment="1">
      <alignment horizontal="left" vertical="center" shrinkToFit="1"/>
    </xf>
    <xf numFmtId="0" fontId="18" fillId="9" borderId="25" xfId="0" applyFont="1" applyFill="1" applyBorder="1" applyAlignment="1">
      <alignment horizontal="center" vertical="center" wrapText="1" shrinkToFit="1"/>
    </xf>
    <xf numFmtId="0" fontId="18" fillId="9" borderId="27" xfId="0" applyFont="1" applyFill="1" applyBorder="1" applyAlignment="1">
      <alignment horizontal="center" vertical="center" wrapText="1" shrinkToFit="1"/>
    </xf>
    <xf numFmtId="0" fontId="54" fillId="7" borderId="0" xfId="0" applyFont="1" applyFill="1" applyAlignment="1">
      <alignment vertical="top"/>
    </xf>
    <xf numFmtId="0" fontId="52" fillId="7" borderId="3" xfId="0" applyFont="1" applyFill="1" applyBorder="1" applyAlignment="1">
      <alignment horizontal="center" vertical="center" shrinkToFit="1"/>
    </xf>
    <xf numFmtId="0" fontId="52" fillId="7" borderId="1" xfId="0" applyFont="1" applyFill="1" applyBorder="1" applyAlignment="1">
      <alignment horizontal="center" vertical="center" shrinkToFit="1"/>
    </xf>
    <xf numFmtId="0" fontId="18" fillId="9" borderId="45" xfId="0" applyFont="1" applyFill="1" applyBorder="1" applyAlignment="1">
      <alignment horizontal="left" vertical="center" shrinkToFit="1"/>
    </xf>
    <xf numFmtId="0" fontId="5" fillId="2" borderId="0" xfId="0" applyFont="1" applyFill="1" applyAlignment="1">
      <alignment vertical="top"/>
    </xf>
    <xf numFmtId="0" fontId="5" fillId="2" borderId="0" xfId="0" applyFont="1" applyFill="1" applyAlignment="1">
      <alignment vertical="top" shrinkToFit="1"/>
    </xf>
    <xf numFmtId="0" fontId="5" fillId="0" borderId="56" xfId="0" applyFont="1" applyBorder="1" applyAlignment="1">
      <alignment horizontal="left" vertical="center" shrinkToFit="1"/>
    </xf>
    <xf numFmtId="0" fontId="5" fillId="0" borderId="28" xfId="0" applyFont="1" applyBorder="1" applyAlignment="1">
      <alignment horizontal="left" vertical="center" shrinkToFit="1"/>
    </xf>
    <xf numFmtId="0" fontId="5" fillId="0" borderId="45" xfId="0" applyFont="1" applyBorder="1" applyAlignment="1">
      <alignment horizontal="left" vertical="center" shrinkToFit="1"/>
    </xf>
    <xf numFmtId="0" fontId="5" fillId="9" borderId="0" xfId="0" applyFont="1" applyFill="1" applyAlignment="1">
      <alignment vertical="top"/>
    </xf>
    <xf numFmtId="0" fontId="5" fillId="0" borderId="56"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45" xfId="0" applyFont="1" applyBorder="1" applyAlignment="1">
      <alignment horizontal="center" vertical="center" shrinkToFit="1"/>
    </xf>
    <xf numFmtId="0" fontId="5" fillId="10" borderId="56" xfId="0" applyFont="1" applyFill="1" applyBorder="1" applyAlignment="1">
      <alignment horizontal="left" vertical="center" shrinkToFit="1"/>
    </xf>
    <xf numFmtId="0" fontId="5" fillId="10" borderId="28" xfId="0" applyFont="1" applyFill="1" applyBorder="1" applyAlignment="1">
      <alignment horizontal="left" vertical="center" shrinkToFit="1"/>
    </xf>
    <xf numFmtId="0" fontId="5" fillId="10" borderId="45" xfId="0" applyFont="1" applyFill="1" applyBorder="1" applyAlignment="1">
      <alignment horizontal="left" vertical="center" shrinkToFit="1"/>
    </xf>
    <xf numFmtId="0" fontId="5" fillId="0" borderId="56" xfId="0" applyFont="1" applyBorder="1" applyAlignment="1">
      <alignment horizontal="left" vertical="center" wrapText="1" shrinkToFit="1"/>
    </xf>
    <xf numFmtId="0" fontId="5" fillId="0" borderId="28" xfId="0" applyFont="1" applyBorder="1" applyAlignment="1">
      <alignment horizontal="left" vertical="center" wrapText="1" shrinkToFit="1"/>
    </xf>
    <xf numFmtId="0" fontId="5" fillId="0" borderId="45" xfId="0" applyFont="1" applyBorder="1" applyAlignment="1">
      <alignment horizontal="left" vertical="center" wrapText="1" shrinkToFit="1"/>
    </xf>
    <xf numFmtId="0" fontId="5" fillId="10" borderId="56" xfId="0" applyFont="1" applyFill="1" applyBorder="1" applyAlignment="1">
      <alignment horizontal="left" vertical="center"/>
    </xf>
    <xf numFmtId="0" fontId="5" fillId="10" borderId="28" xfId="0" applyFont="1" applyFill="1" applyBorder="1" applyAlignment="1">
      <alignment horizontal="left" vertical="center"/>
    </xf>
    <xf numFmtId="0" fontId="5" fillId="10" borderId="45" xfId="0" applyFont="1" applyFill="1" applyBorder="1" applyAlignment="1">
      <alignment horizontal="left" vertical="center"/>
    </xf>
    <xf numFmtId="0" fontId="5" fillId="10" borderId="25" xfId="0" applyFont="1" applyFill="1" applyBorder="1" applyAlignment="1">
      <alignment horizontal="center" vertical="top" textRotation="255" wrapText="1"/>
    </xf>
    <xf numFmtId="0" fontId="5" fillId="10" borderId="28" xfId="0" applyFont="1" applyFill="1" applyBorder="1" applyAlignment="1">
      <alignment horizontal="center" vertical="top" textRotation="255" wrapText="1"/>
    </xf>
    <xf numFmtId="0" fontId="5" fillId="10" borderId="27" xfId="0" applyFont="1" applyFill="1" applyBorder="1" applyAlignment="1">
      <alignment horizontal="center" vertical="top" textRotation="255" wrapText="1"/>
    </xf>
    <xf numFmtId="0" fontId="5" fillId="9" borderId="0" xfId="0" applyFont="1" applyFill="1" applyAlignment="1">
      <alignment vertical="top" shrinkToFit="1"/>
    </xf>
    <xf numFmtId="0" fontId="5" fillId="10" borderId="3" xfId="0" applyFont="1" applyFill="1" applyBorder="1" applyAlignment="1">
      <alignment vertical="top" textRotation="255" wrapText="1"/>
    </xf>
    <xf numFmtId="0" fontId="5" fillId="10" borderId="17" xfId="0" applyFont="1" applyFill="1" applyBorder="1" applyAlignment="1">
      <alignment vertical="top" textRotation="255" wrapText="1"/>
    </xf>
    <xf numFmtId="0" fontId="5" fillId="10" borderId="16" xfId="0" applyFont="1" applyFill="1" applyBorder="1" applyAlignment="1">
      <alignment vertical="top" textRotation="255" wrapText="1"/>
    </xf>
    <xf numFmtId="0" fontId="124" fillId="10" borderId="25" xfId="0" applyFont="1" applyFill="1" applyBorder="1" applyAlignment="1">
      <alignment vertical="center" wrapText="1"/>
    </xf>
    <xf numFmtId="0" fontId="124" fillId="10" borderId="28" xfId="0" applyFont="1" applyFill="1" applyBorder="1" applyAlignment="1">
      <alignment vertical="center"/>
    </xf>
    <xf numFmtId="0" fontId="124" fillId="10" borderId="27" xfId="0" applyFont="1" applyFill="1" applyBorder="1" applyAlignment="1">
      <alignment vertical="center"/>
    </xf>
    <xf numFmtId="0" fontId="5" fillId="10" borderId="25" xfId="0" applyFont="1" applyFill="1" applyBorder="1" applyAlignment="1">
      <alignment vertical="top" textRotation="255" wrapText="1"/>
    </xf>
    <xf numFmtId="0" fontId="5" fillId="10" borderId="28" xfId="0" applyFont="1" applyFill="1" applyBorder="1" applyAlignment="1">
      <alignment vertical="top" textRotation="255" wrapText="1"/>
    </xf>
    <xf numFmtId="0" fontId="5" fillId="10" borderId="27" xfId="0" applyFont="1" applyFill="1" applyBorder="1" applyAlignment="1">
      <alignment vertical="top" textRotation="255" wrapText="1"/>
    </xf>
    <xf numFmtId="0" fontId="14" fillId="10" borderId="25" xfId="0" applyFont="1" applyFill="1" applyBorder="1" applyAlignment="1">
      <alignment vertical="top" textRotation="255" wrapText="1"/>
    </xf>
    <xf numFmtId="0" fontId="14" fillId="10" borderId="28" xfId="0" applyFont="1" applyFill="1" applyBorder="1" applyAlignment="1">
      <alignment vertical="top" textRotation="255" wrapText="1"/>
    </xf>
    <xf numFmtId="0" fontId="14" fillId="10" borderId="27" xfId="0" applyFont="1" applyFill="1" applyBorder="1" applyAlignment="1">
      <alignment vertical="top" textRotation="255" wrapText="1"/>
    </xf>
    <xf numFmtId="0" fontId="13" fillId="10" borderId="25" xfId="0" applyFont="1" applyFill="1" applyBorder="1" applyAlignment="1">
      <alignment horizontal="center" vertical="top" textRotation="255" wrapText="1"/>
    </xf>
    <xf numFmtId="0" fontId="13" fillId="10" borderId="28" xfId="0" applyFont="1" applyFill="1" applyBorder="1" applyAlignment="1">
      <alignment horizontal="center" vertical="top" textRotation="255" wrapText="1"/>
    </xf>
    <xf numFmtId="0" fontId="13" fillId="10" borderId="27" xfId="0" applyFont="1" applyFill="1" applyBorder="1" applyAlignment="1">
      <alignment horizontal="center" vertical="top" textRotation="255" wrapText="1"/>
    </xf>
    <xf numFmtId="0" fontId="14" fillId="10" borderId="25" xfId="0" applyFont="1" applyFill="1" applyBorder="1" applyAlignment="1">
      <alignment horizontal="center" vertical="top" textRotation="255" wrapText="1"/>
    </xf>
    <xf numFmtId="0" fontId="14" fillId="10" borderId="28" xfId="0" applyFont="1" applyFill="1" applyBorder="1" applyAlignment="1">
      <alignment horizontal="center" vertical="top" textRotation="255" wrapText="1"/>
    </xf>
    <xf numFmtId="0" fontId="14" fillId="10" borderId="27" xfId="0" applyFont="1" applyFill="1" applyBorder="1" applyAlignment="1">
      <alignment horizontal="center" vertical="top" textRotation="255" wrapText="1"/>
    </xf>
    <xf numFmtId="0" fontId="5" fillId="2" borderId="0" xfId="0" applyFont="1" applyFill="1" applyAlignment="1">
      <alignment horizontal="left" vertical="top"/>
    </xf>
    <xf numFmtId="0" fontId="4" fillId="0" borderId="13" xfId="0" applyFont="1" applyBorder="1" applyAlignment="1">
      <alignment horizontal="left" vertical="center"/>
    </xf>
    <xf numFmtId="0" fontId="4" fillId="0" borderId="0" xfId="0" applyFont="1" applyAlignment="1">
      <alignment horizontal="left" vertical="center"/>
    </xf>
    <xf numFmtId="0" fontId="4" fillId="0" borderId="125" xfId="0" applyFont="1" applyBorder="1" applyAlignment="1">
      <alignment horizontal="center" vertical="center" wrapText="1"/>
    </xf>
    <xf numFmtId="0" fontId="4" fillId="0" borderId="126"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wrapText="1"/>
    </xf>
    <xf numFmtId="0" fontId="4" fillId="0" borderId="122" xfId="0" applyFont="1" applyBorder="1" applyAlignment="1">
      <alignment horizontal="left" wrapText="1"/>
    </xf>
    <xf numFmtId="0" fontId="4" fillId="0" borderId="10" xfId="0" applyFont="1" applyBorder="1" applyAlignment="1">
      <alignment horizontal="center" wrapText="1"/>
    </xf>
    <xf numFmtId="0" fontId="4" fillId="0" borderId="122"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27"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27"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123"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47" xfId="0" applyFont="1" applyBorder="1" applyAlignment="1">
      <alignment horizontal="left" wrapText="1"/>
    </xf>
    <xf numFmtId="0" fontId="4" fillId="0" borderId="4" xfId="0" applyFont="1" applyBorder="1" applyAlignment="1">
      <alignment horizontal="center" wrapText="1"/>
    </xf>
    <xf numFmtId="0" fontId="4" fillId="0" borderId="123" xfId="0" applyFont="1" applyBorder="1" applyAlignment="1">
      <alignment horizontal="center" wrapText="1"/>
    </xf>
    <xf numFmtId="0" fontId="4" fillId="0" borderId="5" xfId="0" applyFont="1" applyBorder="1" applyAlignment="1">
      <alignment horizontal="center" wrapText="1"/>
    </xf>
    <xf numFmtId="0" fontId="4" fillId="0" borderId="148" xfId="0" applyFont="1" applyBorder="1" applyAlignment="1">
      <alignment horizontal="center" wrapText="1"/>
    </xf>
    <xf numFmtId="0" fontId="4" fillId="0" borderId="20" xfId="0" applyFont="1" applyBorder="1" applyAlignment="1">
      <alignment horizontal="left" wrapText="1"/>
    </xf>
    <xf numFmtId="0" fontId="4" fillId="0" borderId="1" xfId="0" applyFont="1" applyBorder="1" applyAlignment="1">
      <alignment horizontal="left"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122" xfId="0" applyBorder="1" applyAlignment="1">
      <alignment horizontal="left" shrinkToFit="1"/>
    </xf>
    <xf numFmtId="0" fontId="4" fillId="0" borderId="154"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xf>
    <xf numFmtId="0" fontId="4" fillId="0" borderId="150" xfId="0" applyFont="1" applyBorder="1" applyAlignment="1">
      <alignment horizontal="center"/>
    </xf>
    <xf numFmtId="0" fontId="4" fillId="0" borderId="15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148" xfId="0" applyBorder="1" applyAlignment="1">
      <alignment horizontal="left" shrinkToFit="1"/>
    </xf>
    <xf numFmtId="0" fontId="4" fillId="0" borderId="22" xfId="0" applyFont="1" applyBorder="1" applyAlignment="1">
      <alignment horizontal="center" wrapText="1"/>
    </xf>
    <xf numFmtId="0" fontId="4" fillId="0" borderId="121"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4" fillId="0" borderId="150" xfId="0" applyFont="1" applyBorder="1" applyAlignment="1">
      <alignment horizontal="left" wrapText="1"/>
    </xf>
    <xf numFmtId="0" fontId="0" fillId="0" borderId="150" xfId="0" applyBorder="1" applyAlignment="1">
      <alignment horizontal="left" wrapText="1"/>
    </xf>
    <xf numFmtId="0" fontId="0" fillId="0" borderId="151" xfId="0" applyBorder="1" applyAlignment="1">
      <alignment horizontal="left" wrapText="1"/>
    </xf>
    <xf numFmtId="0" fontId="4" fillId="0" borderId="152" xfId="0" applyFont="1" applyBorder="1" applyAlignment="1">
      <alignment horizontal="center" wrapText="1"/>
    </xf>
    <xf numFmtId="0" fontId="4" fillId="0" borderId="151" xfId="0" applyFont="1" applyBorder="1" applyAlignment="1">
      <alignment horizontal="center" wrapText="1"/>
    </xf>
    <xf numFmtId="0" fontId="4" fillId="0" borderId="150" xfId="0" applyFont="1" applyBorder="1" applyAlignment="1">
      <alignment horizontal="center" wrapText="1"/>
    </xf>
    <xf numFmtId="0" fontId="4" fillId="0" borderId="153" xfId="0" applyFont="1" applyBorder="1" applyAlignment="1">
      <alignment horizontal="center" wrapText="1"/>
    </xf>
    <xf numFmtId="0" fontId="5" fillId="0" borderId="150" xfId="0" applyFont="1" applyBorder="1" applyAlignment="1">
      <alignment horizontal="left" vertical="center" wrapText="1"/>
    </xf>
    <xf numFmtId="0" fontId="5" fillId="0" borderId="153" xfId="0" applyFont="1" applyBorder="1" applyAlignment="1">
      <alignment horizontal="left" vertical="center" wrapText="1"/>
    </xf>
    <xf numFmtId="0" fontId="0" fillId="0" borderId="7" xfId="0" applyBorder="1" applyAlignment="1">
      <alignment horizontal="left" wrapText="1"/>
    </xf>
    <xf numFmtId="0" fontId="0" fillId="0" borderId="122" xfId="0" applyBorder="1" applyAlignment="1">
      <alignment horizontal="left" wrapText="1"/>
    </xf>
    <xf numFmtId="0" fontId="4" fillId="0" borderId="149"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26" xfId="0" applyFont="1" applyBorder="1" applyAlignment="1">
      <alignment horizontal="left" vertical="center" wrapText="1"/>
    </xf>
    <xf numFmtId="0" fontId="4" fillId="0" borderId="12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18" xfId="0" applyFont="1" applyBorder="1" applyAlignment="1">
      <alignment horizontal="left" vertical="center" wrapText="1"/>
    </xf>
    <xf numFmtId="0" fontId="4" fillId="0" borderId="119" xfId="0" applyFont="1" applyBorder="1" applyAlignment="1">
      <alignment horizontal="left" vertical="center" wrapText="1"/>
    </xf>
    <xf numFmtId="0" fontId="5"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3" xfId="0" applyFont="1" applyBorder="1" applyAlignment="1">
      <alignment horizontal="left" vertical="center" wrapText="1"/>
    </xf>
    <xf numFmtId="0" fontId="4" fillId="0" borderId="133" xfId="0" applyFont="1" applyBorder="1" applyAlignment="1">
      <alignment horizontal="left" vertical="center" wrapText="1"/>
    </xf>
    <xf numFmtId="0" fontId="4" fillId="0" borderId="134" xfId="0" applyFont="1" applyBorder="1" applyAlignment="1">
      <alignment horizontal="left" vertical="center" wrapText="1"/>
    </xf>
    <xf numFmtId="0" fontId="4" fillId="0" borderId="135"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0" xfId="0" applyFont="1" applyAlignment="1">
      <alignment horizontal="center" vertical="center"/>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133" xfId="0" applyFont="1" applyBorder="1" applyAlignment="1">
      <alignment horizontal="left" vertical="center"/>
    </xf>
    <xf numFmtId="0" fontId="4" fillId="0" borderId="134" xfId="0" applyFont="1" applyBorder="1" applyAlignment="1">
      <alignment horizontal="left" vertical="center"/>
    </xf>
    <xf numFmtId="0" fontId="4" fillId="0" borderId="135"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29" xfId="0" applyFont="1" applyBorder="1" applyAlignment="1">
      <alignment horizontal="left" vertical="center" wrapText="1"/>
    </xf>
    <xf numFmtId="0" fontId="4" fillId="0" borderId="117" xfId="0" applyFont="1" applyBorder="1" applyAlignment="1">
      <alignment horizontal="justify" vertical="center" wrapText="1"/>
    </xf>
    <xf numFmtId="0" fontId="4" fillId="0" borderId="118" xfId="0" applyFont="1" applyBorder="1" applyAlignment="1">
      <alignment horizontal="justify" vertical="center" wrapText="1"/>
    </xf>
    <xf numFmtId="0" fontId="4" fillId="0" borderId="11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15" fillId="2" borderId="6"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126" xfId="0" applyFont="1" applyFill="1" applyBorder="1" applyAlignment="1">
      <alignment horizontal="center" vertical="center"/>
    </xf>
    <xf numFmtId="0" fontId="15" fillId="2" borderId="127"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0" xfId="0" applyFont="1" applyFill="1" applyAlignment="1">
      <alignment horizontal="center" vertical="center"/>
    </xf>
    <xf numFmtId="0" fontId="15" fillId="2" borderId="5" xfId="0" applyFont="1" applyFill="1" applyBorder="1" applyAlignment="1">
      <alignment horizontal="center" vertical="center"/>
    </xf>
    <xf numFmtId="0" fontId="3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7" fillId="0" borderId="2"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26"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102" xfId="0" applyFont="1" applyBorder="1" applyAlignment="1">
      <alignment horizontal="center" vertical="center"/>
    </xf>
    <xf numFmtId="0" fontId="37" fillId="0" borderId="103" xfId="0" applyFont="1" applyBorder="1" applyAlignment="1">
      <alignment horizontal="center" vertical="center" wrapText="1"/>
    </xf>
    <xf numFmtId="0" fontId="37" fillId="0" borderId="104" xfId="0" applyFont="1" applyBorder="1" applyAlignment="1">
      <alignment horizontal="center" vertical="center" wrapText="1"/>
    </xf>
    <xf numFmtId="0" fontId="37" fillId="0" borderId="105" xfId="0" applyFont="1" applyBorder="1" applyAlignment="1">
      <alignment horizontal="center" vertical="center" wrapText="1"/>
    </xf>
    <xf numFmtId="0" fontId="84" fillId="16" borderId="0" xfId="10" applyFill="1" applyAlignment="1">
      <alignment horizontal="center" vertical="center"/>
    </xf>
    <xf numFmtId="0" fontId="85" fillId="9" borderId="0" xfId="10" applyFont="1" applyFill="1" applyAlignment="1">
      <alignment horizontal="center" vertical="center"/>
    </xf>
    <xf numFmtId="0" fontId="84" fillId="16" borderId="5" xfId="10" applyFill="1" applyBorder="1" applyAlignment="1">
      <alignment horizontal="center" vertical="center" shrinkToFit="1"/>
    </xf>
    <xf numFmtId="0" fontId="84" fillId="16" borderId="7" xfId="10" applyFill="1" applyBorder="1" applyAlignment="1">
      <alignment horizontal="center" vertical="center" shrinkToFit="1"/>
    </xf>
    <xf numFmtId="0" fontId="86" fillId="9" borderId="0" xfId="10" applyFont="1" applyFill="1" applyAlignment="1">
      <alignment horizontal="left" vertical="center"/>
    </xf>
    <xf numFmtId="0" fontId="84" fillId="16" borderId="2" xfId="10" applyFill="1" applyBorder="1" applyAlignment="1">
      <alignment horizontal="center" vertical="center"/>
    </xf>
    <xf numFmtId="0" fontId="84" fillId="9" borderId="2" xfId="10" applyFill="1" applyBorder="1" applyAlignment="1">
      <alignment horizontal="center" vertical="center"/>
    </xf>
    <xf numFmtId="0" fontId="84" fillId="16" borderId="2" xfId="10" applyFill="1" applyBorder="1" applyAlignment="1">
      <alignment horizontal="center" vertical="center" shrinkToFit="1"/>
    </xf>
    <xf numFmtId="0" fontId="84" fillId="9" borderId="5" xfId="10" applyFill="1" applyBorder="1" applyAlignment="1">
      <alignment horizontal="left" vertical="center"/>
    </xf>
    <xf numFmtId="0" fontId="84" fillId="9" borderId="6" xfId="10" applyFill="1" applyBorder="1" applyAlignment="1">
      <alignment horizontal="center" vertical="center"/>
    </xf>
    <xf numFmtId="0" fontId="84" fillId="9" borderId="7" xfId="10" applyFill="1" applyBorder="1" applyAlignment="1">
      <alignment horizontal="center" vertical="center"/>
    </xf>
    <xf numFmtId="0" fontId="84" fillId="9" borderId="8" xfId="10" applyFill="1" applyBorder="1" applyAlignment="1">
      <alignment horizontal="center" vertical="center"/>
    </xf>
    <xf numFmtId="0" fontId="84" fillId="9" borderId="2" xfId="10" applyFill="1" applyBorder="1" applyAlignment="1">
      <alignment horizontal="center" vertical="center" wrapText="1"/>
    </xf>
    <xf numFmtId="0" fontId="114" fillId="9" borderId="2" xfId="10" applyFont="1" applyFill="1" applyBorder="1" applyAlignment="1">
      <alignment horizontal="center" vertical="top" wrapText="1"/>
    </xf>
    <xf numFmtId="0" fontId="84" fillId="9" borderId="2" xfId="10" applyFill="1" applyBorder="1" applyAlignment="1">
      <alignment horizontal="center" vertical="top" wrapText="1"/>
    </xf>
    <xf numFmtId="0" fontId="84" fillId="9" borderId="6" xfId="10" applyFill="1" applyBorder="1" applyAlignment="1">
      <alignment horizontal="center" vertical="center" wrapText="1"/>
    </xf>
    <xf numFmtId="0" fontId="84" fillId="9" borderId="7" xfId="10" applyFill="1" applyBorder="1" applyAlignment="1">
      <alignment horizontal="center" vertical="center" wrapText="1"/>
    </xf>
    <xf numFmtId="0" fontId="84" fillId="9" borderId="8" xfId="10" applyFill="1" applyBorder="1" applyAlignment="1">
      <alignment horizontal="center" vertical="center" wrapText="1"/>
    </xf>
    <xf numFmtId="177" fontId="88" fillId="16" borderId="2" xfId="16" applyNumberFormat="1" applyFont="1" applyFill="1" applyBorder="1" applyAlignment="1">
      <alignment horizontal="center" vertical="center"/>
    </xf>
    <xf numFmtId="0" fontId="84" fillId="9" borderId="25" xfId="10" applyFill="1" applyBorder="1" applyAlignment="1">
      <alignment horizontal="center" vertical="center"/>
    </xf>
    <xf numFmtId="0" fontId="84" fillId="9" borderId="27" xfId="10" applyFill="1" applyBorder="1" applyAlignment="1">
      <alignment horizontal="center" vertical="center"/>
    </xf>
    <xf numFmtId="180" fontId="88" fillId="9" borderId="3" xfId="10" applyNumberFormat="1" applyFont="1" applyFill="1" applyBorder="1" applyAlignment="1">
      <alignment horizontal="center" vertical="center"/>
    </xf>
    <xf numFmtId="180" fontId="88" fillId="9" borderId="4" xfId="10" applyNumberFormat="1" applyFont="1" applyFill="1" applyBorder="1" applyAlignment="1">
      <alignment horizontal="center" vertical="center"/>
    </xf>
    <xf numFmtId="180" fontId="88" fillId="9" borderId="1" xfId="10" applyNumberFormat="1" applyFont="1" applyFill="1" applyBorder="1" applyAlignment="1">
      <alignment horizontal="center" vertical="center"/>
    </xf>
    <xf numFmtId="180" fontId="88" fillId="9" borderId="16" xfId="10" applyNumberFormat="1" applyFont="1" applyFill="1" applyBorder="1" applyAlignment="1">
      <alignment horizontal="center" vertical="center"/>
    </xf>
    <xf numFmtId="180" fontId="88" fillId="9" borderId="5" xfId="10" applyNumberFormat="1" applyFont="1" applyFill="1" applyBorder="1" applyAlignment="1">
      <alignment horizontal="center" vertical="center"/>
    </xf>
    <xf numFmtId="180" fontId="88" fillId="9" borderId="15" xfId="10" applyNumberFormat="1" applyFont="1" applyFill="1" applyBorder="1" applyAlignment="1">
      <alignment horizontal="center" vertical="center"/>
    </xf>
    <xf numFmtId="0" fontId="84" fillId="0" borderId="25" xfId="10" applyBorder="1" applyAlignment="1">
      <alignment horizontal="center" vertical="center"/>
    </xf>
    <xf numFmtId="0" fontId="84" fillId="0" borderId="28" xfId="10" applyBorder="1" applyAlignment="1">
      <alignment horizontal="center" vertical="center"/>
    </xf>
    <xf numFmtId="0" fontId="84" fillId="0" borderId="27" xfId="10" applyBorder="1" applyAlignment="1">
      <alignment horizontal="center" vertical="center"/>
    </xf>
    <xf numFmtId="180" fontId="88" fillId="9" borderId="6" xfId="10" applyNumberFormat="1" applyFont="1" applyFill="1" applyBorder="1" applyAlignment="1">
      <alignment horizontal="center" vertical="center"/>
    </xf>
    <xf numFmtId="180" fontId="88" fillId="9" borderId="7" xfId="10" applyNumberFormat="1" applyFont="1" applyFill="1" applyBorder="1" applyAlignment="1">
      <alignment horizontal="center" vertical="center"/>
    </xf>
    <xf numFmtId="180" fontId="88" fillId="9" borderId="8" xfId="10" applyNumberFormat="1" applyFont="1" applyFill="1" applyBorder="1" applyAlignment="1">
      <alignment horizontal="center" vertical="center"/>
    </xf>
    <xf numFmtId="0" fontId="84" fillId="9" borderId="3" xfId="10" applyFill="1" applyBorder="1" applyAlignment="1">
      <alignment horizontal="center" vertical="center" wrapText="1"/>
    </xf>
    <xf numFmtId="0" fontId="84" fillId="9" borderId="4" xfId="10" applyFill="1" applyBorder="1" applyAlignment="1">
      <alignment horizontal="center" vertical="center" wrapText="1"/>
    </xf>
    <xf numFmtId="0" fontId="84" fillId="9" borderId="1" xfId="10" applyFill="1" applyBorder="1" applyAlignment="1">
      <alignment horizontal="center" vertical="center" wrapText="1"/>
    </xf>
    <xf numFmtId="178" fontId="88" fillId="14" borderId="3" xfId="2" applyNumberFormat="1" applyFont="1" applyFill="1" applyBorder="1" applyAlignment="1">
      <alignment horizontal="center" vertical="center"/>
    </xf>
    <xf numFmtId="178" fontId="88" fillId="14" borderId="4" xfId="2" applyNumberFormat="1" applyFont="1" applyFill="1" applyBorder="1" applyAlignment="1">
      <alignment horizontal="center" vertical="center"/>
    </xf>
    <xf numFmtId="178" fontId="88" fillId="14" borderId="1" xfId="2" applyNumberFormat="1" applyFont="1" applyFill="1" applyBorder="1" applyAlignment="1">
      <alignment horizontal="center" vertical="center"/>
    </xf>
    <xf numFmtId="178" fontId="88" fillId="14" borderId="16" xfId="2" applyNumberFormat="1" applyFont="1" applyFill="1" applyBorder="1" applyAlignment="1">
      <alignment horizontal="center" vertical="center"/>
    </xf>
    <xf numFmtId="178" fontId="88" fillId="14" borderId="5" xfId="2" applyNumberFormat="1" applyFont="1" applyFill="1" applyBorder="1" applyAlignment="1">
      <alignment horizontal="center" vertical="center"/>
    </xf>
    <xf numFmtId="178" fontId="88" fillId="14" borderId="15" xfId="2" applyNumberFormat="1" applyFont="1" applyFill="1" applyBorder="1" applyAlignment="1">
      <alignment horizontal="center" vertical="center"/>
    </xf>
    <xf numFmtId="0" fontId="84" fillId="9" borderId="16" xfId="10" applyFill="1" applyBorder="1" applyAlignment="1">
      <alignment horizontal="center" vertical="center"/>
    </xf>
    <xf numFmtId="0" fontId="84" fillId="9" borderId="5" xfId="10" applyFill="1" applyBorder="1" applyAlignment="1">
      <alignment horizontal="center" vertical="center"/>
    </xf>
    <xf numFmtId="0" fontId="84" fillId="9" borderId="15" xfId="10" applyFill="1" applyBorder="1" applyAlignment="1">
      <alignment horizontal="center" vertical="center"/>
    </xf>
    <xf numFmtId="0" fontId="84" fillId="9" borderId="0" xfId="10" applyFill="1" applyAlignment="1">
      <alignment horizontal="left" vertical="center"/>
    </xf>
    <xf numFmtId="0" fontId="84" fillId="9" borderId="0" xfId="10" applyFill="1" applyAlignment="1">
      <alignment horizontal="left" vertical="center" wrapText="1"/>
    </xf>
    <xf numFmtId="0" fontId="4" fillId="0" borderId="0" xfId="0" applyFont="1" applyAlignment="1">
      <alignment horizont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top" wrapText="1"/>
    </xf>
    <xf numFmtId="0" fontId="4" fillId="0" borderId="29" xfId="0" applyFont="1" applyBorder="1" applyAlignment="1">
      <alignment horizontal="center" vertical="top" wrapText="1"/>
    </xf>
    <xf numFmtId="0" fontId="4" fillId="0" borderId="2" xfId="0" applyFont="1" applyBorder="1" applyAlignment="1">
      <alignment horizontal="center" vertical="center"/>
    </xf>
    <xf numFmtId="0" fontId="4" fillId="0" borderId="17" xfId="0" applyFont="1" applyBorder="1" applyAlignment="1">
      <alignment horizontal="center" vertical="center"/>
    </xf>
    <xf numFmtId="0" fontId="4" fillId="0" borderId="29"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27" xfId="0" applyFont="1" applyBorder="1" applyAlignment="1">
      <alignment horizontal="center" vertical="center"/>
    </xf>
    <xf numFmtId="0" fontId="5" fillId="0" borderId="0" xfId="0" applyFont="1" applyAlignment="1">
      <alignment horizontal="left"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14" fillId="0" borderId="2" xfId="0" applyFont="1" applyBorder="1" applyAlignment="1">
      <alignment horizontal="center" vertical="center"/>
    </xf>
    <xf numFmtId="0" fontId="4" fillId="0" borderId="0" xfId="0" applyFont="1" applyAlignment="1">
      <alignment horizontal="center" vertical="center" wrapText="1"/>
    </xf>
    <xf numFmtId="1" fontId="4" fillId="2" borderId="6"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27" xfId="0" applyFont="1" applyBorder="1" applyAlignment="1">
      <alignment horizontal="center" vertical="center"/>
    </xf>
    <xf numFmtId="0" fontId="4" fillId="0" borderId="0" xfId="0" applyFont="1" applyAlignment="1">
      <alignment vertical="center" wrapText="1"/>
    </xf>
    <xf numFmtId="0" fontId="4"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4" fillId="0" borderId="17" xfId="0" applyFont="1" applyBorder="1" applyAlignment="1">
      <alignment horizontal="left" vertical="center"/>
    </xf>
    <xf numFmtId="0" fontId="4" fillId="0" borderId="29"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9"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9"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9"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9"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3" fillId="0" borderId="0" xfId="0" applyFont="1" applyAlignment="1">
      <alignment horizontal="center" vertical="top" wrapText="1"/>
    </xf>
    <xf numFmtId="0" fontId="13" fillId="0" borderId="0" xfId="0" applyFont="1" applyAlignment="1">
      <alignment horizontal="center" vertical="top"/>
    </xf>
    <xf numFmtId="0" fontId="13" fillId="0" borderId="0" xfId="0" applyFont="1" applyAlignment="1">
      <alignment horizontal="left" vertical="top" wrapText="1"/>
    </xf>
    <xf numFmtId="0" fontId="4" fillId="0" borderId="17"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14" fillId="0" borderId="4" xfId="0" applyFont="1" applyBorder="1" applyAlignment="1">
      <alignment horizontal="center" vertical="center" shrinkToFit="1"/>
    </xf>
    <xf numFmtId="0" fontId="14"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37" fillId="0" borderId="8" xfId="0" applyFont="1" applyBorder="1" applyAlignment="1">
      <alignment horizontal="left" vertical="center" wrapText="1"/>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4" fillId="0" borderId="27" xfId="0" applyFont="1" applyBorder="1" applyAlignment="1">
      <alignment vertical="center"/>
    </xf>
    <xf numFmtId="0" fontId="4" fillId="0" borderId="2" xfId="0" applyFont="1" applyBorder="1" applyAlignment="1">
      <alignment vertical="center"/>
    </xf>
    <xf numFmtId="0" fontId="13" fillId="0" borderId="0" xfId="0" applyFont="1" applyAlignment="1">
      <alignment vertical="top"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9" xfId="0" applyFont="1" applyBorder="1" applyAlignment="1">
      <alignment horizontal="left" vertical="top"/>
    </xf>
    <xf numFmtId="0" fontId="4" fillId="0" borderId="17" xfId="0" applyFont="1" applyBorder="1" applyAlignment="1">
      <alignment vertical="center" wrapText="1"/>
    </xf>
    <xf numFmtId="0" fontId="4" fillId="0" borderId="29"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0" xfId="0" applyFont="1" applyAlignment="1">
      <alignment horizontal="lef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7" fillId="0" borderId="0" xfId="0" applyFont="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xf>
    <xf numFmtId="0" fontId="13" fillId="0" borderId="1" xfId="0" applyFont="1" applyBorder="1" applyAlignment="1">
      <alignment horizontal="center" vertical="center"/>
    </xf>
    <xf numFmtId="0" fontId="13" fillId="0" borderId="17" xfId="0" applyFont="1" applyBorder="1" applyAlignment="1">
      <alignment horizontal="center" vertical="center"/>
    </xf>
    <xf numFmtId="0" fontId="13" fillId="0" borderId="0" xfId="0" applyFont="1" applyAlignment="1">
      <alignment horizontal="center" vertical="center"/>
    </xf>
    <xf numFmtId="0" fontId="13" fillId="0" borderId="29" xfId="0" applyFont="1" applyBorder="1" applyAlignment="1">
      <alignment horizontal="center" vertical="center"/>
    </xf>
    <xf numFmtId="0" fontId="13" fillId="0" borderId="16" xfId="0" applyFont="1" applyBorder="1" applyAlignment="1">
      <alignment horizontal="center" vertical="center"/>
    </xf>
    <xf numFmtId="0" fontId="13" fillId="0" borderId="5" xfId="0" applyFont="1" applyBorder="1" applyAlignment="1">
      <alignment horizontal="center" vertical="center"/>
    </xf>
    <xf numFmtId="0" fontId="13" fillId="0" borderId="15"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93" fillId="0" borderId="0" xfId="21" applyFont="1" applyAlignment="1">
      <alignment horizontal="center" vertical="center"/>
    </xf>
    <xf numFmtId="0" fontId="84" fillId="16" borderId="32" xfId="21" applyFill="1" applyBorder="1" applyAlignment="1">
      <alignment horizontal="center" vertical="center" shrinkToFit="1"/>
    </xf>
    <xf numFmtId="0" fontId="84" fillId="16" borderId="53" xfId="21" applyFill="1" applyBorder="1" applyAlignment="1">
      <alignment horizontal="center" vertical="center" shrinkToFit="1"/>
    </xf>
    <xf numFmtId="0" fontId="84" fillId="0" borderId="2" xfId="21" applyBorder="1" applyAlignment="1">
      <alignment horizontal="center" vertical="center"/>
    </xf>
    <xf numFmtId="0" fontId="84" fillId="0" borderId="6" xfId="21" applyBorder="1" applyAlignment="1">
      <alignment horizontal="center" vertical="center" wrapText="1"/>
    </xf>
    <xf numFmtId="0" fontId="84" fillId="0" borderId="7" xfId="21" applyBorder="1" applyAlignment="1">
      <alignment horizontal="center" vertical="center" wrapText="1"/>
    </xf>
    <xf numFmtId="0" fontId="84" fillId="0" borderId="8" xfId="21" applyBorder="1" applyAlignment="1">
      <alignment horizontal="center" vertical="center" wrapText="1"/>
    </xf>
    <xf numFmtId="0" fontId="84" fillId="0" borderId="2" xfId="21" applyBorder="1" applyAlignment="1">
      <alignment horizontal="center" vertical="center" wrapText="1"/>
    </xf>
    <xf numFmtId="0" fontId="84" fillId="0" borderId="6" xfId="21" applyBorder="1" applyAlignment="1">
      <alignment horizontal="center" vertical="center"/>
    </xf>
    <xf numFmtId="0" fontId="84" fillId="0" borderId="7" xfId="21" applyBorder="1" applyAlignment="1">
      <alignment horizontal="center" vertical="center"/>
    </xf>
    <xf numFmtId="0" fontId="84" fillId="0" borderId="8" xfId="21" applyBorder="1" applyAlignment="1">
      <alignment horizontal="center" vertical="center"/>
    </xf>
    <xf numFmtId="0" fontId="84" fillId="16" borderId="6" xfId="21" applyFill="1" applyBorder="1" applyAlignment="1">
      <alignment horizontal="center" vertical="center"/>
    </xf>
    <xf numFmtId="0" fontId="84" fillId="16" borderId="7" xfId="21" applyFill="1" applyBorder="1" applyAlignment="1">
      <alignment horizontal="center" vertical="center"/>
    </xf>
    <xf numFmtId="0" fontId="84" fillId="16" borderId="2" xfId="21" applyFill="1" applyBorder="1" applyAlignment="1">
      <alignment horizontal="center" vertical="center"/>
    </xf>
    <xf numFmtId="180" fontId="84" fillId="0" borderId="6" xfId="21" applyNumberFormat="1" applyBorder="1" applyAlignment="1">
      <alignment horizontal="center" vertical="center"/>
    </xf>
    <xf numFmtId="180" fontId="84" fillId="0" borderId="7" xfId="21" applyNumberFormat="1" applyBorder="1" applyAlignment="1">
      <alignment horizontal="center" vertical="center"/>
    </xf>
    <xf numFmtId="178" fontId="1" fillId="14" borderId="6" xfId="22" applyNumberFormat="1" applyFont="1" applyFill="1" applyBorder="1" applyAlignment="1">
      <alignment horizontal="center" vertical="center"/>
    </xf>
    <xf numFmtId="178" fontId="1" fillId="14" borderId="7" xfId="22" applyNumberFormat="1" applyFont="1" applyFill="1" applyBorder="1" applyAlignment="1">
      <alignment horizontal="center" vertical="center"/>
    </xf>
    <xf numFmtId="178" fontId="1" fillId="14" borderId="8" xfId="22" applyNumberFormat="1" applyFont="1" applyFill="1" applyBorder="1" applyAlignment="1">
      <alignment horizontal="center" vertical="center"/>
    </xf>
    <xf numFmtId="0" fontId="84" fillId="0" borderId="0" xfId="21" applyAlignment="1">
      <alignment horizontal="left" vertical="center"/>
    </xf>
    <xf numFmtId="0" fontId="5" fillId="0" borderId="0" xfId="0" applyFont="1" applyAlignment="1">
      <alignment horizontal="center" vertical="center"/>
    </xf>
    <xf numFmtId="0" fontId="5" fillId="0" borderId="2" xfId="0" applyFont="1" applyBorder="1" applyAlignment="1">
      <alignment horizontal="left" vertical="center" shrinkToFit="1"/>
    </xf>
    <xf numFmtId="0" fontId="1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13" fillId="0" borderId="0" xfId="0" applyFont="1" applyAlignment="1">
      <alignment horizontal="left" vertical="center" shrinkToFit="1"/>
    </xf>
    <xf numFmtId="0" fontId="4" fillId="0" borderId="0" xfId="0" applyFont="1" applyAlignment="1">
      <alignment horizontal="center" vertical="center" shrinkToFit="1"/>
    </xf>
    <xf numFmtId="0" fontId="4" fillId="0" borderId="5" xfId="0" applyFont="1" applyBorder="1" applyAlignment="1">
      <alignment horizontal="left" vertical="center" shrinkToFit="1"/>
    </xf>
    <xf numFmtId="0" fontId="14" fillId="0" borderId="7"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29" xfId="0" applyFont="1" applyBorder="1" applyAlignment="1">
      <alignment horizontal="left" vertical="center"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6" xfId="0" applyFont="1" applyBorder="1" applyAlignment="1">
      <alignment horizontal="left" vertical="center" wrapText="1" indent="1"/>
    </xf>
    <xf numFmtId="0" fontId="5" fillId="0" borderId="0" xfId="0" applyFont="1" applyAlignment="1">
      <alignment horizontal="right" vertical="top" wrapText="1"/>
    </xf>
    <xf numFmtId="0" fontId="5" fillId="0" borderId="29" xfId="0" applyFont="1" applyBorder="1" applyAlignment="1">
      <alignment horizontal="right" vertical="top" wrapText="1"/>
    </xf>
    <xf numFmtId="0" fontId="5" fillId="0" borderId="2" xfId="0" applyFont="1" applyBorder="1" applyAlignment="1">
      <alignment horizontal="lef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9" xfId="0" applyFont="1" applyBorder="1" applyAlignment="1">
      <alignment vertical="center" wrapText="1"/>
    </xf>
    <xf numFmtId="0" fontId="5" fillId="0" borderId="6" xfId="0" applyFont="1" applyBorder="1" applyAlignment="1">
      <alignment horizontal="left" vertical="center" wrapText="1"/>
    </xf>
    <xf numFmtId="9" fontId="5" fillId="0" borderId="0" xfId="0" applyNumberFormat="1" applyFont="1" applyAlignment="1">
      <alignment horizontal="left" vertical="center" wrapText="1"/>
    </xf>
    <xf numFmtId="0" fontId="5" fillId="0" borderId="0" xfId="0" applyFont="1" applyAlignment="1">
      <alignment horizontal="center" vertical="center" wrapText="1"/>
    </xf>
    <xf numFmtId="0" fontId="5" fillId="0" borderId="17" xfId="0" applyFont="1" applyBorder="1" applyAlignment="1">
      <alignment horizontal="left" vertical="center" wrapText="1"/>
    </xf>
    <xf numFmtId="9" fontId="5" fillId="0" borderId="0" xfId="0" quotePrefix="1" applyNumberFormat="1" applyFont="1" applyAlignment="1">
      <alignment horizontal="center" vertical="center" wrapTex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7" xfId="0" applyFont="1" applyBorder="1" applyAlignment="1">
      <alignment horizontal="center" vertical="center"/>
    </xf>
    <xf numFmtId="0" fontId="13" fillId="0" borderId="0" xfId="0" applyFont="1" applyAlignment="1">
      <alignment horizontal="left" vertical="center" wrapText="1"/>
    </xf>
    <xf numFmtId="0" fontId="5" fillId="0" borderId="27" xfId="0" applyFont="1" applyBorder="1" applyAlignment="1">
      <alignment vertical="center" wrapText="1"/>
    </xf>
    <xf numFmtId="0" fontId="5" fillId="0" borderId="27"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4" fillId="0" borderId="2" xfId="0" applyFont="1" applyBorder="1" applyAlignment="1">
      <alignment horizontal="center" vertical="center" wrapText="1"/>
    </xf>
    <xf numFmtId="0" fontId="37"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18" applyFont="1" applyFill="1" applyBorder="1" applyAlignment="1">
      <alignment horizontal="center" vertical="center"/>
    </xf>
    <xf numFmtId="38" fontId="4" fillId="0" borderId="2" xfId="18" applyFont="1" applyFill="1" applyBorder="1" applyAlignment="1">
      <alignment horizontal="center" vertical="center" wrapText="1"/>
    </xf>
    <xf numFmtId="191" fontId="4" fillId="0" borderId="4" xfId="17" applyNumberFormat="1" applyFont="1" applyBorder="1" applyAlignment="1">
      <alignment horizontal="center" vertical="center"/>
    </xf>
    <xf numFmtId="191" fontId="4" fillId="0" borderId="5" xfId="17" applyNumberFormat="1" applyFont="1" applyBorder="1" applyAlignment="1">
      <alignment horizontal="center" vertical="center"/>
    </xf>
    <xf numFmtId="191" fontId="4" fillId="0" borderId="1" xfId="17" applyNumberFormat="1" applyFont="1" applyBorder="1" applyAlignment="1">
      <alignment horizontal="center" vertical="center"/>
    </xf>
    <xf numFmtId="191" fontId="4" fillId="0" borderId="15" xfId="17" applyNumberFormat="1" applyFont="1" applyBorder="1" applyAlignment="1">
      <alignment horizontal="center" vertical="center"/>
    </xf>
    <xf numFmtId="0" fontId="13" fillId="0" borderId="0" xfId="0" applyFont="1" applyAlignment="1">
      <alignment horizontal="left" vertical="center"/>
    </xf>
    <xf numFmtId="191" fontId="4" fillId="0" borderId="6" xfId="17" applyNumberFormat="1" applyFont="1" applyBorder="1" applyAlignment="1">
      <alignment horizontal="center" vertical="center"/>
    </xf>
    <xf numFmtId="191" fontId="4" fillId="0" borderId="7" xfId="17" applyNumberFormat="1" applyFont="1" applyBorder="1" applyAlignment="1">
      <alignment horizontal="center"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 fillId="2" borderId="0" xfId="0" applyFont="1" applyFill="1" applyAlignment="1">
      <alignment vertical="center" shrinkToFit="1"/>
    </xf>
    <xf numFmtId="0" fontId="4" fillId="2" borderId="29" xfId="0" applyFont="1" applyFill="1" applyBorder="1" applyAlignment="1">
      <alignment vertical="center" shrinkToFit="1"/>
    </xf>
    <xf numFmtId="0" fontId="4" fillId="5" borderId="0" xfId="0" applyFont="1" applyFill="1" applyAlignment="1">
      <alignment vertical="center" shrinkToFit="1"/>
    </xf>
    <xf numFmtId="0" fontId="4" fillId="2" borderId="4" xfId="0" applyFont="1" applyFill="1" applyBorder="1" applyAlignment="1">
      <alignment vertical="center" shrinkToFit="1"/>
    </xf>
    <xf numFmtId="0" fontId="4" fillId="5" borderId="29" xfId="0" applyFont="1" applyFill="1" applyBorder="1" applyAlignment="1">
      <alignment vertical="center" shrinkToFit="1"/>
    </xf>
    <xf numFmtId="0" fontId="4" fillId="2" borderId="1" xfId="0" applyFont="1" applyFill="1" applyBorder="1" applyAlignment="1">
      <alignment vertical="center" shrinkToFit="1"/>
    </xf>
    <xf numFmtId="0" fontId="4" fillId="5" borderId="0" xfId="0" applyFont="1" applyFill="1" applyAlignment="1">
      <alignment horizontal="center" vertical="center" shrinkToFit="1"/>
    </xf>
    <xf numFmtId="0" fontId="4" fillId="2" borderId="3" xfId="0" applyFont="1" applyFill="1" applyBorder="1" applyAlignment="1">
      <alignment horizontal="center" vertical="center" shrinkToFit="1"/>
    </xf>
    <xf numFmtId="0" fontId="4" fillId="9" borderId="4" xfId="0" applyFont="1" applyFill="1" applyBorder="1" applyAlignment="1">
      <alignment horizontal="center" vertical="center" shrinkToFit="1"/>
    </xf>
    <xf numFmtId="0" fontId="4" fillId="9" borderId="1" xfId="0" applyFont="1" applyFill="1" applyBorder="1" applyAlignment="1">
      <alignment horizontal="center" vertical="center" shrinkToFit="1"/>
    </xf>
    <xf numFmtId="0" fontId="4" fillId="2" borderId="16"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4" fillId="9" borderId="0" xfId="0" applyFont="1" applyFill="1" applyAlignment="1">
      <alignment vertical="center" wrapText="1"/>
    </xf>
    <xf numFmtId="0" fontId="0" fillId="0" borderId="0" xfId="0" applyAlignment="1">
      <alignment vertical="center" wrapText="1"/>
    </xf>
    <xf numFmtId="0" fontId="4" fillId="2" borderId="3" xfId="0" applyFont="1" applyFill="1" applyBorder="1" applyAlignment="1">
      <alignment vertical="center" wrapText="1" shrinkToFit="1"/>
    </xf>
    <xf numFmtId="0" fontId="4" fillId="2" borderId="17" xfId="0" applyFont="1" applyFill="1" applyBorder="1" applyAlignment="1">
      <alignment vertical="center" shrinkToFit="1"/>
    </xf>
    <xf numFmtId="0" fontId="4" fillId="2" borderId="16" xfId="0" applyFont="1" applyFill="1" applyBorder="1" applyAlignment="1">
      <alignment vertical="center" shrinkToFit="1"/>
    </xf>
    <xf numFmtId="0" fontId="4" fillId="2" borderId="5" xfId="0" applyFont="1" applyFill="1" applyBorder="1" applyAlignment="1">
      <alignment vertical="center" shrinkToFit="1"/>
    </xf>
    <xf numFmtId="0" fontId="4" fillId="2" borderId="15" xfId="0" applyFont="1" applyFill="1" applyBorder="1" applyAlignment="1">
      <alignment vertical="center" shrinkToFit="1"/>
    </xf>
    <xf numFmtId="0" fontId="4" fillId="9" borderId="0" xfId="0" applyFont="1" applyFill="1" applyAlignment="1">
      <alignment horizontal="left" vertical="center" shrinkToFit="1"/>
    </xf>
    <xf numFmtId="0" fontId="4" fillId="2" borderId="17" xfId="0" applyFont="1" applyFill="1" applyBorder="1" applyAlignment="1">
      <alignment vertical="center" wrapText="1" shrinkToFit="1"/>
    </xf>
    <xf numFmtId="0" fontId="4" fillId="2" borderId="3" xfId="0" applyFont="1" applyFill="1" applyBorder="1" applyAlignment="1">
      <alignment vertical="center" shrinkToFit="1"/>
    </xf>
    <xf numFmtId="0" fontId="4" fillId="9" borderId="0" xfId="0" applyFont="1" applyFill="1" applyAlignment="1">
      <alignment horizontal="center" vertical="center" shrinkToFit="1"/>
    </xf>
    <xf numFmtId="0" fontId="4" fillId="2" borderId="17"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29" xfId="0" applyFont="1" applyFill="1" applyBorder="1" applyAlignment="1">
      <alignment horizontal="center" vertical="center" shrinkToFit="1"/>
    </xf>
    <xf numFmtId="0" fontId="18" fillId="2" borderId="0" xfId="0" applyFont="1" applyFill="1" applyAlignment="1">
      <alignment vertical="center" shrinkToFit="1"/>
    </xf>
    <xf numFmtId="0" fontId="4" fillId="9" borderId="6" xfId="0" applyFont="1" applyFill="1" applyBorder="1" applyAlignment="1">
      <alignment horizontal="center" vertical="center" shrinkToFit="1"/>
    </xf>
    <xf numFmtId="0" fontId="4" fillId="9"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5" borderId="3" xfId="0" applyFont="1" applyFill="1" applyBorder="1" applyAlignment="1">
      <alignment vertical="top" wrapText="1"/>
    </xf>
    <xf numFmtId="0" fontId="4" fillId="5" borderId="4" xfId="0" applyFont="1" applyFill="1" applyBorder="1" applyAlignment="1">
      <alignment vertical="top" wrapText="1"/>
    </xf>
    <xf numFmtId="0" fontId="4" fillId="5" borderId="1" xfId="0" applyFont="1" applyFill="1" applyBorder="1" applyAlignment="1">
      <alignment vertical="top" wrapText="1"/>
    </xf>
    <xf numFmtId="0" fontId="4" fillId="5" borderId="17" xfId="0" applyFont="1" applyFill="1" applyBorder="1" applyAlignment="1">
      <alignment vertical="top" wrapText="1"/>
    </xf>
    <xf numFmtId="0" fontId="4" fillId="5" borderId="0" xfId="0" applyFont="1" applyFill="1" applyAlignment="1">
      <alignment vertical="top" wrapText="1"/>
    </xf>
    <xf numFmtId="0" fontId="4" fillId="5" borderId="29" xfId="0" applyFont="1" applyFill="1" applyBorder="1" applyAlignment="1">
      <alignment vertical="top" wrapText="1"/>
    </xf>
    <xf numFmtId="0" fontId="4" fillId="5" borderId="16" xfId="0" applyFont="1" applyFill="1" applyBorder="1" applyAlignment="1">
      <alignment vertical="top" wrapText="1"/>
    </xf>
    <xf numFmtId="0" fontId="4" fillId="5" borderId="5" xfId="0" applyFont="1" applyFill="1" applyBorder="1" applyAlignment="1">
      <alignment vertical="top" wrapText="1"/>
    </xf>
    <xf numFmtId="0" fontId="4" fillId="5" borderId="15" xfId="0" applyFont="1" applyFill="1" applyBorder="1" applyAlignment="1">
      <alignment vertical="top" wrapText="1"/>
    </xf>
    <xf numFmtId="0" fontId="4" fillId="2" borderId="4" xfId="0" applyFont="1" applyFill="1" applyBorder="1" applyAlignment="1">
      <alignment horizontal="center" vertical="center" wrapText="1" shrinkToFit="1"/>
    </xf>
    <xf numFmtId="0" fontId="4" fillId="3" borderId="4"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2" borderId="25" xfId="0" applyFont="1" applyFill="1" applyBorder="1" applyAlignment="1">
      <alignment vertical="center" textRotation="255" shrinkToFit="1"/>
    </xf>
    <xf numFmtId="0" fontId="4" fillId="2" borderId="28" xfId="0" applyFont="1" applyFill="1" applyBorder="1" applyAlignment="1">
      <alignment vertical="center" textRotation="255" shrinkToFit="1"/>
    </xf>
    <xf numFmtId="0" fontId="4" fillId="2" borderId="27" xfId="0" applyFont="1" applyFill="1" applyBorder="1" applyAlignment="1">
      <alignment vertical="center" textRotation="255" shrinkToFit="1"/>
    </xf>
    <xf numFmtId="40" fontId="4" fillId="5" borderId="3" xfId="4" applyNumberFormat="1" applyFont="1" applyFill="1" applyBorder="1" applyAlignment="1">
      <alignment vertical="center" shrinkToFit="1"/>
    </xf>
    <xf numFmtId="40" fontId="4" fillId="5" borderId="4" xfId="4" applyNumberFormat="1" applyFont="1" applyFill="1" applyBorder="1" applyAlignment="1">
      <alignment vertical="center" shrinkToFit="1"/>
    </xf>
    <xf numFmtId="40" fontId="4" fillId="5" borderId="17" xfId="4" applyNumberFormat="1" applyFont="1" applyFill="1" applyBorder="1" applyAlignment="1">
      <alignment vertical="center" shrinkToFit="1"/>
    </xf>
    <xf numFmtId="40" fontId="4" fillId="5" borderId="0" xfId="4" applyNumberFormat="1" applyFont="1" applyFill="1" applyBorder="1" applyAlignment="1">
      <alignment vertical="center" shrinkToFit="1"/>
    </xf>
    <xf numFmtId="40" fontId="4" fillId="5" borderId="16" xfId="4" applyNumberFormat="1" applyFont="1" applyFill="1" applyBorder="1" applyAlignment="1">
      <alignment vertical="center" shrinkToFit="1"/>
    </xf>
    <xf numFmtId="40" fontId="4" fillId="5" borderId="5" xfId="4" applyNumberFormat="1" applyFont="1" applyFill="1" applyBorder="1" applyAlignment="1">
      <alignment vertical="center" shrinkToFit="1"/>
    </xf>
    <xf numFmtId="0" fontId="4" fillId="2" borderId="4" xfId="0" applyFont="1" applyFill="1" applyBorder="1" applyAlignment="1">
      <alignment horizontal="right" vertical="center" shrinkToFit="1"/>
    </xf>
    <xf numFmtId="0" fontId="4" fillId="2" borderId="1" xfId="0" applyFont="1" applyFill="1" applyBorder="1" applyAlignment="1">
      <alignment horizontal="right" vertical="center" shrinkToFit="1"/>
    </xf>
    <xf numFmtId="0" fontId="4" fillId="2" borderId="0" xfId="0" applyFont="1" applyFill="1" applyAlignment="1">
      <alignment horizontal="right" vertical="center" shrinkToFit="1"/>
    </xf>
    <xf numFmtId="0" fontId="4" fillId="2" borderId="29" xfId="0" applyFont="1" applyFill="1" applyBorder="1" applyAlignment="1">
      <alignment horizontal="right" vertical="center" shrinkToFit="1"/>
    </xf>
    <xf numFmtId="0" fontId="4" fillId="2" borderId="5" xfId="0" applyFont="1" applyFill="1" applyBorder="1" applyAlignment="1">
      <alignment horizontal="right" vertical="center" shrinkToFit="1"/>
    </xf>
    <xf numFmtId="0" fontId="4" fillId="2" borderId="15" xfId="0" applyFont="1" applyFill="1" applyBorder="1" applyAlignment="1">
      <alignment horizontal="right" vertical="center" shrinkToFit="1"/>
    </xf>
    <xf numFmtId="0" fontId="4" fillId="5" borderId="4" xfId="0" applyFont="1" applyFill="1" applyBorder="1" applyAlignment="1">
      <alignment horizontal="center" vertical="center" shrinkToFit="1"/>
    </xf>
    <xf numFmtId="0" fontId="4" fillId="5" borderId="5" xfId="0" applyFont="1" applyFill="1" applyBorder="1" applyAlignment="1">
      <alignment horizontal="center" vertical="center" shrinkToFit="1"/>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xf>
    <xf numFmtId="0" fontId="18" fillId="2" borderId="0" xfId="0" applyFont="1" applyFill="1" applyAlignment="1">
      <alignment horizontal="center" vertical="center"/>
    </xf>
    <xf numFmtId="0" fontId="18" fillId="2" borderId="29"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15" xfId="0" applyFont="1" applyFill="1" applyBorder="1" applyAlignment="1">
      <alignment horizontal="center" vertical="center"/>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5" borderId="1"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0" xfId="0" applyFont="1" applyFill="1" applyAlignment="1">
      <alignment horizontal="left" vertical="top" wrapText="1"/>
    </xf>
    <xf numFmtId="0" fontId="18" fillId="5" borderId="29" xfId="0" applyFont="1" applyFill="1" applyBorder="1" applyAlignment="1">
      <alignment horizontal="left" vertical="top" wrapText="1"/>
    </xf>
    <xf numFmtId="0" fontId="18" fillId="5" borderId="16" xfId="0" applyFont="1" applyFill="1" applyBorder="1" applyAlignment="1">
      <alignment horizontal="left" vertical="top" wrapText="1"/>
    </xf>
    <xf numFmtId="0" fontId="18" fillId="5" borderId="5" xfId="0" applyFont="1" applyFill="1" applyBorder="1" applyAlignment="1">
      <alignment horizontal="left" vertical="top" wrapText="1"/>
    </xf>
    <xf numFmtId="0" fontId="18" fillId="5" borderId="15" xfId="0" applyFont="1" applyFill="1" applyBorder="1" applyAlignment="1">
      <alignment horizontal="left" vertical="top" wrapText="1"/>
    </xf>
    <xf numFmtId="0" fontId="18" fillId="2" borderId="4"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49" xfId="0" applyFont="1" applyFill="1" applyBorder="1" applyAlignment="1">
      <alignment horizontal="distributed" vertical="center"/>
    </xf>
    <xf numFmtId="0" fontId="18" fillId="2" borderId="59" xfId="0" applyFont="1" applyFill="1" applyBorder="1" applyAlignment="1">
      <alignment horizontal="distributed" vertical="center"/>
    </xf>
    <xf numFmtId="0" fontId="18" fillId="2" borderId="59" xfId="0" applyFont="1" applyFill="1" applyBorder="1" applyAlignment="1">
      <alignment vertical="center"/>
    </xf>
    <xf numFmtId="0" fontId="18" fillId="2" borderId="51" xfId="0" applyFont="1" applyFill="1" applyBorder="1" applyAlignment="1">
      <alignment horizontal="distributed" vertical="center"/>
    </xf>
    <xf numFmtId="0" fontId="18" fillId="2" borderId="53" xfId="0" applyFont="1" applyFill="1" applyBorder="1" applyAlignment="1">
      <alignment horizontal="distributed" vertical="center"/>
    </xf>
    <xf numFmtId="0" fontId="18" fillId="2" borderId="53" xfId="0" applyFont="1" applyFill="1" applyBorder="1" applyAlignment="1">
      <alignment vertical="center"/>
    </xf>
    <xf numFmtId="181" fontId="18" fillId="5" borderId="49" xfId="4" applyNumberFormat="1" applyFont="1" applyFill="1" applyBorder="1" applyAlignment="1">
      <alignment horizontal="right" vertical="center" indent="1"/>
    </xf>
    <xf numFmtId="181" fontId="18" fillId="5" borderId="59" xfId="4" applyNumberFormat="1" applyFont="1" applyFill="1" applyBorder="1" applyAlignment="1">
      <alignment horizontal="right" vertical="center" indent="1"/>
    </xf>
    <xf numFmtId="181" fontId="18" fillId="5" borderId="51" xfId="4" applyNumberFormat="1" applyFont="1" applyFill="1" applyBorder="1" applyAlignment="1">
      <alignment horizontal="right" vertical="center" indent="1"/>
    </xf>
    <xf numFmtId="181" fontId="18" fillId="5" borderId="53" xfId="4" applyNumberFormat="1" applyFont="1" applyFill="1" applyBorder="1" applyAlignment="1">
      <alignment horizontal="right" vertical="center" indent="1"/>
    </xf>
    <xf numFmtId="0" fontId="18" fillId="2" borderId="59" xfId="0" applyFont="1" applyFill="1" applyBorder="1" applyAlignment="1">
      <alignment horizontal="left" vertical="center"/>
    </xf>
    <xf numFmtId="0" fontId="18" fillId="2" borderId="50" xfId="0" applyFont="1" applyFill="1" applyBorder="1" applyAlignment="1">
      <alignment horizontal="left" vertical="center"/>
    </xf>
    <xf numFmtId="0" fontId="18" fillId="2" borderId="53" xfId="0" applyFont="1" applyFill="1" applyBorder="1" applyAlignment="1">
      <alignment horizontal="left" vertical="center"/>
    </xf>
    <xf numFmtId="0" fontId="18" fillId="2" borderId="52" xfId="0" applyFont="1" applyFill="1" applyBorder="1" applyAlignment="1">
      <alignment horizontal="left" vertical="center"/>
    </xf>
    <xf numFmtId="0" fontId="18" fillId="2" borderId="47" xfId="0" applyFont="1" applyFill="1" applyBorder="1" applyAlignment="1">
      <alignment horizontal="distributed" vertical="center"/>
    </xf>
    <xf numFmtId="0" fontId="18" fillId="2" borderId="58" xfId="0" applyFont="1" applyFill="1" applyBorder="1" applyAlignment="1">
      <alignment horizontal="distributed" vertical="center"/>
    </xf>
    <xf numFmtId="0" fontId="18" fillId="2" borderId="58" xfId="0" applyFont="1" applyFill="1" applyBorder="1" applyAlignment="1">
      <alignment vertical="center"/>
    </xf>
    <xf numFmtId="181" fontId="18" fillId="5" borderId="47" xfId="4" applyNumberFormat="1" applyFont="1" applyFill="1" applyBorder="1" applyAlignment="1">
      <alignment horizontal="right" vertical="center" indent="1"/>
    </xf>
    <xf numFmtId="181" fontId="18" fillId="5" borderId="58" xfId="4" applyNumberFormat="1" applyFont="1" applyFill="1" applyBorder="1" applyAlignment="1">
      <alignment horizontal="right" vertical="center" indent="1"/>
    </xf>
    <xf numFmtId="0" fontId="18" fillId="2" borderId="58" xfId="0" applyFont="1" applyFill="1" applyBorder="1" applyAlignment="1">
      <alignment horizontal="left" vertical="center"/>
    </xf>
    <xf numFmtId="0" fontId="18" fillId="2" borderId="48" xfId="0" applyFont="1" applyFill="1" applyBorder="1" applyAlignment="1">
      <alignment horizontal="left" vertical="center"/>
    </xf>
    <xf numFmtId="0" fontId="18" fillId="2" borderId="4" xfId="0" applyFont="1" applyFill="1" applyBorder="1" applyAlignment="1">
      <alignment horizontal="right" vertical="center"/>
    </xf>
    <xf numFmtId="0" fontId="18" fillId="2" borderId="1" xfId="0" applyFont="1" applyFill="1" applyBorder="1" applyAlignment="1">
      <alignment horizontal="right" vertical="center"/>
    </xf>
    <xf numFmtId="0" fontId="18" fillId="2" borderId="32" xfId="0" applyFont="1" applyFill="1" applyBorder="1" applyAlignment="1">
      <alignment horizontal="right" vertical="center"/>
    </xf>
    <xf numFmtId="0" fontId="18" fillId="2" borderId="33" xfId="0" applyFont="1" applyFill="1" applyBorder="1" applyAlignment="1">
      <alignment horizontal="right" vertical="center"/>
    </xf>
    <xf numFmtId="0" fontId="18" fillId="2" borderId="2" xfId="0" applyFont="1" applyFill="1" applyBorder="1" applyAlignment="1">
      <alignment horizontal="center" vertical="center"/>
    </xf>
    <xf numFmtId="0" fontId="18" fillId="2" borderId="60" xfId="0" applyFont="1" applyFill="1" applyBorder="1" applyAlignment="1">
      <alignment horizontal="center" vertical="center"/>
    </xf>
    <xf numFmtId="38" fontId="18" fillId="5" borderId="3" xfId="4" applyFont="1" applyFill="1" applyBorder="1" applyAlignment="1">
      <alignment horizontal="right" vertical="center" indent="1"/>
    </xf>
    <xf numFmtId="38" fontId="18" fillId="5" borderId="4" xfId="4" applyFont="1" applyFill="1" applyBorder="1" applyAlignment="1">
      <alignment horizontal="right" vertical="center" indent="1"/>
    </xf>
    <xf numFmtId="38" fontId="18" fillId="5" borderId="34" xfId="4" applyFont="1" applyFill="1" applyBorder="1" applyAlignment="1">
      <alignment horizontal="right" vertical="center" indent="1"/>
    </xf>
    <xf numFmtId="38" fontId="18" fillId="5" borderId="32" xfId="4" applyFont="1" applyFill="1" applyBorder="1" applyAlignment="1">
      <alignment horizontal="right" vertical="center" indent="1"/>
    </xf>
    <xf numFmtId="0" fontId="18" fillId="2" borderId="27" xfId="0" applyFont="1" applyFill="1" applyBorder="1" applyAlignment="1">
      <alignment horizontal="center" vertical="center"/>
    </xf>
    <xf numFmtId="38" fontId="18" fillId="5" borderId="17" xfId="4" applyFont="1" applyFill="1" applyBorder="1" applyAlignment="1">
      <alignment horizontal="right" vertical="center" indent="1"/>
    </xf>
    <xf numFmtId="38" fontId="18" fillId="5" borderId="0" xfId="4" applyFont="1" applyFill="1" applyBorder="1" applyAlignment="1">
      <alignment horizontal="right" vertical="center" indent="1"/>
    </xf>
    <xf numFmtId="38" fontId="18" fillId="5" borderId="16" xfId="4" applyFont="1" applyFill="1" applyBorder="1" applyAlignment="1">
      <alignment horizontal="right" vertical="center" indent="1"/>
    </xf>
    <xf numFmtId="38" fontId="18" fillId="5" borderId="5" xfId="4" applyFont="1" applyFill="1" applyBorder="1" applyAlignment="1">
      <alignment horizontal="right" vertical="center" indent="1"/>
    </xf>
    <xf numFmtId="0" fontId="18" fillId="2" borderId="0" xfId="0" applyFont="1" applyFill="1" applyAlignment="1">
      <alignment horizontal="right" vertical="center"/>
    </xf>
    <xf numFmtId="0" fontId="18" fillId="2" borderId="29" xfId="0" applyFont="1" applyFill="1" applyBorder="1" applyAlignment="1">
      <alignment horizontal="right" vertical="center"/>
    </xf>
    <xf numFmtId="0" fontId="18" fillId="2" borderId="25" xfId="0" applyFont="1" applyFill="1" applyBorder="1" applyAlignment="1">
      <alignment horizontal="center" vertical="center"/>
    </xf>
    <xf numFmtId="0" fontId="18" fillId="2" borderId="2" xfId="0" applyFont="1" applyFill="1" applyBorder="1" applyAlignment="1">
      <alignment horizontal="center" vertical="center" textRotation="255"/>
    </xf>
    <xf numFmtId="0" fontId="18" fillId="2" borderId="25" xfId="0" applyFont="1" applyFill="1" applyBorder="1" applyAlignment="1">
      <alignment horizontal="center" vertical="center" textRotation="255"/>
    </xf>
    <xf numFmtId="0" fontId="18" fillId="2" borderId="5" xfId="0" applyFont="1" applyFill="1" applyBorder="1" applyAlignment="1">
      <alignment horizontal="right" vertical="center"/>
    </xf>
    <xf numFmtId="0" fontId="18" fillId="2" borderId="15" xfId="0" applyFont="1" applyFill="1" applyBorder="1" applyAlignment="1">
      <alignment horizontal="right" vertical="center"/>
    </xf>
    <xf numFmtId="0" fontId="18" fillId="2" borderId="8" xfId="0" applyFont="1" applyFill="1" applyBorder="1" applyAlignment="1">
      <alignment horizontal="center" vertical="center" textRotation="255"/>
    </xf>
    <xf numFmtId="0" fontId="18" fillId="2" borderId="3" xfId="0" applyFont="1" applyFill="1" applyBorder="1" applyAlignment="1">
      <alignment vertical="center" textRotation="255"/>
    </xf>
    <xf numFmtId="0" fontId="18" fillId="2" borderId="4" xfId="0" applyFont="1" applyFill="1" applyBorder="1" applyAlignment="1">
      <alignment vertical="center"/>
    </xf>
    <xf numFmtId="0" fontId="18" fillId="2" borderId="1" xfId="0" applyFont="1" applyFill="1" applyBorder="1" applyAlignment="1">
      <alignment vertical="center"/>
    </xf>
    <xf numFmtId="0" fontId="18" fillId="2" borderId="17" xfId="0" applyFont="1" applyFill="1" applyBorder="1" applyAlignment="1">
      <alignment vertical="center"/>
    </xf>
    <xf numFmtId="0" fontId="18" fillId="2" borderId="0" xfId="0" applyFont="1" applyFill="1" applyAlignment="1">
      <alignment vertical="center"/>
    </xf>
    <xf numFmtId="0" fontId="18" fillId="2" borderId="29" xfId="0" applyFont="1" applyFill="1" applyBorder="1" applyAlignment="1">
      <alignment vertical="center"/>
    </xf>
    <xf numFmtId="0" fontId="18" fillId="2" borderId="16" xfId="0" applyFont="1" applyFill="1" applyBorder="1" applyAlignment="1">
      <alignment vertical="center"/>
    </xf>
    <xf numFmtId="0" fontId="18" fillId="2" borderId="5" xfId="0" applyFont="1" applyFill="1" applyBorder="1" applyAlignment="1">
      <alignment vertical="center"/>
    </xf>
    <xf numFmtId="0" fontId="18" fillId="2" borderId="15" xfId="0" applyFont="1" applyFill="1" applyBorder="1" applyAlignment="1">
      <alignment vertical="center"/>
    </xf>
    <xf numFmtId="0" fontId="18" fillId="2" borderId="6" xfId="0" applyFont="1" applyFill="1" applyBorder="1" applyAlignment="1">
      <alignment horizontal="center" vertical="center"/>
    </xf>
    <xf numFmtId="0" fontId="18" fillId="2" borderId="49" xfId="0" applyFont="1" applyFill="1" applyBorder="1" applyAlignment="1">
      <alignment horizontal="center" vertical="center"/>
    </xf>
    <xf numFmtId="0" fontId="18" fillId="2" borderId="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18" fillId="2" borderId="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29"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3" borderId="0" xfId="0" applyFont="1" applyFill="1" applyAlignment="1">
      <alignment horizontal="center" vertical="center"/>
    </xf>
    <xf numFmtId="0" fontId="4" fillId="2" borderId="3" xfId="0" applyFont="1" applyFill="1" applyBorder="1" applyAlignment="1">
      <alignment horizontal="distributed" vertical="center" shrinkToFit="1"/>
    </xf>
    <xf numFmtId="0" fontId="4" fillId="2" borderId="4" xfId="0" applyFont="1" applyFill="1" applyBorder="1" applyAlignment="1">
      <alignment horizontal="distributed" vertical="center" shrinkToFit="1"/>
    </xf>
    <xf numFmtId="0" fontId="4" fillId="2" borderId="1" xfId="0" applyFont="1" applyFill="1" applyBorder="1" applyAlignment="1">
      <alignment horizontal="distributed" vertical="center" shrinkToFit="1"/>
    </xf>
    <xf numFmtId="0" fontId="4" fillId="2" borderId="17" xfId="0" applyFont="1" applyFill="1" applyBorder="1" applyAlignment="1">
      <alignment horizontal="distributed" vertical="center" shrinkToFit="1"/>
    </xf>
    <xf numFmtId="0" fontId="4" fillId="2" borderId="0" xfId="0" applyFont="1" applyFill="1" applyAlignment="1">
      <alignment horizontal="distributed" vertical="center" shrinkToFit="1"/>
    </xf>
    <xf numFmtId="0" fontId="4" fillId="2" borderId="29" xfId="0" applyFont="1" applyFill="1" applyBorder="1" applyAlignment="1">
      <alignment horizontal="distributed" vertical="center" shrinkToFit="1"/>
    </xf>
    <xf numFmtId="0" fontId="4" fillId="2" borderId="16" xfId="0" applyFont="1" applyFill="1" applyBorder="1" applyAlignment="1">
      <alignment horizontal="distributed" vertical="center" shrinkToFit="1"/>
    </xf>
    <xf numFmtId="0" fontId="4" fillId="2" borderId="5" xfId="0" applyFont="1" applyFill="1" applyBorder="1" applyAlignment="1">
      <alignment horizontal="distributed" vertical="center" shrinkToFit="1"/>
    </xf>
    <xf numFmtId="0" fontId="4" fillId="2" borderId="15" xfId="0" applyFont="1" applyFill="1" applyBorder="1" applyAlignment="1">
      <alignment horizontal="distributed" vertical="center" shrinkToFit="1"/>
    </xf>
    <xf numFmtId="40" fontId="4" fillId="5" borderId="0" xfId="4" applyNumberFormat="1" applyFont="1" applyFill="1" applyBorder="1" applyAlignment="1">
      <alignment horizontal="center" vertical="center" shrinkToFit="1"/>
    </xf>
    <xf numFmtId="0" fontId="4" fillId="2" borderId="3" xfId="0" applyFont="1" applyFill="1" applyBorder="1" applyAlignment="1">
      <alignment horizontal="distributed" vertical="center" wrapText="1"/>
    </xf>
    <xf numFmtId="0" fontId="4" fillId="2" borderId="4" xfId="0" applyFont="1" applyFill="1" applyBorder="1" applyAlignment="1">
      <alignment horizontal="distributed" vertical="center" wrapText="1"/>
    </xf>
    <xf numFmtId="0" fontId="4" fillId="2" borderId="1" xfId="0" applyFont="1" applyFill="1" applyBorder="1" applyAlignment="1">
      <alignment horizontal="distributed" vertical="center" wrapText="1"/>
    </xf>
    <xf numFmtId="0" fontId="4" fillId="2" borderId="3" xfId="0" applyFont="1" applyFill="1" applyBorder="1" applyAlignment="1">
      <alignment horizontal="center" vertical="center" wrapText="1" shrinkToFit="1"/>
    </xf>
    <xf numFmtId="0" fontId="4" fillId="2" borderId="17"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29" xfId="0" applyFont="1" applyFill="1" applyBorder="1" applyAlignment="1">
      <alignment horizontal="distributed" vertical="center" wrapText="1"/>
    </xf>
    <xf numFmtId="0" fontId="59" fillId="0" borderId="0" xfId="0" applyFont="1" applyAlignment="1">
      <alignment horizontal="center" vertical="center"/>
    </xf>
    <xf numFmtId="0" fontId="61" fillId="0" borderId="3" xfId="0" applyFont="1" applyBorder="1" applyAlignment="1">
      <alignment horizontal="left" vertical="center" wrapText="1"/>
    </xf>
    <xf numFmtId="0" fontId="61" fillId="0" borderId="4" xfId="0" applyFont="1" applyBorder="1" applyAlignment="1">
      <alignment horizontal="left" vertical="center"/>
    </xf>
    <xf numFmtId="0" fontId="61" fillId="0" borderId="1" xfId="0" applyFont="1" applyBorder="1" applyAlignment="1">
      <alignment horizontal="left" vertical="center"/>
    </xf>
    <xf numFmtId="0" fontId="61" fillId="0" borderId="17" xfId="0" applyFont="1" applyBorder="1" applyAlignment="1">
      <alignment horizontal="left" vertical="center" wrapText="1"/>
    </xf>
    <xf numFmtId="0" fontId="61" fillId="0" borderId="0" xfId="0" applyFont="1" applyAlignment="1">
      <alignment horizontal="left" vertical="center"/>
    </xf>
    <xf numFmtId="0" fontId="61" fillId="0" borderId="29" xfId="0" applyFont="1" applyBorder="1" applyAlignment="1">
      <alignment horizontal="left" vertical="center"/>
    </xf>
    <xf numFmtId="0" fontId="61" fillId="0" borderId="17" xfId="0" applyFont="1" applyBorder="1" applyAlignment="1">
      <alignment horizontal="left" vertical="center"/>
    </xf>
    <xf numFmtId="0" fontId="61" fillId="0" borderId="16" xfId="0" applyFont="1" applyBorder="1" applyAlignment="1">
      <alignment horizontal="left" vertical="center"/>
    </xf>
    <xf numFmtId="0" fontId="61" fillId="0" borderId="5" xfId="0" applyFont="1" applyBorder="1" applyAlignment="1">
      <alignment horizontal="left" vertical="center"/>
    </xf>
    <xf numFmtId="0" fontId="61" fillId="0" borderId="15" xfId="0" applyFont="1" applyBorder="1" applyAlignment="1">
      <alignment horizontal="left" vertical="center"/>
    </xf>
    <xf numFmtId="0" fontId="61" fillId="0" borderId="2" xfId="0" applyFont="1" applyBorder="1" applyAlignment="1">
      <alignment horizontal="center" vertical="center"/>
    </xf>
    <xf numFmtId="0" fontId="61" fillId="11" borderId="2" xfId="0" applyFont="1" applyFill="1" applyBorder="1" applyAlignment="1">
      <alignment horizontal="center" vertical="center"/>
    </xf>
    <xf numFmtId="0" fontId="61" fillId="11" borderId="2" xfId="0" applyFont="1" applyFill="1" applyBorder="1" applyAlignment="1">
      <alignment horizontal="left" vertical="center" indent="1"/>
    </xf>
    <xf numFmtId="0" fontId="61" fillId="11" borderId="25" xfId="0" applyFont="1" applyFill="1" applyBorder="1" applyAlignment="1">
      <alignment horizontal="left" vertical="center" indent="1"/>
    </xf>
    <xf numFmtId="0" fontId="61" fillId="0" borderId="6" xfId="0" applyFont="1" applyBorder="1" applyAlignment="1">
      <alignment horizontal="center" vertical="center"/>
    </xf>
    <xf numFmtId="0" fontId="61" fillId="0" borderId="7" xfId="0" applyFont="1" applyBorder="1" applyAlignment="1">
      <alignment horizontal="center" vertical="center"/>
    </xf>
    <xf numFmtId="0" fontId="61" fillId="0" borderId="8" xfId="0" applyFont="1" applyBorder="1" applyAlignment="1">
      <alignment horizontal="center" vertical="center"/>
    </xf>
    <xf numFmtId="0" fontId="61" fillId="11" borderId="6" xfId="0" applyFont="1" applyFill="1" applyBorder="1" applyAlignment="1">
      <alignment horizontal="center" vertical="center"/>
    </xf>
    <xf numFmtId="0" fontId="61" fillId="11" borderId="7" xfId="0" applyFont="1" applyFill="1" applyBorder="1" applyAlignment="1">
      <alignment horizontal="center" vertical="center"/>
    </xf>
    <xf numFmtId="0" fontId="61" fillId="11" borderId="8" xfId="0" applyFont="1" applyFill="1" applyBorder="1" applyAlignment="1">
      <alignment horizontal="center" vertical="center"/>
    </xf>
    <xf numFmtId="0" fontId="61" fillId="18" borderId="6" xfId="0" applyFont="1" applyFill="1" applyBorder="1" applyAlignment="1">
      <alignment horizontal="center" vertical="center"/>
    </xf>
    <xf numFmtId="0" fontId="61" fillId="18" borderId="7" xfId="0" applyFont="1" applyFill="1" applyBorder="1" applyAlignment="1">
      <alignment horizontal="center" vertical="center"/>
    </xf>
    <xf numFmtId="0" fontId="61" fillId="18" borderId="8" xfId="0" applyFont="1" applyFill="1" applyBorder="1" applyAlignment="1">
      <alignment horizontal="center" vertical="center"/>
    </xf>
    <xf numFmtId="0" fontId="61" fillId="13" borderId="6" xfId="0" applyFont="1" applyFill="1" applyBorder="1" applyAlignment="1">
      <alignment horizontal="center" vertical="center"/>
    </xf>
    <xf numFmtId="0" fontId="61" fillId="13" borderId="7" xfId="0" applyFont="1" applyFill="1" applyBorder="1" applyAlignment="1">
      <alignment horizontal="center" vertical="center"/>
    </xf>
    <xf numFmtId="0" fontId="61" fillId="13" borderId="8" xfId="0" applyFont="1" applyFill="1" applyBorder="1" applyAlignment="1">
      <alignment horizontal="center" vertical="center"/>
    </xf>
    <xf numFmtId="0" fontId="63" fillId="0" borderId="0" xfId="0" applyFont="1" applyAlignment="1">
      <alignment horizontal="left" vertical="center" wrapText="1"/>
    </xf>
    <xf numFmtId="0" fontId="61" fillId="0" borderId="6" xfId="0" applyFont="1" applyBorder="1" applyAlignment="1">
      <alignment horizontal="left" vertical="center" indent="1"/>
    </xf>
    <xf numFmtId="0" fontId="61" fillId="0" borderId="7" xfId="0" applyFont="1" applyBorder="1" applyAlignment="1">
      <alignment horizontal="left" vertical="center" indent="1"/>
    </xf>
    <xf numFmtId="0" fontId="61" fillId="0" borderId="8" xfId="0" applyFont="1" applyBorder="1" applyAlignment="1">
      <alignment horizontal="left" vertical="center" indent="1"/>
    </xf>
    <xf numFmtId="38" fontId="61" fillId="11" borderId="3" xfId="4" applyFont="1" applyFill="1" applyBorder="1" applyAlignment="1">
      <alignment horizontal="center" vertical="center"/>
    </xf>
    <xf numFmtId="38" fontId="61" fillId="11" borderId="4" xfId="4" applyFont="1" applyFill="1" applyBorder="1" applyAlignment="1">
      <alignment horizontal="center" vertical="center"/>
    </xf>
    <xf numFmtId="0" fontId="61" fillId="13" borderId="2" xfId="0" applyFont="1" applyFill="1" applyBorder="1" applyAlignment="1">
      <alignment horizontal="left" vertical="center" indent="1" shrinkToFit="1"/>
    </xf>
    <xf numFmtId="38" fontId="61" fillId="11" borderId="6" xfId="4" applyFont="1" applyFill="1" applyBorder="1" applyAlignment="1">
      <alignment horizontal="center" vertical="center"/>
    </xf>
    <xf numFmtId="38" fontId="61" fillId="11" borderId="7" xfId="4" applyFont="1" applyFill="1" applyBorder="1" applyAlignment="1">
      <alignment horizontal="center" vertical="center"/>
    </xf>
    <xf numFmtId="0" fontId="61" fillId="0" borderId="16" xfId="0" applyFont="1" applyBorder="1" applyAlignment="1">
      <alignment horizontal="left" vertical="center" indent="1"/>
    </xf>
    <xf numFmtId="0" fontId="61" fillId="0" borderId="5" xfId="0" applyFont="1" applyBorder="1" applyAlignment="1">
      <alignment horizontal="left" vertical="center" indent="1"/>
    </xf>
    <xf numFmtId="0" fontId="61" fillId="12" borderId="16" xfId="0" applyFont="1" applyFill="1" applyBorder="1" applyAlignment="1">
      <alignment horizontal="center" vertical="center"/>
    </xf>
    <xf numFmtId="0" fontId="61" fillId="12" borderId="5" xfId="0" applyFont="1" applyFill="1" applyBorder="1" applyAlignment="1">
      <alignment horizontal="center" vertical="center"/>
    </xf>
    <xf numFmtId="0" fontId="61" fillId="12" borderId="15" xfId="0" applyFont="1" applyFill="1" applyBorder="1" applyAlignment="1">
      <alignment horizontal="center" vertical="center"/>
    </xf>
    <xf numFmtId="0" fontId="61" fillId="8" borderId="6" xfId="0" applyFont="1" applyFill="1" applyBorder="1" applyAlignment="1">
      <alignment horizontal="center" vertical="center"/>
    </xf>
    <xf numFmtId="0" fontId="61" fillId="8" borderId="7" xfId="0" applyFont="1" applyFill="1" applyBorder="1" applyAlignment="1">
      <alignment horizontal="center" vertical="center"/>
    </xf>
    <xf numFmtId="0" fontId="61" fillId="8" borderId="8" xfId="0" applyFont="1" applyFill="1" applyBorder="1" applyAlignment="1">
      <alignment horizontal="center" vertical="center"/>
    </xf>
    <xf numFmtId="0" fontId="63" fillId="0" borderId="0" xfId="0" applyFont="1" applyAlignment="1">
      <alignment horizontal="left" vertical="center" wrapText="1" indent="1"/>
    </xf>
    <xf numFmtId="0" fontId="63" fillId="0" borderId="0" xfId="0" applyFont="1" applyAlignment="1">
      <alignment horizontal="left" vertical="center" indent="1"/>
    </xf>
    <xf numFmtId="0" fontId="62" fillId="0" borderId="6" xfId="0" applyFont="1" applyBorder="1" applyAlignment="1">
      <alignment horizontal="center" vertical="center"/>
    </xf>
    <xf numFmtId="0" fontId="62" fillId="0" borderId="7" xfId="0" applyFont="1" applyBorder="1" applyAlignment="1">
      <alignment horizontal="center" vertical="center"/>
    </xf>
    <xf numFmtId="0" fontId="62" fillId="0" borderId="8" xfId="0" applyFont="1" applyBorder="1" applyAlignment="1">
      <alignment horizontal="center" vertical="center"/>
    </xf>
    <xf numFmtId="0" fontId="66" fillId="0" borderId="2" xfId="0" applyFont="1" applyBorder="1" applyAlignment="1">
      <alignment horizontal="center" vertical="center" wrapText="1"/>
    </xf>
    <xf numFmtId="0" fontId="61" fillId="0" borderId="17" xfId="0" applyFont="1" applyBorder="1" applyAlignment="1">
      <alignment horizontal="center" vertical="center"/>
    </xf>
    <xf numFmtId="0" fontId="61" fillId="0" borderId="29" xfId="0" applyFont="1" applyBorder="1" applyAlignment="1">
      <alignment horizontal="center" vertical="center"/>
    </xf>
    <xf numFmtId="0" fontId="61" fillId="0" borderId="2" xfId="0" applyFont="1" applyBorder="1" applyAlignment="1">
      <alignment horizontal="center" vertical="center" wrapText="1"/>
    </xf>
    <xf numFmtId="182" fontId="61" fillId="12" borderId="2" xfId="0" applyNumberFormat="1" applyFont="1" applyFill="1" applyBorder="1" applyAlignment="1">
      <alignment horizontal="center" vertical="center"/>
    </xf>
    <xf numFmtId="0" fontId="61" fillId="12" borderId="3" xfId="0" applyFont="1" applyFill="1" applyBorder="1" applyAlignment="1">
      <alignment horizontal="center" vertical="center"/>
    </xf>
    <xf numFmtId="0" fontId="61" fillId="12" borderId="4" xfId="0" applyFont="1" applyFill="1" applyBorder="1" applyAlignment="1">
      <alignment horizontal="center" vertical="center"/>
    </xf>
    <xf numFmtId="10" fontId="61" fillId="12" borderId="3" xfId="1" applyNumberFormat="1" applyFont="1" applyFill="1" applyBorder="1" applyAlignment="1">
      <alignment horizontal="center" vertical="center"/>
    </xf>
    <xf numFmtId="10" fontId="61" fillId="12" borderId="4" xfId="1" applyNumberFormat="1" applyFont="1" applyFill="1" applyBorder="1" applyAlignment="1">
      <alignment horizontal="center" vertical="center"/>
    </xf>
    <xf numFmtId="0" fontId="61" fillId="0" borderId="71" xfId="0" applyFont="1" applyBorder="1" applyAlignment="1">
      <alignment horizontal="center" vertical="center"/>
    </xf>
    <xf numFmtId="0" fontId="61" fillId="0" borderId="72" xfId="0" applyFont="1" applyBorder="1" applyAlignment="1">
      <alignment horizontal="center" vertical="center"/>
    </xf>
    <xf numFmtId="0" fontId="61" fillId="0" borderId="73" xfId="0" applyFont="1" applyBorder="1" applyAlignment="1">
      <alignment horizontal="center" vertical="center"/>
    </xf>
    <xf numFmtId="0" fontId="61" fillId="11" borderId="3" xfId="0" applyFont="1" applyFill="1" applyBorder="1" applyAlignment="1">
      <alignment horizontal="center" vertical="center"/>
    </xf>
    <xf numFmtId="0" fontId="61" fillId="11" borderId="4" xfId="0" applyFont="1" applyFill="1" applyBorder="1" applyAlignment="1">
      <alignment horizontal="center" vertical="center"/>
    </xf>
    <xf numFmtId="0" fontId="61" fillId="12" borderId="2" xfId="0" applyFont="1" applyFill="1" applyBorder="1" applyAlignment="1">
      <alignment horizontal="center" vertical="center"/>
    </xf>
    <xf numFmtId="0" fontId="64" fillId="0" borderId="17" xfId="0" applyFont="1" applyBorder="1" applyAlignment="1">
      <alignment horizontal="center" vertical="center" wrapText="1"/>
    </xf>
    <xf numFmtId="0" fontId="61" fillId="19" borderId="2" xfId="0" applyFont="1" applyFill="1" applyBorder="1" applyAlignment="1">
      <alignment horizontal="center" vertical="center"/>
    </xf>
    <xf numFmtId="0" fontId="61" fillId="0" borderId="62" xfId="0" applyFont="1" applyBorder="1" applyAlignment="1">
      <alignment horizontal="center" vertical="center"/>
    </xf>
    <xf numFmtId="0" fontId="67" fillId="0" borderId="0" xfId="0" applyFont="1" applyAlignment="1">
      <alignment horizontal="left" vertical="center" wrapText="1" indent="1"/>
    </xf>
    <xf numFmtId="0" fontId="67" fillId="0" borderId="0" xfId="0" applyFont="1" applyAlignment="1">
      <alignment horizontal="left" vertical="center" indent="1"/>
    </xf>
    <xf numFmtId="0" fontId="61" fillId="0" borderId="25" xfId="0" applyFont="1" applyBorder="1" applyAlignment="1">
      <alignment horizontal="center" vertical="center"/>
    </xf>
    <xf numFmtId="0" fontId="61" fillId="0" borderId="27" xfId="0" applyFont="1" applyBorder="1" applyAlignment="1">
      <alignment horizontal="center" vertical="center"/>
    </xf>
    <xf numFmtId="0" fontId="65" fillId="11" borderId="3" xfId="0" applyFont="1" applyFill="1" applyBorder="1" applyAlignment="1">
      <alignment horizontal="left" vertical="top"/>
    </xf>
    <xf numFmtId="0" fontId="65" fillId="11" borderId="4" xfId="0" applyFont="1" applyFill="1" applyBorder="1" applyAlignment="1">
      <alignment horizontal="left" vertical="top"/>
    </xf>
    <xf numFmtId="0" fontId="65" fillId="11" borderId="1" xfId="0" applyFont="1" applyFill="1" applyBorder="1" applyAlignment="1">
      <alignment horizontal="left" vertical="top"/>
    </xf>
    <xf numFmtId="0" fontId="63" fillId="11" borderId="16" xfId="0" applyFont="1" applyFill="1" applyBorder="1" applyAlignment="1">
      <alignment horizontal="left" vertical="top"/>
    </xf>
    <xf numFmtId="0" fontId="63" fillId="11" borderId="5" xfId="0" applyFont="1" applyFill="1" applyBorder="1" applyAlignment="1">
      <alignment horizontal="left" vertical="top"/>
    </xf>
    <xf numFmtId="0" fontId="63" fillId="11" borderId="15" xfId="0" applyFont="1" applyFill="1" applyBorder="1" applyAlignment="1">
      <alignment horizontal="left" vertical="top"/>
    </xf>
    <xf numFmtId="0" fontId="63" fillId="0" borderId="4" xfId="0" applyFont="1" applyBorder="1" applyAlignment="1">
      <alignment horizontal="left" vertical="center" wrapText="1" indent="1"/>
    </xf>
    <xf numFmtId="0" fontId="64" fillId="0" borderId="29" xfId="0" applyFont="1" applyBorder="1" applyAlignment="1">
      <alignment horizontal="center" vertical="center" wrapText="1"/>
    </xf>
    <xf numFmtId="0" fontId="71" fillId="0" borderId="0" xfId="8" applyFont="1" applyAlignment="1">
      <alignment horizontal="center" vertical="center"/>
    </xf>
    <xf numFmtId="0" fontId="68" fillId="0" borderId="0" xfId="7" applyFont="1" applyAlignment="1">
      <alignment horizontal="left" vertical="center" wrapText="1"/>
    </xf>
    <xf numFmtId="0" fontId="75" fillId="2" borderId="25" xfId="8" applyFont="1" applyFill="1" applyBorder="1" applyAlignment="1">
      <alignment horizontal="center" vertical="center" shrinkToFit="1"/>
    </xf>
    <xf numFmtId="0" fontId="76" fillId="2" borderId="27" xfId="9" applyFont="1" applyFill="1" applyBorder="1" applyAlignment="1">
      <alignment vertical="center" shrinkToFit="1"/>
    </xf>
    <xf numFmtId="184" fontId="75" fillId="12" borderId="6" xfId="8" applyNumberFormat="1" applyFont="1" applyFill="1" applyBorder="1" applyAlignment="1">
      <alignment horizontal="center"/>
    </xf>
    <xf numFmtId="184" fontId="75" fillId="12" borderId="7" xfId="8" applyNumberFormat="1" applyFont="1" applyFill="1" applyBorder="1" applyAlignment="1">
      <alignment horizontal="center"/>
    </xf>
    <xf numFmtId="184" fontId="75" fillId="12" borderId="8" xfId="8" applyNumberFormat="1" applyFont="1" applyFill="1" applyBorder="1" applyAlignment="1">
      <alignment horizontal="center"/>
    </xf>
    <xf numFmtId="0" fontId="75" fillId="2" borderId="25" xfId="8" applyFont="1" applyFill="1" applyBorder="1" applyAlignment="1">
      <alignment horizontal="center" vertical="center" wrapText="1"/>
    </xf>
    <xf numFmtId="0" fontId="75" fillId="2" borderId="27" xfId="8" applyFont="1" applyFill="1" applyBorder="1" applyAlignment="1">
      <alignment horizontal="center" vertical="center" wrapText="1"/>
    </xf>
    <xf numFmtId="0" fontId="75" fillId="0" borderId="25" xfId="8" applyFont="1" applyBorder="1" applyAlignment="1">
      <alignment horizontal="center" vertical="center" wrapText="1" readingOrder="1"/>
    </xf>
    <xf numFmtId="0" fontId="75" fillId="0" borderId="28" xfId="8" applyFont="1" applyBorder="1" applyAlignment="1">
      <alignment horizontal="center" vertical="center" wrapText="1" readingOrder="1"/>
    </xf>
    <xf numFmtId="0" fontId="75" fillId="0" borderId="28" xfId="8" applyFont="1" applyBorder="1" applyAlignment="1">
      <alignment horizontal="center" vertical="center" readingOrder="1"/>
    </xf>
    <xf numFmtId="0" fontId="75" fillId="0" borderId="27" xfId="8" applyFont="1" applyBorder="1" applyAlignment="1">
      <alignment horizontal="center" vertical="center" readingOrder="1"/>
    </xf>
    <xf numFmtId="0" fontId="78" fillId="0" borderId="49" xfId="8" applyFont="1" applyBorder="1" applyAlignment="1">
      <alignment horizontal="left" vertical="center" wrapText="1"/>
    </xf>
    <xf numFmtId="0" fontId="78" fillId="0" borderId="59" xfId="8" applyFont="1" applyBorder="1" applyAlignment="1">
      <alignment horizontal="left" vertical="center" wrapText="1"/>
    </xf>
    <xf numFmtId="0" fontId="78" fillId="0" borderId="50" xfId="8" applyFont="1" applyBorder="1" applyAlignment="1">
      <alignment horizontal="left" vertical="center" wrapText="1"/>
    </xf>
    <xf numFmtId="0" fontId="78" fillId="0" borderId="51" xfId="8" applyFont="1" applyBorder="1" applyAlignment="1">
      <alignment horizontal="left" vertical="center" wrapText="1"/>
    </xf>
    <xf numFmtId="0" fontId="78" fillId="0" borderId="53" xfId="8" applyFont="1" applyBorder="1" applyAlignment="1">
      <alignment horizontal="left" vertical="center" wrapText="1"/>
    </xf>
    <xf numFmtId="0" fontId="78" fillId="0" borderId="52" xfId="8" applyFont="1" applyBorder="1" applyAlignment="1">
      <alignment horizontal="left" vertical="center" wrapText="1"/>
    </xf>
    <xf numFmtId="0" fontId="78" fillId="0" borderId="47" xfId="8" applyFont="1" applyBorder="1" applyAlignment="1">
      <alignment horizontal="left" vertical="center" wrapText="1"/>
    </xf>
    <xf numFmtId="0" fontId="78" fillId="0" borderId="58" xfId="8" applyFont="1" applyBorder="1" applyAlignment="1">
      <alignment horizontal="left" vertical="center" wrapText="1"/>
    </xf>
    <xf numFmtId="0" fontId="78" fillId="0" borderId="48" xfId="8" applyFont="1" applyBorder="1" applyAlignment="1">
      <alignment horizontal="left" vertical="center" wrapText="1"/>
    </xf>
    <xf numFmtId="0" fontId="11" fillId="0" borderId="106" xfId="8" applyFont="1" applyBorder="1" applyAlignment="1">
      <alignment horizontal="center" vertical="center" shrinkToFit="1"/>
    </xf>
    <xf numFmtId="0" fontId="11" fillId="0" borderId="107" xfId="8" applyFont="1" applyBorder="1" applyAlignment="1">
      <alignment horizontal="center" vertical="center" shrinkToFit="1"/>
    </xf>
    <xf numFmtId="0" fontId="11" fillId="0" borderId="108" xfId="8" applyFont="1" applyBorder="1" applyAlignment="1">
      <alignment horizontal="center" vertical="center" shrinkToFit="1"/>
    </xf>
    <xf numFmtId="0" fontId="75" fillId="0" borderId="109" xfId="8" applyFont="1" applyBorder="1" applyAlignment="1">
      <alignment horizontal="left" vertical="center"/>
    </xf>
    <xf numFmtId="0" fontId="75" fillId="0" borderId="50" xfId="8" applyFont="1" applyBorder="1" applyAlignment="1">
      <alignment horizontal="left" vertical="center"/>
    </xf>
    <xf numFmtId="0" fontId="78" fillId="0" borderId="110" xfId="8" applyFont="1" applyBorder="1" applyAlignment="1">
      <alignment horizontal="left" vertical="center" wrapText="1" shrinkToFit="1"/>
    </xf>
    <xf numFmtId="0" fontId="78" fillId="0" borderId="52" xfId="8" applyFont="1" applyBorder="1" applyAlignment="1">
      <alignment horizontal="left" vertical="center" wrapText="1" shrinkToFit="1"/>
    </xf>
    <xf numFmtId="0" fontId="78" fillId="0" borderId="111" xfId="8" applyFont="1" applyBorder="1" applyAlignment="1">
      <alignment horizontal="left" vertical="center" wrapText="1" shrinkToFit="1"/>
    </xf>
    <xf numFmtId="0" fontId="78" fillId="0" borderId="48" xfId="8" applyFont="1" applyBorder="1" applyAlignment="1">
      <alignment horizontal="left" vertical="center" wrapText="1" shrinkToFit="1"/>
    </xf>
    <xf numFmtId="0" fontId="78" fillId="0" borderId="112" xfId="8" applyFont="1" applyBorder="1" applyAlignment="1">
      <alignment horizontal="left" vertical="center" wrapText="1"/>
    </xf>
    <xf numFmtId="0" fontId="78" fillId="0" borderId="15" xfId="8" applyFont="1" applyBorder="1" applyAlignment="1">
      <alignment horizontal="left" vertical="center" wrapText="1"/>
    </xf>
    <xf numFmtId="0" fontId="75" fillId="2" borderId="7" xfId="8" applyFont="1" applyFill="1" applyBorder="1" applyAlignment="1">
      <alignment horizontal="center"/>
    </xf>
    <xf numFmtId="0" fontId="75" fillId="2" borderId="6" xfId="8" applyFont="1" applyFill="1" applyBorder="1" applyAlignment="1">
      <alignment horizontal="center" wrapText="1"/>
    </xf>
    <xf numFmtId="0" fontId="75" fillId="2" borderId="7" xfId="8" applyFont="1" applyFill="1" applyBorder="1" applyAlignment="1">
      <alignment horizontal="center" wrapText="1"/>
    </xf>
    <xf numFmtId="0" fontId="75" fillId="2" borderId="8" xfId="8" applyFont="1" applyFill="1" applyBorder="1" applyAlignment="1">
      <alignment horizontal="center" wrapText="1"/>
    </xf>
    <xf numFmtId="0" fontId="75" fillId="2" borderId="4" xfId="8" applyFont="1" applyFill="1" applyBorder="1" applyAlignment="1">
      <alignment horizontal="center"/>
    </xf>
    <xf numFmtId="0" fontId="8" fillId="0" borderId="6" xfId="8" applyBorder="1" applyAlignment="1">
      <alignment horizontal="left" vertical="top" wrapText="1"/>
    </xf>
    <xf numFmtId="0" fontId="8" fillId="0" borderId="7" xfId="8" applyBorder="1" applyAlignment="1">
      <alignment horizontal="left" vertical="top" wrapText="1"/>
    </xf>
    <xf numFmtId="0" fontId="8" fillId="0" borderId="8" xfId="8" applyBorder="1" applyAlignment="1">
      <alignment horizontal="left" vertical="top" wrapText="1"/>
    </xf>
    <xf numFmtId="0" fontId="8" fillId="0" borderId="17" xfId="8" applyBorder="1" applyAlignment="1">
      <alignment horizontal="left" vertical="top" wrapText="1"/>
    </xf>
    <xf numFmtId="0" fontId="8" fillId="0" borderId="0" xfId="8" applyAlignment="1">
      <alignment horizontal="left" vertical="top" wrapText="1"/>
    </xf>
    <xf numFmtId="0" fontId="8" fillId="0" borderId="29" xfId="8" applyBorder="1" applyAlignment="1">
      <alignment horizontal="left" vertical="top" wrapText="1"/>
    </xf>
    <xf numFmtId="0" fontId="8" fillId="0" borderId="16" xfId="8" applyBorder="1" applyAlignment="1">
      <alignment horizontal="left" vertical="top" wrapText="1"/>
    </xf>
    <xf numFmtId="0" fontId="8" fillId="0" borderId="5" xfId="8" applyBorder="1" applyAlignment="1">
      <alignment horizontal="left" vertical="top" wrapText="1"/>
    </xf>
    <xf numFmtId="0" fontId="8" fillId="0" borderId="15" xfId="8" applyBorder="1" applyAlignment="1">
      <alignment horizontal="left" vertical="top" wrapText="1"/>
    </xf>
    <xf numFmtId="42" fontId="11" fillId="0" borderId="86" xfId="8" applyNumberFormat="1" applyFont="1" applyBorder="1" applyAlignment="1">
      <alignment horizontal="center" vertical="center" wrapText="1"/>
    </xf>
    <xf numFmtId="42" fontId="11" fillId="0" borderId="113" xfId="8" applyNumberFormat="1" applyFont="1" applyBorder="1" applyAlignment="1">
      <alignment horizontal="center" vertical="center" wrapText="1"/>
    </xf>
    <xf numFmtId="42" fontId="11" fillId="0" borderId="100" xfId="8" applyNumberFormat="1" applyFont="1" applyBorder="1" applyAlignment="1">
      <alignment horizontal="center" vertical="center" wrapText="1"/>
    </xf>
    <xf numFmtId="42" fontId="11" fillId="0" borderId="114" xfId="8" applyNumberFormat="1" applyFont="1" applyBorder="1" applyAlignment="1">
      <alignment horizontal="center" vertical="center" wrapText="1"/>
    </xf>
    <xf numFmtId="0" fontId="81" fillId="0" borderId="15" xfId="9" applyFont="1" applyBorder="1" applyAlignment="1">
      <alignment horizontal="left" vertical="top" wrapText="1"/>
    </xf>
    <xf numFmtId="0" fontId="81" fillId="0" borderId="27" xfId="9" applyFont="1" applyBorder="1" applyAlignment="1">
      <alignment horizontal="left" vertical="top" wrapText="1"/>
    </xf>
    <xf numFmtId="0" fontId="8" fillId="0" borderId="6" xfId="8" applyBorder="1" applyAlignment="1">
      <alignment horizontal="center" vertical="top" wrapText="1"/>
    </xf>
    <xf numFmtId="0" fontId="8" fillId="0" borderId="8" xfId="8" applyBorder="1" applyAlignment="1">
      <alignment horizontal="center" vertical="top" wrapText="1"/>
    </xf>
    <xf numFmtId="0" fontId="8" fillId="0" borderId="6" xfId="8" applyBorder="1" applyAlignment="1">
      <alignment horizontal="center" vertical="top" shrinkToFit="1"/>
    </xf>
    <xf numFmtId="0" fontId="8" fillId="0" borderId="8" xfId="8" applyBorder="1" applyAlignment="1">
      <alignment horizontal="center" vertical="top" shrinkToFit="1"/>
    </xf>
    <xf numFmtId="0" fontId="75" fillId="0" borderId="115" xfId="8" applyFont="1" applyBorder="1" applyAlignment="1">
      <alignment horizontal="center" vertical="top" wrapText="1"/>
    </xf>
    <xf numFmtId="0" fontId="75" fillId="0" borderId="82" xfId="8" applyFont="1" applyBorder="1" applyAlignment="1">
      <alignment horizontal="center" vertical="top" wrapText="1"/>
    </xf>
    <xf numFmtId="38" fontId="8" fillId="11" borderId="6" xfId="4" applyFont="1" applyFill="1" applyBorder="1" applyAlignment="1" applyProtection="1">
      <alignment horizontal="center" vertical="center" wrapText="1"/>
    </xf>
    <xf numFmtId="38" fontId="8" fillId="11" borderId="8" xfId="4" applyFont="1" applyFill="1" applyBorder="1" applyAlignment="1" applyProtection="1">
      <alignment horizontal="center" vertical="center" wrapText="1"/>
    </xf>
    <xf numFmtId="38" fontId="8" fillId="12" borderId="116" xfId="4" applyFont="1" applyFill="1" applyBorder="1" applyAlignment="1" applyProtection="1">
      <alignment horizontal="center" vertical="center" wrapText="1"/>
    </xf>
    <xf numFmtId="38" fontId="8" fillId="12" borderId="87" xfId="4" applyFont="1" applyFill="1" applyBorder="1" applyAlignment="1" applyProtection="1">
      <alignment horizontal="center" vertical="center" wrapText="1"/>
    </xf>
    <xf numFmtId="0" fontId="97" fillId="9" borderId="0" xfId="12" applyFont="1" applyFill="1" applyAlignment="1">
      <alignment horizontal="left" vertical="top"/>
    </xf>
    <xf numFmtId="0" fontId="98" fillId="9" borderId="0" xfId="12" applyFont="1" applyFill="1" applyAlignment="1">
      <alignment horizontal="left" vertical="top"/>
    </xf>
    <xf numFmtId="0" fontId="100" fillId="9" borderId="80" xfId="12" applyFont="1" applyFill="1" applyBorder="1" applyAlignment="1">
      <alignment horizontal="center" vertical="center" textRotation="255"/>
    </xf>
    <xf numFmtId="0" fontId="100" fillId="9" borderId="81" xfId="12" applyFont="1" applyFill="1" applyBorder="1" applyAlignment="1">
      <alignment horizontal="center" vertical="center" textRotation="255"/>
    </xf>
    <xf numFmtId="0" fontId="100" fillId="9" borderId="157" xfId="12" applyFont="1" applyFill="1" applyBorder="1" applyAlignment="1">
      <alignment horizontal="center" vertical="center" textRotation="255"/>
    </xf>
    <xf numFmtId="0" fontId="100" fillId="9" borderId="16" xfId="12" applyFont="1" applyFill="1" applyBorder="1" applyAlignment="1">
      <alignment horizontal="center" vertical="center" textRotation="255"/>
    </xf>
    <xf numFmtId="0" fontId="100" fillId="9" borderId="159" xfId="12" applyFont="1" applyFill="1" applyBorder="1" applyAlignment="1">
      <alignment horizontal="center" vertical="center" textRotation="255"/>
    </xf>
    <xf numFmtId="0" fontId="100" fillId="9" borderId="2" xfId="12" applyFont="1" applyFill="1" applyBorder="1" applyAlignment="1">
      <alignment horizontal="center" vertical="center" textRotation="255"/>
    </xf>
    <xf numFmtId="0" fontId="100" fillId="9" borderId="155" xfId="12" applyFont="1" applyFill="1" applyBorder="1" applyAlignment="1">
      <alignment horizontal="center" vertical="center"/>
    </xf>
    <xf numFmtId="0" fontId="100" fillId="9" borderId="101" xfId="12" applyFont="1" applyFill="1" applyBorder="1" applyAlignment="1">
      <alignment horizontal="center" vertical="center"/>
    </xf>
    <xf numFmtId="0" fontId="100" fillId="9" borderId="156" xfId="12" applyFont="1" applyFill="1" applyBorder="1" applyAlignment="1">
      <alignment horizontal="center" vertical="center"/>
    </xf>
    <xf numFmtId="0" fontId="100" fillId="9" borderId="31" xfId="12" applyFont="1" applyFill="1" applyBorder="1" applyAlignment="1">
      <alignment horizontal="left" vertical="center"/>
    </xf>
    <xf numFmtId="0" fontId="100" fillId="9" borderId="30" xfId="12" applyFont="1" applyFill="1" applyBorder="1" applyAlignment="1">
      <alignment horizontal="left" vertical="center"/>
    </xf>
    <xf numFmtId="0" fontId="100" fillId="9" borderId="82" xfId="12" applyFont="1" applyFill="1" applyBorder="1" applyAlignment="1">
      <alignment horizontal="left" vertical="center"/>
    </xf>
    <xf numFmtId="0" fontId="101" fillId="9" borderId="6" xfId="12" applyFont="1" applyFill="1" applyBorder="1" applyAlignment="1">
      <alignment horizontal="center" vertical="center"/>
    </xf>
    <xf numFmtId="0" fontId="101" fillId="9" borderId="7" xfId="12" applyFont="1" applyFill="1" applyBorder="1" applyAlignment="1">
      <alignment horizontal="center" vertical="center"/>
    </xf>
    <xf numFmtId="0" fontId="101" fillId="9" borderId="8" xfId="12" applyFont="1" applyFill="1" applyBorder="1" applyAlignment="1">
      <alignment horizontal="center" vertical="center"/>
    </xf>
    <xf numFmtId="0" fontId="100" fillId="9" borderId="2" xfId="12" applyFont="1" applyFill="1" applyBorder="1" applyAlignment="1">
      <alignment horizontal="center" vertical="center"/>
    </xf>
    <xf numFmtId="0" fontId="100" fillId="9" borderId="6" xfId="12" applyFont="1" applyFill="1" applyBorder="1" applyAlignment="1">
      <alignment horizontal="left" vertical="center" wrapText="1"/>
    </xf>
    <xf numFmtId="0" fontId="100" fillId="9" borderId="7" xfId="12" applyFont="1" applyFill="1" applyBorder="1" applyAlignment="1">
      <alignment horizontal="left" vertical="center" wrapText="1"/>
    </xf>
    <xf numFmtId="0" fontId="100" fillId="9" borderId="160" xfId="12" applyFont="1" applyFill="1" applyBorder="1" applyAlignment="1">
      <alignment horizontal="left" vertical="center" wrapText="1"/>
    </xf>
    <xf numFmtId="0" fontId="101" fillId="9" borderId="3" xfId="13" applyFont="1" applyFill="1" applyBorder="1" applyAlignment="1">
      <alignment horizontal="center" vertical="center" wrapText="1"/>
    </xf>
    <xf numFmtId="0" fontId="101" fillId="9" borderId="4" xfId="13" applyFont="1" applyFill="1" applyBorder="1" applyAlignment="1">
      <alignment horizontal="center" vertical="center" wrapText="1"/>
    </xf>
    <xf numFmtId="49" fontId="101" fillId="9" borderId="4" xfId="13" applyNumberFormat="1" applyFont="1" applyFill="1" applyBorder="1" applyAlignment="1">
      <alignment horizontal="center" vertical="center" wrapText="1"/>
    </xf>
    <xf numFmtId="0" fontId="101" fillId="9" borderId="6" xfId="14" applyFont="1" applyFill="1" applyBorder="1" applyAlignment="1">
      <alignment horizontal="center" vertical="center" shrinkToFit="1"/>
    </xf>
    <xf numFmtId="0" fontId="101" fillId="9" borderId="7" xfId="14" applyFont="1" applyFill="1" applyBorder="1" applyAlignment="1">
      <alignment horizontal="center" vertical="center" shrinkToFit="1"/>
    </xf>
    <xf numFmtId="0" fontId="101" fillId="9" borderId="8" xfId="14" applyFont="1" applyFill="1" applyBorder="1" applyAlignment="1">
      <alignment horizontal="center" vertical="center" shrinkToFit="1"/>
    </xf>
    <xf numFmtId="49" fontId="101" fillId="9" borderId="6" xfId="14" applyNumberFormat="1" applyFont="1" applyFill="1" applyBorder="1" applyAlignment="1">
      <alignment horizontal="left" vertical="center"/>
    </xf>
    <xf numFmtId="49" fontId="101" fillId="9" borderId="7" xfId="14" applyNumberFormat="1" applyFont="1" applyFill="1" applyBorder="1" applyAlignment="1">
      <alignment horizontal="left" vertical="center"/>
    </xf>
    <xf numFmtId="49" fontId="101" fillId="9" borderId="7" xfId="14" applyNumberFormat="1" applyFont="1" applyFill="1" applyBorder="1" applyAlignment="1">
      <alignment horizontal="center" vertical="center"/>
    </xf>
    <xf numFmtId="49" fontId="101" fillId="9" borderId="8" xfId="14" applyNumberFormat="1" applyFont="1" applyFill="1" applyBorder="1" applyAlignment="1">
      <alignment horizontal="center" vertical="center"/>
    </xf>
    <xf numFmtId="49" fontId="101" fillId="9" borderId="160" xfId="14" applyNumberFormat="1" applyFont="1" applyFill="1" applyBorder="1" applyAlignment="1">
      <alignment horizontal="left" vertical="center"/>
    </xf>
    <xf numFmtId="0" fontId="101" fillId="9" borderId="2" xfId="13" applyFont="1" applyFill="1" applyBorder="1" applyAlignment="1">
      <alignment horizontal="center" vertical="center"/>
    </xf>
    <xf numFmtId="0" fontId="101" fillId="9" borderId="161" xfId="13" applyFont="1" applyFill="1" applyBorder="1" applyAlignment="1">
      <alignment horizontal="center" vertical="center" wrapText="1"/>
    </xf>
    <xf numFmtId="0" fontId="101" fillId="9" borderId="17" xfId="13" applyFont="1" applyFill="1" applyBorder="1" applyAlignment="1">
      <alignment horizontal="left" vertical="center" wrapText="1"/>
    </xf>
    <xf numFmtId="0" fontId="101" fillId="9" borderId="0" xfId="13" applyFont="1" applyFill="1" applyAlignment="1">
      <alignment horizontal="left" vertical="center" wrapText="1"/>
    </xf>
    <xf numFmtId="0" fontId="101" fillId="9" borderId="162" xfId="13" applyFont="1" applyFill="1" applyBorder="1" applyAlignment="1">
      <alignment horizontal="left" vertical="center" wrapText="1"/>
    </xf>
    <xf numFmtId="0" fontId="101" fillId="9" borderId="16" xfId="13" applyFont="1" applyFill="1" applyBorder="1" applyAlignment="1">
      <alignment horizontal="left" vertical="center" wrapText="1"/>
    </xf>
    <xf numFmtId="0" fontId="101" fillId="9" borderId="5" xfId="13" applyFont="1" applyFill="1" applyBorder="1" applyAlignment="1">
      <alignment horizontal="left" vertical="center" wrapText="1"/>
    </xf>
    <xf numFmtId="0" fontId="101" fillId="9" borderId="158" xfId="13" applyFont="1" applyFill="1" applyBorder="1" applyAlignment="1">
      <alignment horizontal="left" vertical="center" wrapText="1"/>
    </xf>
    <xf numFmtId="0" fontId="100" fillId="9" borderId="4" xfId="12" applyFont="1" applyFill="1" applyBorder="1" applyAlignment="1">
      <alignment horizontal="center" vertical="center"/>
    </xf>
    <xf numFmtId="0" fontId="100" fillId="9" borderId="161" xfId="12" applyFont="1" applyFill="1" applyBorder="1" applyAlignment="1">
      <alignment horizontal="center" vertical="center"/>
    </xf>
    <xf numFmtId="0" fontId="100" fillId="9" borderId="2" xfId="12" applyFont="1" applyFill="1" applyBorder="1" applyAlignment="1">
      <alignment horizontal="left" vertical="center"/>
    </xf>
    <xf numFmtId="0" fontId="100" fillId="9" borderId="17" xfId="12" applyFont="1" applyFill="1" applyBorder="1" applyAlignment="1">
      <alignment horizontal="left" vertical="center" wrapText="1"/>
    </xf>
    <xf numFmtId="0" fontId="100" fillId="9" borderId="0" xfId="12" applyFont="1" applyFill="1" applyAlignment="1">
      <alignment horizontal="left" vertical="center" wrapText="1"/>
    </xf>
    <xf numFmtId="0" fontId="100" fillId="9" borderId="162" xfId="12" applyFont="1" applyFill="1" applyBorder="1" applyAlignment="1">
      <alignment horizontal="left" vertical="center" wrapText="1"/>
    </xf>
    <xf numFmtId="0" fontId="100" fillId="9" borderId="16" xfId="12" applyFont="1" applyFill="1" applyBorder="1" applyAlignment="1">
      <alignment horizontal="left" vertical="center" wrapText="1"/>
    </xf>
    <xf numFmtId="0" fontId="100" fillId="9" borderId="5" xfId="12" applyFont="1" applyFill="1" applyBorder="1" applyAlignment="1">
      <alignment horizontal="left" vertical="center" wrapText="1"/>
    </xf>
    <xf numFmtId="0" fontId="100" fillId="9" borderId="158" xfId="12" applyFont="1" applyFill="1" applyBorder="1" applyAlignment="1">
      <alignment horizontal="left" vertical="center" wrapText="1"/>
    </xf>
    <xf numFmtId="188" fontId="100" fillId="9" borderId="2" xfId="12" applyNumberFormat="1" applyFont="1" applyFill="1" applyBorder="1" applyAlignment="1">
      <alignment horizontal="left" vertical="center"/>
    </xf>
    <xf numFmtId="0" fontId="99" fillId="9" borderId="159" xfId="12" applyFont="1" applyFill="1" applyBorder="1" applyAlignment="1">
      <alignment horizontal="center" vertical="center" textRotation="255"/>
    </xf>
    <xf numFmtId="0" fontId="99" fillId="9" borderId="2" xfId="12" applyFont="1" applyFill="1" applyBorder="1" applyAlignment="1">
      <alignment horizontal="center" vertical="center" textRotation="255"/>
    </xf>
    <xf numFmtId="0" fontId="100" fillId="9" borderId="36" xfId="12" applyFont="1" applyFill="1" applyBorder="1" applyAlignment="1">
      <alignment horizontal="center" vertical="center"/>
    </xf>
    <xf numFmtId="0" fontId="100" fillId="9" borderId="1" xfId="12" applyFont="1" applyFill="1" applyBorder="1" applyAlignment="1">
      <alignment horizontal="center" vertical="center"/>
    </xf>
    <xf numFmtId="0" fontId="100" fillId="9" borderId="88" xfId="12" applyFont="1" applyFill="1" applyBorder="1" applyAlignment="1">
      <alignment horizontal="center" vertical="center"/>
    </xf>
    <xf numFmtId="0" fontId="100" fillId="9" borderId="5" xfId="12" applyFont="1" applyFill="1" applyBorder="1" applyAlignment="1">
      <alignment horizontal="center" vertical="center"/>
    </xf>
    <xf numFmtId="0" fontId="100" fillId="9" borderId="15" xfId="12" applyFont="1" applyFill="1" applyBorder="1" applyAlignment="1">
      <alignment horizontal="center" vertical="center"/>
    </xf>
    <xf numFmtId="0" fontId="100" fillId="9" borderId="3" xfId="12" applyFont="1" applyFill="1" applyBorder="1" applyAlignment="1">
      <alignment horizontal="center" vertical="center"/>
    </xf>
    <xf numFmtId="0" fontId="99" fillId="9" borderId="159" xfId="12" applyFont="1" applyFill="1" applyBorder="1" applyAlignment="1">
      <alignment horizontal="center" vertical="center" wrapText="1"/>
    </xf>
    <xf numFmtId="0" fontId="99" fillId="9" borderId="2" xfId="12" applyFont="1" applyFill="1" applyBorder="1" applyAlignment="1">
      <alignment horizontal="center" vertical="center"/>
    </xf>
    <xf numFmtId="0" fontId="99" fillId="9" borderId="159" xfId="12" applyFont="1" applyFill="1" applyBorder="1" applyAlignment="1">
      <alignment horizontal="center" vertical="center"/>
    </xf>
    <xf numFmtId="0" fontId="99" fillId="9" borderId="163" xfId="12" applyFont="1" applyFill="1" applyBorder="1" applyAlignment="1">
      <alignment horizontal="center" vertical="center"/>
    </xf>
    <xf numFmtId="0" fontId="99" fillId="9" borderId="25" xfId="12" applyFont="1" applyFill="1" applyBorder="1" applyAlignment="1">
      <alignment horizontal="center" vertical="center"/>
    </xf>
    <xf numFmtId="0" fontId="99" fillId="9" borderId="6" xfId="12" applyFont="1" applyFill="1" applyBorder="1" applyAlignment="1">
      <alignment horizontal="center" vertical="center"/>
    </xf>
    <xf numFmtId="0" fontId="99" fillId="9" borderId="7" xfId="12" applyFont="1" applyFill="1" applyBorder="1" applyAlignment="1">
      <alignment horizontal="center" vertical="center"/>
    </xf>
    <xf numFmtId="0" fontId="99" fillId="9" borderId="8" xfId="12" applyFont="1" applyFill="1" applyBorder="1" applyAlignment="1">
      <alignment horizontal="center" vertical="center"/>
    </xf>
    <xf numFmtId="0" fontId="99" fillId="9" borderId="2" xfId="12" applyFont="1" applyFill="1" applyBorder="1" applyAlignment="1">
      <alignment horizontal="left" vertical="center"/>
    </xf>
    <xf numFmtId="0" fontId="99" fillId="9" borderId="3" xfId="12" applyFont="1" applyFill="1" applyBorder="1" applyAlignment="1">
      <alignment horizontal="center" vertical="top"/>
    </xf>
    <xf numFmtId="0" fontId="99" fillId="9" borderId="4" xfId="12" applyFont="1" applyFill="1" applyBorder="1" applyAlignment="1">
      <alignment horizontal="center" vertical="top"/>
    </xf>
    <xf numFmtId="0" fontId="99" fillId="9" borderId="161" xfId="12" applyFont="1" applyFill="1" applyBorder="1" applyAlignment="1">
      <alignment horizontal="center" vertical="top"/>
    </xf>
    <xf numFmtId="0" fontId="99" fillId="9" borderId="17" xfId="12" applyFont="1" applyFill="1" applyBorder="1" applyAlignment="1">
      <alignment horizontal="center" vertical="top"/>
    </xf>
    <xf numFmtId="0" fontId="99" fillId="9" borderId="0" xfId="12" applyFont="1" applyFill="1" applyAlignment="1">
      <alignment horizontal="center" vertical="top"/>
    </xf>
    <xf numFmtId="0" fontId="99" fillId="9" borderId="162" xfId="12" applyFont="1" applyFill="1" applyBorder="1" applyAlignment="1">
      <alignment horizontal="center" vertical="top"/>
    </xf>
    <xf numFmtId="0" fontId="99" fillId="9" borderId="16" xfId="12" applyFont="1" applyFill="1" applyBorder="1" applyAlignment="1">
      <alignment horizontal="center" vertical="top"/>
    </xf>
    <xf numFmtId="0" fontId="99" fillId="9" borderId="5" xfId="12" applyFont="1" applyFill="1" applyBorder="1" applyAlignment="1">
      <alignment horizontal="center" vertical="top"/>
    </xf>
    <xf numFmtId="0" fontId="99" fillId="9" borderId="158" xfId="12" applyFont="1" applyFill="1" applyBorder="1" applyAlignment="1">
      <alignment horizontal="center" vertical="top"/>
    </xf>
    <xf numFmtId="0" fontId="99" fillId="0" borderId="6" xfId="12" applyFont="1" applyBorder="1" applyAlignment="1">
      <alignment horizontal="center" vertical="center"/>
    </xf>
    <xf numFmtId="0" fontId="99" fillId="0" borderId="7" xfId="12" applyFont="1" applyBorder="1" applyAlignment="1">
      <alignment horizontal="center" vertical="center"/>
    </xf>
    <xf numFmtId="0" fontId="99" fillId="0" borderId="8" xfId="12" applyFont="1" applyBorder="1" applyAlignment="1">
      <alignment horizontal="center" vertical="center"/>
    </xf>
    <xf numFmtId="0" fontId="99" fillId="0" borderId="2" xfId="12" applyFont="1" applyBorder="1" applyAlignment="1">
      <alignment horizontal="left" vertical="center"/>
    </xf>
    <xf numFmtId="0" fontId="101" fillId="0" borderId="6" xfId="12" applyFont="1" applyBorder="1" applyAlignment="1">
      <alignment horizontal="center" vertical="center"/>
    </xf>
    <xf numFmtId="0" fontId="101" fillId="0" borderId="7" xfId="12" applyFont="1" applyBorder="1" applyAlignment="1">
      <alignment horizontal="center" vertical="center"/>
    </xf>
    <xf numFmtId="0" fontId="101" fillId="0" borderId="8" xfId="12" applyFont="1" applyBorder="1" applyAlignment="1">
      <alignment horizontal="center" vertical="center"/>
    </xf>
    <xf numFmtId="0" fontId="101" fillId="0" borderId="6" xfId="12" applyFont="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100" fillId="9" borderId="0" xfId="12" applyFont="1" applyFill="1" applyAlignment="1">
      <alignment horizontal="center" vertical="center"/>
    </xf>
    <xf numFmtId="0" fontId="100" fillId="9" borderId="162" xfId="12" applyFont="1" applyFill="1" applyBorder="1" applyAlignment="1">
      <alignment horizontal="center" vertical="center"/>
    </xf>
    <xf numFmtId="0" fontId="100" fillId="9" borderId="6" xfId="12" applyFont="1" applyFill="1" applyBorder="1" applyAlignment="1">
      <alignment horizontal="center" vertical="center"/>
    </xf>
    <xf numFmtId="0" fontId="100" fillId="9" borderId="7" xfId="12" applyFont="1" applyFill="1" applyBorder="1" applyAlignment="1">
      <alignment horizontal="center" vertical="center"/>
    </xf>
    <xf numFmtId="0" fontId="100" fillId="9" borderId="8" xfId="12" applyFont="1" applyFill="1" applyBorder="1" applyAlignment="1">
      <alignment horizontal="center" vertical="center"/>
    </xf>
    <xf numFmtId="0" fontId="100" fillId="9" borderId="160" xfId="12" applyFont="1" applyFill="1" applyBorder="1" applyAlignment="1">
      <alignment horizontal="center" vertical="center"/>
    </xf>
    <xf numFmtId="0" fontId="100" fillId="9" borderId="35" xfId="12" applyFont="1" applyFill="1" applyBorder="1" applyAlignment="1">
      <alignment horizontal="center" vertical="center"/>
    </xf>
    <xf numFmtId="0" fontId="100" fillId="22" borderId="35" xfId="12" applyFont="1" applyFill="1" applyBorder="1" applyAlignment="1">
      <alignment horizontal="left" vertical="center"/>
    </xf>
    <xf numFmtId="0" fontId="100" fillId="22" borderId="7" xfId="12" applyFont="1" applyFill="1" applyBorder="1" applyAlignment="1">
      <alignment horizontal="left" vertical="center"/>
    </xf>
    <xf numFmtId="0" fontId="100" fillId="22" borderId="160" xfId="12" applyFont="1" applyFill="1" applyBorder="1" applyAlignment="1">
      <alignment horizontal="left" vertical="center"/>
    </xf>
    <xf numFmtId="0" fontId="104" fillId="9" borderId="116" xfId="12" applyFont="1" applyFill="1" applyBorder="1" applyAlignment="1">
      <alignment horizontal="center" vertical="center" wrapText="1"/>
    </xf>
    <xf numFmtId="0" fontId="104" fillId="9" borderId="86" xfId="12" applyFont="1" applyFill="1" applyBorder="1" applyAlignment="1">
      <alignment horizontal="center" vertical="center" wrapText="1"/>
    </xf>
    <xf numFmtId="0" fontId="104" fillId="9" borderId="85" xfId="12" applyFont="1" applyFill="1" applyBorder="1" applyAlignment="1">
      <alignment horizontal="center" vertical="center" wrapText="1"/>
    </xf>
    <xf numFmtId="0" fontId="99" fillId="22" borderId="164" xfId="12" applyFont="1" applyFill="1" applyBorder="1" applyAlignment="1">
      <alignment horizontal="center" vertical="center" textRotation="255"/>
    </xf>
    <xf numFmtId="0" fontId="99" fillId="22" borderId="165" xfId="12" applyFont="1" applyFill="1" applyBorder="1" applyAlignment="1">
      <alignment horizontal="center" vertical="center" textRotation="255"/>
    </xf>
    <xf numFmtId="0" fontId="99" fillId="22" borderId="166" xfId="12" applyFont="1" applyFill="1" applyBorder="1" applyAlignment="1">
      <alignment horizontal="center" vertical="center" textRotation="255"/>
    </xf>
    <xf numFmtId="0" fontId="99" fillId="22" borderId="168" xfId="12" applyFont="1" applyFill="1" applyBorder="1" applyAlignment="1">
      <alignment horizontal="center" vertical="center" textRotation="255"/>
    </xf>
    <xf numFmtId="0" fontId="100" fillId="22" borderId="30" xfId="12" applyFont="1" applyFill="1" applyBorder="1" applyAlignment="1">
      <alignment horizontal="left" vertical="center"/>
    </xf>
    <xf numFmtId="0" fontId="100" fillId="22" borderId="82" xfId="12" applyFont="1" applyFill="1" applyBorder="1" applyAlignment="1">
      <alignment horizontal="left" vertical="center"/>
    </xf>
    <xf numFmtId="0" fontId="105" fillId="9" borderId="2" xfId="12" applyFont="1" applyFill="1" applyBorder="1" applyAlignment="1">
      <alignment horizontal="center" vertical="center"/>
    </xf>
    <xf numFmtId="0" fontId="105" fillId="9" borderId="167" xfId="12" applyFont="1" applyFill="1" applyBorder="1" applyAlignment="1">
      <alignment horizontal="center" vertical="center"/>
    </xf>
    <xf numFmtId="49" fontId="104" fillId="9" borderId="7" xfId="12" applyNumberFormat="1" applyFont="1" applyFill="1" applyBorder="1" applyAlignment="1">
      <alignment horizontal="right" vertical="center" wrapText="1"/>
    </xf>
    <xf numFmtId="49" fontId="105" fillId="9" borderId="6" xfId="12" applyNumberFormat="1" applyFont="1" applyFill="1" applyBorder="1" applyAlignment="1">
      <alignment horizontal="center" vertical="center" wrapText="1"/>
    </xf>
    <xf numFmtId="49" fontId="105" fillId="9" borderId="7" xfId="12" applyNumberFormat="1" applyFont="1" applyFill="1" applyBorder="1" applyAlignment="1">
      <alignment horizontal="center" vertical="center" wrapText="1"/>
    </xf>
    <xf numFmtId="49" fontId="105" fillId="9" borderId="8" xfId="12" applyNumberFormat="1" applyFont="1" applyFill="1" applyBorder="1" applyAlignment="1">
      <alignment horizontal="center" vertical="center" wrapText="1"/>
    </xf>
    <xf numFmtId="49" fontId="105" fillId="9" borderId="6" xfId="12" applyNumberFormat="1" applyFont="1" applyFill="1" applyBorder="1" applyAlignment="1">
      <alignment horizontal="left" vertical="center" wrapText="1"/>
    </xf>
    <xf numFmtId="49" fontId="105" fillId="9" borderId="7" xfId="12" applyNumberFormat="1" applyFont="1" applyFill="1" applyBorder="1" applyAlignment="1">
      <alignment horizontal="left" vertical="center" wrapText="1"/>
    </xf>
    <xf numFmtId="49" fontId="105" fillId="9" borderId="160" xfId="12" applyNumberFormat="1" applyFont="1" applyFill="1" applyBorder="1" applyAlignment="1">
      <alignment horizontal="left" vertical="center" wrapText="1"/>
    </xf>
    <xf numFmtId="0" fontId="104" fillId="9" borderId="36" xfId="12" applyFont="1" applyFill="1" applyBorder="1" applyAlignment="1">
      <alignment horizontal="center" vertical="center" wrapText="1"/>
    </xf>
    <xf numFmtId="0" fontId="104" fillId="9" borderId="4" xfId="12" applyFont="1" applyFill="1" applyBorder="1" applyAlignment="1">
      <alignment horizontal="center" vertical="center" wrapText="1"/>
    </xf>
    <xf numFmtId="0" fontId="104" fillId="9" borderId="7" xfId="12" applyFont="1" applyFill="1" applyBorder="1" applyAlignment="1">
      <alignment horizontal="center" vertical="center" wrapText="1"/>
    </xf>
    <xf numFmtId="49" fontId="104" fillId="9" borderId="6" xfId="12" applyNumberFormat="1" applyFont="1" applyFill="1" applyBorder="1" applyAlignment="1">
      <alignment horizontal="right" vertical="center" wrapText="1"/>
    </xf>
    <xf numFmtId="49" fontId="104" fillId="9" borderId="7" xfId="12" applyNumberFormat="1" applyFont="1" applyFill="1" applyBorder="1" applyAlignment="1">
      <alignment horizontal="center" vertical="center" wrapText="1"/>
    </xf>
    <xf numFmtId="49" fontId="104" fillId="9" borderId="7" xfId="12" applyNumberFormat="1" applyFont="1" applyFill="1" applyBorder="1" applyAlignment="1">
      <alignment horizontal="left" vertical="center" wrapText="1"/>
    </xf>
    <xf numFmtId="0" fontId="99" fillId="9" borderId="36" xfId="12" applyFont="1" applyFill="1" applyBorder="1" applyAlignment="1">
      <alignment horizontal="center" vertical="center"/>
    </xf>
    <xf numFmtId="0" fontId="99" fillId="9" borderId="4" xfId="12" applyFont="1" applyFill="1" applyBorder="1" applyAlignment="1">
      <alignment horizontal="center" vertical="center"/>
    </xf>
    <xf numFmtId="0" fontId="99" fillId="9" borderId="1" xfId="12" applyFont="1" applyFill="1" applyBorder="1" applyAlignment="1">
      <alignment horizontal="center" vertical="center"/>
    </xf>
    <xf numFmtId="0" fontId="99" fillId="9" borderId="166" xfId="12" applyFont="1" applyFill="1" applyBorder="1" applyAlignment="1">
      <alignment horizontal="center" vertical="center"/>
    </xf>
    <xf numFmtId="0" fontId="99" fillId="9" borderId="0" xfId="12" applyFont="1" applyFill="1" applyAlignment="1">
      <alignment horizontal="center" vertical="center"/>
    </xf>
    <xf numFmtId="0" fontId="99" fillId="9" borderId="29" xfId="12" applyFont="1" applyFill="1" applyBorder="1" applyAlignment="1">
      <alignment horizontal="center" vertical="center"/>
    </xf>
    <xf numFmtId="0" fontId="99" fillId="9" borderId="88" xfId="12" applyFont="1" applyFill="1" applyBorder="1" applyAlignment="1">
      <alignment horizontal="center" vertical="center"/>
    </xf>
    <xf numFmtId="0" fontId="99" fillId="9" borderId="5" xfId="12" applyFont="1" applyFill="1" applyBorder="1" applyAlignment="1">
      <alignment horizontal="center" vertical="center"/>
    </xf>
    <xf numFmtId="0" fontId="99" fillId="9" borderId="15" xfId="12" applyFont="1" applyFill="1" applyBorder="1" applyAlignment="1">
      <alignment horizontal="center" vertical="center"/>
    </xf>
    <xf numFmtId="49" fontId="104" fillId="9" borderId="160" xfId="12" applyNumberFormat="1" applyFont="1" applyFill="1" applyBorder="1" applyAlignment="1">
      <alignment horizontal="left" vertical="center" wrapText="1"/>
    </xf>
    <xf numFmtId="0" fontId="104" fillId="9" borderId="168" xfId="12" applyFont="1" applyFill="1" applyBorder="1" applyAlignment="1">
      <alignment horizontal="center" vertical="center" wrapText="1"/>
    </xf>
    <xf numFmtId="0" fontId="104" fillId="9" borderId="169" xfId="12" applyFont="1" applyFill="1" applyBorder="1" applyAlignment="1">
      <alignment horizontal="center" vertical="center" wrapText="1"/>
    </xf>
    <xf numFmtId="49" fontId="104" fillId="9" borderId="85" xfId="12" applyNumberFormat="1" applyFont="1" applyFill="1" applyBorder="1" applyAlignment="1">
      <alignment horizontal="right" vertical="center" wrapText="1"/>
    </xf>
    <xf numFmtId="49" fontId="104" fillId="9" borderId="86" xfId="12" applyNumberFormat="1" applyFont="1" applyFill="1" applyBorder="1" applyAlignment="1">
      <alignment horizontal="right" vertical="center" wrapText="1"/>
    </xf>
    <xf numFmtId="189" fontId="104" fillId="9" borderId="86" xfId="12" applyNumberFormat="1" applyFont="1" applyFill="1" applyBorder="1" applyAlignment="1">
      <alignment horizontal="center" vertical="center" wrapText="1"/>
    </xf>
    <xf numFmtId="0" fontId="104" fillId="9" borderId="87" xfId="12" applyFont="1" applyFill="1" applyBorder="1" applyAlignment="1">
      <alignment horizontal="center" vertical="center" wrapText="1"/>
    </xf>
    <xf numFmtId="0" fontId="104" fillId="9" borderId="35" xfId="12" applyFont="1" applyFill="1" applyBorder="1" applyAlignment="1">
      <alignment horizontal="center" vertical="center" wrapText="1"/>
    </xf>
    <xf numFmtId="0" fontId="89" fillId="9" borderId="4" xfId="12" applyFont="1" applyFill="1" applyBorder="1" applyAlignment="1">
      <alignment horizontal="center" vertical="center" wrapText="1"/>
    </xf>
    <xf numFmtId="0" fontId="89" fillId="9" borderId="1" xfId="12" applyFont="1" applyFill="1" applyBorder="1" applyAlignment="1">
      <alignment horizontal="center" vertical="center" wrapText="1"/>
    </xf>
    <xf numFmtId="0" fontId="89" fillId="9" borderId="0" xfId="12" applyFont="1" applyFill="1" applyAlignment="1">
      <alignment horizontal="center" vertical="center" wrapText="1"/>
    </xf>
    <xf numFmtId="0" fontId="89" fillId="9" borderId="29" xfId="12" applyFont="1" applyFill="1" applyBorder="1" applyAlignment="1">
      <alignment horizontal="center" vertical="center" wrapText="1"/>
    </xf>
    <xf numFmtId="0" fontId="89" fillId="9" borderId="5" xfId="12" applyFont="1" applyFill="1" applyBorder="1" applyAlignment="1">
      <alignment horizontal="center" vertical="center" wrapText="1"/>
    </xf>
    <xf numFmtId="0" fontId="89" fillId="9" borderId="15" xfId="12" applyFont="1" applyFill="1" applyBorder="1" applyAlignment="1">
      <alignment horizontal="center" vertical="center" wrapText="1"/>
    </xf>
    <xf numFmtId="0" fontId="99" fillId="9" borderId="6" xfId="12" applyFont="1" applyFill="1" applyBorder="1" applyAlignment="1">
      <alignment horizontal="center" vertical="center" wrapText="1"/>
    </xf>
    <xf numFmtId="0" fontId="99" fillId="9" borderId="7" xfId="12" applyFont="1" applyFill="1" applyBorder="1" applyAlignment="1">
      <alignment horizontal="center" vertical="center" wrapText="1"/>
    </xf>
    <xf numFmtId="0" fontId="99" fillId="9" borderId="8" xfId="12" applyFont="1" applyFill="1" applyBorder="1" applyAlignment="1">
      <alignment horizontal="center" vertical="center" wrapText="1"/>
    </xf>
    <xf numFmtId="0" fontId="106" fillId="0" borderId="0" xfId="12" applyFont="1" applyAlignment="1">
      <alignment horizontal="left" vertical="top"/>
    </xf>
    <xf numFmtId="0" fontId="106" fillId="0" borderId="0" xfId="12" applyFont="1" applyAlignment="1">
      <alignment horizontal="center" vertical="top" wrapText="1"/>
    </xf>
    <xf numFmtId="0" fontId="106" fillId="0" borderId="0" xfId="12" applyFont="1" applyAlignment="1">
      <alignment horizontal="justify" vertical="top" wrapText="1"/>
    </xf>
    <xf numFmtId="0" fontId="99" fillId="9" borderId="64" xfId="12" applyFont="1" applyFill="1" applyBorder="1" applyAlignment="1">
      <alignment horizontal="center" vertical="center"/>
    </xf>
    <xf numFmtId="0" fontId="99" fillId="9" borderId="65" xfId="12" applyFont="1" applyFill="1" applyBorder="1" applyAlignment="1">
      <alignment horizontal="center" vertical="center"/>
    </xf>
    <xf numFmtId="0" fontId="99" fillId="9" borderId="66" xfId="12" applyFont="1" applyFill="1" applyBorder="1" applyAlignment="1">
      <alignment horizontal="left" vertical="center"/>
    </xf>
    <xf numFmtId="0" fontId="99" fillId="9" borderId="100" xfId="12" applyFont="1" applyFill="1" applyBorder="1" applyAlignment="1">
      <alignment horizontal="left" vertical="center"/>
    </xf>
    <xf numFmtId="0" fontId="99" fillId="9" borderId="70" xfId="12" applyFont="1" applyFill="1" applyBorder="1" applyAlignment="1">
      <alignment horizontal="left" vertical="center"/>
    </xf>
    <xf numFmtId="49" fontId="104" fillId="9" borderId="187" xfId="12" applyNumberFormat="1" applyFont="1" applyFill="1" applyBorder="1" applyAlignment="1">
      <alignment horizontal="center" vertical="center" wrapText="1"/>
    </xf>
    <xf numFmtId="0" fontId="104" fillId="9" borderId="187" xfId="12" applyFont="1" applyFill="1" applyBorder="1" applyAlignment="1">
      <alignment horizontal="center" vertical="center" wrapText="1"/>
    </xf>
    <xf numFmtId="0" fontId="104" fillId="9" borderId="190" xfId="12" applyFont="1" applyFill="1" applyBorder="1" applyAlignment="1">
      <alignment horizontal="center" vertical="center" wrapText="1"/>
    </xf>
    <xf numFmtId="0" fontId="101" fillId="9" borderId="17" xfId="15" applyFont="1" applyFill="1" applyBorder="1" applyAlignment="1">
      <alignment horizontal="left" vertical="center" wrapText="1"/>
    </xf>
    <xf numFmtId="0" fontId="101" fillId="9" borderId="0" xfId="15" applyFont="1" applyFill="1" applyAlignment="1">
      <alignment horizontal="left" vertical="center" wrapText="1"/>
    </xf>
    <xf numFmtId="0" fontId="99" fillId="9" borderId="0" xfId="12" applyFont="1" applyFill="1" applyAlignment="1">
      <alignment horizontal="left" vertical="top"/>
    </xf>
    <xf numFmtId="0" fontId="99" fillId="9" borderId="162" xfId="12" applyFont="1" applyFill="1" applyBorder="1" applyAlignment="1">
      <alignment horizontal="left" vertical="top"/>
    </xf>
    <xf numFmtId="0" fontId="104" fillId="9" borderId="179" xfId="12" applyFont="1" applyFill="1" applyBorder="1" applyAlignment="1">
      <alignment horizontal="left" vertical="center" wrapText="1"/>
    </xf>
    <xf numFmtId="0" fontId="104" fillId="9" borderId="177" xfId="12" applyFont="1" applyFill="1" applyBorder="1" applyAlignment="1">
      <alignment horizontal="left" vertical="center" wrapText="1"/>
    </xf>
    <xf numFmtId="0" fontId="104" fillId="9" borderId="0" xfId="12" applyFont="1" applyFill="1" applyAlignment="1">
      <alignment horizontal="left" vertical="center" wrapText="1"/>
    </xf>
    <xf numFmtId="0" fontId="104" fillId="9" borderId="162" xfId="12" applyFont="1" applyFill="1" applyBorder="1" applyAlignment="1">
      <alignment horizontal="left" vertical="center" wrapText="1"/>
    </xf>
    <xf numFmtId="0" fontId="108" fillId="9" borderId="0" xfId="12" applyFont="1" applyFill="1" applyAlignment="1">
      <alignment horizontal="left" vertical="top"/>
    </xf>
    <xf numFmtId="0" fontId="104" fillId="9" borderId="170" xfId="12" applyFont="1" applyFill="1" applyBorder="1" applyAlignment="1">
      <alignment horizontal="center" vertical="center" textRotation="255" wrapText="1"/>
    </xf>
    <xf numFmtId="0" fontId="104" fillId="9" borderId="175" xfId="12" applyFont="1" applyFill="1" applyBorder="1" applyAlignment="1">
      <alignment horizontal="center" vertical="center" textRotation="255" wrapText="1"/>
    </xf>
    <xf numFmtId="0" fontId="104" fillId="9" borderId="192" xfId="12" applyFont="1" applyFill="1" applyBorder="1" applyAlignment="1">
      <alignment horizontal="center" vertical="center" textRotation="255" wrapText="1"/>
    </xf>
    <xf numFmtId="0" fontId="104" fillId="9" borderId="171" xfId="12" applyFont="1" applyFill="1" applyBorder="1" applyAlignment="1">
      <alignment horizontal="center" vertical="center" wrapText="1"/>
    </xf>
    <xf numFmtId="0" fontId="104" fillId="9" borderId="172" xfId="12" applyFont="1" applyFill="1" applyBorder="1" applyAlignment="1">
      <alignment horizontal="center" vertical="center" wrapText="1"/>
    </xf>
    <xf numFmtId="0" fontId="104" fillId="9" borderId="173" xfId="12" applyFont="1" applyFill="1" applyBorder="1" applyAlignment="1">
      <alignment horizontal="center" vertical="center" wrapText="1"/>
    </xf>
    <xf numFmtId="0" fontId="104" fillId="9" borderId="172" xfId="12" applyFont="1" applyFill="1" applyBorder="1" applyAlignment="1">
      <alignment vertical="center" wrapText="1"/>
    </xf>
    <xf numFmtId="0" fontId="104" fillId="9" borderId="174" xfId="12" applyFont="1" applyFill="1" applyBorder="1" applyAlignment="1">
      <alignment vertical="center" wrapText="1"/>
    </xf>
    <xf numFmtId="0" fontId="109" fillId="9" borderId="176" xfId="12" applyFont="1" applyFill="1" applyBorder="1" applyAlignment="1">
      <alignment horizontal="center" vertical="center" wrapText="1"/>
    </xf>
    <xf numFmtId="0" fontId="109" fillId="9" borderId="177" xfId="12" applyFont="1" applyFill="1" applyBorder="1" applyAlignment="1">
      <alignment horizontal="center" vertical="center" wrapText="1"/>
    </xf>
    <xf numFmtId="0" fontId="109" fillId="9" borderId="178" xfId="12" applyFont="1" applyFill="1" applyBorder="1" applyAlignment="1">
      <alignment horizontal="center" vertical="center" wrapText="1"/>
    </xf>
    <xf numFmtId="0" fontId="104" fillId="9" borderId="181" xfId="12" applyFont="1" applyFill="1" applyBorder="1" applyAlignment="1">
      <alignment horizontal="center" vertical="center" wrapText="1"/>
    </xf>
    <xf numFmtId="0" fontId="104" fillId="9" borderId="182" xfId="12" applyFont="1" applyFill="1" applyBorder="1" applyAlignment="1">
      <alignment horizontal="center" vertical="center" wrapText="1"/>
    </xf>
    <xf numFmtId="0" fontId="104" fillId="9" borderId="183" xfId="12" applyFont="1" applyFill="1" applyBorder="1" applyAlignment="1">
      <alignment horizontal="center" vertical="center" wrapText="1"/>
    </xf>
    <xf numFmtId="0" fontId="104" fillId="9" borderId="184" xfId="12" applyFont="1" applyFill="1" applyBorder="1" applyAlignment="1">
      <alignment horizontal="left" vertical="center" wrapText="1"/>
    </xf>
    <xf numFmtId="0" fontId="104" fillId="9" borderId="182" xfId="12" applyFont="1" applyFill="1" applyBorder="1" applyAlignment="1">
      <alignment horizontal="left" vertical="center" wrapText="1"/>
    </xf>
    <xf numFmtId="0" fontId="104" fillId="9" borderId="185" xfId="12" applyFont="1" applyFill="1" applyBorder="1" applyAlignment="1">
      <alignment horizontal="left" vertical="center" wrapText="1"/>
    </xf>
    <xf numFmtId="0" fontId="104" fillId="9" borderId="186" xfId="12" applyFont="1" applyFill="1" applyBorder="1" applyAlignment="1">
      <alignment horizontal="center" vertical="center" wrapText="1"/>
    </xf>
    <xf numFmtId="0" fontId="104" fillId="9" borderId="188" xfId="12" applyFont="1" applyFill="1" applyBorder="1" applyAlignment="1">
      <alignment horizontal="center" vertical="center" wrapText="1"/>
    </xf>
    <xf numFmtId="0" fontId="104" fillId="9" borderId="191" xfId="12" applyFont="1" applyFill="1" applyBorder="1" applyAlignment="1">
      <alignment horizontal="center" vertical="center" wrapText="1"/>
    </xf>
    <xf numFmtId="0" fontId="104" fillId="9" borderId="0" xfId="12" applyFont="1" applyFill="1" applyAlignment="1">
      <alignment horizontal="center" vertical="center" wrapText="1"/>
    </xf>
    <xf numFmtId="0" fontId="104" fillId="9" borderId="29" xfId="12" applyFont="1" applyFill="1" applyBorder="1" applyAlignment="1">
      <alignment horizontal="center" vertical="center" wrapText="1"/>
    </xf>
    <xf numFmtId="0" fontId="104" fillId="9" borderId="176" xfId="12" applyFont="1" applyFill="1" applyBorder="1" applyAlignment="1">
      <alignment horizontal="center" vertical="center" wrapText="1"/>
    </xf>
    <xf numFmtId="0" fontId="104" fillId="9" borderId="177" xfId="12" applyFont="1" applyFill="1" applyBorder="1" applyAlignment="1">
      <alignment horizontal="center" vertical="center" wrapText="1"/>
    </xf>
    <xf numFmtId="0" fontId="104" fillId="9" borderId="178" xfId="12" applyFont="1" applyFill="1" applyBorder="1" applyAlignment="1">
      <alignment horizontal="center" vertical="center" wrapText="1"/>
    </xf>
    <xf numFmtId="0" fontId="104" fillId="9" borderId="189" xfId="12" applyFont="1" applyFill="1" applyBorder="1" applyAlignment="1">
      <alignment horizontal="center" vertical="center" wrapText="1"/>
    </xf>
    <xf numFmtId="0" fontId="104" fillId="0" borderId="6" xfId="12" applyFont="1" applyBorder="1" applyAlignment="1">
      <alignment horizontal="center" vertical="center" wrapText="1"/>
    </xf>
    <xf numFmtId="0" fontId="104" fillId="0" borderId="8" xfId="12" applyFont="1" applyBorder="1" applyAlignment="1">
      <alignment horizontal="center" vertical="center" wrapText="1"/>
    </xf>
    <xf numFmtId="0" fontId="104" fillId="0" borderId="195" xfId="12" applyFont="1" applyBorder="1" applyAlignment="1">
      <alignment horizontal="left" vertical="center" wrapText="1"/>
    </xf>
    <xf numFmtId="0" fontId="104" fillId="0" borderId="196" xfId="12" applyFont="1" applyBorder="1" applyAlignment="1">
      <alignment horizontal="left" vertical="center" wrapText="1"/>
    </xf>
    <xf numFmtId="0" fontId="104" fillId="0" borderId="197" xfId="12" applyFont="1" applyBorder="1" applyAlignment="1">
      <alignment horizontal="left" vertical="center" wrapText="1"/>
    </xf>
    <xf numFmtId="0" fontId="104" fillId="9" borderId="198" xfId="12" applyFont="1" applyFill="1" applyBorder="1" applyAlignment="1">
      <alignment horizontal="center" vertical="center" textRotation="255" wrapText="1"/>
    </xf>
    <xf numFmtId="0" fontId="104" fillId="9" borderId="199" xfId="12" applyFont="1" applyFill="1" applyBorder="1" applyAlignment="1">
      <alignment horizontal="center" vertical="center" wrapText="1"/>
    </xf>
    <xf numFmtId="0" fontId="104" fillId="9" borderId="181" xfId="12" applyFont="1" applyFill="1" applyBorder="1" applyAlignment="1">
      <alignment horizontal="left" vertical="center" wrapText="1"/>
    </xf>
    <xf numFmtId="0" fontId="104" fillId="9" borderId="199" xfId="12" applyFont="1" applyFill="1" applyBorder="1" applyAlignment="1">
      <alignment horizontal="left" vertical="center" wrapText="1"/>
    </xf>
    <xf numFmtId="0" fontId="104" fillId="9" borderId="200" xfId="12" applyFont="1" applyFill="1" applyBorder="1" applyAlignment="1">
      <alignment horizontal="center" vertical="center" wrapText="1"/>
    </xf>
    <xf numFmtId="0" fontId="104" fillId="9" borderId="201" xfId="12" applyFont="1" applyFill="1" applyBorder="1" applyAlignment="1">
      <alignment horizontal="center" vertical="center" wrapText="1"/>
    </xf>
    <xf numFmtId="49" fontId="104" fillId="9" borderId="6" xfId="12" applyNumberFormat="1" applyFont="1" applyFill="1" applyBorder="1" applyAlignment="1">
      <alignment horizontal="left" vertical="center" wrapText="1"/>
    </xf>
    <xf numFmtId="49" fontId="104" fillId="9" borderId="2" xfId="12" applyNumberFormat="1" applyFont="1" applyFill="1" applyBorder="1" applyAlignment="1">
      <alignment horizontal="left" vertical="center" wrapText="1"/>
    </xf>
    <xf numFmtId="49" fontId="104" fillId="9" borderId="167" xfId="12" applyNumberFormat="1" applyFont="1" applyFill="1" applyBorder="1" applyAlignment="1">
      <alignment horizontal="left" vertical="center" wrapText="1"/>
    </xf>
    <xf numFmtId="0" fontId="104" fillId="0" borderId="193" xfId="12" applyFont="1" applyBorder="1" applyAlignment="1">
      <alignment horizontal="center" vertical="center" wrapText="1"/>
    </xf>
    <xf numFmtId="0" fontId="104" fillId="0" borderId="187" xfId="12" applyFont="1" applyBorder="1" applyAlignment="1">
      <alignment horizontal="center" vertical="center" wrapText="1"/>
    </xf>
    <xf numFmtId="0" fontId="104" fillId="0" borderId="166" xfId="12" applyFont="1" applyBorder="1" applyAlignment="1">
      <alignment horizontal="center" vertical="center" wrapText="1"/>
    </xf>
    <xf numFmtId="0" fontId="104" fillId="0" borderId="0" xfId="12" applyFont="1" applyAlignment="1">
      <alignment horizontal="center" vertical="center" wrapText="1"/>
    </xf>
    <xf numFmtId="0" fontId="104" fillId="0" borderId="194" xfId="12" applyFont="1" applyBorder="1" applyAlignment="1">
      <alignment horizontal="center" vertical="center" wrapText="1"/>
    </xf>
    <xf numFmtId="0" fontId="104" fillId="0" borderId="177" xfId="12" applyFont="1" applyBorder="1" applyAlignment="1">
      <alignment horizontal="center" vertical="center" wrapText="1"/>
    </xf>
    <xf numFmtId="0" fontId="104" fillId="0" borderId="6" xfId="12" applyFont="1" applyBorder="1" applyAlignment="1">
      <alignment horizontal="left" vertical="center" wrapText="1"/>
    </xf>
    <xf numFmtId="0" fontId="104" fillId="0" borderId="7" xfId="12" applyFont="1" applyBorder="1" applyAlignment="1">
      <alignment horizontal="left" vertical="center" wrapText="1"/>
    </xf>
    <xf numFmtId="0" fontId="104" fillId="0" borderId="8" xfId="12" applyFont="1" applyBorder="1" applyAlignment="1">
      <alignment horizontal="left" vertical="center" wrapText="1"/>
    </xf>
    <xf numFmtId="49" fontId="104" fillId="9" borderId="3" xfId="12" applyNumberFormat="1" applyFont="1" applyFill="1" applyBorder="1" applyAlignment="1">
      <alignment horizontal="center" vertical="center" wrapText="1"/>
    </xf>
    <xf numFmtId="49" fontId="104" fillId="9" borderId="4" xfId="12" applyNumberFormat="1" applyFont="1" applyFill="1" applyBorder="1" applyAlignment="1">
      <alignment horizontal="center" vertical="center" wrapText="1"/>
    </xf>
    <xf numFmtId="49" fontId="104" fillId="9" borderId="161" xfId="12" applyNumberFormat="1" applyFont="1" applyFill="1" applyBorder="1" applyAlignment="1">
      <alignment horizontal="center" vertical="center" wrapText="1"/>
    </xf>
    <xf numFmtId="49" fontId="104" fillId="9" borderId="17" xfId="12" applyNumberFormat="1" applyFont="1" applyFill="1" applyBorder="1" applyAlignment="1">
      <alignment horizontal="center" vertical="center" wrapText="1"/>
    </xf>
    <xf numFmtId="49" fontId="104" fillId="9" borderId="0" xfId="12" applyNumberFormat="1" applyFont="1" applyFill="1" applyAlignment="1">
      <alignment horizontal="center" vertical="center" wrapText="1"/>
    </xf>
    <xf numFmtId="49" fontId="104" fillId="9" borderId="162" xfId="12" applyNumberFormat="1" applyFont="1" applyFill="1" applyBorder="1" applyAlignment="1">
      <alignment horizontal="center" vertical="center" wrapText="1"/>
    </xf>
    <xf numFmtId="49" fontId="104" fillId="9" borderId="16" xfId="12" applyNumberFormat="1" applyFont="1" applyFill="1" applyBorder="1" applyAlignment="1">
      <alignment horizontal="center" vertical="center" wrapText="1"/>
    </xf>
    <xf numFmtId="49" fontId="104" fillId="9" borderId="5" xfId="12" applyNumberFormat="1" applyFont="1" applyFill="1" applyBorder="1" applyAlignment="1">
      <alignment horizontal="center" vertical="center" wrapText="1"/>
    </xf>
    <xf numFmtId="49" fontId="104" fillId="9" borderId="158" xfId="12" applyNumberFormat="1" applyFont="1" applyFill="1" applyBorder="1" applyAlignment="1">
      <alignment horizontal="center" vertical="center" wrapText="1"/>
    </xf>
    <xf numFmtId="0" fontId="104" fillId="9" borderId="184" xfId="12" applyFont="1" applyFill="1" applyBorder="1" applyAlignment="1">
      <alignment horizontal="center" vertical="center" wrapText="1"/>
    </xf>
    <xf numFmtId="49" fontId="89" fillId="9" borderId="7" xfId="12" applyNumberFormat="1" applyFont="1" applyFill="1" applyBorder="1" applyAlignment="1">
      <alignment horizontal="right" vertical="center" wrapText="1"/>
    </xf>
    <xf numFmtId="49" fontId="104" fillId="9" borderId="8" xfId="12" applyNumberFormat="1" applyFont="1" applyFill="1" applyBorder="1" applyAlignment="1">
      <alignment horizontal="center" vertical="center" wrapText="1"/>
    </xf>
    <xf numFmtId="0" fontId="104" fillId="9" borderId="6" xfId="12" applyFont="1" applyFill="1" applyBorder="1" applyAlignment="1">
      <alignment horizontal="center" vertical="center" wrapText="1"/>
    </xf>
    <xf numFmtId="0" fontId="104" fillId="9" borderId="8" xfId="12" applyFont="1" applyFill="1" applyBorder="1" applyAlignment="1">
      <alignment horizontal="center" vertical="center" wrapText="1"/>
    </xf>
    <xf numFmtId="0" fontId="89" fillId="9" borderId="191" xfId="12" applyFont="1" applyFill="1" applyBorder="1" applyAlignment="1">
      <alignment horizontal="center" vertical="center" wrapText="1"/>
    </xf>
    <xf numFmtId="49" fontId="89" fillId="9" borderId="0" xfId="12" applyNumberFormat="1" applyFont="1" applyFill="1" applyAlignment="1">
      <alignment horizontal="center" vertical="center" wrapText="1"/>
    </xf>
    <xf numFmtId="0" fontId="89" fillId="9" borderId="0" xfId="12" applyFont="1" applyFill="1" applyAlignment="1">
      <alignment horizontal="left" vertical="center" wrapText="1"/>
    </xf>
    <xf numFmtId="0" fontId="89" fillId="9" borderId="162" xfId="12" applyFont="1" applyFill="1" applyBorder="1" applyAlignment="1">
      <alignment horizontal="left" vertical="center" wrapText="1"/>
    </xf>
    <xf numFmtId="0" fontId="104" fillId="9" borderId="191" xfId="12" applyFont="1" applyFill="1" applyBorder="1" applyAlignment="1">
      <alignment horizontal="left" vertical="center" wrapText="1"/>
    </xf>
    <xf numFmtId="188" fontId="104" fillId="9" borderId="186" xfId="12" applyNumberFormat="1" applyFont="1" applyFill="1" applyBorder="1" applyAlignment="1">
      <alignment horizontal="left" vertical="center" wrapText="1"/>
    </xf>
    <xf numFmtId="188" fontId="104" fillId="9" borderId="187" xfId="12" applyNumberFormat="1" applyFont="1" applyFill="1" applyBorder="1" applyAlignment="1">
      <alignment horizontal="left" vertical="center" wrapText="1"/>
    </xf>
    <xf numFmtId="188" fontId="104" fillId="9" borderId="200" xfId="12" applyNumberFormat="1" applyFont="1" applyFill="1" applyBorder="1" applyAlignment="1">
      <alignment horizontal="left" vertical="center" wrapText="1"/>
    </xf>
    <xf numFmtId="0" fontId="104" fillId="22" borderId="100" xfId="12" applyFont="1" applyFill="1" applyBorder="1" applyAlignment="1">
      <alignment horizontal="left" vertical="center" wrapText="1"/>
    </xf>
    <xf numFmtId="0" fontId="104" fillId="22" borderId="114" xfId="12" applyFont="1" applyFill="1" applyBorder="1" applyAlignment="1">
      <alignment horizontal="left" vertical="center" wrapText="1"/>
    </xf>
    <xf numFmtId="0" fontId="104" fillId="9" borderId="66" xfId="12" applyFont="1" applyFill="1" applyBorder="1" applyAlignment="1">
      <alignment horizontal="center" vertical="center" wrapText="1"/>
    </xf>
    <xf numFmtId="0" fontId="104" fillId="9" borderId="100" xfId="12" applyFont="1" applyFill="1" applyBorder="1" applyAlignment="1">
      <alignment horizontal="center" vertical="center" wrapText="1"/>
    </xf>
    <xf numFmtId="0" fontId="104" fillId="9" borderId="70" xfId="12" applyFont="1" applyFill="1" applyBorder="1" applyAlignment="1">
      <alignment horizontal="center" vertical="center" wrapText="1"/>
    </xf>
    <xf numFmtId="0" fontId="104" fillId="22" borderId="164" xfId="12" applyFont="1" applyFill="1" applyBorder="1" applyAlignment="1">
      <alignment horizontal="center" vertical="center" textRotation="255" wrapText="1"/>
    </xf>
    <xf numFmtId="0" fontId="104" fillId="22" borderId="165" xfId="12" applyFont="1" applyFill="1" applyBorder="1" applyAlignment="1">
      <alignment horizontal="center" vertical="center" textRotation="255" wrapText="1"/>
    </xf>
    <xf numFmtId="0" fontId="104" fillId="22" borderId="210" xfId="12" applyFont="1" applyFill="1" applyBorder="1" applyAlignment="1">
      <alignment horizontal="center" vertical="center" textRotation="255" wrapText="1"/>
    </xf>
    <xf numFmtId="0" fontId="104" fillId="22" borderId="115" xfId="12" applyFont="1" applyFill="1" applyBorder="1" applyAlignment="1">
      <alignment horizontal="left" vertical="center" wrapText="1"/>
    </xf>
    <xf numFmtId="0" fontId="104" fillId="22" borderId="30" xfId="12" applyFont="1" applyFill="1" applyBorder="1" applyAlignment="1">
      <alignment horizontal="left" vertical="center" wrapText="1"/>
    </xf>
    <xf numFmtId="0" fontId="104" fillId="9" borderId="30" xfId="12" applyFont="1" applyFill="1" applyBorder="1" applyAlignment="1">
      <alignment horizontal="left" vertical="center" wrapText="1"/>
    </xf>
    <xf numFmtId="0" fontId="104" fillId="0" borderId="36" xfId="12" applyFont="1" applyBorder="1" applyAlignment="1">
      <alignment horizontal="left" vertical="center" wrapText="1"/>
    </xf>
    <xf numFmtId="0" fontId="104" fillId="0" borderId="4" xfId="12" applyFont="1" applyBorder="1" applyAlignment="1">
      <alignment horizontal="left" vertical="center" wrapText="1"/>
    </xf>
    <xf numFmtId="0" fontId="104" fillId="0" borderId="0" xfId="12" applyFont="1" applyAlignment="1">
      <alignment horizontal="left" vertical="center" wrapText="1"/>
    </xf>
    <xf numFmtId="0" fontId="104" fillId="0" borderId="29" xfId="12" applyFont="1" applyBorder="1" applyAlignment="1">
      <alignment horizontal="left" vertical="center" wrapText="1"/>
    </xf>
    <xf numFmtId="0" fontId="104" fillId="0" borderId="7" xfId="12" applyFont="1" applyBorder="1" applyAlignment="1">
      <alignment horizontal="center" vertical="center" wrapText="1"/>
    </xf>
    <xf numFmtId="0" fontId="104" fillId="22" borderId="35" xfId="12" applyFont="1" applyFill="1" applyBorder="1" applyAlignment="1">
      <alignment horizontal="left" vertical="center" wrapText="1"/>
    </xf>
    <xf numFmtId="0" fontId="104" fillId="22" borderId="7" xfId="12" applyFont="1" applyFill="1" applyBorder="1" applyAlignment="1">
      <alignment horizontal="left" vertical="center" wrapText="1"/>
    </xf>
    <xf numFmtId="0" fontId="104" fillId="22" borderId="160" xfId="12" applyFont="1" applyFill="1" applyBorder="1" applyAlignment="1">
      <alignment horizontal="left" vertical="center" wrapText="1"/>
    </xf>
    <xf numFmtId="0" fontId="104" fillId="0" borderId="202" xfId="12" applyFont="1" applyBorder="1" applyAlignment="1">
      <alignment horizontal="left" vertical="center" wrapText="1"/>
    </xf>
    <xf numFmtId="0" fontId="104" fillId="0" borderId="194" xfId="12" applyFont="1" applyBorder="1" applyAlignment="1">
      <alignment horizontal="left" vertical="center" wrapText="1"/>
    </xf>
    <xf numFmtId="0" fontId="104" fillId="0" borderId="177" xfId="12" applyFont="1" applyBorder="1" applyAlignment="1">
      <alignment horizontal="left" vertical="center" wrapText="1"/>
    </xf>
    <xf numFmtId="0" fontId="104" fillId="0" borderId="206" xfId="12" applyFont="1" applyBorder="1" applyAlignment="1">
      <alignment horizontal="left" vertical="center" wrapText="1"/>
    </xf>
    <xf numFmtId="0" fontId="104" fillId="0" borderId="203" xfId="12" applyFont="1" applyBorder="1" applyAlignment="1">
      <alignment horizontal="center" vertical="center" wrapText="1"/>
    </xf>
    <xf numFmtId="0" fontId="104" fillId="0" borderId="196" xfId="12" applyFont="1" applyBorder="1" applyAlignment="1">
      <alignment horizontal="center" vertical="center" wrapText="1"/>
    </xf>
    <xf numFmtId="0" fontId="104" fillId="0" borderId="204" xfId="12" applyFont="1" applyBorder="1" applyAlignment="1">
      <alignment horizontal="center" vertical="center" wrapText="1"/>
    </xf>
    <xf numFmtId="0" fontId="104" fillId="9" borderId="208" xfId="12" applyFont="1" applyFill="1" applyBorder="1" applyAlignment="1">
      <alignment horizontal="center" vertical="center" wrapText="1"/>
    </xf>
    <xf numFmtId="190" fontId="104" fillId="9" borderId="181" xfId="12" applyNumberFormat="1" applyFont="1" applyFill="1" applyBorder="1" applyAlignment="1">
      <alignment horizontal="center" vertical="center" wrapText="1"/>
    </xf>
    <xf numFmtId="190" fontId="104" fillId="9" borderId="199" xfId="12" applyNumberFormat="1" applyFont="1" applyFill="1" applyBorder="1" applyAlignment="1">
      <alignment horizontal="center" vertical="center" wrapText="1"/>
    </xf>
    <xf numFmtId="190" fontId="104" fillId="9" borderId="182" xfId="12" applyNumberFormat="1" applyFont="1" applyFill="1" applyBorder="1" applyAlignment="1">
      <alignment horizontal="center" vertical="center" wrapText="1"/>
    </xf>
    <xf numFmtId="190" fontId="104" fillId="9" borderId="184" xfId="12" applyNumberFormat="1" applyFont="1" applyFill="1" applyBorder="1" applyAlignment="1">
      <alignment horizontal="center" vertical="center" wrapText="1"/>
    </xf>
    <xf numFmtId="0" fontId="104" fillId="0" borderId="176" xfId="12" applyFont="1" applyBorder="1" applyAlignment="1">
      <alignment horizontal="center" vertical="center" wrapText="1"/>
    </xf>
    <xf numFmtId="0" fontId="104" fillId="0" borderId="2" xfId="12" applyFont="1" applyBorder="1" applyAlignment="1">
      <alignment horizontal="center" vertical="center" wrapText="1"/>
    </xf>
    <xf numFmtId="0" fontId="99" fillId="9" borderId="71" xfId="12" applyFont="1" applyFill="1" applyBorder="1" applyAlignment="1">
      <alignment horizontal="center" vertical="top"/>
    </xf>
    <xf numFmtId="0" fontId="99" fillId="9" borderId="72" xfId="12" applyFont="1" applyFill="1" applyBorder="1" applyAlignment="1">
      <alignment horizontal="center" vertical="top"/>
    </xf>
    <xf numFmtId="0" fontId="99" fillId="9" borderId="205" xfId="12" applyFont="1" applyFill="1" applyBorder="1" applyAlignment="1">
      <alignment horizontal="center" vertical="top"/>
    </xf>
    <xf numFmtId="0" fontId="99" fillId="9" borderId="74" xfId="12" applyFont="1" applyFill="1" applyBorder="1" applyAlignment="1">
      <alignment horizontal="center" vertical="top"/>
    </xf>
    <xf numFmtId="0" fontId="99" fillId="9" borderId="75" xfId="12" applyFont="1" applyFill="1" applyBorder="1" applyAlignment="1">
      <alignment horizontal="center" vertical="top"/>
    </xf>
    <xf numFmtId="0" fontId="99" fillId="9" borderId="207" xfId="12" applyFont="1" applyFill="1" applyBorder="1" applyAlignment="1">
      <alignment horizontal="center" vertical="top"/>
    </xf>
    <xf numFmtId="0" fontId="99" fillId="9" borderId="77" xfId="12" applyFont="1" applyFill="1" applyBorder="1" applyAlignment="1">
      <alignment horizontal="center" vertical="top"/>
    </xf>
    <xf numFmtId="0" fontId="99" fillId="9" borderId="78" xfId="12" applyFont="1" applyFill="1" applyBorder="1" applyAlignment="1">
      <alignment horizontal="center" vertical="top"/>
    </xf>
    <xf numFmtId="0" fontId="99" fillId="9" borderId="209" xfId="12" applyFont="1" applyFill="1" applyBorder="1" applyAlignment="1">
      <alignment horizontal="center" vertical="top"/>
    </xf>
    <xf numFmtId="0" fontId="104" fillId="0" borderId="181" xfId="12" applyFont="1" applyBorder="1" applyAlignment="1">
      <alignment horizontal="center" vertical="center" wrapText="1"/>
    </xf>
    <xf numFmtId="0" fontId="104" fillId="0" borderId="199" xfId="12" applyFont="1" applyBorder="1" applyAlignment="1">
      <alignment horizontal="center" vertical="center" wrapText="1"/>
    </xf>
    <xf numFmtId="0" fontId="104" fillId="0" borderId="182" xfId="12" applyFont="1" applyBorder="1" applyAlignment="1">
      <alignment horizontal="center" vertical="center" wrapText="1"/>
    </xf>
    <xf numFmtId="0" fontId="104" fillId="0" borderId="179" xfId="12" applyFont="1" applyBorder="1" applyAlignment="1">
      <alignment horizontal="center" vertical="center" wrapText="1"/>
    </xf>
    <xf numFmtId="0" fontId="104" fillId="0" borderId="206" xfId="12" applyFont="1" applyBorder="1" applyAlignment="1">
      <alignment horizontal="center" vertical="center" wrapText="1"/>
    </xf>
    <xf numFmtId="190" fontId="104" fillId="9" borderId="186" xfId="12" applyNumberFormat="1" applyFont="1" applyFill="1" applyBorder="1" applyAlignment="1">
      <alignment horizontal="center" vertical="center" wrapText="1"/>
    </xf>
    <xf numFmtId="190" fontId="104" fillId="9" borderId="187" xfId="12" applyNumberFormat="1" applyFont="1" applyFill="1" applyBorder="1" applyAlignment="1">
      <alignment horizontal="center" vertical="center" wrapText="1"/>
    </xf>
    <xf numFmtId="0" fontId="104" fillId="9" borderId="159" xfId="12" applyFont="1" applyFill="1" applyBorder="1" applyAlignment="1">
      <alignment horizontal="center" vertical="center" wrapText="1"/>
    </xf>
    <xf numFmtId="0" fontId="104" fillId="9" borderId="2" xfId="12" applyFont="1" applyFill="1" applyBorder="1" applyAlignment="1">
      <alignment horizontal="center" vertical="center" wrapText="1"/>
    </xf>
    <xf numFmtId="0" fontId="104" fillId="9" borderId="62" xfId="12" applyFont="1" applyFill="1" applyBorder="1" applyAlignment="1">
      <alignment horizontal="center" vertical="center" wrapText="1"/>
    </xf>
    <xf numFmtId="190" fontId="104" fillId="9" borderId="2" xfId="12" applyNumberFormat="1" applyFont="1" applyFill="1" applyBorder="1" applyAlignment="1">
      <alignment horizontal="center" vertical="center" wrapText="1"/>
    </xf>
    <xf numFmtId="190" fontId="104" fillId="9" borderId="6" xfId="12" applyNumberFormat="1" applyFont="1" applyFill="1" applyBorder="1" applyAlignment="1">
      <alignment horizontal="center" vertical="center" wrapText="1"/>
    </xf>
    <xf numFmtId="0" fontId="104" fillId="22" borderId="194" xfId="12" applyFont="1" applyFill="1" applyBorder="1" applyAlignment="1">
      <alignment horizontal="left" vertical="center" wrapText="1"/>
    </xf>
    <xf numFmtId="0" fontId="104" fillId="22" borderId="177" xfId="12" applyFont="1" applyFill="1" applyBorder="1" applyAlignment="1">
      <alignment horizontal="left" vertical="center" wrapText="1"/>
    </xf>
    <xf numFmtId="0" fontId="104" fillId="22" borderId="180" xfId="12" applyFont="1" applyFill="1" applyBorder="1" applyAlignment="1">
      <alignment horizontal="left" vertical="center" wrapText="1"/>
    </xf>
    <xf numFmtId="0" fontId="104" fillId="9" borderId="193" xfId="12" applyFont="1" applyFill="1" applyBorder="1" applyAlignment="1">
      <alignment horizontal="center" vertical="center" wrapText="1"/>
    </xf>
    <xf numFmtId="190" fontId="104" fillId="9" borderId="200" xfId="12" applyNumberFormat="1" applyFont="1" applyFill="1" applyBorder="1" applyAlignment="1">
      <alignment horizontal="center" vertical="center" wrapText="1"/>
    </xf>
    <xf numFmtId="190" fontId="104" fillId="9" borderId="189" xfId="12" applyNumberFormat="1" applyFont="1" applyFill="1" applyBorder="1" applyAlignment="1">
      <alignment horizontal="center" vertical="center" wrapText="1"/>
    </xf>
    <xf numFmtId="0" fontId="104" fillId="9" borderId="193" xfId="12" applyFont="1" applyFill="1" applyBorder="1" applyAlignment="1">
      <alignment horizontal="center" vertical="top" wrapText="1"/>
    </xf>
    <xf numFmtId="0" fontId="104" fillId="9" borderId="187" xfId="12" applyFont="1" applyFill="1" applyBorder="1" applyAlignment="1">
      <alignment horizontal="center" vertical="top" wrapText="1"/>
    </xf>
    <xf numFmtId="0" fontId="104" fillId="9" borderId="200" xfId="12" applyFont="1" applyFill="1" applyBorder="1" applyAlignment="1">
      <alignment horizontal="center" vertical="top" wrapText="1"/>
    </xf>
    <xf numFmtId="0" fontId="104" fillId="9" borderId="166" xfId="12" applyFont="1" applyFill="1" applyBorder="1" applyAlignment="1">
      <alignment horizontal="center" vertical="top" wrapText="1"/>
    </xf>
    <xf numFmtId="0" fontId="104" fillId="9" borderId="0" xfId="12" applyFont="1" applyFill="1" applyAlignment="1">
      <alignment horizontal="center" vertical="top" wrapText="1"/>
    </xf>
    <xf numFmtId="0" fontId="104" fillId="9" borderId="201" xfId="12" applyFont="1" applyFill="1" applyBorder="1" applyAlignment="1">
      <alignment horizontal="center" vertical="top" wrapText="1"/>
    </xf>
    <xf numFmtId="0" fontId="104" fillId="9" borderId="168" xfId="12" applyFont="1" applyFill="1" applyBorder="1" applyAlignment="1">
      <alignment horizontal="center" vertical="top" wrapText="1"/>
    </xf>
    <xf numFmtId="0" fontId="104" fillId="9" borderId="169" xfId="12" applyFont="1" applyFill="1" applyBorder="1" applyAlignment="1">
      <alignment horizontal="center" vertical="top" wrapText="1"/>
    </xf>
    <xf numFmtId="0" fontId="104" fillId="9" borderId="211" xfId="12" applyFont="1" applyFill="1" applyBorder="1" applyAlignment="1">
      <alignment horizontal="center" vertical="top" wrapText="1"/>
    </xf>
    <xf numFmtId="0" fontId="104" fillId="9" borderId="186" xfId="12" applyFont="1" applyFill="1" applyBorder="1" applyAlignment="1">
      <alignment horizontal="left" vertical="top" wrapText="1"/>
    </xf>
    <xf numFmtId="0" fontId="104" fillId="9" borderId="200" xfId="12" applyFont="1" applyFill="1" applyBorder="1" applyAlignment="1">
      <alignment horizontal="left" vertical="top" wrapText="1"/>
    </xf>
    <xf numFmtId="0" fontId="104" fillId="9" borderId="191" xfId="12" applyFont="1" applyFill="1" applyBorder="1" applyAlignment="1">
      <alignment horizontal="left" vertical="top" wrapText="1"/>
    </xf>
    <xf numFmtId="0" fontId="104" fillId="9" borderId="201" xfId="12" applyFont="1" applyFill="1" applyBorder="1" applyAlignment="1">
      <alignment horizontal="left" vertical="top" wrapText="1"/>
    </xf>
    <xf numFmtId="0" fontId="104" fillId="9" borderId="212" xfId="12" applyFont="1" applyFill="1" applyBorder="1" applyAlignment="1">
      <alignment horizontal="left" vertical="top" wrapText="1"/>
    </xf>
    <xf numFmtId="0" fontId="104" fillId="9" borderId="211" xfId="12" applyFont="1" applyFill="1" applyBorder="1" applyAlignment="1">
      <alignment horizontal="left" vertical="top" wrapText="1"/>
    </xf>
    <xf numFmtId="0" fontId="104" fillId="9" borderId="184" xfId="12" applyFont="1" applyFill="1" applyBorder="1" applyAlignment="1">
      <alignment horizontal="right" vertical="center" wrapText="1"/>
    </xf>
    <xf numFmtId="0" fontId="104" fillId="9" borderId="182" xfId="12" applyFont="1" applyFill="1" applyBorder="1" applyAlignment="1">
      <alignment horizontal="right" vertical="center" wrapText="1"/>
    </xf>
    <xf numFmtId="0" fontId="104" fillId="9" borderId="185" xfId="12" applyFont="1" applyFill="1" applyBorder="1" applyAlignment="1">
      <alignment horizontal="center" vertical="center" wrapText="1"/>
    </xf>
    <xf numFmtId="0" fontId="104" fillId="9" borderId="212" xfId="12" applyFont="1" applyFill="1" applyBorder="1" applyAlignment="1">
      <alignment horizontal="center" vertical="center" wrapText="1"/>
    </xf>
    <xf numFmtId="0" fontId="104" fillId="9" borderId="216" xfId="12" applyFont="1" applyFill="1" applyBorder="1" applyAlignment="1">
      <alignment horizontal="right" vertical="center" wrapText="1"/>
    </xf>
    <xf numFmtId="0" fontId="104" fillId="9" borderId="214" xfId="12" applyFont="1" applyFill="1" applyBorder="1" applyAlignment="1">
      <alignment horizontal="right" vertical="center" wrapText="1"/>
    </xf>
    <xf numFmtId="0" fontId="104" fillId="9" borderId="214" xfId="12" applyFont="1" applyFill="1" applyBorder="1" applyAlignment="1">
      <alignment horizontal="center" vertical="center" wrapText="1"/>
    </xf>
    <xf numFmtId="0" fontId="104" fillId="9" borderId="217" xfId="12" applyFont="1" applyFill="1" applyBorder="1" applyAlignment="1">
      <alignment horizontal="center" vertical="center" wrapText="1"/>
    </xf>
    <xf numFmtId="0" fontId="104" fillId="22" borderId="218" xfId="12" applyFont="1" applyFill="1" applyBorder="1" applyAlignment="1">
      <alignment horizontal="left" vertical="center" wrapText="1"/>
    </xf>
    <xf numFmtId="0" fontId="104" fillId="9" borderId="69" xfId="12" applyFont="1" applyFill="1" applyBorder="1" applyAlignment="1">
      <alignment horizontal="center" vertical="center" wrapText="1"/>
    </xf>
    <xf numFmtId="0" fontId="104" fillId="9" borderId="114" xfId="12" applyFont="1" applyFill="1" applyBorder="1" applyAlignment="1">
      <alignment horizontal="center" vertical="center" wrapText="1"/>
    </xf>
    <xf numFmtId="0" fontId="99" fillId="0" borderId="0" xfId="12" applyFont="1" applyAlignment="1">
      <alignment horizontal="center" vertical="top" wrapText="1"/>
    </xf>
    <xf numFmtId="0" fontId="99" fillId="0" borderId="0" xfId="12" applyFont="1" applyAlignment="1">
      <alignment horizontal="justify" vertical="top" wrapText="1"/>
    </xf>
    <xf numFmtId="0" fontId="110" fillId="9" borderId="0" xfId="12" applyFont="1" applyFill="1" applyAlignment="1">
      <alignment horizontal="left" vertical="top"/>
    </xf>
    <xf numFmtId="0" fontId="112" fillId="22" borderId="100" xfId="12" applyFont="1" applyFill="1" applyBorder="1" applyAlignment="1">
      <alignment horizontal="left" vertical="center" wrapText="1"/>
    </xf>
    <xf numFmtId="0" fontId="112" fillId="22" borderId="114" xfId="12" applyFont="1" applyFill="1" applyBorder="1" applyAlignment="1">
      <alignment horizontal="left" vertical="center" wrapText="1"/>
    </xf>
    <xf numFmtId="0" fontId="112" fillId="22" borderId="165" xfId="12" applyFont="1" applyFill="1" applyBorder="1" applyAlignment="1">
      <alignment horizontal="center" vertical="center" textRotation="255" wrapText="1"/>
    </xf>
    <xf numFmtId="0" fontId="112" fillId="22" borderId="210" xfId="12" applyFont="1" applyFill="1" applyBorder="1" applyAlignment="1">
      <alignment horizontal="center" vertical="center" textRotation="255" wrapText="1"/>
    </xf>
    <xf numFmtId="0" fontId="112" fillId="22" borderId="88" xfId="12" applyFont="1" applyFill="1" applyBorder="1" applyAlignment="1">
      <alignment horizontal="left" vertical="center" wrapText="1"/>
    </xf>
    <xf numFmtId="0" fontId="112" fillId="22" borderId="5" xfId="12" applyFont="1" applyFill="1" applyBorder="1" applyAlignment="1">
      <alignment horizontal="left" vertical="center" wrapText="1"/>
    </xf>
    <xf numFmtId="0" fontId="112" fillId="9" borderId="5" xfId="12" applyFont="1" applyFill="1" applyBorder="1" applyAlignment="1">
      <alignment horizontal="left" vertical="center" wrapText="1"/>
    </xf>
    <xf numFmtId="0" fontId="112" fillId="0" borderId="36" xfId="12" applyFont="1" applyBorder="1" applyAlignment="1">
      <alignment horizontal="left" vertical="center" wrapText="1"/>
    </xf>
    <xf numFmtId="0" fontId="112" fillId="0" borderId="4" xfId="12" applyFont="1" applyBorder="1" applyAlignment="1">
      <alignment horizontal="left" vertical="center" wrapText="1"/>
    </xf>
    <xf numFmtId="0" fontId="112" fillId="0" borderId="0" xfId="12" applyFont="1" applyAlignment="1">
      <alignment horizontal="left" vertical="center" wrapText="1"/>
    </xf>
    <xf numFmtId="0" fontId="112" fillId="0" borderId="29" xfId="12" applyFont="1" applyBorder="1" applyAlignment="1">
      <alignment horizontal="left" vertical="center" wrapText="1"/>
    </xf>
    <xf numFmtId="0" fontId="112" fillId="0" borderId="6" xfId="12" applyFont="1" applyBorder="1" applyAlignment="1">
      <alignment horizontal="center" vertical="center" wrapText="1"/>
    </xf>
    <xf numFmtId="0" fontId="112" fillId="0" borderId="7" xfId="12" applyFont="1" applyBorder="1" applyAlignment="1">
      <alignment horizontal="center" vertical="center" wrapText="1"/>
    </xf>
    <xf numFmtId="0" fontId="112" fillId="22" borderId="35" xfId="12" applyFont="1" applyFill="1" applyBorder="1" applyAlignment="1">
      <alignment horizontal="left" vertical="center" wrapText="1"/>
    </xf>
    <xf numFmtId="0" fontId="112" fillId="22" borderId="7" xfId="12" applyFont="1" applyFill="1" applyBorder="1" applyAlignment="1">
      <alignment horizontal="left" vertical="center" wrapText="1"/>
    </xf>
    <xf numFmtId="0" fontId="112" fillId="22" borderId="160" xfId="12" applyFont="1" applyFill="1" applyBorder="1" applyAlignment="1">
      <alignment horizontal="left" vertical="center" wrapText="1"/>
    </xf>
    <xf numFmtId="0" fontId="112" fillId="0" borderId="202" xfId="12" applyFont="1" applyBorder="1" applyAlignment="1">
      <alignment horizontal="left" vertical="center" wrapText="1"/>
    </xf>
    <xf numFmtId="0" fontId="112" fillId="0" borderId="194" xfId="12" applyFont="1" applyBorder="1" applyAlignment="1">
      <alignment horizontal="left" vertical="center" wrapText="1"/>
    </xf>
    <xf numFmtId="0" fontId="112" fillId="0" borderId="177" xfId="12" applyFont="1" applyBorder="1" applyAlignment="1">
      <alignment horizontal="left" vertical="center" wrapText="1"/>
    </xf>
    <xf numFmtId="0" fontId="112" fillId="0" borderId="206" xfId="12" applyFont="1" applyBorder="1" applyAlignment="1">
      <alignment horizontal="left" vertical="center" wrapText="1"/>
    </xf>
    <xf numFmtId="0" fontId="112" fillId="0" borderId="203" xfId="12" applyFont="1" applyBorder="1" applyAlignment="1">
      <alignment horizontal="center" vertical="center" wrapText="1"/>
    </xf>
    <xf numFmtId="0" fontId="112" fillId="0" borderId="196" xfId="12" applyFont="1" applyBorder="1" applyAlignment="1">
      <alignment horizontal="center" vertical="center" wrapText="1"/>
    </xf>
    <xf numFmtId="0" fontId="112" fillId="0" borderId="204" xfId="12" applyFont="1" applyBorder="1" applyAlignment="1">
      <alignment horizontal="center" vertical="center" wrapText="1"/>
    </xf>
    <xf numFmtId="190" fontId="112" fillId="9" borderId="184" xfId="12" applyNumberFormat="1" applyFont="1" applyFill="1" applyBorder="1" applyAlignment="1">
      <alignment horizontal="center" vertical="center" wrapText="1"/>
    </xf>
    <xf numFmtId="190" fontId="112" fillId="9" borderId="199" xfId="12" applyNumberFormat="1" applyFont="1" applyFill="1" applyBorder="1" applyAlignment="1">
      <alignment horizontal="center" vertical="center" wrapText="1"/>
    </xf>
    <xf numFmtId="0" fontId="112" fillId="0" borderId="176" xfId="12" applyFont="1" applyBorder="1" applyAlignment="1">
      <alignment horizontal="center" vertical="center" wrapText="1"/>
    </xf>
    <xf numFmtId="0" fontId="112" fillId="0" borderId="177" xfId="12" applyFont="1" applyBorder="1" applyAlignment="1">
      <alignment horizontal="center" vertical="center" wrapText="1"/>
    </xf>
    <xf numFmtId="0" fontId="112" fillId="0" borderId="2" xfId="12" applyFont="1" applyBorder="1" applyAlignment="1">
      <alignment horizontal="center" vertical="center" wrapText="1"/>
    </xf>
    <xf numFmtId="0" fontId="106" fillId="9" borderId="71" xfId="12" applyFont="1" applyFill="1" applyBorder="1" applyAlignment="1">
      <alignment horizontal="center" vertical="top"/>
    </xf>
    <xf numFmtId="0" fontId="106" fillId="9" borderId="72" xfId="12" applyFont="1" applyFill="1" applyBorder="1" applyAlignment="1">
      <alignment horizontal="center" vertical="top"/>
    </xf>
    <xf numFmtId="0" fontId="106" fillId="9" borderId="205" xfId="12" applyFont="1" applyFill="1" applyBorder="1" applyAlignment="1">
      <alignment horizontal="center" vertical="top"/>
    </xf>
    <xf numFmtId="0" fontId="106" fillId="9" borderId="74" xfId="12" applyFont="1" applyFill="1" applyBorder="1" applyAlignment="1">
      <alignment horizontal="center" vertical="top"/>
    </xf>
    <xf numFmtId="0" fontId="106" fillId="9" borderId="75" xfId="12" applyFont="1" applyFill="1" applyBorder="1" applyAlignment="1">
      <alignment horizontal="center" vertical="top"/>
    </xf>
    <xf numFmtId="0" fontId="106" fillId="9" borderId="207" xfId="12" applyFont="1" applyFill="1" applyBorder="1" applyAlignment="1">
      <alignment horizontal="center" vertical="top"/>
    </xf>
    <xf numFmtId="0" fontId="106" fillId="9" borderId="77" xfId="12" applyFont="1" applyFill="1" applyBorder="1" applyAlignment="1">
      <alignment horizontal="center" vertical="top"/>
    </xf>
    <xf numFmtId="0" fontId="106" fillId="9" borderId="78" xfId="12" applyFont="1" applyFill="1" applyBorder="1" applyAlignment="1">
      <alignment horizontal="center" vertical="top"/>
    </xf>
    <xf numFmtId="0" fontId="106" fillId="9" borderId="209" xfId="12" applyFont="1" applyFill="1" applyBorder="1" applyAlignment="1">
      <alignment horizontal="center" vertical="top"/>
    </xf>
    <xf numFmtId="0" fontId="112" fillId="0" borderId="181" xfId="12" applyFont="1" applyBorder="1" applyAlignment="1">
      <alignment horizontal="center" vertical="center" wrapText="1"/>
    </xf>
    <xf numFmtId="0" fontId="112" fillId="0" borderId="199" xfId="12" applyFont="1" applyBorder="1" applyAlignment="1">
      <alignment horizontal="center" vertical="center" wrapText="1"/>
    </xf>
    <xf numFmtId="0" fontId="112" fillId="0" borderId="182" xfId="12" applyFont="1" applyBorder="1" applyAlignment="1">
      <alignment horizontal="center" vertical="center" wrapText="1"/>
    </xf>
    <xf numFmtId="0" fontId="112" fillId="0" borderId="179" xfId="12" applyFont="1" applyBorder="1" applyAlignment="1">
      <alignment horizontal="center" vertical="center" wrapText="1"/>
    </xf>
    <xf numFmtId="0" fontId="112" fillId="0" borderId="206" xfId="12" applyFont="1" applyBorder="1" applyAlignment="1">
      <alignment horizontal="center" vertical="center" wrapText="1"/>
    </xf>
    <xf numFmtId="190" fontId="112" fillId="9" borderId="181" xfId="12" applyNumberFormat="1" applyFont="1" applyFill="1" applyBorder="1" applyAlignment="1">
      <alignment horizontal="center" vertical="center" wrapText="1"/>
    </xf>
    <xf numFmtId="190" fontId="112" fillId="9" borderId="182" xfId="12" applyNumberFormat="1" applyFont="1" applyFill="1" applyBorder="1" applyAlignment="1">
      <alignment horizontal="center" vertical="center" wrapText="1"/>
    </xf>
    <xf numFmtId="0" fontId="112" fillId="9" borderId="208" xfId="12" applyFont="1" applyFill="1" applyBorder="1" applyAlignment="1">
      <alignment horizontal="center" vertical="center" wrapText="1"/>
    </xf>
    <xf numFmtId="0" fontId="112" fillId="9" borderId="182" xfId="12" applyFont="1" applyFill="1" applyBorder="1" applyAlignment="1">
      <alignment horizontal="center" vertical="center" wrapText="1"/>
    </xf>
    <xf numFmtId="0" fontId="112" fillId="9" borderId="199" xfId="12" applyFont="1" applyFill="1" applyBorder="1" applyAlignment="1">
      <alignment horizontal="center" vertical="center" wrapText="1"/>
    </xf>
    <xf numFmtId="0" fontId="112" fillId="22" borderId="194" xfId="12" applyFont="1" applyFill="1" applyBorder="1" applyAlignment="1">
      <alignment horizontal="left" vertical="center" wrapText="1"/>
    </xf>
    <xf numFmtId="0" fontId="112" fillId="22" borderId="177" xfId="12" applyFont="1" applyFill="1" applyBorder="1" applyAlignment="1">
      <alignment horizontal="left" vertical="center" wrapText="1"/>
    </xf>
    <xf numFmtId="0" fontId="112" fillId="22" borderId="180" xfId="12" applyFont="1" applyFill="1" applyBorder="1" applyAlignment="1">
      <alignment horizontal="left" vertical="center" wrapText="1"/>
    </xf>
    <xf numFmtId="0" fontId="112" fillId="9" borderId="193" xfId="12" applyFont="1" applyFill="1" applyBorder="1" applyAlignment="1">
      <alignment horizontal="center" vertical="center" wrapText="1"/>
    </xf>
    <xf numFmtId="0" fontId="112" fillId="9" borderId="187" xfId="12" applyFont="1" applyFill="1" applyBorder="1" applyAlignment="1">
      <alignment horizontal="center" vertical="center" wrapText="1"/>
    </xf>
    <xf numFmtId="0" fontId="112" fillId="9" borderId="200" xfId="12" applyFont="1" applyFill="1" applyBorder="1" applyAlignment="1">
      <alignment horizontal="center" vertical="center" wrapText="1"/>
    </xf>
    <xf numFmtId="190" fontId="112" fillId="9" borderId="186" xfId="12" applyNumberFormat="1" applyFont="1" applyFill="1" applyBorder="1" applyAlignment="1">
      <alignment horizontal="center" vertical="center" wrapText="1"/>
    </xf>
    <xf numFmtId="190" fontId="112" fillId="9" borderId="200" xfId="12" applyNumberFormat="1" applyFont="1" applyFill="1" applyBorder="1" applyAlignment="1">
      <alignment horizontal="center" vertical="center" wrapText="1"/>
    </xf>
    <xf numFmtId="190" fontId="112" fillId="9" borderId="187" xfId="12" applyNumberFormat="1" applyFont="1" applyFill="1" applyBorder="1" applyAlignment="1">
      <alignment horizontal="center" vertical="center" wrapText="1"/>
    </xf>
    <xf numFmtId="190" fontId="112" fillId="9" borderId="189" xfId="12" applyNumberFormat="1" applyFont="1" applyFill="1" applyBorder="1" applyAlignment="1">
      <alignment horizontal="center" vertical="center" wrapText="1"/>
    </xf>
    <xf numFmtId="0" fontId="112" fillId="9" borderId="159" xfId="12" applyFont="1" applyFill="1" applyBorder="1" applyAlignment="1">
      <alignment horizontal="center" vertical="center" wrapText="1"/>
    </xf>
    <xf numFmtId="0" fontId="112" fillId="9" borderId="2" xfId="12" applyFont="1" applyFill="1" applyBorder="1" applyAlignment="1">
      <alignment horizontal="center" vertical="center" wrapText="1"/>
    </xf>
    <xf numFmtId="0" fontId="112" fillId="9" borderId="62" xfId="12" applyFont="1" applyFill="1" applyBorder="1" applyAlignment="1">
      <alignment horizontal="center" vertical="center" wrapText="1"/>
    </xf>
    <xf numFmtId="190" fontId="112" fillId="9" borderId="2" xfId="12" applyNumberFormat="1" applyFont="1" applyFill="1" applyBorder="1" applyAlignment="1">
      <alignment horizontal="center" vertical="center" wrapText="1"/>
    </xf>
    <xf numFmtId="190" fontId="112" fillId="9" borderId="6" xfId="12" applyNumberFormat="1" applyFont="1" applyFill="1" applyBorder="1" applyAlignment="1">
      <alignment horizontal="center" vertical="center" wrapText="1"/>
    </xf>
    <xf numFmtId="0" fontId="112" fillId="9" borderId="184" xfId="12" applyFont="1" applyFill="1" applyBorder="1" applyAlignment="1">
      <alignment horizontal="right" vertical="center" wrapText="1"/>
    </xf>
    <xf numFmtId="0" fontId="112" fillId="9" borderId="182" xfId="12" applyFont="1" applyFill="1" applyBorder="1" applyAlignment="1">
      <alignment horizontal="right" vertical="center" wrapText="1"/>
    </xf>
    <xf numFmtId="0" fontId="112" fillId="9" borderId="185" xfId="12" applyFont="1" applyFill="1" applyBorder="1" applyAlignment="1">
      <alignment horizontal="center" vertical="center" wrapText="1"/>
    </xf>
    <xf numFmtId="0" fontId="112" fillId="9" borderId="186" xfId="12" applyFont="1" applyFill="1" applyBorder="1" applyAlignment="1">
      <alignment horizontal="center" vertical="center" wrapText="1"/>
    </xf>
    <xf numFmtId="0" fontId="112" fillId="9" borderId="212" xfId="12" applyFont="1" applyFill="1" applyBorder="1" applyAlignment="1">
      <alignment horizontal="center" vertical="center" wrapText="1"/>
    </xf>
    <xf numFmtId="0" fontId="112" fillId="9" borderId="169" xfId="12" applyFont="1" applyFill="1" applyBorder="1" applyAlignment="1">
      <alignment horizontal="center" vertical="center" wrapText="1"/>
    </xf>
    <xf numFmtId="0" fontId="112" fillId="9" borderId="193" xfId="12" applyFont="1" applyFill="1" applyBorder="1" applyAlignment="1">
      <alignment horizontal="center" vertical="top" wrapText="1"/>
    </xf>
    <xf numFmtId="0" fontId="112" fillId="9" borderId="187" xfId="12" applyFont="1" applyFill="1" applyBorder="1" applyAlignment="1">
      <alignment horizontal="center" vertical="top" wrapText="1"/>
    </xf>
    <xf numFmtId="0" fontId="112" fillId="9" borderId="200" xfId="12" applyFont="1" applyFill="1" applyBorder="1" applyAlignment="1">
      <alignment horizontal="center" vertical="top" wrapText="1"/>
    </xf>
    <xf numFmtId="0" fontId="112" fillId="9" borderId="166" xfId="12" applyFont="1" applyFill="1" applyBorder="1" applyAlignment="1">
      <alignment horizontal="center" vertical="top" wrapText="1"/>
    </xf>
    <xf numFmtId="0" fontId="112" fillId="9" borderId="0" xfId="12" applyFont="1" applyFill="1" applyAlignment="1">
      <alignment horizontal="center" vertical="top" wrapText="1"/>
    </xf>
    <xf numFmtId="0" fontId="112" fillId="9" borderId="201" xfId="12" applyFont="1" applyFill="1" applyBorder="1" applyAlignment="1">
      <alignment horizontal="center" vertical="top" wrapText="1"/>
    </xf>
    <xf numFmtId="0" fontId="112" fillId="9" borderId="168" xfId="12" applyFont="1" applyFill="1" applyBorder="1" applyAlignment="1">
      <alignment horizontal="center" vertical="top" wrapText="1"/>
    </xf>
    <xf numFmtId="0" fontId="112" fillId="9" borderId="169" xfId="12" applyFont="1" applyFill="1" applyBorder="1" applyAlignment="1">
      <alignment horizontal="center" vertical="top" wrapText="1"/>
    </xf>
    <xf numFmtId="0" fontId="112" fillId="9" borderId="211" xfId="12" applyFont="1" applyFill="1" applyBorder="1" applyAlignment="1">
      <alignment horizontal="center" vertical="top" wrapText="1"/>
    </xf>
    <xf numFmtId="0" fontId="112" fillId="9" borderId="186" xfId="12" applyFont="1" applyFill="1" applyBorder="1" applyAlignment="1">
      <alignment horizontal="left" vertical="top" wrapText="1"/>
    </xf>
    <xf numFmtId="0" fontId="112" fillId="9" borderId="200" xfId="12" applyFont="1" applyFill="1" applyBorder="1" applyAlignment="1">
      <alignment horizontal="left" vertical="top" wrapText="1"/>
    </xf>
    <xf numFmtId="0" fontId="112" fillId="9" borderId="191" xfId="12" applyFont="1" applyFill="1" applyBorder="1" applyAlignment="1">
      <alignment horizontal="left" vertical="top" wrapText="1"/>
    </xf>
    <xf numFmtId="0" fontId="112" fillId="9" borderId="201" xfId="12" applyFont="1" applyFill="1" applyBorder="1" applyAlignment="1">
      <alignment horizontal="left" vertical="top" wrapText="1"/>
    </xf>
    <xf numFmtId="0" fontId="112" fillId="9" borderId="212" xfId="12" applyFont="1" applyFill="1" applyBorder="1" applyAlignment="1">
      <alignment horizontal="left" vertical="top" wrapText="1"/>
    </xf>
    <xf numFmtId="0" fontId="112" fillId="9" borderId="211" xfId="12" applyFont="1" applyFill="1" applyBorder="1" applyAlignment="1">
      <alignment horizontal="left" vertical="top" wrapText="1"/>
    </xf>
    <xf numFmtId="0" fontId="112" fillId="22" borderId="219" xfId="12" applyFont="1" applyFill="1" applyBorder="1" applyAlignment="1">
      <alignment horizontal="center" vertical="center" textRotation="255" wrapText="1"/>
    </xf>
    <xf numFmtId="0" fontId="112" fillId="22" borderId="115" xfId="12" applyFont="1" applyFill="1" applyBorder="1" applyAlignment="1">
      <alignment horizontal="left" vertical="center" wrapText="1"/>
    </xf>
    <xf numFmtId="0" fontId="112" fillId="22" borderId="30" xfId="12" applyFont="1" applyFill="1" applyBorder="1" applyAlignment="1">
      <alignment horizontal="left" vertical="center" wrapText="1"/>
    </xf>
    <xf numFmtId="0" fontId="112" fillId="22" borderId="218" xfId="12" applyFont="1" applyFill="1" applyBorder="1" applyAlignment="1">
      <alignment horizontal="left" vertical="center" wrapText="1"/>
    </xf>
    <xf numFmtId="0" fontId="112" fillId="9" borderId="30" xfId="12" applyFont="1" applyFill="1" applyBorder="1" applyAlignment="1">
      <alignment horizontal="left" vertical="center" wrapText="1"/>
    </xf>
    <xf numFmtId="0" fontId="112" fillId="9" borderId="216" xfId="12" applyFont="1" applyFill="1" applyBorder="1" applyAlignment="1">
      <alignment horizontal="right" vertical="center" wrapText="1"/>
    </xf>
    <xf numFmtId="0" fontId="112" fillId="9" borderId="214" xfId="12" applyFont="1" applyFill="1" applyBorder="1" applyAlignment="1">
      <alignment horizontal="right" vertical="center" wrapText="1"/>
    </xf>
    <xf numFmtId="0" fontId="112" fillId="9" borderId="214" xfId="12" applyFont="1" applyFill="1" applyBorder="1" applyAlignment="1">
      <alignment horizontal="center" vertical="center" wrapText="1"/>
    </xf>
    <xf numFmtId="0" fontId="112" fillId="9" borderId="217" xfId="12" applyFont="1" applyFill="1" applyBorder="1" applyAlignment="1">
      <alignment horizontal="center" vertical="center" wrapText="1"/>
    </xf>
    <xf numFmtId="0" fontId="104" fillId="9" borderId="31" xfId="12" applyFont="1" applyFill="1" applyBorder="1" applyAlignment="1">
      <alignment horizontal="center" vertical="top"/>
    </xf>
    <xf numFmtId="0" fontId="104" fillId="9" borderId="218" xfId="12" applyFont="1" applyFill="1" applyBorder="1" applyAlignment="1">
      <alignment horizontal="center" vertical="top"/>
    </xf>
    <xf numFmtId="0" fontId="88" fillId="9" borderId="31" xfId="12" applyFont="1" applyFill="1" applyBorder="1" applyAlignment="1">
      <alignment horizontal="left" vertical="top"/>
    </xf>
    <xf numFmtId="0" fontId="88" fillId="9" borderId="30" xfId="12" applyFont="1" applyFill="1" applyBorder="1" applyAlignment="1">
      <alignment horizontal="left" vertical="top"/>
    </xf>
    <xf numFmtId="0" fontId="88" fillId="9" borderId="82" xfId="12" applyFont="1" applyFill="1" applyBorder="1" applyAlignment="1">
      <alignment horizontal="left" vertical="top"/>
    </xf>
    <xf numFmtId="0" fontId="104" fillId="9" borderId="101" xfId="12" applyFont="1" applyFill="1" applyBorder="1" applyAlignment="1">
      <alignment horizontal="center" vertical="center" textRotation="255" wrapText="1"/>
    </xf>
    <xf numFmtId="0" fontId="104" fillId="9" borderId="166" xfId="12" applyFont="1" applyFill="1" applyBorder="1" applyAlignment="1">
      <alignment horizontal="center" vertical="center" textRotation="255" wrapText="1"/>
    </xf>
    <xf numFmtId="0" fontId="104" fillId="9" borderId="0" xfId="12" applyFont="1" applyFill="1" applyAlignment="1">
      <alignment horizontal="center" vertical="center" textRotation="255" wrapText="1"/>
    </xf>
    <xf numFmtId="0" fontId="104" fillId="9" borderId="194" xfId="12" applyFont="1" applyFill="1" applyBorder="1" applyAlignment="1">
      <alignment horizontal="center" vertical="center" textRotation="255" wrapText="1"/>
    </xf>
    <xf numFmtId="0" fontId="104" fillId="9" borderId="177" xfId="12" applyFont="1" applyFill="1" applyBorder="1" applyAlignment="1">
      <alignment horizontal="center" vertical="center" textRotation="255" wrapText="1"/>
    </xf>
    <xf numFmtId="0" fontId="104" fillId="9" borderId="206" xfId="12" applyFont="1" applyFill="1" applyBorder="1" applyAlignment="1">
      <alignment horizontal="center" vertical="center" wrapText="1"/>
    </xf>
    <xf numFmtId="49" fontId="104" fillId="9" borderId="181" xfId="12" applyNumberFormat="1" applyFont="1" applyFill="1" applyBorder="1" applyAlignment="1">
      <alignment horizontal="left" vertical="center" wrapText="1"/>
    </xf>
    <xf numFmtId="49" fontId="104" fillId="9" borderId="182" xfId="12" applyNumberFormat="1" applyFont="1" applyFill="1" applyBorder="1" applyAlignment="1">
      <alignment horizontal="left" vertical="center" wrapText="1"/>
    </xf>
    <xf numFmtId="49" fontId="104" fillId="9" borderId="182" xfId="12" applyNumberFormat="1" applyFont="1" applyFill="1" applyBorder="1" applyAlignment="1">
      <alignment horizontal="center" vertical="center" wrapText="1"/>
    </xf>
    <xf numFmtId="49" fontId="104" fillId="9" borderId="183" xfId="12" applyNumberFormat="1" applyFont="1" applyFill="1" applyBorder="1" applyAlignment="1">
      <alignment horizontal="center" vertical="center" wrapText="1"/>
    </xf>
    <xf numFmtId="0" fontId="99" fillId="9" borderId="0" xfId="12" applyFont="1" applyFill="1" applyAlignment="1">
      <alignment horizontal="left" vertical="center"/>
    </xf>
    <xf numFmtId="0" fontId="99" fillId="9" borderId="162" xfId="12" applyFont="1" applyFill="1" applyBorder="1" applyAlignment="1">
      <alignment horizontal="left" vertical="center"/>
    </xf>
    <xf numFmtId="0" fontId="104" fillId="9" borderId="176" xfId="12" applyFont="1" applyFill="1" applyBorder="1" applyAlignment="1">
      <alignment horizontal="left" vertical="center" wrapText="1"/>
    </xf>
    <xf numFmtId="0" fontId="104" fillId="9" borderId="180" xfId="12" applyFont="1" applyFill="1" applyBorder="1" applyAlignment="1">
      <alignment horizontal="left" vertical="center" wrapText="1"/>
    </xf>
    <xf numFmtId="49" fontId="104" fillId="9" borderId="186" xfId="12" applyNumberFormat="1" applyFont="1" applyFill="1" applyBorder="1" applyAlignment="1">
      <alignment horizontal="left" vertical="center" wrapText="1"/>
    </xf>
    <xf numFmtId="49" fontId="104" fillId="9" borderId="187" xfId="12" applyNumberFormat="1" applyFont="1" applyFill="1" applyBorder="1" applyAlignment="1">
      <alignment horizontal="left" vertical="center" wrapText="1"/>
    </xf>
    <xf numFmtId="49" fontId="104" fillId="9" borderId="190" xfId="12" applyNumberFormat="1" applyFont="1" applyFill="1" applyBorder="1" applyAlignment="1">
      <alignment horizontal="left" vertical="center" wrapText="1"/>
    </xf>
    <xf numFmtId="49" fontId="104" fillId="9" borderId="185" xfId="12" applyNumberFormat="1" applyFont="1" applyFill="1" applyBorder="1" applyAlignment="1">
      <alignment horizontal="left" vertical="center" wrapText="1"/>
    </xf>
    <xf numFmtId="0" fontId="99" fillId="9" borderId="6" xfId="12" applyFont="1" applyFill="1" applyBorder="1" applyAlignment="1">
      <alignment horizontal="left" vertical="center" wrapText="1"/>
    </xf>
    <xf numFmtId="0" fontId="99" fillId="9" borderId="7" xfId="12" applyFont="1" applyFill="1" applyBorder="1" applyAlignment="1">
      <alignment horizontal="left" vertical="center" wrapText="1"/>
    </xf>
    <xf numFmtId="0" fontId="99" fillId="9" borderId="8" xfId="12" applyFont="1" applyFill="1" applyBorder="1" applyAlignment="1">
      <alignment horizontal="left" vertical="center" wrapText="1"/>
    </xf>
    <xf numFmtId="0" fontId="104" fillId="9" borderId="6" xfId="12" applyFont="1" applyFill="1" applyBorder="1" applyAlignment="1">
      <alignment horizontal="center" vertical="center"/>
    </xf>
    <xf numFmtId="0" fontId="104" fillId="9" borderId="8" xfId="12" applyFont="1" applyFill="1" applyBorder="1" applyAlignment="1">
      <alignment horizontal="center" vertical="center"/>
    </xf>
    <xf numFmtId="0" fontId="99" fillId="9" borderId="3" xfId="12" applyFont="1" applyFill="1" applyBorder="1" applyAlignment="1">
      <alignment horizontal="left" vertical="center" wrapText="1"/>
    </xf>
    <xf numFmtId="0" fontId="99" fillId="9" borderId="4" xfId="12" applyFont="1" applyFill="1" applyBorder="1" applyAlignment="1">
      <alignment horizontal="left" vertical="center" wrapText="1"/>
    </xf>
    <xf numFmtId="0" fontId="99" fillId="9" borderId="161" xfId="12" applyFont="1" applyFill="1" applyBorder="1" applyAlignment="1">
      <alignment horizontal="left" vertical="center" wrapText="1"/>
    </xf>
    <xf numFmtId="0" fontId="104" fillId="9" borderId="7" xfId="12" applyFont="1" applyFill="1" applyBorder="1" applyAlignment="1">
      <alignment horizontal="center" vertical="top" wrapText="1"/>
    </xf>
    <xf numFmtId="0" fontId="104" fillId="9" borderId="160" xfId="12" applyFont="1" applyFill="1" applyBorder="1" applyAlignment="1">
      <alignment horizontal="center" vertical="top" wrapText="1"/>
    </xf>
    <xf numFmtId="0" fontId="104" fillId="9" borderId="193" xfId="12" applyFont="1" applyFill="1" applyBorder="1" applyAlignment="1">
      <alignment horizontal="center" vertical="center" textRotation="255" wrapText="1"/>
    </xf>
    <xf numFmtId="0" fontId="104" fillId="9" borderId="200" xfId="12" applyFont="1" applyFill="1" applyBorder="1" applyAlignment="1">
      <alignment horizontal="center" vertical="center" textRotation="255" wrapText="1"/>
    </xf>
    <xf numFmtId="0" fontId="104" fillId="9" borderId="201" xfId="12" applyFont="1" applyFill="1" applyBorder="1" applyAlignment="1">
      <alignment horizontal="center" vertical="center" textRotation="255" wrapText="1"/>
    </xf>
    <xf numFmtId="0" fontId="104" fillId="9" borderId="183" xfId="12" applyFont="1" applyFill="1" applyBorder="1" applyAlignment="1">
      <alignment horizontal="left" vertical="center" wrapText="1"/>
    </xf>
    <xf numFmtId="0" fontId="104" fillId="9" borderId="25" xfId="12" applyFont="1" applyFill="1" applyBorder="1" applyAlignment="1">
      <alignment horizontal="center" vertical="center" wrapText="1"/>
    </xf>
    <xf numFmtId="0" fontId="104" fillId="9" borderId="28" xfId="12" applyFont="1" applyFill="1" applyBorder="1" applyAlignment="1">
      <alignment horizontal="center" vertical="center" wrapText="1"/>
    </xf>
    <xf numFmtId="0" fontId="104" fillId="9" borderId="27" xfId="12" applyFont="1" applyFill="1" applyBorder="1" applyAlignment="1">
      <alignment horizontal="center" vertical="center" wrapText="1"/>
    </xf>
    <xf numFmtId="188" fontId="104" fillId="9" borderId="249" xfId="12" applyNumberFormat="1" applyFont="1" applyFill="1" applyBorder="1" applyAlignment="1">
      <alignment horizontal="left" vertical="center" wrapText="1"/>
    </xf>
    <xf numFmtId="188" fontId="104" fillId="9" borderId="248" xfId="12" applyNumberFormat="1" applyFont="1" applyFill="1" applyBorder="1" applyAlignment="1">
      <alignment horizontal="left" vertical="center" wrapText="1"/>
    </xf>
    <xf numFmtId="188" fontId="104" fillId="9" borderId="247" xfId="12" applyNumberFormat="1" applyFont="1" applyFill="1" applyBorder="1" applyAlignment="1">
      <alignment horizontal="left" vertical="center" wrapText="1"/>
    </xf>
    <xf numFmtId="0" fontId="104" fillId="9" borderId="3" xfId="12" applyFont="1" applyFill="1" applyBorder="1" applyAlignment="1">
      <alignment horizontal="center" vertical="center" wrapText="1"/>
    </xf>
    <xf numFmtId="0" fontId="104" fillId="9" borderId="1" xfId="12" applyFont="1" applyFill="1" applyBorder="1" applyAlignment="1">
      <alignment horizontal="center" vertical="center" wrapText="1"/>
    </xf>
    <xf numFmtId="0" fontId="104" fillId="9" borderId="17" xfId="12" applyFont="1" applyFill="1" applyBorder="1" applyAlignment="1">
      <alignment horizontal="center" vertical="center" wrapText="1"/>
    </xf>
    <xf numFmtId="0" fontId="104" fillId="9" borderId="157" xfId="12" applyFont="1" applyFill="1" applyBorder="1" applyAlignment="1">
      <alignment horizontal="center" vertical="center" wrapText="1"/>
    </xf>
    <xf numFmtId="0" fontId="104" fillId="9" borderId="27" xfId="12" applyFont="1" applyFill="1" applyBorder="1" applyAlignment="1">
      <alignment horizontal="left" vertical="center" wrapText="1"/>
    </xf>
    <xf numFmtId="0" fontId="104" fillId="9" borderId="242" xfId="12" applyFont="1" applyFill="1" applyBorder="1" applyAlignment="1">
      <alignment horizontal="left" vertical="center" wrapText="1"/>
    </xf>
    <xf numFmtId="0" fontId="104" fillId="9" borderId="2" xfId="12" applyFont="1" applyFill="1" applyBorder="1" applyAlignment="1">
      <alignment horizontal="left" vertical="center" wrapText="1"/>
    </xf>
    <xf numFmtId="0" fontId="104" fillId="9" borderId="167" xfId="12" applyFont="1" applyFill="1" applyBorder="1" applyAlignment="1">
      <alignment horizontal="left" vertical="center" wrapText="1"/>
    </xf>
    <xf numFmtId="0" fontId="104" fillId="9" borderId="246" xfId="12" applyFont="1" applyFill="1" applyBorder="1" applyAlignment="1">
      <alignment horizontal="left" vertical="center" wrapText="1"/>
    </xf>
    <xf numFmtId="0" fontId="104" fillId="9" borderId="245" xfId="12" applyFont="1" applyFill="1" applyBorder="1" applyAlignment="1">
      <alignment horizontal="left" vertical="center" wrapText="1"/>
    </xf>
    <xf numFmtId="0" fontId="104" fillId="9" borderId="244" xfId="12" applyFont="1" applyFill="1" applyBorder="1" applyAlignment="1">
      <alignment horizontal="left" vertical="center" wrapText="1"/>
    </xf>
    <xf numFmtId="0" fontId="104" fillId="9" borderId="243" xfId="12" applyFont="1" applyFill="1" applyBorder="1" applyAlignment="1">
      <alignment horizontal="left" vertical="center" wrapText="1"/>
    </xf>
    <xf numFmtId="0" fontId="104" fillId="9" borderId="113" xfId="12" applyFont="1" applyFill="1" applyBorder="1" applyAlignment="1">
      <alignment horizontal="center" vertical="center" wrapText="1"/>
    </xf>
    <xf numFmtId="0" fontId="99" fillId="9" borderId="85" xfId="12" applyFont="1" applyFill="1" applyBorder="1" applyAlignment="1">
      <alignment horizontal="left" vertical="center" wrapText="1"/>
    </xf>
    <xf numFmtId="0" fontId="99" fillId="9" borderId="86" xfId="12" applyFont="1" applyFill="1" applyBorder="1" applyAlignment="1">
      <alignment horizontal="left" vertical="center" wrapText="1"/>
    </xf>
    <xf numFmtId="0" fontId="99" fillId="9" borderId="113" xfId="12" applyFont="1" applyFill="1" applyBorder="1" applyAlignment="1">
      <alignment horizontal="left" vertical="center" wrapText="1"/>
    </xf>
    <xf numFmtId="0" fontId="104" fillId="9" borderId="85" xfId="12" applyFont="1" applyFill="1" applyBorder="1" applyAlignment="1">
      <alignment horizontal="center" vertical="center"/>
    </xf>
    <xf numFmtId="0" fontId="104" fillId="9" borderId="113" xfId="12" applyFont="1" applyFill="1" applyBorder="1" applyAlignment="1">
      <alignment horizontal="center" vertical="center"/>
    </xf>
    <xf numFmtId="0" fontId="99" fillId="9" borderId="87" xfId="12" applyFont="1" applyFill="1" applyBorder="1" applyAlignment="1">
      <alignment horizontal="left" vertical="center" wrapText="1"/>
    </xf>
    <xf numFmtId="0" fontId="89" fillId="9" borderId="159" xfId="12" applyFont="1" applyFill="1" applyBorder="1" applyAlignment="1">
      <alignment horizontal="center" vertical="center" wrapText="1"/>
    </xf>
    <xf numFmtId="0" fontId="89" fillId="9" borderId="2" xfId="12" applyFont="1" applyFill="1" applyBorder="1" applyAlignment="1">
      <alignment horizontal="center" vertical="center" wrapText="1"/>
    </xf>
    <xf numFmtId="0" fontId="89" fillId="9" borderId="83" xfId="12" applyFont="1" applyFill="1" applyBorder="1" applyAlignment="1">
      <alignment horizontal="center" vertical="center" wrapText="1"/>
    </xf>
    <xf numFmtId="0" fontId="89" fillId="9" borderId="84" xfId="12" applyFont="1" applyFill="1" applyBorder="1" applyAlignment="1">
      <alignment horizontal="center" vertical="center" wrapText="1"/>
    </xf>
    <xf numFmtId="0" fontId="104" fillId="9" borderId="166" xfId="12" applyFont="1" applyFill="1" applyBorder="1" applyAlignment="1">
      <alignment horizontal="center" vertical="center" wrapText="1"/>
    </xf>
    <xf numFmtId="0" fontId="104" fillId="21" borderId="101" xfId="12" applyFont="1" applyFill="1" applyBorder="1" applyAlignment="1">
      <alignment horizontal="center" vertical="center" wrapText="1"/>
    </xf>
    <xf numFmtId="0" fontId="104" fillId="21" borderId="156" xfId="12" applyFont="1" applyFill="1" applyBorder="1" applyAlignment="1">
      <alignment horizontal="center" vertical="center" wrapText="1"/>
    </xf>
    <xf numFmtId="0" fontId="104" fillId="9" borderId="31" xfId="12" applyFont="1" applyFill="1" applyBorder="1" applyAlignment="1">
      <alignment horizontal="left" vertical="top" wrapText="1"/>
    </xf>
    <xf numFmtId="0" fontId="104" fillId="9" borderId="30" xfId="12" applyFont="1" applyFill="1" applyBorder="1" applyAlignment="1">
      <alignment horizontal="left" vertical="top" wrapText="1"/>
    </xf>
    <xf numFmtId="0" fontId="104" fillId="9" borderId="82" xfId="12" applyFont="1" applyFill="1" applyBorder="1" applyAlignment="1">
      <alignment horizontal="left" vertical="top" wrapText="1"/>
    </xf>
    <xf numFmtId="0" fontId="104" fillId="21" borderId="4" xfId="12" applyFont="1" applyFill="1" applyBorder="1" applyAlignment="1">
      <alignment horizontal="center" vertical="center" wrapText="1"/>
    </xf>
    <xf numFmtId="0" fontId="104" fillId="21" borderId="1" xfId="12" applyFont="1" applyFill="1" applyBorder="1" applyAlignment="1">
      <alignment horizontal="center" vertical="center" wrapText="1"/>
    </xf>
    <xf numFmtId="0" fontId="104" fillId="9" borderId="4" xfId="12" applyFont="1" applyFill="1" applyBorder="1" applyAlignment="1">
      <alignment horizontal="left" vertical="center" wrapText="1"/>
    </xf>
    <xf numFmtId="0" fontId="104" fillId="9" borderId="161" xfId="12" applyFont="1" applyFill="1" applyBorder="1" applyAlignment="1">
      <alignment horizontal="left" vertical="center" wrapText="1"/>
    </xf>
    <xf numFmtId="0" fontId="104" fillId="9" borderId="202" xfId="12" applyFont="1" applyFill="1" applyBorder="1" applyAlignment="1">
      <alignment horizontal="center" vertical="center" wrapText="1"/>
    </xf>
    <xf numFmtId="0" fontId="104" fillId="21" borderId="164" xfId="12" applyFont="1" applyFill="1" applyBorder="1" applyAlignment="1">
      <alignment horizontal="center" vertical="center" textRotation="255" wrapText="1"/>
    </xf>
    <xf numFmtId="0" fontId="104" fillId="21" borderId="165" xfId="12" applyFont="1" applyFill="1" applyBorder="1" applyAlignment="1">
      <alignment horizontal="center" vertical="center" textRotation="255" wrapText="1"/>
    </xf>
    <xf numFmtId="0" fontId="104" fillId="21" borderId="210" xfId="12" applyFont="1" applyFill="1" applyBorder="1" applyAlignment="1">
      <alignment horizontal="center" vertical="center" textRotation="255" wrapText="1"/>
    </xf>
    <xf numFmtId="0" fontId="104" fillId="21" borderId="115" xfId="12" applyFont="1" applyFill="1" applyBorder="1" applyAlignment="1">
      <alignment horizontal="center" vertical="center" wrapText="1"/>
    </xf>
    <xf numFmtId="0" fontId="104" fillId="21" borderId="30" xfId="12" applyFont="1" applyFill="1" applyBorder="1" applyAlignment="1">
      <alignment horizontal="center" vertical="center" wrapText="1"/>
    </xf>
    <xf numFmtId="0" fontId="104" fillId="21" borderId="218" xfId="12" applyFont="1" applyFill="1" applyBorder="1" applyAlignment="1">
      <alignment horizontal="center" vertical="center" wrapText="1"/>
    </xf>
    <xf numFmtId="0" fontId="104" fillId="22" borderId="36" xfId="12" applyFont="1" applyFill="1" applyBorder="1" applyAlignment="1">
      <alignment horizontal="left" vertical="top" wrapText="1"/>
    </xf>
    <xf numFmtId="0" fontId="104" fillId="22" borderId="4" xfId="12" applyFont="1" applyFill="1" applyBorder="1" applyAlignment="1">
      <alignment horizontal="left" vertical="top" wrapText="1"/>
    </xf>
    <xf numFmtId="0" fontId="104" fillId="22" borderId="161" xfId="12" applyFont="1" applyFill="1" applyBorder="1" applyAlignment="1">
      <alignment horizontal="left" vertical="top" wrapText="1"/>
    </xf>
    <xf numFmtId="49" fontId="104" fillId="9" borderId="237" xfId="12" applyNumberFormat="1" applyFont="1" applyFill="1" applyBorder="1" applyAlignment="1">
      <alignment horizontal="left" vertical="center" wrapText="1"/>
    </xf>
    <xf numFmtId="49" fontId="104" fillId="9" borderId="236" xfId="12" applyNumberFormat="1" applyFont="1" applyFill="1" applyBorder="1" applyAlignment="1">
      <alignment horizontal="left" vertical="center" wrapText="1"/>
    </xf>
    <xf numFmtId="49" fontId="104" fillId="9" borderId="2" xfId="12" applyNumberFormat="1" applyFont="1" applyFill="1" applyBorder="1" applyAlignment="1">
      <alignment horizontal="center" vertical="center" wrapText="1"/>
    </xf>
    <xf numFmtId="0" fontId="104" fillId="9" borderId="237" xfId="12" applyFont="1" applyFill="1" applyBorder="1" applyAlignment="1">
      <alignment horizontal="center" vertical="center" wrapText="1"/>
    </xf>
    <xf numFmtId="49" fontId="104" fillId="9" borderId="8" xfId="12" applyNumberFormat="1" applyFont="1" applyFill="1" applyBorder="1" applyAlignment="1">
      <alignment horizontal="left" vertical="center" wrapText="1"/>
    </xf>
    <xf numFmtId="0" fontId="104" fillId="9" borderId="180" xfId="12" applyFont="1" applyFill="1" applyBorder="1" applyAlignment="1">
      <alignment horizontal="center" vertical="center" wrapText="1"/>
    </xf>
    <xf numFmtId="0" fontId="104" fillId="9" borderId="5" xfId="12" applyFont="1" applyFill="1" applyBorder="1" applyAlignment="1">
      <alignment horizontal="center" vertical="center" wrapText="1"/>
    </xf>
    <xf numFmtId="0" fontId="104" fillId="9" borderId="15" xfId="12" applyFont="1" applyFill="1" applyBorder="1" applyAlignment="1">
      <alignment horizontal="center" vertical="center" wrapText="1"/>
    </xf>
    <xf numFmtId="0" fontId="99" fillId="9" borderId="3" xfId="12" applyFont="1" applyFill="1" applyBorder="1" applyAlignment="1">
      <alignment horizontal="center" vertical="center"/>
    </xf>
    <xf numFmtId="0" fontId="99" fillId="9" borderId="161" xfId="12" applyFont="1" applyFill="1" applyBorder="1" applyAlignment="1">
      <alignment horizontal="center" vertical="center"/>
    </xf>
    <xf numFmtId="0" fontId="99" fillId="9" borderId="17" xfId="12" applyFont="1" applyFill="1" applyBorder="1" applyAlignment="1">
      <alignment horizontal="center" vertical="center"/>
    </xf>
    <xf numFmtId="0" fontId="99" fillId="9" borderId="162" xfId="12" applyFont="1" applyFill="1" applyBorder="1" applyAlignment="1">
      <alignment horizontal="center" vertical="center"/>
    </xf>
    <xf numFmtId="49" fontId="104" fillId="9" borderId="236" xfId="12" applyNumberFormat="1" applyFont="1" applyFill="1" applyBorder="1" applyAlignment="1">
      <alignment horizontal="center" vertical="center" wrapText="1"/>
    </xf>
    <xf numFmtId="49" fontId="104" fillId="9" borderId="6" xfId="12" applyNumberFormat="1" applyFont="1" applyFill="1" applyBorder="1" applyAlignment="1">
      <alignment horizontal="center" vertical="center" wrapText="1"/>
    </xf>
    <xf numFmtId="49" fontId="104" fillId="9" borderId="167" xfId="12" applyNumberFormat="1" applyFont="1" applyFill="1" applyBorder="1" applyAlignment="1">
      <alignment horizontal="center" vertical="center" wrapText="1"/>
    </xf>
    <xf numFmtId="0" fontId="104" fillId="22" borderId="35" xfId="12" applyFont="1" applyFill="1" applyBorder="1" applyAlignment="1">
      <alignment horizontal="left" vertical="top" wrapText="1"/>
    </xf>
    <xf numFmtId="0" fontId="104" fillId="22" borderId="7" xfId="12" applyFont="1" applyFill="1" applyBorder="1" applyAlignment="1">
      <alignment horizontal="left" vertical="top" wrapText="1"/>
    </xf>
    <xf numFmtId="0" fontId="104" fillId="22" borderId="160" xfId="12" applyFont="1" applyFill="1" applyBorder="1" applyAlignment="1">
      <alignment horizontal="left" vertical="top" wrapText="1"/>
    </xf>
    <xf numFmtId="0" fontId="104" fillId="22" borderId="170" xfId="12" applyFont="1" applyFill="1" applyBorder="1" applyAlignment="1">
      <alignment horizontal="left" vertical="center" wrapText="1"/>
    </xf>
    <xf numFmtId="0" fontId="104" fillId="22" borderId="101" xfId="12" applyFont="1" applyFill="1" applyBorder="1" applyAlignment="1">
      <alignment horizontal="left" vertical="center" wrapText="1"/>
    </xf>
    <xf numFmtId="0" fontId="104" fillId="22" borderId="235" xfId="12" applyFont="1" applyFill="1" applyBorder="1" applyAlignment="1">
      <alignment horizontal="left" vertical="center" wrapText="1"/>
    </xf>
    <xf numFmtId="0" fontId="104" fillId="23" borderId="234" xfId="12" applyFont="1" applyFill="1" applyBorder="1" applyAlignment="1">
      <alignment horizontal="left" vertical="top" wrapText="1"/>
    </xf>
    <xf numFmtId="0" fontId="104" fillId="23" borderId="233" xfId="12" applyFont="1" applyFill="1" applyBorder="1" applyAlignment="1">
      <alignment horizontal="left" vertical="top" wrapText="1"/>
    </xf>
    <xf numFmtId="0" fontId="104" fillId="23" borderId="232" xfId="12" applyFont="1" applyFill="1" applyBorder="1" applyAlignment="1">
      <alignment horizontal="left" vertical="top" wrapText="1"/>
    </xf>
    <xf numFmtId="49" fontId="104" fillId="9" borderId="160" xfId="12" applyNumberFormat="1" applyFont="1" applyFill="1" applyBorder="1" applyAlignment="1">
      <alignment horizontal="center" vertical="center" wrapText="1"/>
    </xf>
    <xf numFmtId="49" fontId="104" fillId="9" borderId="237" xfId="12" applyNumberFormat="1" applyFont="1" applyFill="1" applyBorder="1" applyAlignment="1">
      <alignment horizontal="center" vertical="center" wrapText="1"/>
    </xf>
    <xf numFmtId="0" fontId="121" fillId="9" borderId="231" xfId="12" applyFont="1" applyFill="1" applyBorder="1" applyAlignment="1">
      <alignment horizontal="center" vertical="center"/>
    </xf>
    <xf numFmtId="0" fontId="121" fillId="9" borderId="187" xfId="12" applyFont="1" applyFill="1" applyBorder="1" applyAlignment="1">
      <alignment horizontal="center" vertical="center"/>
    </xf>
    <xf numFmtId="0" fontId="121" fillId="9" borderId="188" xfId="12" applyFont="1" applyFill="1" applyBorder="1" applyAlignment="1">
      <alignment horizontal="center" vertical="center"/>
    </xf>
    <xf numFmtId="0" fontId="121" fillId="9" borderId="230" xfId="12" applyFont="1" applyFill="1" applyBorder="1" applyAlignment="1">
      <alignment horizontal="center" vertical="center"/>
    </xf>
    <xf numFmtId="0" fontId="121" fillId="9" borderId="5" xfId="12" applyFont="1" applyFill="1" applyBorder="1" applyAlignment="1">
      <alignment horizontal="center" vertical="center"/>
    </xf>
    <xf numFmtId="0" fontId="121" fillId="9" borderId="15" xfId="12" applyFont="1" applyFill="1" applyBorder="1" applyAlignment="1">
      <alignment horizontal="center" vertical="center"/>
    </xf>
    <xf numFmtId="0" fontId="104" fillId="9" borderId="16" xfId="12" applyFont="1" applyFill="1" applyBorder="1" applyAlignment="1">
      <alignment horizontal="center" vertical="center" wrapText="1"/>
    </xf>
    <xf numFmtId="0" fontId="100" fillId="9" borderId="17" xfId="12" applyFont="1" applyFill="1" applyBorder="1" applyAlignment="1">
      <alignment horizontal="left" vertical="center"/>
    </xf>
    <xf numFmtId="0" fontId="100" fillId="9" borderId="0" xfId="12" applyFont="1" applyFill="1" applyAlignment="1">
      <alignment horizontal="left" vertical="center"/>
    </xf>
    <xf numFmtId="0" fontId="100" fillId="9" borderId="162" xfId="12" applyFont="1" applyFill="1" applyBorder="1" applyAlignment="1">
      <alignment horizontal="left" vertical="center"/>
    </xf>
    <xf numFmtId="0" fontId="121" fillId="9" borderId="229" xfId="12" applyFont="1" applyFill="1" applyBorder="1" applyAlignment="1">
      <alignment horizontal="center" vertical="center"/>
    </xf>
    <xf numFmtId="0" fontId="121" fillId="9" borderId="7" xfId="12" applyFont="1" applyFill="1" applyBorder="1" applyAlignment="1">
      <alignment horizontal="center" vertical="center"/>
    </xf>
    <xf numFmtId="0" fontId="121" fillId="9" borderId="8" xfId="12" applyFont="1" applyFill="1" applyBorder="1" applyAlignment="1">
      <alignment horizontal="center" vertical="center"/>
    </xf>
    <xf numFmtId="0" fontId="121" fillId="9" borderId="228" xfId="12" applyFont="1" applyFill="1" applyBorder="1" applyAlignment="1">
      <alignment horizontal="center" vertical="center"/>
    </xf>
    <xf numFmtId="0" fontId="121" fillId="9" borderId="4" xfId="12" applyFont="1" applyFill="1" applyBorder="1" applyAlignment="1">
      <alignment horizontal="center" vertical="center"/>
    </xf>
    <xf numFmtId="0" fontId="121" fillId="9" borderId="1" xfId="12" applyFont="1" applyFill="1" applyBorder="1" applyAlignment="1">
      <alignment horizontal="center" vertical="center"/>
    </xf>
    <xf numFmtId="0" fontId="104" fillId="9" borderId="221" xfId="12" applyFont="1" applyFill="1" applyBorder="1" applyAlignment="1">
      <alignment horizontal="center" vertical="center" wrapText="1"/>
    </xf>
    <xf numFmtId="0" fontId="104" fillId="9" borderId="220" xfId="12" applyFont="1" applyFill="1" applyBorder="1" applyAlignment="1">
      <alignment horizontal="center" vertical="center" wrapText="1"/>
    </xf>
    <xf numFmtId="0" fontId="104" fillId="23" borderId="224" xfId="12" applyFont="1" applyFill="1" applyBorder="1" applyAlignment="1">
      <alignment horizontal="left" vertical="top" wrapText="1"/>
    </xf>
    <xf numFmtId="0" fontId="104" fillId="23" borderId="182" xfId="12" applyFont="1" applyFill="1" applyBorder="1" applyAlignment="1">
      <alignment horizontal="left" vertical="top" wrapText="1"/>
    </xf>
    <xf numFmtId="0" fontId="104" fillId="23" borderId="185" xfId="12" applyFont="1" applyFill="1" applyBorder="1" applyAlignment="1">
      <alignment horizontal="left" vertical="top" wrapText="1"/>
    </xf>
    <xf numFmtId="0" fontId="104" fillId="9" borderId="160" xfId="12" applyFont="1" applyFill="1" applyBorder="1" applyAlignment="1">
      <alignment horizontal="center" vertical="center" wrapText="1"/>
    </xf>
    <xf numFmtId="0" fontId="104" fillId="9" borderId="227" xfId="12" applyFont="1" applyFill="1" applyBorder="1" applyAlignment="1">
      <alignment horizontal="center" vertical="center" wrapText="1"/>
    </xf>
    <xf numFmtId="0" fontId="104" fillId="9" borderId="215" xfId="12" applyFont="1" applyFill="1" applyBorder="1" applyAlignment="1">
      <alignment horizontal="center" vertical="center" wrapText="1"/>
    </xf>
    <xf numFmtId="0" fontId="104" fillId="9" borderId="226" xfId="12" applyFont="1" applyFill="1" applyBorder="1" applyAlignment="1">
      <alignment horizontal="center" vertical="center" wrapText="1"/>
    </xf>
    <xf numFmtId="0" fontId="104" fillId="23" borderId="115" xfId="12" applyFont="1" applyFill="1" applyBorder="1" applyAlignment="1">
      <alignment horizontal="left" vertical="top" wrapText="1"/>
    </xf>
    <xf numFmtId="0" fontId="104" fillId="23" borderId="30" xfId="12" applyFont="1" applyFill="1" applyBorder="1" applyAlignment="1">
      <alignment horizontal="left" vertical="top" wrapText="1"/>
    </xf>
    <xf numFmtId="0" fontId="104" fillId="23" borderId="82" xfId="12" applyFont="1" applyFill="1" applyBorder="1" applyAlignment="1">
      <alignment horizontal="left" vertical="top" wrapText="1"/>
    </xf>
    <xf numFmtId="0" fontId="104" fillId="9" borderId="88" xfId="12" applyFont="1" applyFill="1" applyBorder="1" applyAlignment="1">
      <alignment horizontal="center" vertical="center" wrapText="1"/>
    </xf>
    <xf numFmtId="49" fontId="99" fillId="9" borderId="7" xfId="12" applyNumberFormat="1" applyFont="1" applyFill="1" applyBorder="1" applyAlignment="1">
      <alignment horizontal="left" vertical="center" wrapText="1"/>
    </xf>
    <xf numFmtId="49" fontId="99" fillId="9" borderId="160" xfId="12" applyNumberFormat="1" applyFont="1" applyFill="1" applyBorder="1" applyAlignment="1">
      <alignment horizontal="left" vertical="center" wrapText="1"/>
    </xf>
    <xf numFmtId="0" fontId="99" fillId="9" borderId="3" xfId="12" applyFont="1" applyFill="1" applyBorder="1" applyAlignment="1">
      <alignment horizontal="center" vertical="center" wrapText="1"/>
    </xf>
    <xf numFmtId="0" fontId="99" fillId="9" borderId="4" xfId="12" applyFont="1" applyFill="1" applyBorder="1" applyAlignment="1">
      <alignment horizontal="center" vertical="center" wrapText="1"/>
    </xf>
    <xf numFmtId="0" fontId="99" fillId="9" borderId="17" xfId="12" applyFont="1" applyFill="1" applyBorder="1" applyAlignment="1">
      <alignment horizontal="center" vertical="center" wrapText="1"/>
    </xf>
    <xf numFmtId="0" fontId="99" fillId="9" borderId="0" xfId="12" applyFont="1" applyFill="1" applyAlignment="1">
      <alignment horizontal="center" vertical="center" wrapText="1"/>
    </xf>
    <xf numFmtId="0" fontId="99" fillId="9" borderId="16" xfId="12" applyFont="1" applyFill="1" applyBorder="1" applyAlignment="1">
      <alignment horizontal="center" vertical="center" wrapText="1"/>
    </xf>
    <xf numFmtId="0" fontId="99" fillId="9" borderId="5" xfId="12" applyFont="1" applyFill="1" applyBorder="1" applyAlignment="1">
      <alignment horizontal="center" vertical="center" wrapText="1"/>
    </xf>
    <xf numFmtId="0" fontId="99" fillId="9" borderId="17" xfId="12" applyFont="1" applyFill="1" applyBorder="1" applyAlignment="1">
      <alignment horizontal="left" vertical="center" wrapText="1"/>
    </xf>
    <xf numFmtId="0" fontId="99" fillId="9" borderId="162" xfId="12" applyFont="1" applyFill="1" applyBorder="1" applyAlignment="1">
      <alignment horizontal="left" vertical="center" wrapText="1"/>
    </xf>
    <xf numFmtId="49" fontId="99" fillId="9" borderId="6" xfId="12" applyNumberFormat="1" applyFont="1" applyFill="1" applyBorder="1" applyAlignment="1">
      <alignment horizontal="center" vertical="center" wrapText="1"/>
    </xf>
    <xf numFmtId="49" fontId="99" fillId="9" borderId="7" xfId="12" applyNumberFormat="1" applyFont="1" applyFill="1" applyBorder="1" applyAlignment="1">
      <alignment horizontal="center" vertical="center" wrapText="1"/>
    </xf>
    <xf numFmtId="49" fontId="99" fillId="9" borderId="8" xfId="12" applyNumberFormat="1" applyFont="1" applyFill="1" applyBorder="1" applyAlignment="1">
      <alignment horizontal="center" vertical="center" wrapText="1"/>
    </xf>
    <xf numFmtId="49" fontId="99" fillId="9" borderId="6" xfId="12" applyNumberFormat="1" applyFont="1" applyFill="1" applyBorder="1" applyAlignment="1">
      <alignment horizontal="left" vertical="center" wrapText="1"/>
    </xf>
    <xf numFmtId="49" fontId="104" fillId="9" borderId="85" xfId="12" applyNumberFormat="1" applyFont="1" applyFill="1" applyBorder="1" applyAlignment="1">
      <alignment horizontal="center" vertical="center" wrapText="1"/>
    </xf>
    <xf numFmtId="49" fontId="104" fillId="9" borderId="86" xfId="12" applyNumberFormat="1" applyFont="1" applyFill="1" applyBorder="1" applyAlignment="1">
      <alignment horizontal="center" vertical="center" wrapText="1"/>
    </xf>
    <xf numFmtId="0" fontId="104" fillId="9" borderId="64" xfId="12" applyFont="1" applyFill="1" applyBorder="1" applyAlignment="1">
      <alignment horizontal="center" vertical="center" wrapText="1"/>
    </xf>
    <xf numFmtId="0" fontId="104" fillId="9" borderId="65" xfId="12" applyFont="1" applyFill="1" applyBorder="1" applyAlignment="1">
      <alignment horizontal="center" vertical="center" wrapText="1"/>
    </xf>
    <xf numFmtId="0" fontId="104" fillId="9" borderId="65" xfId="12" applyFont="1" applyFill="1" applyBorder="1" applyAlignment="1">
      <alignment horizontal="left" vertical="center" wrapText="1"/>
    </xf>
    <xf numFmtId="0" fontId="104" fillId="9" borderId="63" xfId="12" applyFont="1" applyFill="1" applyBorder="1" applyAlignment="1">
      <alignment horizontal="left" vertical="center" wrapText="1"/>
    </xf>
    <xf numFmtId="0" fontId="104" fillId="9" borderId="223" xfId="12" applyFont="1" applyFill="1" applyBorder="1" applyAlignment="1">
      <alignment horizontal="center" vertical="center" wrapText="1"/>
    </xf>
    <xf numFmtId="0" fontId="104" fillId="9" borderId="222" xfId="12" applyFont="1" applyFill="1" applyBorder="1" applyAlignment="1">
      <alignment horizontal="center" vertical="center" wrapText="1"/>
    </xf>
    <xf numFmtId="0" fontId="99" fillId="9" borderId="0" xfId="12" applyFont="1" applyFill="1" applyAlignment="1">
      <alignment horizontal="justify" vertical="top" wrapText="1"/>
    </xf>
    <xf numFmtId="0" fontId="111" fillId="9" borderId="0" xfId="12" applyFont="1" applyFill="1" applyAlignment="1">
      <alignment horizontal="left" vertical="top"/>
    </xf>
    <xf numFmtId="0" fontId="112" fillId="9" borderId="0" xfId="12" applyFont="1" applyFill="1" applyAlignment="1">
      <alignment horizontal="left" vertical="center" wrapText="1"/>
    </xf>
    <xf numFmtId="0" fontId="122" fillId="9" borderId="80" xfId="12" applyFont="1" applyFill="1" applyBorder="1" applyAlignment="1">
      <alignment horizontal="center" vertical="center" wrapText="1"/>
    </xf>
    <xf numFmtId="0" fontId="122" fillId="9" borderId="81" xfId="12" applyFont="1" applyFill="1" applyBorder="1" applyAlignment="1">
      <alignment horizontal="center" vertical="center" wrapText="1"/>
    </xf>
    <xf numFmtId="0" fontId="122" fillId="9" borderId="159" xfId="12" applyFont="1" applyFill="1" applyBorder="1" applyAlignment="1">
      <alignment horizontal="center" vertical="center" wrapText="1"/>
    </xf>
    <xf numFmtId="0" fontId="122" fillId="9" borderId="2" xfId="12" applyFont="1" applyFill="1" applyBorder="1" applyAlignment="1">
      <alignment horizontal="center" vertical="center" wrapText="1"/>
    </xf>
    <xf numFmtId="0" fontId="122" fillId="9" borderId="83" xfId="12" applyFont="1" applyFill="1" applyBorder="1" applyAlignment="1">
      <alignment horizontal="center" vertical="center" wrapText="1"/>
    </xf>
    <xf numFmtId="0" fontId="122" fillId="9" borderId="84" xfId="12" applyFont="1" applyFill="1" applyBorder="1" applyAlignment="1">
      <alignment horizontal="center" vertical="center" wrapText="1"/>
    </xf>
    <xf numFmtId="0" fontId="112" fillId="9" borderId="31" xfId="12" applyFont="1" applyFill="1" applyBorder="1" applyAlignment="1">
      <alignment horizontal="center" vertical="center" wrapText="1"/>
    </xf>
    <xf numFmtId="0" fontId="112" fillId="9" borderId="218" xfId="12" applyFont="1" applyFill="1" applyBorder="1" applyAlignment="1">
      <alignment horizontal="center" vertical="center" wrapText="1"/>
    </xf>
    <xf numFmtId="0" fontId="106" fillId="9" borderId="31" xfId="12" applyFont="1" applyFill="1" applyBorder="1" applyAlignment="1">
      <alignment horizontal="left" vertical="center" wrapText="1"/>
    </xf>
    <xf numFmtId="0" fontId="106" fillId="9" borderId="30" xfId="12" applyFont="1" applyFill="1" applyBorder="1" applyAlignment="1">
      <alignment horizontal="left" vertical="center" wrapText="1"/>
    </xf>
    <xf numFmtId="0" fontId="106" fillId="9" borderId="218" xfId="12" applyFont="1" applyFill="1" applyBorder="1" applyAlignment="1">
      <alignment horizontal="left" vertical="center" wrapText="1"/>
    </xf>
    <xf numFmtId="0" fontId="112" fillId="9" borderId="31" xfId="12" applyFont="1" applyFill="1" applyBorder="1" applyAlignment="1">
      <alignment horizontal="center" vertical="center"/>
    </xf>
    <xf numFmtId="0" fontId="112" fillId="9" borderId="218" xfId="12" applyFont="1" applyFill="1" applyBorder="1" applyAlignment="1">
      <alignment horizontal="center" vertical="center"/>
    </xf>
    <xf numFmtId="0" fontId="106" fillId="9" borderId="155" xfId="12" applyFont="1" applyFill="1" applyBorder="1" applyAlignment="1">
      <alignment horizontal="left" vertical="center" wrapText="1"/>
    </xf>
    <xf numFmtId="0" fontId="106" fillId="9" borderId="101" xfId="12" applyFont="1" applyFill="1" applyBorder="1" applyAlignment="1">
      <alignment horizontal="left" vertical="center" wrapText="1"/>
    </xf>
    <xf numFmtId="0" fontId="106" fillId="9" borderId="235" xfId="12" applyFont="1" applyFill="1" applyBorder="1" applyAlignment="1">
      <alignment horizontal="left" vertical="center" wrapText="1"/>
    </xf>
    <xf numFmtId="0" fontId="112" fillId="9" borderId="6" xfId="12" applyFont="1" applyFill="1" applyBorder="1" applyAlignment="1">
      <alignment horizontal="center" vertical="center" wrapText="1"/>
    </xf>
    <xf numFmtId="0" fontId="112" fillId="9" borderId="8" xfId="12" applyFont="1" applyFill="1" applyBorder="1" applyAlignment="1">
      <alignment horizontal="center" vertical="center" wrapText="1"/>
    </xf>
    <xf numFmtId="0" fontId="106" fillId="9" borderId="6" xfId="12" applyFont="1" applyFill="1" applyBorder="1" applyAlignment="1">
      <alignment horizontal="left" vertical="center" wrapText="1"/>
    </xf>
    <xf numFmtId="0" fontId="106" fillId="9" borderId="7" xfId="12" applyFont="1" applyFill="1" applyBorder="1" applyAlignment="1">
      <alignment horizontal="left" vertical="center" wrapText="1"/>
    </xf>
    <xf numFmtId="0" fontId="106" fillId="9" borderId="8" xfId="12" applyFont="1" applyFill="1" applyBorder="1" applyAlignment="1">
      <alignment horizontal="left" vertical="center" wrapText="1"/>
    </xf>
    <xf numFmtId="0" fontId="112" fillId="9" borderId="6" xfId="12" applyFont="1" applyFill="1" applyBorder="1" applyAlignment="1">
      <alignment horizontal="center" vertical="center"/>
    </xf>
    <xf numFmtId="0" fontId="112" fillId="9" borderId="8" xfId="12" applyFont="1" applyFill="1" applyBorder="1" applyAlignment="1">
      <alignment horizontal="center" vertical="center"/>
    </xf>
    <xf numFmtId="0" fontId="106" fillId="9" borderId="3" xfId="12" applyFont="1" applyFill="1" applyBorder="1" applyAlignment="1">
      <alignment horizontal="left" vertical="center" wrapText="1"/>
    </xf>
    <xf numFmtId="0" fontId="106" fillId="9" borderId="4" xfId="12" applyFont="1" applyFill="1" applyBorder="1" applyAlignment="1">
      <alignment horizontal="left" vertical="center" wrapText="1"/>
    </xf>
    <xf numFmtId="0" fontId="106" fillId="9" borderId="161" xfId="12" applyFont="1" applyFill="1" applyBorder="1" applyAlignment="1">
      <alignment horizontal="left" vertical="center" wrapText="1"/>
    </xf>
    <xf numFmtId="0" fontId="112" fillId="9" borderId="85" xfId="12" applyFont="1" applyFill="1" applyBorder="1" applyAlignment="1">
      <alignment horizontal="center" vertical="center" wrapText="1"/>
    </xf>
    <xf numFmtId="0" fontId="112" fillId="9" borderId="113" xfId="12" applyFont="1" applyFill="1" applyBorder="1" applyAlignment="1">
      <alignment horizontal="center" vertical="center" wrapText="1"/>
    </xf>
    <xf numFmtId="0" fontId="106" fillId="9" borderId="85" xfId="12" applyFont="1" applyFill="1" applyBorder="1" applyAlignment="1">
      <alignment horizontal="left" vertical="center" wrapText="1"/>
    </xf>
    <xf numFmtId="0" fontId="106" fillId="9" borderId="86" xfId="12" applyFont="1" applyFill="1" applyBorder="1" applyAlignment="1">
      <alignment horizontal="left" vertical="center" wrapText="1"/>
    </xf>
    <xf numFmtId="0" fontId="106" fillId="9" borderId="113" xfId="12" applyFont="1" applyFill="1" applyBorder="1" applyAlignment="1">
      <alignment horizontal="left" vertical="center" wrapText="1"/>
    </xf>
    <xf numFmtId="0" fontId="112" fillId="9" borderId="85" xfId="12" applyFont="1" applyFill="1" applyBorder="1" applyAlignment="1">
      <alignment horizontal="center" vertical="center"/>
    </xf>
    <xf numFmtId="0" fontId="112" fillId="9" borderId="113" xfId="12" applyFont="1" applyFill="1" applyBorder="1" applyAlignment="1">
      <alignment horizontal="center" vertical="center"/>
    </xf>
    <xf numFmtId="0" fontId="106" fillId="9" borderId="87" xfId="12" applyFont="1" applyFill="1" applyBorder="1" applyAlignment="1">
      <alignment horizontal="left" vertical="center" wrapText="1"/>
    </xf>
    <xf numFmtId="0" fontId="112" fillId="9" borderId="3" xfId="12" applyFont="1" applyFill="1" applyBorder="1" applyAlignment="1">
      <alignment horizontal="center" vertical="center" wrapText="1"/>
    </xf>
    <xf numFmtId="0" fontId="112" fillId="9" borderId="4" xfId="12" applyFont="1" applyFill="1" applyBorder="1" applyAlignment="1">
      <alignment horizontal="center" vertical="center" wrapText="1"/>
    </xf>
    <xf numFmtId="0" fontId="112" fillId="9" borderId="202" xfId="12" applyFont="1" applyFill="1" applyBorder="1" applyAlignment="1">
      <alignment horizontal="center" vertical="center" wrapText="1"/>
    </xf>
    <xf numFmtId="0" fontId="112" fillId="9" borderId="17" xfId="12" applyFont="1" applyFill="1" applyBorder="1" applyAlignment="1">
      <alignment horizontal="center" vertical="center" wrapText="1"/>
    </xf>
    <xf numFmtId="0" fontId="112" fillId="9" borderId="0" xfId="12" applyFont="1" applyFill="1" applyAlignment="1">
      <alignment horizontal="center" vertical="center" wrapText="1"/>
    </xf>
    <xf numFmtId="0" fontId="112" fillId="9" borderId="201" xfId="12" applyFont="1" applyFill="1" applyBorder="1" applyAlignment="1">
      <alignment horizontal="center" vertical="center" wrapText="1"/>
    </xf>
    <xf numFmtId="0" fontId="112" fillId="9" borderId="181" xfId="12" applyFont="1" applyFill="1" applyBorder="1" applyAlignment="1">
      <alignment horizontal="center" vertical="center" wrapText="1"/>
    </xf>
    <xf numFmtId="0" fontId="112" fillId="9" borderId="7" xfId="12" applyFont="1" applyFill="1" applyBorder="1" applyAlignment="1">
      <alignment horizontal="center" vertical="center" wrapText="1"/>
    </xf>
    <xf numFmtId="0" fontId="112" fillId="9" borderId="237" xfId="12" applyFont="1" applyFill="1" applyBorder="1" applyAlignment="1">
      <alignment horizontal="center" vertical="center" wrapText="1"/>
    </xf>
    <xf numFmtId="49" fontId="112" fillId="9" borderId="236" xfId="12" applyNumberFormat="1" applyFont="1" applyFill="1" applyBorder="1" applyAlignment="1">
      <alignment horizontal="left" vertical="center" wrapText="1"/>
    </xf>
    <xf numFmtId="49" fontId="112" fillId="9" borderId="8" xfId="12" applyNumberFormat="1" applyFont="1" applyFill="1" applyBorder="1" applyAlignment="1">
      <alignment horizontal="left" vertical="center" wrapText="1"/>
    </xf>
    <xf numFmtId="49" fontId="112" fillId="9" borderId="7" xfId="12" applyNumberFormat="1" applyFont="1" applyFill="1" applyBorder="1" applyAlignment="1">
      <alignment horizontal="left" vertical="center" wrapText="1"/>
    </xf>
    <xf numFmtId="49" fontId="112" fillId="9" borderId="237" xfId="12" applyNumberFormat="1" applyFont="1" applyFill="1" applyBorder="1" applyAlignment="1">
      <alignment horizontal="left" vertical="center" wrapText="1"/>
    </xf>
    <xf numFmtId="0" fontId="112" fillId="21" borderId="101" xfId="12" applyFont="1" applyFill="1" applyBorder="1" applyAlignment="1">
      <alignment horizontal="center" vertical="center" wrapText="1"/>
    </xf>
    <xf numFmtId="0" fontId="112" fillId="21" borderId="156" xfId="12" applyFont="1" applyFill="1" applyBorder="1" applyAlignment="1">
      <alignment horizontal="center" vertical="center" wrapText="1"/>
    </xf>
    <xf numFmtId="0" fontId="112" fillId="9" borderId="31" xfId="12" applyFont="1" applyFill="1" applyBorder="1" applyAlignment="1">
      <alignment horizontal="left" vertical="top" wrapText="1"/>
    </xf>
    <xf numFmtId="0" fontId="112" fillId="9" borderId="30" xfId="12" applyFont="1" applyFill="1" applyBorder="1" applyAlignment="1">
      <alignment horizontal="left" vertical="top" wrapText="1"/>
    </xf>
    <xf numFmtId="0" fontId="112" fillId="9" borderId="82" xfId="12" applyFont="1" applyFill="1" applyBorder="1" applyAlignment="1">
      <alignment horizontal="left" vertical="top" wrapText="1"/>
    </xf>
    <xf numFmtId="0" fontId="112" fillId="21" borderId="4" xfId="12" applyFont="1" applyFill="1" applyBorder="1" applyAlignment="1">
      <alignment horizontal="center" vertical="center" wrapText="1"/>
    </xf>
    <xf numFmtId="0" fontId="112" fillId="21" borderId="1" xfId="12" applyFont="1" applyFill="1" applyBorder="1" applyAlignment="1">
      <alignment horizontal="center" vertical="center" wrapText="1"/>
    </xf>
    <xf numFmtId="0" fontId="112" fillId="9" borderId="4" xfId="12" applyFont="1" applyFill="1" applyBorder="1" applyAlignment="1">
      <alignment horizontal="left" vertical="center" wrapText="1"/>
    </xf>
    <xf numFmtId="0" fontId="112" fillId="9" borderId="161" xfId="12" applyFont="1" applyFill="1" applyBorder="1" applyAlignment="1">
      <alignment horizontal="left" vertical="center" wrapText="1"/>
    </xf>
    <xf numFmtId="0" fontId="112" fillId="22" borderId="36" xfId="12" applyFont="1" applyFill="1" applyBorder="1" applyAlignment="1">
      <alignment horizontal="left" vertical="top" wrapText="1"/>
    </xf>
    <xf numFmtId="0" fontId="112" fillId="22" borderId="4" xfId="12" applyFont="1" applyFill="1" applyBorder="1" applyAlignment="1">
      <alignment horizontal="left" vertical="top" wrapText="1"/>
    </xf>
    <xf numFmtId="0" fontId="112" fillId="22" borderId="161" xfId="12" applyFont="1" applyFill="1" applyBorder="1" applyAlignment="1">
      <alignment horizontal="left" vertical="top" wrapText="1"/>
    </xf>
    <xf numFmtId="0" fontId="112" fillId="9" borderId="166" xfId="12" applyFont="1" applyFill="1" applyBorder="1" applyAlignment="1">
      <alignment horizontal="center" vertical="center" wrapText="1"/>
    </xf>
    <xf numFmtId="0" fontId="112" fillId="21" borderId="164" xfId="12" applyFont="1" applyFill="1" applyBorder="1" applyAlignment="1">
      <alignment horizontal="center" vertical="center" textRotation="255" wrapText="1"/>
    </xf>
    <xf numFmtId="0" fontId="112" fillId="21" borderId="165" xfId="12" applyFont="1" applyFill="1" applyBorder="1" applyAlignment="1">
      <alignment horizontal="center" vertical="center" textRotation="255" wrapText="1"/>
    </xf>
    <xf numFmtId="0" fontId="112" fillId="21" borderId="210" xfId="12" applyFont="1" applyFill="1" applyBorder="1" applyAlignment="1">
      <alignment horizontal="center" vertical="center" textRotation="255" wrapText="1"/>
    </xf>
    <xf numFmtId="0" fontId="112" fillId="21" borderId="115" xfId="12" applyFont="1" applyFill="1" applyBorder="1" applyAlignment="1">
      <alignment horizontal="center" vertical="center" wrapText="1"/>
    </xf>
    <xf numFmtId="0" fontId="112" fillId="21" borderId="30" xfId="12" applyFont="1" applyFill="1" applyBorder="1" applyAlignment="1">
      <alignment horizontal="center" vertical="center" wrapText="1"/>
    </xf>
    <xf numFmtId="0" fontId="112" fillId="21" borderId="218" xfId="12" applyFont="1" applyFill="1" applyBorder="1" applyAlignment="1">
      <alignment horizontal="center" vertical="center" wrapText="1"/>
    </xf>
    <xf numFmtId="49" fontId="112" fillId="9" borderId="160" xfId="12" applyNumberFormat="1" applyFont="1" applyFill="1" applyBorder="1" applyAlignment="1">
      <alignment horizontal="left" vertical="center" wrapText="1"/>
    </xf>
    <xf numFmtId="0" fontId="112" fillId="9" borderId="176" xfId="12" applyFont="1" applyFill="1" applyBorder="1" applyAlignment="1">
      <alignment horizontal="center" vertical="center" wrapText="1"/>
    </xf>
    <xf numFmtId="0" fontId="112" fillId="9" borderId="178" xfId="12" applyFont="1" applyFill="1" applyBorder="1" applyAlignment="1">
      <alignment horizontal="center" vertical="center" wrapText="1"/>
    </xf>
    <xf numFmtId="0" fontId="112" fillId="9" borderId="177" xfId="12" applyFont="1" applyFill="1" applyBorder="1" applyAlignment="1">
      <alignment horizontal="center" vertical="center" wrapText="1"/>
    </xf>
    <xf numFmtId="0" fontId="112" fillId="9" borderId="206" xfId="12" applyFont="1" applyFill="1" applyBorder="1" applyAlignment="1">
      <alignment horizontal="center" vertical="center" wrapText="1"/>
    </xf>
    <xf numFmtId="0" fontId="112" fillId="9" borderId="180" xfId="12" applyFont="1" applyFill="1" applyBorder="1" applyAlignment="1">
      <alignment horizontal="center" vertical="center" wrapText="1"/>
    </xf>
    <xf numFmtId="0" fontId="112" fillId="9" borderId="1" xfId="12" applyFont="1" applyFill="1" applyBorder="1" applyAlignment="1">
      <alignment horizontal="center" vertical="center" wrapText="1"/>
    </xf>
    <xf numFmtId="0" fontId="112" fillId="9" borderId="5" xfId="12" applyFont="1" applyFill="1" applyBorder="1" applyAlignment="1">
      <alignment horizontal="center" vertical="center" wrapText="1"/>
    </xf>
    <xf numFmtId="0" fontId="112" fillId="9" borderId="15" xfId="12" applyFont="1" applyFill="1" applyBorder="1" applyAlignment="1">
      <alignment horizontal="center" vertical="center" wrapText="1"/>
    </xf>
    <xf numFmtId="49" fontId="112" fillId="9" borderId="2" xfId="12" applyNumberFormat="1" applyFont="1" applyFill="1" applyBorder="1" applyAlignment="1">
      <alignment horizontal="center" vertical="center" wrapText="1"/>
    </xf>
    <xf numFmtId="49" fontId="112" fillId="9" borderId="167" xfId="12" applyNumberFormat="1" applyFont="1" applyFill="1" applyBorder="1" applyAlignment="1">
      <alignment horizontal="center" vertical="center" wrapText="1"/>
    </xf>
    <xf numFmtId="0" fontId="112" fillId="22" borderId="35" xfId="12" applyFont="1" applyFill="1" applyBorder="1" applyAlignment="1">
      <alignment horizontal="left" vertical="top" wrapText="1"/>
    </xf>
    <xf numFmtId="0" fontId="112" fillId="22" borderId="7" xfId="12" applyFont="1" applyFill="1" applyBorder="1" applyAlignment="1">
      <alignment horizontal="left" vertical="top" wrapText="1"/>
    </xf>
    <xf numFmtId="0" fontId="112" fillId="22" borderId="160" xfId="12" applyFont="1" applyFill="1" applyBorder="1" applyAlignment="1">
      <alignment horizontal="left" vertical="top" wrapText="1"/>
    </xf>
    <xf numFmtId="0" fontId="112" fillId="9" borderId="116" xfId="12" applyFont="1" applyFill="1" applyBorder="1" applyAlignment="1">
      <alignment horizontal="center" vertical="center" wrapText="1"/>
    </xf>
    <xf numFmtId="0" fontId="112" fillId="9" borderId="86" xfId="12" applyFont="1" applyFill="1" applyBorder="1" applyAlignment="1">
      <alignment horizontal="center" vertical="center" wrapText="1"/>
    </xf>
    <xf numFmtId="0" fontId="106" fillId="9" borderId="3" xfId="12" applyFont="1" applyFill="1" applyBorder="1" applyAlignment="1">
      <alignment horizontal="center" vertical="center"/>
    </xf>
    <xf numFmtId="0" fontId="106" fillId="9" borderId="4" xfId="12" applyFont="1" applyFill="1" applyBorder="1" applyAlignment="1">
      <alignment horizontal="center" vertical="center"/>
    </xf>
    <xf numFmtId="0" fontId="106" fillId="9" borderId="161" xfId="12" applyFont="1" applyFill="1" applyBorder="1" applyAlignment="1">
      <alignment horizontal="center" vertical="center"/>
    </xf>
    <xf numFmtId="0" fontId="106" fillId="9" borderId="17" xfId="12" applyFont="1" applyFill="1" applyBorder="1" applyAlignment="1">
      <alignment horizontal="center" vertical="center"/>
    </xf>
    <xf numFmtId="0" fontId="106" fillId="9" borderId="0" xfId="12" applyFont="1" applyFill="1" applyAlignment="1">
      <alignment horizontal="center" vertical="center"/>
    </xf>
    <xf numFmtId="0" fontId="106" fillId="9" borderId="162" xfId="12" applyFont="1" applyFill="1" applyBorder="1" applyAlignment="1">
      <alignment horizontal="center" vertical="center"/>
    </xf>
    <xf numFmtId="0" fontId="106" fillId="9" borderId="6" xfId="12" applyFont="1" applyFill="1" applyBorder="1" applyAlignment="1">
      <alignment horizontal="center" vertical="center" wrapText="1"/>
    </xf>
    <xf numFmtId="0" fontId="106" fillId="9" borderId="7" xfId="12" applyFont="1" applyFill="1" applyBorder="1" applyAlignment="1">
      <alignment horizontal="center" vertical="center" wrapText="1"/>
    </xf>
    <xf numFmtId="0" fontId="106" fillId="9" borderId="8" xfId="12" applyFont="1" applyFill="1" applyBorder="1" applyAlignment="1">
      <alignment horizontal="center" vertical="center" wrapText="1"/>
    </xf>
    <xf numFmtId="0" fontId="112" fillId="9" borderId="35" xfId="12" applyFont="1" applyFill="1" applyBorder="1" applyAlignment="1">
      <alignment horizontal="center" vertical="center" wrapText="1"/>
    </xf>
    <xf numFmtId="49" fontId="112" fillId="9" borderId="6" xfId="12" applyNumberFormat="1" applyFont="1" applyFill="1" applyBorder="1" applyAlignment="1">
      <alignment horizontal="center" vertical="center" wrapText="1"/>
    </xf>
    <xf numFmtId="49" fontId="112" fillId="9" borderId="237" xfId="12" applyNumberFormat="1" applyFont="1" applyFill="1" applyBorder="1" applyAlignment="1">
      <alignment horizontal="center" vertical="center" wrapText="1"/>
    </xf>
    <xf numFmtId="49" fontId="112" fillId="9" borderId="236" xfId="12" applyNumberFormat="1" applyFont="1" applyFill="1" applyBorder="1" applyAlignment="1">
      <alignment horizontal="center" vertical="center" wrapText="1"/>
    </xf>
    <xf numFmtId="49" fontId="112" fillId="9" borderId="160" xfId="12" applyNumberFormat="1" applyFont="1" applyFill="1" applyBorder="1" applyAlignment="1">
      <alignment horizontal="center" vertical="center" wrapText="1"/>
    </xf>
    <xf numFmtId="49" fontId="112" fillId="9" borderId="7" xfId="12" applyNumberFormat="1" applyFont="1" applyFill="1" applyBorder="1" applyAlignment="1">
      <alignment horizontal="center" vertical="center" wrapText="1"/>
    </xf>
    <xf numFmtId="0" fontId="112" fillId="9" borderId="221" xfId="12" applyFont="1" applyFill="1" applyBorder="1" applyAlignment="1">
      <alignment horizontal="center" vertical="center" wrapText="1"/>
    </xf>
    <xf numFmtId="0" fontId="112" fillId="9" borderId="220" xfId="12" applyFont="1" applyFill="1" applyBorder="1" applyAlignment="1">
      <alignment horizontal="center" vertical="center" wrapText="1"/>
    </xf>
    <xf numFmtId="0" fontId="112" fillId="9" borderId="25" xfId="12" applyFont="1" applyFill="1" applyBorder="1" applyAlignment="1">
      <alignment horizontal="center" vertical="center" wrapText="1"/>
    </xf>
    <xf numFmtId="0" fontId="112" fillId="9" borderId="169" xfId="12" applyFont="1" applyFill="1" applyBorder="1" applyAlignment="1">
      <alignment horizontal="left" vertical="center" wrapText="1"/>
    </xf>
    <xf numFmtId="0" fontId="112" fillId="22" borderId="164" xfId="12" applyFont="1" applyFill="1" applyBorder="1" applyAlignment="1">
      <alignment horizontal="center" vertical="center" textRotation="255" wrapText="1"/>
    </xf>
    <xf numFmtId="0" fontId="112" fillId="23" borderId="115" xfId="12" applyFont="1" applyFill="1" applyBorder="1" applyAlignment="1">
      <alignment horizontal="left" vertical="top" wrapText="1"/>
    </xf>
    <xf numFmtId="0" fontId="112" fillId="23" borderId="30" xfId="12" applyFont="1" applyFill="1" applyBorder="1" applyAlignment="1">
      <alignment horizontal="left" vertical="top" wrapText="1"/>
    </xf>
    <xf numFmtId="0" fontId="112" fillId="23" borderId="250" xfId="12" applyFont="1" applyFill="1" applyBorder="1" applyAlignment="1">
      <alignment horizontal="left" vertical="top" wrapText="1"/>
    </xf>
    <xf numFmtId="0" fontId="112" fillId="9" borderId="36" xfId="12" applyFont="1" applyFill="1" applyBorder="1" applyAlignment="1">
      <alignment horizontal="center" vertical="center" wrapText="1"/>
    </xf>
    <xf numFmtId="0" fontId="112" fillId="9" borderId="88" xfId="12" applyFont="1" applyFill="1" applyBorder="1" applyAlignment="1">
      <alignment horizontal="center" vertical="center" wrapText="1"/>
    </xf>
    <xf numFmtId="0" fontId="112" fillId="9" borderId="16" xfId="12" applyFont="1" applyFill="1" applyBorder="1" applyAlignment="1">
      <alignment horizontal="center" vertical="center" wrapText="1"/>
    </xf>
    <xf numFmtId="0" fontId="112" fillId="9" borderId="27" xfId="12" applyFont="1" applyFill="1" applyBorder="1" applyAlignment="1">
      <alignment horizontal="center" vertical="center" wrapText="1"/>
    </xf>
    <xf numFmtId="0" fontId="112" fillId="9" borderId="160" xfId="12" applyFont="1" applyFill="1" applyBorder="1" applyAlignment="1">
      <alignment horizontal="center" vertical="center" wrapText="1"/>
    </xf>
    <xf numFmtId="49" fontId="106" fillId="9" borderId="7" xfId="12" applyNumberFormat="1" applyFont="1" applyFill="1" applyBorder="1" applyAlignment="1">
      <alignment horizontal="left" vertical="center" wrapText="1"/>
    </xf>
    <xf numFmtId="49" fontId="106" fillId="9" borderId="160" xfId="12" applyNumberFormat="1" applyFont="1" applyFill="1" applyBorder="1" applyAlignment="1">
      <alignment horizontal="left" vertical="center" wrapText="1"/>
    </xf>
    <xf numFmtId="0" fontId="112" fillId="23" borderId="224" xfId="12" applyFont="1" applyFill="1" applyBorder="1" applyAlignment="1">
      <alignment horizontal="left" vertical="top" wrapText="1"/>
    </xf>
    <xf numFmtId="0" fontId="112" fillId="23" borderId="182" xfId="12" applyFont="1" applyFill="1" applyBorder="1" applyAlignment="1">
      <alignment horizontal="left" vertical="top" wrapText="1"/>
    </xf>
    <xf numFmtId="0" fontId="112" fillId="23" borderId="185" xfId="12" applyFont="1" applyFill="1" applyBorder="1" applyAlignment="1">
      <alignment horizontal="left" vertical="top" wrapText="1"/>
    </xf>
    <xf numFmtId="0" fontId="112" fillId="9" borderId="29" xfId="12" applyFont="1" applyFill="1" applyBorder="1" applyAlignment="1">
      <alignment horizontal="center" vertical="center" wrapText="1"/>
    </xf>
    <xf numFmtId="0" fontId="106" fillId="9" borderId="17" xfId="12" applyFont="1" applyFill="1" applyBorder="1" applyAlignment="1">
      <alignment horizontal="left" vertical="center" wrapText="1"/>
    </xf>
    <xf numFmtId="0" fontId="106" fillId="9" borderId="162" xfId="12" applyFont="1" applyFill="1" applyBorder="1" applyAlignment="1">
      <alignment horizontal="left" vertical="center" wrapText="1"/>
    </xf>
    <xf numFmtId="49" fontId="106" fillId="9" borderId="6" xfId="12" applyNumberFormat="1" applyFont="1" applyFill="1" applyBorder="1" applyAlignment="1">
      <alignment horizontal="center" vertical="center" wrapText="1"/>
    </xf>
    <xf numFmtId="49" fontId="106" fillId="9" borderId="7" xfId="12" applyNumberFormat="1" applyFont="1" applyFill="1" applyBorder="1" applyAlignment="1">
      <alignment horizontal="center" vertical="center" wrapText="1"/>
    </xf>
    <xf numFmtId="49" fontId="106" fillId="9" borderId="8" xfId="12" applyNumberFormat="1" applyFont="1" applyFill="1" applyBorder="1" applyAlignment="1">
      <alignment horizontal="center" vertical="center" wrapText="1"/>
    </xf>
    <xf numFmtId="49" fontId="106" fillId="9" borderId="6" xfId="12" applyNumberFormat="1" applyFont="1" applyFill="1" applyBorder="1" applyAlignment="1">
      <alignment horizontal="left" vertical="center" wrapText="1"/>
    </xf>
    <xf numFmtId="0" fontId="106" fillId="9" borderId="3" xfId="12" applyFont="1" applyFill="1" applyBorder="1" applyAlignment="1">
      <alignment horizontal="center" vertical="center" wrapText="1"/>
    </xf>
    <xf numFmtId="0" fontId="106" fillId="9" borderId="4" xfId="12" applyFont="1" applyFill="1" applyBorder="1" applyAlignment="1">
      <alignment horizontal="center" vertical="center" wrapText="1"/>
    </xf>
    <xf numFmtId="0" fontId="106" fillId="9" borderId="17" xfId="12" applyFont="1" applyFill="1" applyBorder="1" applyAlignment="1">
      <alignment horizontal="center" vertical="center" wrapText="1"/>
    </xf>
    <xf numFmtId="0" fontId="106" fillId="9" borderId="0" xfId="12" applyFont="1" applyFill="1" applyAlignment="1">
      <alignment horizontal="center" vertical="center" wrapText="1"/>
    </xf>
    <xf numFmtId="0" fontId="106" fillId="9" borderId="16" xfId="12" applyFont="1" applyFill="1" applyBorder="1" applyAlignment="1">
      <alignment horizontal="center" vertical="center" wrapText="1"/>
    </xf>
    <xf numFmtId="0" fontId="106" fillId="9" borderId="5" xfId="12" applyFont="1" applyFill="1" applyBorder="1" applyAlignment="1">
      <alignment horizontal="center" vertical="center" wrapText="1"/>
    </xf>
    <xf numFmtId="0" fontId="112" fillId="9" borderId="223" xfId="12" applyFont="1" applyFill="1" applyBorder="1" applyAlignment="1">
      <alignment horizontal="center" vertical="center" wrapText="1"/>
    </xf>
    <xf numFmtId="0" fontId="112" fillId="9" borderId="222" xfId="12" applyFont="1" applyFill="1" applyBorder="1" applyAlignment="1">
      <alignment horizontal="center" vertical="center" wrapText="1"/>
    </xf>
    <xf numFmtId="49" fontId="112" fillId="9" borderId="85" xfId="12" applyNumberFormat="1" applyFont="1" applyFill="1" applyBorder="1" applyAlignment="1">
      <alignment horizontal="center" vertical="center" wrapText="1"/>
    </xf>
    <xf numFmtId="49" fontId="112" fillId="9" borderId="86" xfId="12" applyNumberFormat="1" applyFont="1" applyFill="1" applyBorder="1" applyAlignment="1">
      <alignment horizontal="center" vertical="center" wrapText="1"/>
    </xf>
    <xf numFmtId="0" fontId="106" fillId="9" borderId="0" xfId="12" applyFont="1" applyFill="1" applyAlignment="1">
      <alignment horizontal="left" vertical="top" wrapText="1"/>
    </xf>
    <xf numFmtId="0" fontId="20" fillId="2" borderId="2" xfId="7" applyFont="1" applyFill="1" applyBorder="1" applyAlignment="1">
      <alignment horizontal="center" vertical="center"/>
    </xf>
    <xf numFmtId="0" fontId="18" fillId="2" borderId="3" xfId="7" applyFont="1" applyFill="1" applyBorder="1" applyAlignment="1">
      <alignment horizontal="left" vertical="center"/>
    </xf>
    <xf numFmtId="0" fontId="18" fillId="2" borderId="4" xfId="7" applyFont="1" applyFill="1" applyBorder="1" applyAlignment="1">
      <alignment horizontal="left" vertical="center"/>
    </xf>
    <xf numFmtId="0" fontId="18" fillId="2" borderId="1" xfId="7" applyFont="1" applyFill="1" applyBorder="1" applyAlignment="1">
      <alignment horizontal="left" vertical="center"/>
    </xf>
    <xf numFmtId="0" fontId="18" fillId="5" borderId="25" xfId="7" applyFont="1" applyFill="1" applyBorder="1" applyAlignment="1">
      <alignment horizontal="center" vertical="center"/>
    </xf>
    <xf numFmtId="0" fontId="18" fillId="2" borderId="6" xfId="7" applyFont="1" applyFill="1" applyBorder="1" applyAlignment="1">
      <alignment horizontal="left" vertical="center"/>
    </xf>
    <xf numFmtId="0" fontId="18" fillId="2" borderId="7" xfId="7" applyFont="1" applyFill="1" applyBorder="1" applyAlignment="1">
      <alignment horizontal="left" vertical="center"/>
    </xf>
    <xf numFmtId="0" fontId="18" fillId="2" borderId="8" xfId="7" applyFont="1" applyFill="1" applyBorder="1" applyAlignment="1">
      <alignment horizontal="left" vertical="center"/>
    </xf>
    <xf numFmtId="0" fontId="18" fillId="5" borderId="2" xfId="7" applyFont="1" applyFill="1" applyBorder="1" applyAlignment="1">
      <alignment horizontal="center" vertical="center"/>
    </xf>
    <xf numFmtId="0" fontId="19" fillId="2" borderId="0" xfId="7" applyFont="1" applyFill="1" applyAlignment="1">
      <alignment horizontal="center" vertical="center"/>
    </xf>
    <xf numFmtId="0" fontId="18" fillId="6" borderId="6" xfId="7" applyFont="1" applyFill="1" applyBorder="1" applyAlignment="1">
      <alignment horizontal="left" vertical="center" wrapText="1"/>
    </xf>
    <xf numFmtId="0" fontId="18" fillId="6" borderId="7" xfId="7" applyFont="1" applyFill="1" applyBorder="1" applyAlignment="1">
      <alignment horizontal="left" vertical="center" wrapText="1"/>
    </xf>
    <xf numFmtId="0" fontId="18" fillId="6" borderId="8" xfId="7" applyFont="1" applyFill="1" applyBorder="1" applyAlignment="1">
      <alignment horizontal="left" vertical="center" wrapText="1"/>
    </xf>
    <xf numFmtId="0" fontId="20" fillId="2" borderId="80" xfId="7" applyFont="1" applyFill="1" applyBorder="1" applyAlignment="1">
      <alignment horizontal="center" vertical="center"/>
    </xf>
    <xf numFmtId="0" fontId="20" fillId="2" borderId="81" xfId="7" applyFont="1" applyFill="1" applyBorder="1" applyAlignment="1">
      <alignment horizontal="center" vertical="center"/>
    </xf>
    <xf numFmtId="0" fontId="20" fillId="2" borderId="30" xfId="7" applyFont="1" applyFill="1" applyBorder="1" applyAlignment="1">
      <alignment horizontal="left" vertical="center"/>
    </xf>
    <xf numFmtId="0" fontId="20" fillId="2" borderId="82" xfId="7" applyFont="1" applyFill="1" applyBorder="1" applyAlignment="1">
      <alignment horizontal="left" vertical="center"/>
    </xf>
    <xf numFmtId="0" fontId="20" fillId="2" borderId="83" xfId="7" applyFont="1" applyFill="1" applyBorder="1" applyAlignment="1">
      <alignment horizontal="center" vertical="center"/>
    </xf>
    <xf numFmtId="0" fontId="20" fillId="2" borderId="84" xfId="7" applyFont="1" applyFill="1" applyBorder="1" applyAlignment="1">
      <alignment horizontal="center" vertical="center"/>
    </xf>
    <xf numFmtId="0" fontId="20" fillId="2" borderId="30" xfId="7" applyFont="1" applyFill="1" applyBorder="1" applyAlignment="1">
      <alignment horizontal="left" vertical="center" shrinkToFit="1"/>
    </xf>
    <xf numFmtId="0" fontId="20" fillId="2" borderId="85" xfId="7" applyFont="1" applyFill="1" applyBorder="1" applyAlignment="1">
      <alignment horizontal="center" vertical="center" shrinkToFit="1"/>
    </xf>
    <xf numFmtId="0" fontId="20" fillId="2" borderId="86" xfId="7" applyFont="1" applyFill="1" applyBorder="1" applyAlignment="1">
      <alignment horizontal="center" vertical="center" shrinkToFit="1"/>
    </xf>
    <xf numFmtId="0" fontId="20" fillId="2" borderId="87" xfId="7" applyFont="1" applyFill="1" applyBorder="1" applyAlignment="1">
      <alignment horizontal="center" vertical="center" shrinkToFit="1"/>
    </xf>
    <xf numFmtId="0" fontId="18" fillId="2" borderId="2" xfId="7" applyFont="1" applyFill="1" applyBorder="1" applyAlignment="1">
      <alignment horizontal="center" vertical="center"/>
    </xf>
    <xf numFmtId="0" fontId="55" fillId="2" borderId="7" xfId="7" applyFont="1" applyFill="1" applyBorder="1" applyAlignment="1">
      <alignment vertical="center" shrinkToFit="1"/>
    </xf>
    <xf numFmtId="0" fontId="55" fillId="2" borderId="8" xfId="7" applyFont="1" applyFill="1" applyBorder="1" applyAlignment="1">
      <alignment vertical="center" shrinkToFit="1"/>
    </xf>
    <xf numFmtId="0" fontId="18" fillId="2" borderId="6" xfId="7" applyFont="1" applyFill="1" applyBorder="1" applyAlignment="1">
      <alignment vertical="center" shrinkToFit="1"/>
    </xf>
    <xf numFmtId="0" fontId="0" fillId="0" borderId="7" xfId="0" applyBorder="1" applyAlignment="1">
      <alignment vertical="center" shrinkToFit="1"/>
    </xf>
    <xf numFmtId="0" fontId="20" fillId="2" borderId="25" xfId="7" applyFont="1" applyFill="1" applyBorder="1" applyAlignment="1">
      <alignment horizontal="left" vertical="center"/>
    </xf>
    <xf numFmtId="180" fontId="18" fillId="6" borderId="2" xfId="7" applyNumberFormat="1" applyFont="1" applyFill="1" applyBorder="1" applyAlignment="1">
      <alignment horizontal="center" vertical="center" shrinkToFit="1"/>
    </xf>
    <xf numFmtId="0" fontId="18" fillId="2" borderId="16" xfId="7" applyFont="1" applyFill="1" applyBorder="1">
      <alignment vertical="center"/>
    </xf>
    <xf numFmtId="0" fontId="18" fillId="2" borderId="5" xfId="7" applyFont="1" applyFill="1" applyBorder="1">
      <alignment vertical="center"/>
    </xf>
    <xf numFmtId="0" fontId="18" fillId="2" borderId="0" xfId="7" applyFont="1" applyFill="1" applyAlignment="1">
      <alignment horizontal="center" vertical="center"/>
    </xf>
    <xf numFmtId="0" fontId="20" fillId="2" borderId="2" xfId="7" applyFont="1" applyFill="1" applyBorder="1" applyAlignment="1">
      <alignment horizontal="left" vertical="center"/>
    </xf>
    <xf numFmtId="0" fontId="18" fillId="2" borderId="27" xfId="7" applyFont="1" applyFill="1" applyBorder="1" applyAlignment="1">
      <alignment horizontal="center" vertical="center"/>
    </xf>
    <xf numFmtId="0" fontId="20" fillId="2" borderId="6" xfId="7" applyFont="1" applyFill="1" applyBorder="1" applyAlignment="1">
      <alignment horizontal="left" vertical="center"/>
    </xf>
    <xf numFmtId="0" fontId="20" fillId="2" borderId="7" xfId="7" applyFont="1" applyFill="1" applyBorder="1" applyAlignment="1">
      <alignment horizontal="left" vertical="center"/>
    </xf>
    <xf numFmtId="0" fontId="20" fillId="2" borderId="8" xfId="7" applyFont="1" applyFill="1" applyBorder="1" applyAlignment="1">
      <alignment horizontal="left" vertical="center"/>
    </xf>
    <xf numFmtId="0" fontId="18" fillId="2" borderId="51" xfId="7" applyFont="1" applyFill="1" applyBorder="1" applyAlignment="1">
      <alignment horizontal="left" vertical="center"/>
    </xf>
    <xf numFmtId="0" fontId="18" fillId="2" borderId="53" xfId="7" applyFont="1" applyFill="1" applyBorder="1" applyAlignment="1">
      <alignment horizontal="left" vertical="center"/>
    </xf>
    <xf numFmtId="0" fontId="18" fillId="2" borderId="52" xfId="7" applyFont="1" applyFill="1" applyBorder="1" applyAlignment="1">
      <alignment horizontal="left" vertical="center"/>
    </xf>
    <xf numFmtId="0" fontId="18" fillId="2" borderId="16" xfId="7" applyFont="1" applyFill="1" applyBorder="1" applyAlignment="1">
      <alignment horizontal="left" vertical="center"/>
    </xf>
    <xf numFmtId="0" fontId="18" fillId="2" borderId="5" xfId="7" applyFont="1" applyFill="1" applyBorder="1" applyAlignment="1">
      <alignment horizontal="left" vertical="center"/>
    </xf>
    <xf numFmtId="0" fontId="18" fillId="2" borderId="25" xfId="7" applyFont="1" applyFill="1" applyBorder="1" applyAlignment="1">
      <alignment horizontal="center" vertical="center"/>
    </xf>
    <xf numFmtId="0" fontId="18" fillId="2" borderId="28" xfId="7" applyFont="1" applyFill="1" applyBorder="1" applyAlignment="1">
      <alignment horizontal="center" vertical="center"/>
    </xf>
    <xf numFmtId="0" fontId="18" fillId="2" borderId="6" xfId="7" applyFont="1" applyFill="1" applyBorder="1">
      <alignment vertical="center"/>
    </xf>
    <xf numFmtId="0" fontId="18" fillId="2" borderId="7" xfId="7" applyFont="1" applyFill="1" applyBorder="1">
      <alignment vertical="center"/>
    </xf>
    <xf numFmtId="0" fontId="25" fillId="2" borderId="7" xfId="7" applyFont="1" applyFill="1" applyBorder="1" applyAlignment="1">
      <alignment vertical="center" wrapText="1"/>
    </xf>
    <xf numFmtId="0" fontId="25" fillId="2" borderId="7" xfId="7" applyFont="1" applyFill="1" applyBorder="1">
      <alignment vertical="center"/>
    </xf>
    <xf numFmtId="0" fontId="25" fillId="2" borderId="8" xfId="7" applyFont="1" applyFill="1" applyBorder="1">
      <alignment vertical="center"/>
    </xf>
    <xf numFmtId="0" fontId="18" fillId="6" borderId="7" xfId="7" applyFont="1" applyFill="1" applyBorder="1" applyAlignment="1">
      <alignment horizontal="center" vertical="center" shrinkToFit="1"/>
    </xf>
    <xf numFmtId="0" fontId="18" fillId="2" borderId="47" xfId="7" applyFont="1" applyFill="1" applyBorder="1" applyAlignment="1">
      <alignment horizontal="left" vertical="center"/>
    </xf>
    <xf numFmtId="0" fontId="18" fillId="2" borderId="58" xfId="7" applyFont="1" applyFill="1" applyBorder="1" applyAlignment="1">
      <alignment horizontal="left" vertical="center"/>
    </xf>
    <xf numFmtId="179" fontId="18" fillId="6" borderId="2" xfId="7" applyNumberFormat="1" applyFont="1" applyFill="1" applyBorder="1" applyAlignment="1">
      <alignment horizontal="center" vertical="center" shrinkToFit="1"/>
    </xf>
    <xf numFmtId="0" fontId="18" fillId="2" borderId="34" xfId="7" applyFont="1" applyFill="1" applyBorder="1" applyAlignment="1">
      <alignment horizontal="left" vertical="center"/>
    </xf>
    <xf numFmtId="0" fontId="18" fillId="2" borderId="32" xfId="7" applyFont="1" applyFill="1" applyBorder="1" applyAlignment="1">
      <alignment horizontal="left" vertical="center"/>
    </xf>
    <xf numFmtId="0" fontId="18" fillId="2" borderId="33" xfId="7" applyFont="1" applyFill="1" applyBorder="1" applyAlignment="1">
      <alignment horizontal="left" vertical="center"/>
    </xf>
    <xf numFmtId="0" fontId="18" fillId="5" borderId="45" xfId="7" applyFont="1" applyFill="1" applyBorder="1" applyAlignment="1">
      <alignment horizontal="center" vertical="center"/>
    </xf>
    <xf numFmtId="0" fontId="50" fillId="2" borderId="59" xfId="7" applyFont="1" applyFill="1" applyBorder="1" applyAlignment="1">
      <alignment horizontal="left" vertical="center" wrapText="1"/>
    </xf>
    <xf numFmtId="0" fontId="50" fillId="2" borderId="50" xfId="7" applyFont="1" applyFill="1" applyBorder="1" applyAlignment="1">
      <alignment horizontal="left" vertical="center" wrapText="1"/>
    </xf>
    <xf numFmtId="0" fontId="18" fillId="0" borderId="45" xfId="7" applyFont="1" applyBorder="1" applyAlignment="1">
      <alignment horizontal="center" vertical="center" wrapText="1"/>
    </xf>
    <xf numFmtId="0" fontId="18" fillId="0" borderId="46" xfId="7" applyFont="1" applyBorder="1" applyAlignment="1">
      <alignment horizontal="center" vertical="center" wrapText="1"/>
    </xf>
    <xf numFmtId="0" fontId="29" fillId="5" borderId="0" xfId="7" applyFont="1" applyFill="1" applyAlignment="1">
      <alignment horizontal="center" vertical="center" shrinkToFit="1"/>
    </xf>
    <xf numFmtId="0" fontId="18" fillId="0" borderId="5" xfId="7" applyFont="1" applyBorder="1" applyAlignment="1">
      <alignment horizontal="right" vertical="center"/>
    </xf>
    <xf numFmtId="0" fontId="29" fillId="5" borderId="5" xfId="7" applyFont="1" applyFill="1" applyBorder="1" applyAlignment="1">
      <alignment horizontal="left" vertical="center"/>
    </xf>
    <xf numFmtId="55" fontId="29" fillId="5" borderId="5" xfId="7" applyNumberFormat="1" applyFont="1" applyFill="1" applyBorder="1" applyAlignment="1">
      <alignment horizontal="center" vertical="center"/>
    </xf>
    <xf numFmtId="0" fontId="29" fillId="5" borderId="5" xfId="7" applyFont="1" applyFill="1" applyBorder="1" applyAlignment="1">
      <alignment horizontal="center" vertical="center"/>
    </xf>
    <xf numFmtId="0" fontId="18" fillId="10" borderId="2" xfId="7" applyFont="1" applyFill="1" applyBorder="1" applyAlignment="1">
      <alignment horizontal="center" vertical="center" wrapText="1"/>
    </xf>
    <xf numFmtId="0" fontId="27" fillId="2" borderId="0" xfId="7" applyFont="1" applyFill="1" applyAlignment="1">
      <alignment horizontal="left" vertical="center"/>
    </xf>
    <xf numFmtId="0" fontId="27" fillId="2" borderId="0" xfId="7" applyFont="1" applyFill="1" applyAlignment="1">
      <alignment horizontal="left" vertical="center" wrapText="1"/>
    </xf>
    <xf numFmtId="0" fontId="18" fillId="0" borderId="2" xfId="7" applyFont="1" applyBorder="1" applyAlignment="1">
      <alignment horizontal="center" vertical="center" wrapText="1"/>
    </xf>
    <xf numFmtId="0" fontId="18" fillId="2" borderId="37" xfId="7" applyFont="1" applyFill="1" applyBorder="1" applyAlignment="1">
      <alignment horizontal="center" vertical="center" wrapText="1"/>
    </xf>
    <xf numFmtId="0" fontId="18" fillId="2" borderId="41" xfId="7" applyFont="1" applyFill="1" applyBorder="1" applyAlignment="1">
      <alignment horizontal="center" vertical="center" wrapText="1"/>
    </xf>
    <xf numFmtId="0" fontId="31" fillId="2" borderId="0" xfId="7" applyFont="1" applyFill="1" applyAlignment="1">
      <alignment horizontal="left" vertical="center"/>
    </xf>
    <xf numFmtId="0" fontId="18" fillId="10" borderId="36" xfId="7" applyFont="1" applyFill="1" applyBorder="1" applyAlignment="1">
      <alignment horizontal="center" vertical="center"/>
    </xf>
    <xf numFmtId="0" fontId="18" fillId="10" borderId="1" xfId="7" applyFont="1" applyFill="1" applyBorder="1" applyAlignment="1">
      <alignment horizontal="center" vertical="center"/>
    </xf>
    <xf numFmtId="0" fontId="18" fillId="10" borderId="88" xfId="7" applyFont="1" applyFill="1" applyBorder="1" applyAlignment="1">
      <alignment horizontal="center" vertical="center"/>
    </xf>
    <xf numFmtId="0" fontId="18" fillId="10" borderId="15" xfId="7" applyFont="1" applyFill="1" applyBorder="1" applyAlignment="1">
      <alignment horizontal="center" vertical="center"/>
    </xf>
    <xf numFmtId="0" fontId="18" fillId="10" borderId="8" xfId="7" applyFont="1" applyFill="1" applyBorder="1" applyAlignment="1">
      <alignment horizontal="center" vertical="center"/>
    </xf>
    <xf numFmtId="0" fontId="18" fillId="0" borderId="2" xfId="7" applyFont="1" applyBorder="1" applyAlignment="1">
      <alignment horizontal="center" vertical="center"/>
    </xf>
    <xf numFmtId="0" fontId="29" fillId="6" borderId="5" xfId="7" applyFont="1" applyFill="1" applyBorder="1" applyAlignment="1">
      <alignment horizontal="left" vertical="center" shrinkToFit="1"/>
    </xf>
    <xf numFmtId="0" fontId="18" fillId="5" borderId="5" xfId="7" applyFont="1" applyFill="1" applyBorder="1" applyAlignment="1">
      <alignment horizontal="center" vertical="center" shrinkToFit="1"/>
    </xf>
    <xf numFmtId="0" fontId="18" fillId="2" borderId="5" xfId="7" applyFont="1" applyFill="1" applyBorder="1" applyAlignment="1">
      <alignment horizontal="right" vertical="center"/>
    </xf>
    <xf numFmtId="0" fontId="31" fillId="2" borderId="0" xfId="7" applyFont="1" applyFill="1" applyAlignment="1">
      <alignment horizontal="left" vertical="center" shrinkToFit="1"/>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6" xfId="0" applyFont="1" applyFill="1" applyBorder="1" applyAlignment="1">
      <alignment horizontal="right" vertical="center"/>
    </xf>
    <xf numFmtId="0" fontId="5" fillId="2" borderId="7" xfId="0" applyFont="1" applyFill="1" applyBorder="1" applyAlignment="1">
      <alignment horizontal="right" vertical="center"/>
    </xf>
    <xf numFmtId="0" fontId="5" fillId="16" borderId="7" xfId="0" applyFont="1" applyFill="1" applyBorder="1" applyAlignment="1">
      <alignment horizontal="center" vertical="center"/>
    </xf>
    <xf numFmtId="0" fontId="5" fillId="2" borderId="89" xfId="0" applyFont="1" applyFill="1" applyBorder="1" applyAlignment="1">
      <alignment vertical="top" wrapText="1"/>
    </xf>
    <xf numFmtId="0" fontId="5" fillId="2" borderId="4" xfId="0" applyFont="1" applyFill="1" applyBorder="1" applyAlignment="1">
      <alignment vertical="top" wrapText="1"/>
    </xf>
    <xf numFmtId="0" fontId="5" fillId="2" borderId="1" xfId="0" applyFont="1" applyFill="1" applyBorder="1" applyAlignment="1">
      <alignment vertical="top" wrapText="1"/>
    </xf>
    <xf numFmtId="0" fontId="5" fillId="2" borderId="90" xfId="0" applyFont="1" applyFill="1" applyBorder="1" applyAlignment="1">
      <alignment vertical="top" wrapText="1"/>
    </xf>
    <xf numFmtId="0" fontId="5" fillId="2" borderId="0" xfId="0" applyFont="1" applyFill="1" applyAlignment="1">
      <alignment vertical="top" wrapText="1"/>
    </xf>
    <xf numFmtId="0" fontId="5" fillId="2" borderId="29" xfId="0" applyFont="1" applyFill="1" applyBorder="1" applyAlignment="1">
      <alignment vertical="top" wrapText="1"/>
    </xf>
    <xf numFmtId="0" fontId="5" fillId="2" borderId="91" xfId="0" applyFont="1" applyFill="1" applyBorder="1" applyAlignment="1">
      <alignment vertical="top" wrapText="1"/>
    </xf>
    <xf numFmtId="0" fontId="5" fillId="2" borderId="5" xfId="0" applyFont="1" applyFill="1" applyBorder="1" applyAlignment="1">
      <alignment vertical="top" wrapText="1"/>
    </xf>
    <xf numFmtId="0" fontId="5" fillId="2" borderId="15" xfId="0" applyFont="1" applyFill="1" applyBorder="1" applyAlignment="1">
      <alignment vertical="top" wrapText="1"/>
    </xf>
    <xf numFmtId="0" fontId="5" fillId="2" borderId="1" xfId="0" applyFont="1" applyFill="1" applyBorder="1" applyAlignment="1">
      <alignment vertical="center"/>
    </xf>
    <xf numFmtId="0" fontId="5" fillId="2" borderId="29" xfId="0" applyFont="1" applyFill="1" applyBorder="1" applyAlignment="1">
      <alignment vertical="center"/>
    </xf>
    <xf numFmtId="0" fontId="5" fillId="2" borderId="15" xfId="0" applyFont="1" applyFill="1" applyBorder="1" applyAlignment="1">
      <alignment vertical="center"/>
    </xf>
    <xf numFmtId="180" fontId="5" fillId="6" borderId="3" xfId="0" applyNumberFormat="1" applyFont="1" applyFill="1" applyBorder="1" applyAlignment="1">
      <alignment horizontal="right" vertical="center"/>
    </xf>
    <xf numFmtId="180" fontId="5" fillId="6" borderId="4" xfId="0" applyNumberFormat="1" applyFont="1" applyFill="1" applyBorder="1" applyAlignment="1">
      <alignment horizontal="right" vertical="center"/>
    </xf>
    <xf numFmtId="180" fontId="5" fillId="6" borderId="17" xfId="0" applyNumberFormat="1" applyFont="1" applyFill="1" applyBorder="1" applyAlignment="1">
      <alignment horizontal="right" vertical="center"/>
    </xf>
    <xf numFmtId="180" fontId="5" fillId="6" borderId="0" xfId="0" applyNumberFormat="1" applyFont="1" applyFill="1" applyAlignment="1">
      <alignment horizontal="right" vertical="center"/>
    </xf>
    <xf numFmtId="180" fontId="5" fillId="6" borderId="16" xfId="0" applyNumberFormat="1" applyFont="1" applyFill="1" applyBorder="1" applyAlignment="1">
      <alignment horizontal="right" vertical="center"/>
    </xf>
    <xf numFmtId="180" fontId="5" fillId="6" borderId="5" xfId="0" applyNumberFormat="1" applyFont="1" applyFill="1" applyBorder="1" applyAlignment="1">
      <alignment horizontal="right" vertical="center"/>
    </xf>
    <xf numFmtId="0" fontId="47" fillId="5" borderId="0" xfId="0" applyFont="1" applyFill="1" applyAlignment="1">
      <alignment horizontal="center" vertical="center"/>
    </xf>
    <xf numFmtId="0" fontId="5" fillId="2" borderId="92" xfId="0" applyFont="1" applyFill="1" applyBorder="1" applyAlignment="1">
      <alignment horizontal="center" vertical="center"/>
    </xf>
    <xf numFmtId="0" fontId="5" fillId="2" borderId="3" xfId="0" applyFont="1" applyFill="1" applyBorder="1" applyAlignment="1">
      <alignment vertical="top" wrapText="1"/>
    </xf>
    <xf numFmtId="0" fontId="5" fillId="2" borderId="17" xfId="0" applyFont="1" applyFill="1" applyBorder="1" applyAlignment="1">
      <alignment vertical="top" wrapText="1"/>
    </xf>
    <xf numFmtId="0" fontId="5" fillId="2" borderId="16" xfId="0" applyFont="1" applyFill="1" applyBorder="1" applyAlignment="1">
      <alignment vertical="top" wrapText="1"/>
    </xf>
    <xf numFmtId="0" fontId="5" fillId="16" borderId="6" xfId="0" applyFont="1" applyFill="1" applyBorder="1" applyAlignment="1">
      <alignment horizontal="center" vertical="center"/>
    </xf>
    <xf numFmtId="0" fontId="5" fillId="2" borderId="25" xfId="0" applyFont="1" applyFill="1" applyBorder="1" applyAlignment="1">
      <alignment vertical="center"/>
    </xf>
    <xf numFmtId="0" fontId="5" fillId="2" borderId="27" xfId="0" applyFont="1" applyFill="1" applyBorder="1" applyAlignment="1">
      <alignment vertical="center"/>
    </xf>
    <xf numFmtId="0" fontId="5" fillId="16" borderId="3" xfId="0" applyFont="1" applyFill="1" applyBorder="1" applyAlignment="1">
      <alignment horizontal="center" vertical="center"/>
    </xf>
    <xf numFmtId="0" fontId="5" fillId="16" borderId="4" xfId="0" applyFont="1" applyFill="1" applyBorder="1" applyAlignment="1">
      <alignment horizontal="center" vertical="center"/>
    </xf>
    <xf numFmtId="0" fontId="5" fillId="16" borderId="16" xfId="0" applyFont="1" applyFill="1" applyBorder="1" applyAlignment="1">
      <alignment horizontal="center" vertical="center"/>
    </xf>
    <xf numFmtId="0" fontId="5" fillId="16" borderId="5" xfId="0" applyFont="1" applyFill="1" applyBorder="1" applyAlignment="1">
      <alignment horizontal="center" vertical="center"/>
    </xf>
    <xf numFmtId="0" fontId="5" fillId="2" borderId="91"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 xfId="0" applyFont="1" applyFill="1" applyBorder="1" applyAlignment="1">
      <alignment vertical="center"/>
    </xf>
    <xf numFmtId="0" fontId="5" fillId="2" borderId="5" xfId="0" applyFont="1" applyFill="1" applyBorder="1" applyAlignment="1">
      <alignment vertical="center"/>
    </xf>
    <xf numFmtId="0" fontId="14" fillId="2" borderId="3" xfId="0" applyFont="1" applyFill="1" applyBorder="1" applyAlignment="1">
      <alignment vertical="top" wrapText="1"/>
    </xf>
    <xf numFmtId="0" fontId="14" fillId="2" borderId="4" xfId="0" applyFont="1" applyFill="1" applyBorder="1" applyAlignment="1">
      <alignment vertical="top" wrapText="1"/>
    </xf>
    <xf numFmtId="0" fontId="14" fillId="2" borderId="1" xfId="0" applyFont="1" applyFill="1" applyBorder="1" applyAlignment="1">
      <alignment vertical="top" wrapText="1"/>
    </xf>
    <xf numFmtId="0" fontId="14" fillId="2" borderId="17" xfId="0" applyFont="1" applyFill="1" applyBorder="1" applyAlignment="1">
      <alignment vertical="top" wrapText="1"/>
    </xf>
    <xf numFmtId="0" fontId="14" fillId="2" borderId="0" xfId="0" applyFont="1" applyFill="1" applyAlignment="1">
      <alignment vertical="top" wrapText="1"/>
    </xf>
    <xf numFmtId="0" fontId="14" fillId="2" borderId="29" xfId="0" applyFont="1" applyFill="1" applyBorder="1" applyAlignment="1">
      <alignment vertical="top" wrapText="1"/>
    </xf>
    <xf numFmtId="0" fontId="14" fillId="2" borderId="16" xfId="0" applyFont="1" applyFill="1" applyBorder="1" applyAlignment="1">
      <alignment vertical="top" wrapText="1"/>
    </xf>
    <xf numFmtId="0" fontId="14" fillId="2" borderId="5" xfId="0" applyFont="1" applyFill="1" applyBorder="1" applyAlignment="1">
      <alignment vertical="top" wrapText="1"/>
    </xf>
    <xf numFmtId="0" fontId="14" fillId="2" borderId="15" xfId="0" applyFont="1" applyFill="1" applyBorder="1" applyAlignment="1">
      <alignment vertical="top" wrapText="1"/>
    </xf>
    <xf numFmtId="180" fontId="5" fillId="16" borderId="3" xfId="0" applyNumberFormat="1" applyFont="1" applyFill="1" applyBorder="1" applyAlignment="1">
      <alignment horizontal="right" vertical="center"/>
    </xf>
    <xf numFmtId="180" fontId="5" fillId="16" borderId="17" xfId="0" applyNumberFormat="1" applyFont="1" applyFill="1" applyBorder="1" applyAlignment="1">
      <alignment horizontal="right" vertical="center"/>
    </xf>
    <xf numFmtId="180" fontId="5" fillId="16" borderId="16" xfId="0" applyNumberFormat="1" applyFont="1" applyFill="1" applyBorder="1" applyAlignment="1">
      <alignment horizontal="right" vertical="center"/>
    </xf>
    <xf numFmtId="0" fontId="5" fillId="2" borderId="16" xfId="0" applyFont="1" applyFill="1" applyBorder="1" applyAlignment="1">
      <alignment horizontal="center" vertical="center"/>
    </xf>
    <xf numFmtId="0" fontId="5" fillId="2" borderId="5" xfId="0" applyFont="1" applyFill="1" applyBorder="1" applyAlignment="1">
      <alignment horizontal="center" vertical="center"/>
    </xf>
    <xf numFmtId="0" fontId="14" fillId="2" borderId="3" xfId="0" applyFont="1" applyFill="1" applyBorder="1" applyAlignment="1">
      <alignment vertical="top" shrinkToFit="1"/>
    </xf>
    <xf numFmtId="0" fontId="14" fillId="2" borderId="4" xfId="0" applyFont="1" applyFill="1" applyBorder="1" applyAlignment="1">
      <alignment vertical="top" shrinkToFit="1"/>
    </xf>
    <xf numFmtId="0" fontId="14" fillId="2" borderId="17" xfId="0" applyFont="1" applyFill="1" applyBorder="1" applyAlignment="1">
      <alignment vertical="top" shrinkToFit="1"/>
    </xf>
    <xf numFmtId="0" fontId="14" fillId="2" borderId="0" xfId="0" applyFont="1" applyFill="1" applyAlignment="1">
      <alignment vertical="top" shrinkToFit="1"/>
    </xf>
    <xf numFmtId="0" fontId="14" fillId="16" borderId="0" xfId="0" applyFont="1" applyFill="1" applyAlignment="1">
      <alignment vertical="top" shrinkToFit="1"/>
    </xf>
    <xf numFmtId="0" fontId="14" fillId="16" borderId="29" xfId="0" applyFont="1" applyFill="1" applyBorder="1" applyAlignment="1">
      <alignment vertical="top" shrinkToFit="1"/>
    </xf>
    <xf numFmtId="0" fontId="14" fillId="16" borderId="4" xfId="0" applyFont="1" applyFill="1" applyBorder="1" applyAlignment="1">
      <alignment vertical="top" shrinkToFit="1"/>
    </xf>
    <xf numFmtId="0" fontId="14" fillId="16" borderId="1" xfId="0" applyFont="1" applyFill="1" applyBorder="1" applyAlignment="1">
      <alignment vertical="top" shrinkToFit="1"/>
    </xf>
    <xf numFmtId="0" fontId="5" fillId="2" borderId="4" xfId="0" applyFont="1" applyFill="1" applyBorder="1" applyAlignment="1">
      <alignment vertical="center" wrapText="1"/>
    </xf>
    <xf numFmtId="0" fontId="5" fillId="2" borderId="1" xfId="0" applyFont="1" applyFill="1" applyBorder="1" applyAlignment="1">
      <alignment vertical="center" wrapText="1"/>
    </xf>
    <xf numFmtId="0" fontId="5" fillId="2" borderId="0" xfId="0" applyFont="1" applyFill="1" applyAlignment="1">
      <alignment vertical="center" wrapText="1"/>
    </xf>
    <xf numFmtId="0" fontId="5" fillId="2" borderId="29" xfId="0" applyFont="1" applyFill="1" applyBorder="1" applyAlignment="1">
      <alignment vertical="center" wrapText="1"/>
    </xf>
    <xf numFmtId="0" fontId="14" fillId="2" borderId="3"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29" xfId="0" applyFont="1" applyFill="1" applyBorder="1" applyAlignment="1">
      <alignment horizontal="left" vertical="top" wrapText="1"/>
    </xf>
    <xf numFmtId="0" fontId="14" fillId="2" borderId="16" xfId="0" applyFont="1" applyFill="1" applyBorder="1" applyAlignment="1">
      <alignment horizontal="left" vertical="top" wrapText="1"/>
    </xf>
    <xf numFmtId="0" fontId="14" fillId="2" borderId="5" xfId="0" applyFont="1" applyFill="1" applyBorder="1" applyAlignment="1">
      <alignment horizontal="left" vertical="top" wrapText="1"/>
    </xf>
    <xf numFmtId="0" fontId="14" fillId="2" borderId="15" xfId="0" applyFont="1" applyFill="1" applyBorder="1" applyAlignment="1">
      <alignment horizontal="left" vertical="top" wrapText="1"/>
    </xf>
    <xf numFmtId="180" fontId="5" fillId="16" borderId="4" xfId="0" applyNumberFormat="1" applyFont="1" applyFill="1" applyBorder="1" applyAlignment="1">
      <alignment horizontal="right" vertical="center"/>
    </xf>
    <xf numFmtId="180" fontId="5" fillId="16" borderId="0" xfId="0" applyNumberFormat="1" applyFont="1" applyFill="1" applyAlignment="1">
      <alignment horizontal="right" vertical="center"/>
    </xf>
    <xf numFmtId="0" fontId="5" fillId="2" borderId="94" xfId="0" applyFont="1" applyFill="1" applyBorder="1" applyAlignment="1">
      <alignment vertical="center" wrapText="1"/>
    </xf>
    <xf numFmtId="0" fontId="5" fillId="2" borderId="57" xfId="0" applyFont="1" applyFill="1" applyBorder="1" applyAlignment="1">
      <alignment vertical="center" wrapText="1"/>
    </xf>
    <xf numFmtId="0" fontId="5" fillId="2" borderId="95" xfId="0" applyFont="1" applyFill="1" applyBorder="1" applyAlignment="1">
      <alignment vertical="center" wrapText="1"/>
    </xf>
    <xf numFmtId="0" fontId="5" fillId="2" borderId="96" xfId="0" applyFont="1" applyFill="1" applyBorder="1" applyAlignment="1">
      <alignment vertical="center" wrapText="1"/>
    </xf>
    <xf numFmtId="0" fontId="5" fillId="2" borderId="97" xfId="0" applyFont="1" applyFill="1" applyBorder="1" applyAlignment="1">
      <alignment vertical="center" wrapText="1"/>
    </xf>
    <xf numFmtId="0" fontId="5" fillId="2" borderId="98" xfId="0" applyFont="1" applyFill="1" applyBorder="1" applyAlignment="1">
      <alignment vertical="center" wrapText="1"/>
    </xf>
    <xf numFmtId="0" fontId="5" fillId="2" borderId="32" xfId="0" applyFont="1" applyFill="1" applyBorder="1" applyAlignment="1">
      <alignment vertical="center" wrapText="1"/>
    </xf>
    <xf numFmtId="0" fontId="5" fillId="2" borderId="99" xfId="0" applyFont="1" applyFill="1" applyBorder="1" applyAlignment="1">
      <alignment vertical="center" wrapText="1"/>
    </xf>
    <xf numFmtId="0" fontId="14" fillId="2" borderId="27" xfId="0" applyFont="1" applyFill="1" applyBorder="1" applyAlignment="1">
      <alignment vertical="top" wrapText="1"/>
    </xf>
    <xf numFmtId="0" fontId="14" fillId="2" borderId="8" xfId="0" applyFont="1" applyFill="1" applyBorder="1" applyAlignment="1">
      <alignment vertical="top" wrapText="1"/>
    </xf>
    <xf numFmtId="0" fontId="14" fillId="2" borderId="2" xfId="0" applyFont="1" applyFill="1" applyBorder="1" applyAlignment="1">
      <alignment vertical="top" wrapText="1"/>
    </xf>
    <xf numFmtId="0" fontId="5" fillId="2" borderId="0" xfId="0" applyFont="1" applyFill="1" applyAlignment="1">
      <alignment vertical="center"/>
    </xf>
    <xf numFmtId="0" fontId="47" fillId="2" borderId="2" xfId="0" applyFont="1" applyFill="1" applyBorder="1" applyAlignment="1">
      <alignment horizontal="center" vertical="center"/>
    </xf>
    <xf numFmtId="180" fontId="47" fillId="5" borderId="0" xfId="0" applyNumberFormat="1" applyFont="1" applyFill="1" applyAlignment="1">
      <alignment horizontal="center" vertical="center"/>
    </xf>
    <xf numFmtId="0" fontId="47" fillId="2" borderId="27" xfId="0" applyFont="1" applyFill="1" applyBorder="1" applyAlignment="1">
      <alignment horizontal="center" vertical="center" wrapText="1"/>
    </xf>
    <xf numFmtId="0" fontId="47" fillId="2" borderId="27" xfId="0" applyFont="1" applyFill="1" applyBorder="1" applyAlignment="1">
      <alignment horizontal="center" vertical="center"/>
    </xf>
    <xf numFmtId="0" fontId="47" fillId="2" borderId="3" xfId="0" applyFont="1" applyFill="1" applyBorder="1" applyAlignment="1">
      <alignment vertical="center"/>
    </xf>
    <xf numFmtId="0" fontId="47" fillId="2" borderId="1" xfId="0" applyFont="1" applyFill="1" applyBorder="1" applyAlignment="1">
      <alignment vertical="center"/>
    </xf>
    <xf numFmtId="0" fontId="47" fillId="2" borderId="16" xfId="0" applyFont="1" applyFill="1" applyBorder="1" applyAlignment="1">
      <alignment vertical="center"/>
    </xf>
    <xf numFmtId="0" fontId="47" fillId="2" borderId="15" xfId="0" applyFont="1" applyFill="1" applyBorder="1" applyAlignment="1">
      <alignment vertical="center"/>
    </xf>
    <xf numFmtId="0" fontId="47" fillId="2" borderId="0" xfId="0" applyFont="1" applyFill="1" applyAlignment="1">
      <alignment vertical="center"/>
    </xf>
    <xf numFmtId="0" fontId="14" fillId="2" borderId="16" xfId="0" applyFont="1" applyFill="1" applyBorder="1" applyAlignment="1">
      <alignment vertical="top" shrinkToFit="1"/>
    </xf>
    <xf numFmtId="0" fontId="14" fillId="2" borderId="5" xfId="0" applyFont="1" applyFill="1" applyBorder="1" applyAlignment="1">
      <alignment vertical="top" shrinkToFit="1"/>
    </xf>
    <xf numFmtId="0" fontId="14" fillId="16" borderId="5" xfId="0" applyFont="1" applyFill="1" applyBorder="1" applyAlignment="1">
      <alignment vertical="top" shrinkToFit="1"/>
    </xf>
    <xf numFmtId="0" fontId="14" fillId="16" borderId="15" xfId="0" applyFont="1" applyFill="1" applyBorder="1" applyAlignment="1">
      <alignment vertical="top" shrinkToFit="1"/>
    </xf>
    <xf numFmtId="0" fontId="47" fillId="2" borderId="4" xfId="0" applyFont="1" applyFill="1" applyBorder="1" applyAlignment="1">
      <alignment vertical="center"/>
    </xf>
    <xf numFmtId="0" fontId="47" fillId="2" borderId="5" xfId="0" applyFont="1" applyFill="1" applyBorder="1" applyAlignment="1">
      <alignment vertical="center"/>
    </xf>
    <xf numFmtId="0" fontId="47" fillId="2" borderId="25" xfId="0" applyFont="1" applyFill="1" applyBorder="1" applyAlignment="1">
      <alignment horizontal="center" vertical="center"/>
    </xf>
    <xf numFmtId="0" fontId="47" fillId="2" borderId="2" xfId="0" applyFont="1" applyFill="1" applyBorder="1" applyAlignment="1">
      <alignment horizontal="center" vertical="center" wrapText="1"/>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47" fillId="2" borderId="29" xfId="0" applyFont="1" applyFill="1" applyBorder="1" applyAlignment="1">
      <alignment horizontal="center" vertical="center"/>
    </xf>
    <xf numFmtId="0" fontId="47" fillId="2" borderId="3" xfId="0" applyFont="1" applyFill="1" applyBorder="1" applyAlignment="1">
      <alignment horizontal="center" vertical="center" wrapText="1"/>
    </xf>
    <xf numFmtId="0" fontId="47" fillId="2" borderId="93" xfId="0" applyFont="1" applyFill="1" applyBorder="1" applyAlignment="1">
      <alignment vertical="center"/>
    </xf>
    <xf numFmtId="0" fontId="46" fillId="2" borderId="5" xfId="0" applyFont="1" applyFill="1" applyBorder="1" applyAlignment="1">
      <alignment vertical="center"/>
    </xf>
    <xf numFmtId="0" fontId="47" fillId="5" borderId="5" xfId="0" applyFont="1" applyFill="1" applyBorder="1" applyAlignment="1">
      <alignment vertical="center"/>
    </xf>
    <xf numFmtId="0" fontId="47" fillId="2" borderId="16" xfId="0" applyFont="1" applyFill="1" applyBorder="1" applyAlignment="1">
      <alignment horizontal="center" vertical="center"/>
    </xf>
    <xf numFmtId="0" fontId="47" fillId="2" borderId="15" xfId="0" applyFont="1" applyFill="1" applyBorder="1" applyAlignment="1">
      <alignment horizontal="center" vertical="center"/>
    </xf>
    <xf numFmtId="0" fontId="58" fillId="2" borderId="17" xfId="0" applyFont="1" applyFill="1" applyBorder="1" applyAlignment="1">
      <alignment vertical="top" wrapText="1"/>
    </xf>
    <xf numFmtId="0" fontId="58" fillId="2" borderId="0" xfId="0" applyFont="1" applyFill="1" applyAlignment="1">
      <alignment vertical="top" wrapText="1"/>
    </xf>
    <xf numFmtId="0" fontId="58" fillId="2" borderId="29" xfId="0" applyFont="1" applyFill="1" applyBorder="1" applyAlignment="1">
      <alignment vertical="top" wrapText="1"/>
    </xf>
    <xf numFmtId="0" fontId="58" fillId="2" borderId="16" xfId="0" applyFont="1" applyFill="1" applyBorder="1" applyAlignment="1">
      <alignment vertical="top" wrapText="1"/>
    </xf>
    <xf numFmtId="0" fontId="58" fillId="2" borderId="5" xfId="0" applyFont="1" applyFill="1" applyBorder="1" applyAlignment="1">
      <alignment vertical="top" wrapText="1"/>
    </xf>
    <xf numFmtId="0" fontId="58" fillId="2" borderId="15" xfId="0" applyFont="1" applyFill="1" applyBorder="1" applyAlignment="1">
      <alignment vertical="top" wrapText="1"/>
    </xf>
    <xf numFmtId="180" fontId="5" fillId="16" borderId="5" xfId="0" applyNumberFormat="1" applyFont="1" applyFill="1" applyBorder="1" applyAlignment="1">
      <alignment horizontal="right" vertical="center"/>
    </xf>
    <xf numFmtId="0" fontId="53" fillId="7" borderId="0" xfId="0" applyFont="1" applyFill="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0" xfId="0" applyFont="1" applyFill="1" applyAlignment="1">
      <alignment horizontal="center" vertical="center"/>
    </xf>
    <xf numFmtId="0" fontId="5" fillId="2" borderId="29" xfId="0" applyFont="1" applyFill="1" applyBorder="1" applyAlignment="1">
      <alignment horizontal="center" vertical="center"/>
    </xf>
    <xf numFmtId="0" fontId="5" fillId="2" borderId="3"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3" fillId="2" borderId="0" xfId="0" applyFont="1" applyFill="1" applyAlignment="1">
      <alignment vertical="center" shrinkToFit="1"/>
    </xf>
    <xf numFmtId="180" fontId="5" fillId="2" borderId="17" xfId="0" applyNumberFormat="1" applyFont="1" applyFill="1" applyBorder="1" applyAlignment="1">
      <alignment horizontal="center" vertical="center"/>
    </xf>
    <xf numFmtId="180" fontId="5" fillId="2" borderId="0" xfId="0" applyNumberFormat="1" applyFont="1" applyFill="1" applyAlignment="1">
      <alignment horizontal="center" vertical="center"/>
    </xf>
    <xf numFmtId="0" fontId="5" fillId="2" borderId="2" xfId="0" applyFont="1" applyFill="1" applyBorder="1" applyAlignment="1">
      <alignment horizontal="center" vertical="center"/>
    </xf>
    <xf numFmtId="0" fontId="5" fillId="3" borderId="7"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22" fillId="2" borderId="0" xfId="0" applyFont="1" applyFill="1" applyAlignment="1">
      <alignment horizontal="center" vertical="center"/>
    </xf>
    <xf numFmtId="0" fontId="56" fillId="2" borderId="3" xfId="0" applyFont="1" applyFill="1" applyBorder="1" applyAlignment="1">
      <alignment horizontal="center" vertical="center" shrinkToFit="1"/>
    </xf>
    <xf numFmtId="0" fontId="56" fillId="2" borderId="1" xfId="0" applyFont="1" applyFill="1" applyBorder="1" applyAlignment="1">
      <alignment horizontal="center" vertical="center" shrinkToFit="1"/>
    </xf>
    <xf numFmtId="0" fontId="56" fillId="2" borderId="16" xfId="0" applyFont="1" applyFill="1" applyBorder="1" applyAlignment="1">
      <alignment horizontal="center" vertical="center" shrinkToFit="1"/>
    </xf>
    <xf numFmtId="0" fontId="56" fillId="2" borderId="15" xfId="0" applyFont="1" applyFill="1" applyBorder="1" applyAlignment="1">
      <alignment horizontal="center" vertical="center" shrinkToFit="1"/>
    </xf>
    <xf numFmtId="0" fontId="57" fillId="16" borderId="3" xfId="0" applyFont="1" applyFill="1" applyBorder="1" applyAlignment="1">
      <alignment horizontal="left" vertical="center" wrapText="1"/>
    </xf>
    <xf numFmtId="0" fontId="57" fillId="16" borderId="4" xfId="0" applyFont="1" applyFill="1" applyBorder="1" applyAlignment="1">
      <alignment horizontal="left" vertical="center" wrapText="1"/>
    </xf>
    <xf numFmtId="0" fontId="57" fillId="16" borderId="1" xfId="0" applyFont="1" applyFill="1" applyBorder="1" applyAlignment="1">
      <alignment horizontal="left" vertical="center" wrapText="1"/>
    </xf>
    <xf numFmtId="0" fontId="57" fillId="16" borderId="16" xfId="0" applyFont="1" applyFill="1" applyBorder="1" applyAlignment="1">
      <alignment horizontal="left" vertical="center" wrapText="1"/>
    </xf>
    <xf numFmtId="0" fontId="57" fillId="16" borderId="5"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56" fillId="2" borderId="3" xfId="0" applyFont="1" applyFill="1" applyBorder="1" applyAlignment="1">
      <alignment vertical="center" shrinkToFit="1"/>
    </xf>
    <xf numFmtId="0" fontId="56" fillId="2" borderId="1" xfId="0" applyFont="1" applyFill="1" applyBorder="1" applyAlignment="1">
      <alignment vertical="center" shrinkToFit="1"/>
    </xf>
    <xf numFmtId="0" fontId="56" fillId="2" borderId="16" xfId="0" applyFont="1" applyFill="1" applyBorder="1" applyAlignment="1">
      <alignment vertical="center" shrinkToFit="1"/>
    </xf>
    <xf numFmtId="0" fontId="56" fillId="2" borderId="15" xfId="0" applyFont="1" applyFill="1" applyBorder="1" applyAlignment="1">
      <alignment vertical="center" shrinkToFit="1"/>
    </xf>
    <xf numFmtId="0" fontId="56" fillId="16" borderId="3" xfId="0" applyFont="1" applyFill="1" applyBorder="1" applyAlignment="1">
      <alignment horizontal="left" vertical="center" shrinkToFit="1"/>
    </xf>
    <xf numFmtId="0" fontId="56" fillId="16" borderId="4" xfId="0" applyFont="1" applyFill="1" applyBorder="1" applyAlignment="1">
      <alignment horizontal="left" vertical="center" shrinkToFit="1"/>
    </xf>
    <xf numFmtId="0" fontId="56" fillId="16" borderId="1" xfId="0" applyFont="1" applyFill="1" applyBorder="1" applyAlignment="1">
      <alignment horizontal="left" vertical="center" shrinkToFit="1"/>
    </xf>
    <xf numFmtId="0" fontId="56" fillId="16" borderId="16" xfId="0" applyFont="1" applyFill="1" applyBorder="1" applyAlignment="1">
      <alignment horizontal="left" vertical="center" shrinkToFit="1"/>
    </xf>
    <xf numFmtId="0" fontId="56" fillId="16" borderId="5" xfId="0" applyFont="1" applyFill="1" applyBorder="1" applyAlignment="1">
      <alignment horizontal="left" vertical="center" shrinkToFit="1"/>
    </xf>
    <xf numFmtId="0" fontId="56" fillId="16" borderId="15" xfId="0" applyFont="1" applyFill="1" applyBorder="1" applyAlignment="1">
      <alignment horizontal="left" vertical="center" shrinkToFit="1"/>
    </xf>
    <xf numFmtId="0" fontId="57" fillId="6" borderId="3"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6" xfId="0" applyFont="1" applyFill="1" applyBorder="1" applyAlignment="1">
      <alignment horizontal="left" vertical="center" wrapText="1"/>
    </xf>
    <xf numFmtId="0" fontId="57" fillId="6" borderId="5" xfId="0" applyFont="1" applyFill="1" applyBorder="1" applyAlignment="1">
      <alignment horizontal="left" vertical="center" wrapText="1"/>
    </xf>
    <xf numFmtId="0" fontId="57" fillId="6" borderId="15" xfId="0" applyFont="1" applyFill="1" applyBorder="1" applyAlignment="1">
      <alignment horizontal="left" vertical="center" wrapText="1"/>
    </xf>
    <xf numFmtId="0" fontId="56" fillId="6" borderId="3" xfId="0" applyFont="1" applyFill="1" applyBorder="1" applyAlignment="1">
      <alignment horizontal="left" vertical="center" shrinkToFit="1"/>
    </xf>
    <xf numFmtId="0" fontId="56" fillId="6" borderId="4" xfId="0" applyFont="1" applyFill="1" applyBorder="1" applyAlignment="1">
      <alignment horizontal="left" vertical="center" shrinkToFit="1"/>
    </xf>
    <xf numFmtId="0" fontId="56" fillId="6" borderId="1" xfId="0" applyFont="1" applyFill="1" applyBorder="1" applyAlignment="1">
      <alignment horizontal="left" vertical="center" shrinkToFit="1"/>
    </xf>
    <xf numFmtId="0" fontId="56" fillId="6" borderId="16" xfId="0" applyFont="1" applyFill="1" applyBorder="1" applyAlignment="1">
      <alignment horizontal="left" vertical="center" shrinkToFit="1"/>
    </xf>
    <xf numFmtId="0" fontId="56" fillId="6" borderId="5" xfId="0" applyFont="1" applyFill="1" applyBorder="1" applyAlignment="1">
      <alignment horizontal="left" vertical="center" shrinkToFit="1"/>
    </xf>
    <xf numFmtId="0" fontId="56" fillId="6" borderId="15" xfId="0" applyFont="1" applyFill="1" applyBorder="1" applyAlignment="1">
      <alignment horizontal="left" vertical="center" shrinkToFit="1"/>
    </xf>
    <xf numFmtId="0" fontId="5" fillId="6" borderId="7" xfId="0" applyFont="1" applyFill="1" applyBorder="1" applyAlignment="1">
      <alignment horizontal="center" vertical="center" shrinkToFit="1"/>
    </xf>
    <xf numFmtId="177" fontId="16" fillId="14" borderId="69" xfId="20" applyNumberFormat="1" applyFont="1" applyFill="1" applyBorder="1" applyAlignment="1">
      <alignment horizontal="center" vertical="center" shrinkToFit="1"/>
    </xf>
    <xf numFmtId="177" fontId="16" fillId="14" borderId="100" xfId="20" applyNumberFormat="1" applyFont="1" applyFill="1" applyBorder="1" applyAlignment="1">
      <alignment horizontal="center" vertical="center" shrinkToFit="1"/>
    </xf>
    <xf numFmtId="0" fontId="4" fillId="9" borderId="29" xfId="0" applyFont="1" applyFill="1" applyBorder="1" applyAlignment="1">
      <alignment horizontal="left" vertical="center" shrinkToFit="1"/>
    </xf>
    <xf numFmtId="0" fontId="90" fillId="17" borderId="0" xfId="0" applyFont="1" applyFill="1" applyAlignment="1">
      <alignment vertical="center"/>
    </xf>
    <xf numFmtId="0" fontId="91" fillId="17" borderId="0" xfId="0" applyFont="1" applyFill="1" applyAlignment="1">
      <alignment vertical="center"/>
    </xf>
    <xf numFmtId="0" fontId="4" fillId="9" borderId="2" xfId="0" applyFont="1" applyFill="1" applyBorder="1" applyAlignment="1">
      <alignment horizontal="center" vertical="center"/>
    </xf>
    <xf numFmtId="0" fontId="4" fillId="9" borderId="6" xfId="0" applyFont="1" applyFill="1" applyBorder="1" applyAlignment="1">
      <alignment vertical="center"/>
    </xf>
    <xf numFmtId="0" fontId="4" fillId="9" borderId="7" xfId="0" applyFont="1" applyFill="1" applyBorder="1" applyAlignment="1">
      <alignment vertical="center"/>
    </xf>
    <xf numFmtId="0" fontId="4" fillId="9" borderId="8" xfId="0" applyFont="1" applyFill="1" applyBorder="1" applyAlignment="1">
      <alignment vertical="center"/>
    </xf>
    <xf numFmtId="0" fontId="4" fillId="9" borderId="6" xfId="0" applyFont="1" applyFill="1" applyBorder="1" applyAlignment="1">
      <alignment vertical="center" shrinkToFit="1"/>
    </xf>
    <xf numFmtId="0" fontId="4" fillId="9" borderId="7" xfId="0" applyFont="1" applyFill="1" applyBorder="1" applyAlignment="1">
      <alignment vertical="center" shrinkToFit="1"/>
    </xf>
    <xf numFmtId="0" fontId="4" fillId="9" borderId="8" xfId="0" applyFont="1" applyFill="1" applyBorder="1" applyAlignment="1">
      <alignment vertical="center" shrinkToFit="1"/>
    </xf>
    <xf numFmtId="0" fontId="4" fillId="9" borderId="4" xfId="0" applyFont="1" applyFill="1" applyBorder="1" applyAlignment="1">
      <alignment horizontal="left" vertical="center" shrinkToFit="1"/>
    </xf>
    <xf numFmtId="0" fontId="92" fillId="9" borderId="0" xfId="0" applyFont="1" applyFill="1" applyAlignment="1">
      <alignment vertical="center" wrapText="1"/>
    </xf>
    <xf numFmtId="0" fontId="90" fillId="17" borderId="0" xfId="0" applyFont="1" applyFill="1" applyAlignment="1">
      <alignment horizontal="left" vertical="center" shrinkToFit="1"/>
    </xf>
    <xf numFmtId="0" fontId="90" fillId="17" borderId="0" xfId="0" applyFont="1" applyFill="1" applyAlignment="1">
      <alignment horizontal="center" vertical="center" shrinkToFit="1"/>
    </xf>
    <xf numFmtId="0" fontId="92" fillId="9" borderId="0" xfId="0" applyFont="1" applyFill="1" applyAlignment="1">
      <alignment horizontal="center" vertical="center" shrinkToFit="1"/>
    </xf>
    <xf numFmtId="0" fontId="4" fillId="9" borderId="6" xfId="0" applyFont="1" applyFill="1" applyBorder="1" applyAlignment="1">
      <alignment vertical="center" wrapText="1"/>
    </xf>
    <xf numFmtId="0" fontId="4" fillId="9" borderId="7" xfId="0" applyFont="1" applyFill="1" applyBorder="1" applyAlignment="1">
      <alignment vertical="center" wrapText="1"/>
    </xf>
    <xf numFmtId="0" fontId="4" fillId="9" borderId="8" xfId="0" applyFont="1" applyFill="1" applyBorder="1" applyAlignment="1">
      <alignment vertical="center" wrapText="1"/>
    </xf>
    <xf numFmtId="0" fontId="4" fillId="9" borderId="2" xfId="0" applyFont="1" applyFill="1" applyBorder="1" applyAlignment="1">
      <alignment vertical="center"/>
    </xf>
    <xf numFmtId="0" fontId="4" fillId="9" borderId="16" xfId="0" applyFont="1" applyFill="1" applyBorder="1" applyAlignment="1">
      <alignment horizontal="left" vertical="center"/>
    </xf>
    <xf numFmtId="0" fontId="4" fillId="9" borderId="5" xfId="0" applyFont="1" applyFill="1" applyBorder="1" applyAlignment="1">
      <alignment horizontal="left" vertical="center"/>
    </xf>
    <xf numFmtId="0" fontId="4" fillId="9" borderId="15" xfId="0" applyFont="1" applyFill="1" applyBorder="1" applyAlignment="1">
      <alignment horizontal="left" vertical="center"/>
    </xf>
    <xf numFmtId="0" fontId="4" fillId="9" borderId="6" xfId="0" applyFont="1" applyFill="1" applyBorder="1" applyAlignment="1">
      <alignment horizontal="left" vertical="center"/>
    </xf>
    <xf numFmtId="0" fontId="4" fillId="9" borderId="7" xfId="0" applyFont="1" applyFill="1" applyBorder="1" applyAlignment="1">
      <alignment horizontal="left" vertical="center"/>
    </xf>
    <xf numFmtId="0" fontId="4" fillId="9" borderId="8" xfId="0" applyFont="1" applyFill="1" applyBorder="1" applyAlignment="1">
      <alignment horizontal="left" vertical="center"/>
    </xf>
    <xf numFmtId="0" fontId="4" fillId="9" borderId="16" xfId="0" applyFont="1" applyFill="1" applyBorder="1" applyAlignment="1">
      <alignment vertical="center"/>
    </xf>
    <xf numFmtId="0" fontId="4" fillId="9" borderId="5" xfId="0" applyFont="1" applyFill="1" applyBorder="1" applyAlignment="1">
      <alignment vertical="center"/>
    </xf>
    <xf numFmtId="0" fontId="4" fillId="9" borderId="15" xfId="0" applyFont="1" applyFill="1" applyBorder="1" applyAlignment="1">
      <alignment vertical="center"/>
    </xf>
    <xf numFmtId="0" fontId="4" fillId="9" borderId="27" xfId="0" applyFont="1" applyFill="1" applyBorder="1" applyAlignment="1">
      <alignment vertical="center"/>
    </xf>
    <xf numFmtId="0" fontId="4" fillId="9" borderId="27" xfId="0" applyFont="1" applyFill="1" applyBorder="1" applyAlignment="1">
      <alignment vertical="center" shrinkToFit="1"/>
    </xf>
    <xf numFmtId="0" fontId="4" fillId="9" borderId="2" xfId="0" applyFont="1" applyFill="1" applyBorder="1" applyAlignment="1">
      <alignment vertical="center" shrinkToFit="1"/>
    </xf>
    <xf numFmtId="0" fontId="15" fillId="9" borderId="101" xfId="0" applyFont="1" applyFill="1" applyBorder="1" applyAlignment="1">
      <alignment horizontal="center" vertical="center" shrinkToFit="1"/>
    </xf>
    <xf numFmtId="0" fontId="92" fillId="9" borderId="0" xfId="0" applyFont="1" applyFill="1" applyAlignment="1">
      <alignment vertical="center" shrinkToFit="1"/>
    </xf>
    <xf numFmtId="0" fontId="82" fillId="9" borderId="0" xfId="0" applyFont="1" applyFill="1" applyAlignment="1">
      <alignment horizontal="center" vertical="top" wrapText="1" shrinkToFit="1"/>
    </xf>
    <xf numFmtId="0" fontId="4" fillId="9" borderId="0" xfId="0" applyFont="1" applyFill="1" applyAlignment="1">
      <alignment horizontal="center" vertical="top" shrinkToFit="1"/>
    </xf>
    <xf numFmtId="0" fontId="4" fillId="9" borderId="0" xfId="0" applyFont="1" applyFill="1" applyAlignment="1">
      <alignment horizontal="center" vertical="top"/>
    </xf>
    <xf numFmtId="0" fontId="4" fillId="9" borderId="0" xfId="0" applyFont="1" applyFill="1" applyAlignment="1">
      <alignment horizontal="left" wrapText="1"/>
    </xf>
    <xf numFmtId="0" fontId="4" fillId="9" borderId="2" xfId="0" applyFont="1" applyFill="1" applyBorder="1" applyAlignment="1">
      <alignment shrinkToFit="1"/>
    </xf>
    <xf numFmtId="0" fontId="4" fillId="9" borderId="1" xfId="0" applyFont="1" applyFill="1" applyBorder="1" applyAlignment="1">
      <alignment shrinkToFit="1"/>
    </xf>
    <xf numFmtId="0" fontId="4" fillId="9" borderId="25" xfId="0" applyFont="1" applyFill="1" applyBorder="1" applyAlignment="1">
      <alignment shrinkToFit="1"/>
    </xf>
    <xf numFmtId="0" fontId="8" fillId="0" borderId="4" xfId="0" applyFont="1" applyBorder="1" applyAlignment="1">
      <alignment horizontal="left"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9" xfId="0" applyFont="1" applyBorder="1" applyAlignment="1">
      <alignment horizontal="justify"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4" fillId="0" borderId="7" xfId="0" applyFont="1" applyBorder="1" applyAlignment="1">
      <alignment horizontal="justify" wrapText="1"/>
    </xf>
    <xf numFmtId="0" fontId="8" fillId="0" borderId="2" xfId="0" applyFont="1" applyBorder="1" applyAlignment="1">
      <alignment horizontal="left" wrapText="1"/>
    </xf>
    <xf numFmtId="0" fontId="8" fillId="0" borderId="6" xfId="0" applyFont="1" applyBorder="1" applyAlignment="1">
      <alignment horizontal="left" wrapText="1"/>
    </xf>
    <xf numFmtId="0" fontId="8" fillId="0" borderId="2" xfId="0" applyFont="1" applyBorder="1" applyAlignment="1">
      <alignment horizontal="left" vertical="center" wrapText="1"/>
    </xf>
    <xf numFmtId="0" fontId="8" fillId="0" borderId="25" xfId="0" applyFont="1" applyBorder="1" applyAlignment="1">
      <alignment horizontal="left"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4" fillId="0" borderId="122" xfId="0" applyFont="1" applyBorder="1" applyAlignment="1">
      <alignment horizontal="left" vertical="top"/>
    </xf>
    <xf numFmtId="0" fontId="8" fillId="0" borderId="7" xfId="0" applyFont="1" applyBorder="1" applyAlignment="1">
      <alignment horizontal="left" vertical="top"/>
    </xf>
    <xf numFmtId="0" fontId="8" fillId="0" borderId="122" xfId="0" applyFont="1" applyBorder="1" applyAlignment="1">
      <alignment horizontal="left" vertical="top"/>
    </xf>
    <xf numFmtId="0" fontId="4" fillId="0" borderId="4" xfId="0" applyFont="1" applyBorder="1" applyAlignment="1">
      <alignment horizontal="left" vertical="top"/>
    </xf>
    <xf numFmtId="0" fontId="8" fillId="0" borderId="4" xfId="0" applyFont="1" applyBorder="1" applyAlignment="1">
      <alignment horizontal="left" vertical="top"/>
    </xf>
    <xf numFmtId="0" fontId="8" fillId="0" borderId="123" xfId="0" applyFont="1" applyBorder="1" applyAlignment="1">
      <alignment horizontal="left" vertical="top"/>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20" xfId="0" applyFont="1" applyBorder="1" applyAlignment="1">
      <alignment horizontal="center" wrapText="1"/>
    </xf>
    <xf numFmtId="0" fontId="4" fillId="0" borderId="29"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3" xfId="0" applyFont="1" applyBorder="1" applyAlignment="1">
      <alignment horizontal="left" vertical="top"/>
    </xf>
    <xf numFmtId="0" fontId="4" fillId="0" borderId="121" xfId="0" applyFont="1" applyBorder="1" applyAlignment="1">
      <alignment horizontal="left" vertical="top"/>
    </xf>
    <xf numFmtId="0" fontId="4" fillId="0" borderId="2" xfId="0" applyFont="1" applyBorder="1" applyAlignment="1">
      <alignment horizontal="left" shrinkToFi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16" xfId="0" applyFont="1" applyBorder="1" applyAlignment="1">
      <alignment horizontal="center" wrapText="1"/>
    </xf>
    <xf numFmtId="0" fontId="134" fillId="0" borderId="0" xfId="0" applyFont="1" applyAlignment="1">
      <alignment horizontal="left" vertical="center"/>
    </xf>
    <xf numFmtId="0" fontId="120" fillId="0" borderId="0" xfId="0" applyFont="1" applyAlignment="1">
      <alignment horizontal="center" vertical="center"/>
    </xf>
    <xf numFmtId="0" fontId="120" fillId="0" borderId="0" xfId="0" applyFont="1"/>
    <xf numFmtId="0" fontId="120" fillId="0" borderId="0" xfId="0" applyFont="1" applyAlignment="1">
      <alignment horizontal="center"/>
    </xf>
    <xf numFmtId="0" fontId="120" fillId="0" borderId="14" xfId="0" applyFont="1" applyBorder="1" applyAlignment="1">
      <alignment vertical="center"/>
    </xf>
    <xf numFmtId="0" fontId="120" fillId="0" borderId="13" xfId="0" applyFont="1" applyBorder="1" applyAlignment="1">
      <alignment vertical="center"/>
    </xf>
    <xf numFmtId="0" fontId="132" fillId="0" borderId="13" xfId="0" applyFont="1" applyBorder="1" applyAlignment="1">
      <alignment vertical="center"/>
    </xf>
    <xf numFmtId="0" fontId="132" fillId="0" borderId="13" xfId="0" applyFont="1" applyBorder="1" applyAlignment="1" applyProtection="1">
      <alignment horizontal="center" vertical="center"/>
      <protection locked="0"/>
    </xf>
    <xf numFmtId="0" fontId="132" fillId="0" borderId="12" xfId="0" applyFont="1" applyBorder="1" applyAlignment="1" applyProtection="1">
      <alignment horizontal="center" vertical="center"/>
      <protection locked="0"/>
    </xf>
    <xf numFmtId="0" fontId="120" fillId="0" borderId="138" xfId="0" applyFont="1" applyBorder="1" applyAlignment="1">
      <alignment horizontal="left" vertical="center" wrapText="1"/>
    </xf>
    <xf numFmtId="0" fontId="132" fillId="0" borderId="15" xfId="0" applyFont="1" applyBorder="1" applyAlignment="1">
      <alignment vertical="center"/>
    </xf>
    <xf numFmtId="0" fontId="120" fillId="0" borderId="16" xfId="0" applyFont="1" applyBorder="1" applyAlignment="1">
      <alignment horizontal="left" vertical="center" wrapText="1"/>
    </xf>
    <xf numFmtId="0" fontId="120" fillId="0" borderId="15" xfId="0" applyFont="1" applyBorder="1" applyAlignment="1">
      <alignment vertical="center" wrapText="1"/>
    </xf>
    <xf numFmtId="0" fontId="120" fillId="0" borderId="16" xfId="0" applyFont="1" applyBorder="1" applyAlignment="1">
      <alignment horizontal="left" vertical="center"/>
    </xf>
    <xf numFmtId="0" fontId="120" fillId="0" borderId="27" xfId="0" applyFont="1" applyBorder="1" applyAlignment="1">
      <alignment vertical="center"/>
    </xf>
    <xf numFmtId="0" fontId="120" fillId="0" borderId="15" xfId="0" applyFont="1" applyBorder="1" applyAlignment="1">
      <alignment horizontal="center" vertical="center"/>
    </xf>
    <xf numFmtId="0" fontId="120" fillId="0" borderId="130" xfId="0" applyFont="1" applyBorder="1" applyAlignment="1">
      <alignment vertical="center"/>
    </xf>
    <xf numFmtId="0" fontId="120" fillId="0" borderId="129" xfId="0" applyFont="1" applyBorder="1" applyAlignment="1">
      <alignment vertical="center"/>
    </xf>
    <xf numFmtId="0" fontId="132" fillId="0" borderId="126" xfId="0" applyFont="1" applyBorder="1" applyAlignment="1">
      <alignment vertical="center"/>
    </xf>
    <xf numFmtId="0" fontId="120" fillId="0" borderId="126" xfId="0" applyFont="1" applyBorder="1" applyAlignment="1">
      <alignment vertical="center"/>
    </xf>
    <xf numFmtId="0" fontId="132" fillId="0" borderId="126" xfId="0" applyFont="1" applyBorder="1" applyAlignment="1" applyProtection="1">
      <alignment horizontal="center" vertical="center"/>
      <protection locked="0"/>
    </xf>
    <xf numFmtId="0" fontId="132" fillId="0" borderId="125" xfId="0" applyFont="1" applyBorder="1" applyAlignment="1" applyProtection="1">
      <alignment horizontal="center" vertical="center"/>
      <protection locked="0"/>
    </xf>
    <xf numFmtId="0" fontId="120" fillId="0" borderId="131" xfId="0" applyFont="1" applyBorder="1" applyAlignment="1">
      <alignment horizontal="left" vertical="center" wrapText="1"/>
    </xf>
    <xf numFmtId="0" fontId="132" fillId="0" borderId="29" xfId="0" applyFont="1" applyBorder="1" applyAlignment="1">
      <alignment vertical="center"/>
    </xf>
    <xf numFmtId="0" fontId="120" fillId="0" borderId="17" xfId="0" applyFont="1" applyBorder="1" applyAlignment="1">
      <alignment horizontal="left" vertical="center" wrapText="1"/>
    </xf>
    <xf numFmtId="0" fontId="120" fillId="0" borderId="29" xfId="0" applyFont="1" applyBorder="1" applyAlignment="1">
      <alignment vertical="center" wrapText="1"/>
    </xf>
    <xf numFmtId="0" fontId="120" fillId="0" borderId="17" xfId="0" applyFont="1" applyBorder="1" applyAlignment="1">
      <alignment horizontal="left" vertical="center"/>
    </xf>
    <xf numFmtId="0" fontId="120" fillId="0" borderId="28" xfId="0" applyFont="1" applyBorder="1" applyAlignment="1">
      <alignment vertical="center"/>
    </xf>
    <xf numFmtId="0" fontId="120" fillId="0" borderId="29" xfId="0" applyFont="1" applyBorder="1" applyAlignment="1">
      <alignment horizontal="center" vertical="center"/>
    </xf>
    <xf numFmtId="0" fontId="132" fillId="0" borderId="130" xfId="0" applyFont="1" applyBorder="1" applyAlignment="1">
      <alignment horizontal="left" vertical="center"/>
    </xf>
    <xf numFmtId="0" fontId="132" fillId="0" borderId="129" xfId="0" applyFont="1" applyBorder="1" applyAlignment="1">
      <alignment horizontal="left" vertical="center"/>
    </xf>
    <xf numFmtId="0" fontId="120" fillId="0" borderId="131" xfId="0" applyFont="1" applyBorder="1" applyAlignment="1">
      <alignment horizontal="left" vertical="center"/>
    </xf>
    <xf numFmtId="0" fontId="120" fillId="0" borderId="130" xfId="0" applyFont="1" applyBorder="1" applyAlignment="1">
      <alignment horizontal="left" vertical="center"/>
    </xf>
    <xf numFmtId="0" fontId="120" fillId="0" borderId="129" xfId="0" applyFont="1" applyBorder="1" applyAlignment="1">
      <alignment horizontal="left" vertical="center"/>
    </xf>
    <xf numFmtId="0" fontId="132" fillId="0" borderId="129" xfId="0" applyFont="1" applyBorder="1" applyAlignment="1" applyProtection="1">
      <alignment horizontal="center" vertical="center"/>
      <protection locked="0"/>
    </xf>
    <xf numFmtId="0" fontId="132" fillId="0" borderId="128" xfId="0" applyFont="1" applyBorder="1" applyAlignment="1" applyProtection="1">
      <alignment horizontal="center" vertical="center"/>
      <protection locked="0"/>
    </xf>
    <xf numFmtId="0" fontId="135" fillId="0" borderId="130" xfId="0" applyFont="1" applyBorder="1" applyAlignment="1">
      <alignment horizontal="left" vertical="center"/>
    </xf>
    <xf numFmtId="0" fontId="135" fillId="0" borderId="129" xfId="0" applyFont="1" applyBorder="1" applyAlignment="1">
      <alignment horizontal="left" vertical="center"/>
    </xf>
    <xf numFmtId="0" fontId="132" fillId="0" borderId="17" xfId="0" applyFont="1" applyBorder="1" applyAlignment="1" applyProtection="1">
      <alignment horizontal="center" vertical="center"/>
      <protection locked="0"/>
    </xf>
    <xf numFmtId="0" fontId="120" fillId="0" borderId="131" xfId="0" applyFont="1" applyBorder="1" applyAlignment="1">
      <alignment vertical="center" wrapText="1"/>
    </xf>
    <xf numFmtId="0" fontId="120" fillId="0" borderId="28" xfId="0" applyFont="1" applyBorder="1" applyAlignment="1">
      <alignment vertical="center" wrapText="1"/>
    </xf>
    <xf numFmtId="0" fontId="120" fillId="0" borderId="127" xfId="0" applyFont="1" applyBorder="1" applyAlignment="1">
      <alignment horizontal="left" vertical="center"/>
    </xf>
    <xf numFmtId="0" fontId="120" fillId="0" borderId="126" xfId="0" applyFont="1" applyBorder="1" applyAlignment="1">
      <alignment horizontal="left" vertical="center"/>
    </xf>
    <xf numFmtId="0" fontId="120" fillId="0" borderId="126" xfId="0" applyFont="1" applyBorder="1" applyAlignment="1">
      <alignment horizontal="left" vertical="center"/>
    </xf>
    <xf numFmtId="0" fontId="132" fillId="0" borderId="126" xfId="0" applyFont="1" applyBorder="1" applyAlignment="1" applyProtection="1">
      <alignment horizontal="center" vertical="center" wrapText="1"/>
      <protection locked="0"/>
    </xf>
    <xf numFmtId="0" fontId="120" fillId="0" borderId="124" xfId="0" applyFont="1" applyBorder="1" applyAlignment="1">
      <alignment horizontal="left" vertical="center" wrapText="1"/>
    </xf>
    <xf numFmtId="0" fontId="120" fillId="0" borderId="119" xfId="0" applyFont="1" applyBorder="1" applyAlignment="1">
      <alignment horizontal="left" vertical="center"/>
    </xf>
    <xf numFmtId="0" fontId="120" fillId="0" borderId="118" xfId="0" applyFont="1" applyBorder="1" applyAlignment="1">
      <alignment horizontal="left" vertical="center"/>
    </xf>
    <xf numFmtId="0" fontId="120" fillId="0" borderId="0" xfId="0" applyFont="1" applyAlignment="1">
      <alignment horizontal="left" vertical="center"/>
    </xf>
    <xf numFmtId="0" fontId="132" fillId="0" borderId="0" xfId="0" applyFont="1" applyAlignment="1" applyProtection="1">
      <alignment horizontal="center" vertical="center" wrapText="1"/>
      <protection locked="0"/>
    </xf>
    <xf numFmtId="0" fontId="120" fillId="0" borderId="132" xfId="0" applyFont="1" applyBorder="1" applyAlignment="1">
      <alignment horizontal="left" vertical="center" wrapText="1"/>
    </xf>
    <xf numFmtId="0" fontId="132" fillId="0" borderId="129" xfId="0" applyFont="1" applyBorder="1" applyAlignment="1">
      <alignment vertical="center"/>
    </xf>
    <xf numFmtId="0" fontId="120" fillId="0" borderId="130" xfId="0" applyFont="1" applyBorder="1" applyAlignment="1">
      <alignment vertical="top"/>
    </xf>
    <xf numFmtId="0" fontId="120" fillId="0" borderId="129" xfId="0" applyFont="1" applyBorder="1" applyAlignment="1">
      <alignment horizontal="left" vertical="center" wrapText="1"/>
    </xf>
    <xf numFmtId="0" fontId="120" fillId="0" borderId="128" xfId="0" applyFont="1" applyBorder="1" applyAlignment="1">
      <alignment vertical="center"/>
    </xf>
    <xf numFmtId="0" fontId="120" fillId="0" borderId="29" xfId="0" applyFont="1" applyBorder="1" applyAlignment="1">
      <alignment vertical="center"/>
    </xf>
    <xf numFmtId="0" fontId="132" fillId="0" borderId="135" xfId="0" applyFont="1" applyBorder="1" applyAlignment="1">
      <alignment horizontal="left" vertical="center"/>
    </xf>
    <xf numFmtId="0" fontId="132" fillId="0" borderId="134" xfId="0" applyFont="1" applyBorder="1" applyAlignment="1">
      <alignment horizontal="left" vertical="center"/>
    </xf>
    <xf numFmtId="0" fontId="120" fillId="0" borderId="134" xfId="0" applyFont="1" applyBorder="1" applyAlignment="1">
      <alignment horizontal="left" vertical="center"/>
    </xf>
    <xf numFmtId="0" fontId="132" fillId="0" borderId="134" xfId="0" applyFont="1" applyBorder="1" applyAlignment="1" applyProtection="1">
      <alignment horizontal="center" vertical="center"/>
      <protection locked="0"/>
    </xf>
    <xf numFmtId="0" fontId="120" fillId="0" borderId="134" xfId="0" applyFont="1" applyBorder="1" applyAlignment="1">
      <alignment vertical="center"/>
    </xf>
    <xf numFmtId="0" fontId="132" fillId="0" borderId="133" xfId="0" applyFont="1" applyBorder="1" applyAlignment="1" applyProtection="1">
      <alignment horizontal="center" vertical="center"/>
      <protection locked="0"/>
    </xf>
    <xf numFmtId="0" fontId="120" fillId="0" borderId="139" xfId="0" applyFont="1" applyBorder="1" applyAlignment="1">
      <alignment horizontal="left" vertical="center"/>
    </xf>
    <xf numFmtId="0" fontId="120" fillId="0" borderId="1" xfId="0" applyFont="1" applyBorder="1" applyAlignment="1">
      <alignment vertical="center"/>
    </xf>
    <xf numFmtId="0" fontId="120" fillId="0" borderId="3" xfId="0" applyFont="1" applyBorder="1" applyAlignment="1">
      <alignment horizontal="left" vertical="center" wrapText="1"/>
    </xf>
    <xf numFmtId="0" fontId="120" fillId="0" borderId="1" xfId="0" applyFont="1" applyBorder="1" applyAlignment="1">
      <alignment vertical="center" wrapText="1"/>
    </xf>
    <xf numFmtId="0" fontId="120" fillId="0" borderId="25" xfId="0" applyFont="1" applyBorder="1" applyAlignment="1">
      <alignment vertical="center" wrapText="1"/>
    </xf>
    <xf numFmtId="0" fontId="120" fillId="0" borderId="1" xfId="0" applyFont="1" applyBorder="1" applyAlignment="1">
      <alignment horizontal="center" vertical="center"/>
    </xf>
    <xf numFmtId="0" fontId="120" fillId="0" borderId="3" xfId="0" applyFont="1" applyBorder="1" applyAlignment="1">
      <alignment vertical="center"/>
    </xf>
    <xf numFmtId="0" fontId="120" fillId="0" borderId="15" xfId="0" applyFont="1" applyBorder="1" applyAlignment="1">
      <alignment vertical="center"/>
    </xf>
    <xf numFmtId="0" fontId="120" fillId="0" borderId="5" xfId="0" applyFont="1" applyBorder="1" applyAlignment="1">
      <alignment vertical="center"/>
    </xf>
    <xf numFmtId="0" fontId="132" fillId="0" borderId="5" xfId="0" applyFont="1" applyBorder="1" applyAlignment="1">
      <alignment vertical="center"/>
    </xf>
    <xf numFmtId="0" fontId="132" fillId="0" borderId="5" xfId="0" applyFont="1" applyBorder="1" applyAlignment="1" applyProtection="1">
      <alignment horizontal="center" vertical="center"/>
      <protection locked="0"/>
    </xf>
    <xf numFmtId="0" fontId="132" fillId="0" borderId="16" xfId="0" applyFont="1" applyBorder="1" applyAlignment="1" applyProtection="1">
      <alignment horizontal="center" vertical="center"/>
      <protection locked="0"/>
    </xf>
    <xf numFmtId="0" fontId="120" fillId="0" borderId="27" xfId="0" applyFont="1" applyBorder="1" applyAlignment="1">
      <alignment horizontal="left" vertical="center" wrapText="1"/>
    </xf>
    <xf numFmtId="0" fontId="120" fillId="0" borderId="127" xfId="0" applyFont="1" applyBorder="1" applyAlignment="1">
      <alignment vertical="center"/>
    </xf>
    <xf numFmtId="0" fontId="132" fillId="0" borderId="126" xfId="0" applyFont="1" applyBorder="1" applyAlignment="1">
      <alignment horizontal="center" vertical="center"/>
    </xf>
    <xf numFmtId="0" fontId="132" fillId="0" borderId="0" xfId="0" applyFont="1" applyAlignment="1">
      <alignment horizontal="center" vertical="center"/>
    </xf>
    <xf numFmtId="0" fontId="120" fillId="0" borderId="0" xfId="0" applyFont="1" applyAlignment="1">
      <alignment horizontal="left" vertical="center" wrapText="1"/>
    </xf>
    <xf numFmtId="0" fontId="132" fillId="0" borderId="126" xfId="0" applyFont="1" applyBorder="1" applyAlignment="1" applyProtection="1">
      <alignment horizontal="center" vertical="center"/>
      <protection locked="0"/>
    </xf>
    <xf numFmtId="0" fontId="132" fillId="0" borderId="125" xfId="0" applyFont="1" applyBorder="1" applyAlignment="1" applyProtection="1">
      <alignment horizontal="center" vertical="center"/>
      <protection locked="0"/>
    </xf>
    <xf numFmtId="0" fontId="132" fillId="0" borderId="0" xfId="0" applyFont="1" applyAlignment="1" applyProtection="1">
      <alignment horizontal="center" vertical="center"/>
      <protection locked="0"/>
    </xf>
    <xf numFmtId="0" fontId="132" fillId="0" borderId="17" xfId="0" applyFont="1" applyBorder="1" applyAlignment="1" applyProtection="1">
      <alignment horizontal="center" vertical="center"/>
      <protection locked="0"/>
    </xf>
    <xf numFmtId="0" fontId="120" fillId="0" borderId="28" xfId="0" applyFont="1" applyBorder="1" applyAlignment="1">
      <alignment horizontal="left" vertical="center" wrapText="1"/>
    </xf>
    <xf numFmtId="0" fontId="135" fillId="0" borderId="129" xfId="0" applyFont="1" applyBorder="1" applyAlignment="1">
      <alignment vertical="center"/>
    </xf>
    <xf numFmtId="0" fontId="136" fillId="0" borderId="129" xfId="0" applyFont="1" applyBorder="1" applyAlignment="1">
      <alignment horizontal="center" vertical="center"/>
    </xf>
    <xf numFmtId="0" fontId="132" fillId="0" borderId="127" xfId="0" applyFont="1" applyBorder="1" applyAlignment="1">
      <alignment horizontal="left" vertical="center"/>
    </xf>
    <xf numFmtId="0" fontId="132" fillId="0" borderId="126" xfId="0" applyFont="1" applyBorder="1" applyAlignment="1">
      <alignment horizontal="left" vertical="center"/>
    </xf>
    <xf numFmtId="0" fontId="132" fillId="0" borderId="119" xfId="0" applyFont="1" applyBorder="1" applyAlignment="1">
      <alignment horizontal="left" vertical="center"/>
    </xf>
    <xf numFmtId="0" fontId="132" fillId="0" borderId="118" xfId="0" applyFont="1" applyBorder="1" applyAlignment="1">
      <alignment horizontal="left" vertical="center"/>
    </xf>
    <xf numFmtId="0" fontId="120" fillId="0" borderId="118" xfId="0" applyFont="1" applyBorder="1" applyAlignment="1">
      <alignment horizontal="left" vertical="center"/>
    </xf>
    <xf numFmtId="0" fontId="132" fillId="0" borderId="118" xfId="0" applyFont="1" applyBorder="1" applyAlignment="1" applyProtection="1">
      <alignment horizontal="center" vertical="center" wrapText="1"/>
      <protection locked="0"/>
    </xf>
    <xf numFmtId="0" fontId="132" fillId="0" borderId="127" xfId="0" applyFont="1" applyBorder="1" applyAlignment="1">
      <alignment vertical="center"/>
    </xf>
    <xf numFmtId="0" fontId="120" fillId="0" borderId="124" xfId="0" applyFont="1" applyBorder="1" applyAlignment="1">
      <alignment horizontal="left" vertical="center"/>
    </xf>
    <xf numFmtId="0" fontId="92" fillId="20" borderId="130" xfId="0" applyFont="1" applyFill="1" applyBorder="1" applyAlignment="1">
      <alignment vertical="top"/>
    </xf>
    <xf numFmtId="0" fontId="137" fillId="20" borderId="129" xfId="0" applyFont="1" applyFill="1" applyBorder="1" applyAlignment="1">
      <alignment horizontal="left" vertical="center"/>
    </xf>
    <xf numFmtId="0" fontId="92" fillId="20" borderId="129" xfId="0" applyFont="1" applyFill="1" applyBorder="1" applyAlignment="1">
      <alignment vertical="top"/>
    </xf>
    <xf numFmtId="0" fontId="92" fillId="20" borderId="129" xfId="0" applyFont="1" applyFill="1" applyBorder="1" applyAlignment="1">
      <alignment vertical="center"/>
    </xf>
    <xf numFmtId="0" fontId="137" fillId="20" borderId="129" xfId="0" applyFont="1" applyFill="1" applyBorder="1" applyAlignment="1">
      <alignment horizontal="center" vertical="center"/>
    </xf>
    <xf numFmtId="0" fontId="137" fillId="0" borderId="129" xfId="0" applyFont="1" applyBorder="1" applyAlignment="1" applyProtection="1">
      <alignment horizontal="center" vertical="center"/>
      <protection locked="0"/>
    </xf>
    <xf numFmtId="0" fontId="92" fillId="20" borderId="129" xfId="0" applyFont="1" applyFill="1" applyBorder="1" applyAlignment="1">
      <alignment horizontal="left" vertical="center" wrapText="1"/>
    </xf>
    <xf numFmtId="0" fontId="137" fillId="20" borderId="129" xfId="0" applyFont="1" applyFill="1" applyBorder="1" applyAlignment="1">
      <alignment vertical="center"/>
    </xf>
    <xf numFmtId="0" fontId="137" fillId="0" borderId="128" xfId="0" applyFont="1" applyBorder="1" applyAlignment="1" applyProtection="1">
      <alignment horizontal="center" vertical="center"/>
      <protection locked="0"/>
    </xf>
    <xf numFmtId="0" fontId="92" fillId="20" borderId="128" xfId="0" applyFont="1" applyFill="1" applyBorder="1" applyAlignment="1">
      <alignment vertical="center"/>
    </xf>
    <xf numFmtId="0" fontId="120" fillId="0" borderId="135" xfId="0" applyFont="1" applyBorder="1" applyAlignment="1">
      <alignment vertical="center"/>
    </xf>
    <xf numFmtId="0" fontId="120" fillId="0" borderId="134" xfId="0" applyFont="1" applyBorder="1" applyAlignment="1">
      <alignment horizontal="left" vertical="center" wrapText="1"/>
    </xf>
    <xf numFmtId="0" fontId="132" fillId="0" borderId="134" xfId="0" applyFont="1" applyBorder="1" applyAlignment="1">
      <alignment vertical="center"/>
    </xf>
    <xf numFmtId="0" fontId="120" fillId="0" borderId="133" xfId="0" applyFont="1" applyBorder="1" applyAlignment="1">
      <alignment vertical="center"/>
    </xf>
    <xf numFmtId="0" fontId="120" fillId="0" borderId="3" xfId="0" applyFont="1" applyBorder="1" applyAlignment="1">
      <alignment horizontal="left" vertical="center"/>
    </xf>
    <xf numFmtId="0" fontId="120" fillId="0" borderId="25" xfId="0" applyFont="1" applyBorder="1" applyAlignment="1">
      <alignment vertical="center"/>
    </xf>
    <xf numFmtId="0" fontId="132" fillId="0" borderId="29" xfId="0" applyFont="1" applyBorder="1" applyAlignment="1">
      <alignment horizontal="left" vertical="center"/>
    </xf>
    <xf numFmtId="0" fontId="132" fillId="0" borderId="0" xfId="0" applyFont="1" applyAlignment="1">
      <alignment horizontal="left" vertical="center"/>
    </xf>
    <xf numFmtId="0" fontId="120" fillId="0" borderId="28" xfId="0" applyFont="1" applyBorder="1" applyAlignment="1">
      <alignment vertical="center" wrapText="1"/>
    </xf>
    <xf numFmtId="0" fontId="120" fillId="0" borderId="132" xfId="0" applyFont="1" applyBorder="1" applyAlignment="1">
      <alignment vertical="center" wrapText="1"/>
    </xf>
    <xf numFmtId="0" fontId="120" fillId="0" borderId="124" xfId="0" applyFont="1" applyBorder="1" applyAlignment="1">
      <alignment vertical="center" wrapText="1"/>
    </xf>
    <xf numFmtId="0" fontId="120" fillId="0" borderId="124" xfId="0" applyFont="1" applyBorder="1" applyAlignment="1">
      <alignment vertical="center" wrapText="1" shrinkToFit="1"/>
    </xf>
    <xf numFmtId="0" fontId="137" fillId="20" borderId="253" xfId="0" applyFont="1" applyFill="1" applyBorder="1" applyAlignment="1">
      <alignment horizontal="left" vertical="center"/>
    </xf>
    <xf numFmtId="0" fontId="137" fillId="20" borderId="126" xfId="0" applyFont="1" applyFill="1" applyBorder="1" applyAlignment="1">
      <alignment horizontal="left" vertical="center"/>
    </xf>
    <xf numFmtId="0" fontId="137" fillId="20" borderId="252" xfId="0" applyFont="1" applyFill="1" applyBorder="1" applyAlignment="1">
      <alignment horizontal="left" vertical="center"/>
    </xf>
    <xf numFmtId="0" fontId="132" fillId="0" borderId="15" xfId="0" applyFont="1" applyBorder="1" applyAlignment="1">
      <alignment horizontal="left" vertical="center"/>
    </xf>
    <xf numFmtId="0" fontId="132" fillId="0" borderId="5" xfId="0" applyFont="1" applyBorder="1" applyAlignment="1">
      <alignment horizontal="left" vertical="center"/>
    </xf>
    <xf numFmtId="0" fontId="120" fillId="0" borderId="126" xfId="0" applyFont="1" applyBorder="1" applyAlignment="1" applyProtection="1">
      <alignment horizontal="center" vertical="center" wrapText="1"/>
      <protection locked="0"/>
    </xf>
    <xf numFmtId="0" fontId="120" fillId="0" borderId="118" xfId="0" applyFont="1" applyBorder="1" applyAlignment="1" applyProtection="1">
      <alignment horizontal="center" vertical="center" wrapText="1"/>
      <protection locked="0"/>
    </xf>
    <xf numFmtId="0" fontId="120" fillId="0" borderId="131" xfId="0" applyFont="1" applyBorder="1" applyAlignment="1">
      <alignment vertical="center"/>
    </xf>
    <xf numFmtId="0" fontId="132" fillId="0" borderId="127" xfId="0" applyFont="1" applyBorder="1" applyAlignment="1">
      <alignment horizontal="center" vertical="center"/>
    </xf>
    <xf numFmtId="0" fontId="132" fillId="0" borderId="126" xfId="0" applyFont="1" applyBorder="1" applyAlignment="1">
      <alignment horizontal="center" vertical="center"/>
    </xf>
    <xf numFmtId="0" fontId="132" fillId="0" borderId="119" xfId="0" applyFont="1" applyBorder="1" applyAlignment="1">
      <alignment horizontal="center" vertical="center"/>
    </xf>
    <xf numFmtId="0" fontId="132" fillId="0" borderId="118" xfId="0" applyFont="1" applyBorder="1" applyAlignment="1">
      <alignment horizontal="center" vertical="center"/>
    </xf>
    <xf numFmtId="0" fontId="132" fillId="0" borderId="117" xfId="0" applyFont="1" applyBorder="1" applyAlignment="1" applyProtection="1">
      <alignment horizontal="center" vertical="center"/>
      <protection locked="0"/>
    </xf>
    <xf numFmtId="0" fontId="137" fillId="20" borderId="118" xfId="0" applyFont="1" applyFill="1" applyBorder="1" applyAlignment="1">
      <alignment horizontal="left" vertical="center"/>
    </xf>
    <xf numFmtId="0" fontId="132" fillId="0" borderId="1" xfId="0" applyFont="1" applyBorder="1" applyAlignment="1">
      <alignment horizontal="left" vertical="center"/>
    </xf>
    <xf numFmtId="0" fontId="132" fillId="0" borderId="4" xfId="0" applyFont="1" applyBorder="1" applyAlignment="1">
      <alignment horizontal="left" vertical="center"/>
    </xf>
    <xf numFmtId="0" fontId="120" fillId="0" borderId="4" xfId="0" applyFont="1" applyBorder="1" applyAlignment="1">
      <alignment vertical="center"/>
    </xf>
    <xf numFmtId="0" fontId="132" fillId="0" borderId="3" xfId="0" applyFont="1" applyBorder="1" applyAlignment="1" applyProtection="1">
      <alignment horizontal="center" vertical="center"/>
      <protection locked="0"/>
    </xf>
    <xf numFmtId="0" fontId="120" fillId="0" borderId="25" xfId="0" applyFont="1" applyBorder="1" applyAlignment="1">
      <alignment vertical="center" wrapText="1"/>
    </xf>
    <xf numFmtId="0" fontId="120" fillId="0" borderId="15" xfId="0" applyFont="1" applyBorder="1" applyAlignment="1">
      <alignment horizontal="left" vertical="center"/>
    </xf>
    <xf numFmtId="0" fontId="120" fillId="0" borderId="5" xfId="0" applyFont="1" applyBorder="1" applyAlignment="1">
      <alignment horizontal="left" vertical="center"/>
    </xf>
    <xf numFmtId="0" fontId="120" fillId="0" borderId="5" xfId="0" applyFont="1" applyBorder="1" applyAlignment="1">
      <alignment vertical="center" wrapText="1"/>
    </xf>
    <xf numFmtId="0" fontId="132" fillId="0" borderId="0" xfId="0" applyFont="1" applyAlignment="1" applyProtection="1">
      <alignment horizontal="center" vertical="center"/>
      <protection locked="0"/>
    </xf>
    <xf numFmtId="0" fontId="120" fillId="0" borderId="27" xfId="0" applyFont="1" applyBorder="1" applyAlignment="1">
      <alignment horizontal="left" vertical="center"/>
    </xf>
    <xf numFmtId="0" fontId="120" fillId="0" borderId="16" xfId="0" applyFont="1" applyBorder="1" applyAlignment="1">
      <alignment horizontal="center" vertical="center"/>
    </xf>
    <xf numFmtId="0" fontId="120" fillId="0" borderId="15" xfId="0" applyFont="1" applyBorder="1" applyAlignment="1">
      <alignment horizontal="center" vertical="center"/>
    </xf>
    <xf numFmtId="0" fontId="120" fillId="0" borderId="5" xfId="0" applyFont="1" applyBorder="1" applyAlignment="1">
      <alignment horizontal="center" vertical="center"/>
    </xf>
    <xf numFmtId="0" fontId="120" fillId="0" borderId="16" xfId="0" applyFont="1" applyBorder="1" applyAlignment="1">
      <alignment horizontal="center" vertical="center"/>
    </xf>
    <xf numFmtId="0" fontId="120" fillId="0" borderId="4" xfId="0" applyFont="1" applyBorder="1" applyAlignment="1">
      <alignment vertical="center" wrapText="1"/>
    </xf>
    <xf numFmtId="0" fontId="120" fillId="0" borderId="25" xfId="0" applyFont="1" applyBorder="1" applyAlignment="1">
      <alignment horizontal="left" vertical="center"/>
    </xf>
    <xf numFmtId="0" fontId="120" fillId="0" borderId="1" xfId="0" applyFont="1" applyBorder="1" applyAlignment="1">
      <alignment horizontal="left" vertical="center"/>
    </xf>
    <xf numFmtId="0" fontId="120" fillId="0" borderId="3" xfId="0" applyFont="1" applyBorder="1" applyAlignment="1">
      <alignment horizontal="center" vertical="center"/>
    </xf>
    <xf numFmtId="0" fontId="120" fillId="0" borderId="1" xfId="0" applyFont="1" applyBorder="1" applyAlignment="1">
      <alignment horizontal="center" vertical="center"/>
    </xf>
    <xf numFmtId="0" fontId="120" fillId="0" borderId="4" xfId="0" applyFont="1" applyBorder="1" applyAlignment="1">
      <alignment horizontal="center" vertical="center"/>
    </xf>
    <xf numFmtId="0" fontId="120" fillId="0" borderId="3" xfId="0" applyFont="1" applyBorder="1" applyAlignment="1">
      <alignment horizontal="center" vertical="center"/>
    </xf>
    <xf numFmtId="0" fontId="120" fillId="0" borderId="8" xfId="0" applyFont="1" applyBorder="1" applyAlignment="1">
      <alignment horizontal="center" vertical="center"/>
    </xf>
    <xf numFmtId="0" fontId="120" fillId="0" borderId="7" xfId="0" applyFont="1" applyBorder="1" applyAlignment="1">
      <alignment horizontal="center" vertical="center"/>
    </xf>
    <xf numFmtId="0" fontId="120" fillId="0" borderId="6" xfId="0" applyFont="1" applyBorder="1" applyAlignment="1">
      <alignment horizontal="center" vertical="center"/>
    </xf>
    <xf numFmtId="0" fontId="120" fillId="0" borderId="8" xfId="0" applyFont="1" applyBorder="1" applyAlignment="1">
      <alignment horizontal="center" vertical="center"/>
    </xf>
    <xf numFmtId="0" fontId="120" fillId="0" borderId="9" xfId="0" applyFont="1" applyBorder="1" applyAlignment="1">
      <alignment horizontal="center" vertical="center"/>
    </xf>
    <xf numFmtId="0" fontId="120" fillId="0" borderId="122" xfId="0" applyFont="1" applyBorder="1" applyAlignment="1">
      <alignment horizontal="center" vertical="center"/>
    </xf>
    <xf numFmtId="0" fontId="138" fillId="0" borderId="0" xfId="0" applyFont="1" applyAlignment="1">
      <alignment horizontal="center" vertical="center"/>
    </xf>
    <xf numFmtId="0" fontId="120" fillId="0" borderId="79" xfId="0" applyFont="1" applyBorder="1" applyAlignment="1">
      <alignment horizontal="center" vertical="center"/>
    </xf>
    <xf numFmtId="0" fontId="120" fillId="0" borderId="78" xfId="0" applyFont="1" applyBorder="1" applyAlignment="1">
      <alignment horizontal="center" vertical="center"/>
    </xf>
    <xf numFmtId="0" fontId="120" fillId="0" borderId="77" xfId="0" applyFont="1" applyBorder="1" applyAlignment="1">
      <alignment horizontal="center" vertical="center"/>
    </xf>
    <xf numFmtId="0" fontId="120" fillId="0" borderId="15" xfId="0" applyFont="1" applyBorder="1" applyAlignment="1">
      <alignment vertical="top"/>
    </xf>
    <xf numFmtId="0" fontId="120" fillId="0" borderId="5" xfId="0" applyFont="1" applyBorder="1" applyAlignment="1">
      <alignment vertical="top"/>
    </xf>
    <xf numFmtId="0" fontId="132" fillId="20" borderId="14" xfId="0" applyFont="1" applyFill="1" applyBorder="1" applyAlignment="1">
      <alignment horizontal="left" vertical="center"/>
    </xf>
    <xf numFmtId="0" fontId="132" fillId="20" borderId="13" xfId="0" applyFont="1" applyFill="1" applyBorder="1" applyAlignment="1">
      <alignment horizontal="left" vertical="center"/>
    </xf>
    <xf numFmtId="0" fontId="120" fillId="20" borderId="13" xfId="0" applyFont="1" applyFill="1" applyBorder="1" applyAlignment="1">
      <alignment vertical="center"/>
    </xf>
    <xf numFmtId="0" fontId="140" fillId="20" borderId="13" xfId="0" applyFont="1" applyFill="1" applyBorder="1" applyAlignment="1">
      <alignment vertical="center"/>
    </xf>
    <xf numFmtId="0" fontId="120" fillId="20" borderId="5" xfId="0" applyFont="1" applyFill="1" applyBorder="1" applyAlignment="1">
      <alignment vertical="center"/>
    </xf>
    <xf numFmtId="0" fontId="135" fillId="20" borderId="13" xfId="0" applyFont="1" applyFill="1" applyBorder="1" applyAlignment="1">
      <alignment vertical="center"/>
    </xf>
    <xf numFmtId="0" fontId="120" fillId="20" borderId="138" xfId="0" applyFont="1" applyFill="1" applyBorder="1" applyAlignment="1">
      <alignment horizontal="left" vertical="center" wrapText="1"/>
    </xf>
    <xf numFmtId="0" fontId="120" fillId="0" borderId="76" xfId="0" applyFont="1" applyBorder="1" applyAlignment="1">
      <alignment horizontal="center" vertical="center"/>
    </xf>
    <xf numFmtId="0" fontId="120" fillId="0" borderId="75" xfId="0" applyFont="1" applyBorder="1" applyAlignment="1">
      <alignment horizontal="center" vertical="center"/>
    </xf>
    <xf numFmtId="0" fontId="120" fillId="0" borderId="74" xfId="0" applyFont="1" applyBorder="1" applyAlignment="1">
      <alignment horizontal="center" vertical="center"/>
    </xf>
    <xf numFmtId="0" fontId="120" fillId="0" borderId="17" xfId="0" applyFont="1" applyBorder="1" applyAlignment="1">
      <alignment vertical="top"/>
    </xf>
    <xf numFmtId="0" fontId="120" fillId="0" borderId="17" xfId="0" applyFont="1" applyBorder="1" applyAlignment="1">
      <alignment horizontal="left" vertical="center" shrinkToFit="1"/>
    </xf>
    <xf numFmtId="0" fontId="120" fillId="0" borderId="28" xfId="0" applyFont="1" applyBorder="1" applyAlignment="1">
      <alignment vertical="center" shrinkToFit="1"/>
    </xf>
    <xf numFmtId="0" fontId="120" fillId="0" borderId="132" xfId="0" applyFont="1" applyBorder="1" applyAlignment="1">
      <alignment vertical="center"/>
    </xf>
    <xf numFmtId="0" fontId="132" fillId="0" borderId="130" xfId="0" applyFont="1" applyBorder="1" applyAlignment="1">
      <alignment vertical="center"/>
    </xf>
    <xf numFmtId="0" fontId="132" fillId="0" borderId="118" xfId="0" applyFont="1" applyBorder="1" applyAlignment="1" applyProtection="1">
      <alignment horizontal="center" vertical="center"/>
      <protection locked="0"/>
    </xf>
    <xf numFmtId="0" fontId="132" fillId="0" borderId="129" xfId="0" applyFont="1" applyBorder="1" applyAlignment="1">
      <alignment horizontal="center" vertical="center"/>
    </xf>
    <xf numFmtId="0" fontId="120" fillId="0" borderId="124" xfId="0" applyFont="1" applyBorder="1" applyAlignment="1">
      <alignment horizontal="left" vertical="center"/>
    </xf>
    <xf numFmtId="0" fontId="132" fillId="0" borderId="118" xfId="0" applyFont="1" applyBorder="1" applyAlignment="1" applyProtection="1">
      <alignment horizontal="center" vertical="center"/>
      <protection locked="0"/>
    </xf>
    <xf numFmtId="0" fontId="120" fillId="0" borderId="118" xfId="0" applyFont="1" applyBorder="1" applyAlignment="1">
      <alignment vertical="center"/>
    </xf>
    <xf numFmtId="0" fontId="132" fillId="0" borderId="117" xfId="0" applyFont="1" applyBorder="1" applyAlignment="1" applyProtection="1">
      <alignment horizontal="center" vertical="center"/>
      <protection locked="0"/>
    </xf>
    <xf numFmtId="0" fontId="120" fillId="0" borderId="132" xfId="0" applyFont="1" applyBorder="1" applyAlignment="1">
      <alignment horizontal="left" vertical="center"/>
    </xf>
    <xf numFmtId="0" fontId="120" fillId="0" borderId="73" xfId="0" applyFont="1" applyBorder="1" applyAlignment="1">
      <alignment horizontal="center" vertical="center"/>
    </xf>
    <xf numFmtId="0" fontId="120" fillId="0" borderId="72" xfId="0" applyFont="1" applyBorder="1" applyAlignment="1">
      <alignment horizontal="center" vertical="center"/>
    </xf>
    <xf numFmtId="0" fontId="120" fillId="0" borderId="71" xfId="0" applyFont="1" applyBorder="1" applyAlignment="1">
      <alignment horizontal="center" vertical="center"/>
    </xf>
    <xf numFmtId="0" fontId="120" fillId="0" borderId="1" xfId="0" applyFont="1" applyBorder="1" applyAlignment="1">
      <alignment vertical="top"/>
    </xf>
    <xf numFmtId="0" fontId="120" fillId="0" borderId="4" xfId="0" applyFont="1" applyBorder="1" applyAlignment="1">
      <alignment horizontal="left" vertical="center"/>
    </xf>
    <xf numFmtId="0" fontId="132" fillId="0" borderId="4" xfId="0" applyFont="1" applyBorder="1" applyAlignment="1" applyProtection="1">
      <alignment horizontal="center" vertical="center"/>
      <protection locked="0"/>
    </xf>
    <xf numFmtId="0" fontId="132" fillId="0" borderId="4" xfId="0" applyFont="1" applyBorder="1" applyAlignment="1">
      <alignment vertical="center"/>
    </xf>
    <xf numFmtId="0" fontId="120" fillId="0" borderId="3" xfId="0" applyFont="1" applyBorder="1" applyAlignment="1">
      <alignment horizontal="left" vertical="center" shrinkToFit="1"/>
    </xf>
    <xf numFmtId="0" fontId="120" fillId="0" borderId="25" xfId="0" applyFont="1" applyBorder="1" applyAlignment="1">
      <alignment vertical="center" shrinkToFit="1"/>
    </xf>
    <xf numFmtId="0" fontId="120" fillId="0" borderId="127" xfId="0" applyFont="1" applyBorder="1" applyAlignment="1">
      <alignment horizontal="left" vertical="center"/>
    </xf>
    <xf numFmtId="0" fontId="120" fillId="0" borderId="119" xfId="0" applyFont="1" applyBorder="1" applyAlignment="1">
      <alignment horizontal="left" vertical="center"/>
    </xf>
    <xf numFmtId="0" fontId="120" fillId="0" borderId="118" xfId="0" applyFont="1" applyBorder="1" applyAlignment="1">
      <alignment horizontal="left" vertical="center" wrapText="1"/>
    </xf>
    <xf numFmtId="0" fontId="132" fillId="0" borderId="118" xfId="0" applyFont="1" applyBorder="1" applyAlignment="1">
      <alignment vertical="center"/>
    </xf>
    <xf numFmtId="0" fontId="0" fillId="22" borderId="127" xfId="0" applyFill="1" applyBorder="1" applyAlignment="1">
      <alignment horizontal="left" vertical="center"/>
    </xf>
    <xf numFmtId="0" fontId="0" fillId="22" borderId="126" xfId="0" applyFill="1" applyBorder="1" applyAlignment="1">
      <alignment horizontal="left" vertical="center"/>
    </xf>
    <xf numFmtId="0" fontId="4" fillId="22" borderId="126" xfId="0" applyFont="1" applyFill="1" applyBorder="1" applyAlignment="1">
      <alignment vertical="center"/>
    </xf>
    <xf numFmtId="0" fontId="0" fillId="22" borderId="126" xfId="0" applyFill="1" applyBorder="1" applyAlignment="1">
      <alignment horizontal="center" vertical="center"/>
    </xf>
    <xf numFmtId="0" fontId="4" fillId="22" borderId="126" xfId="0" applyFont="1" applyFill="1" applyBorder="1" applyAlignment="1">
      <alignment horizontal="left" vertical="center" wrapText="1"/>
    </xf>
    <xf numFmtId="0" fontId="0" fillId="22" borderId="126" xfId="0" applyFill="1" applyBorder="1" applyAlignment="1">
      <alignment vertical="center"/>
    </xf>
    <xf numFmtId="0" fontId="4" fillId="22" borderId="128" xfId="0" applyFont="1" applyFill="1" applyBorder="1" applyAlignment="1">
      <alignment vertical="center"/>
    </xf>
    <xf numFmtId="0" fontId="132" fillId="20" borderId="119" xfId="0" applyFont="1" applyFill="1" applyBorder="1" applyAlignment="1">
      <alignment horizontal="left" vertical="center"/>
    </xf>
    <xf numFmtId="0" fontId="132" fillId="20" borderId="118" xfId="0" applyFont="1" applyFill="1" applyBorder="1" applyAlignment="1">
      <alignment horizontal="left" vertical="center"/>
    </xf>
    <xf numFmtId="0" fontId="120" fillId="20" borderId="118" xfId="0" applyFont="1" applyFill="1" applyBorder="1" applyAlignment="1">
      <alignment vertical="center"/>
    </xf>
    <xf numFmtId="0" fontId="140" fillId="20" borderId="118" xfId="0" applyFont="1" applyFill="1" applyBorder="1" applyAlignment="1">
      <alignment vertical="center"/>
    </xf>
    <xf numFmtId="0" fontId="120" fillId="20" borderId="0" xfId="0" applyFont="1" applyFill="1" applyAlignment="1">
      <alignment vertical="center"/>
    </xf>
    <xf numFmtId="0" fontId="135" fillId="20" borderId="118" xfId="0" applyFont="1" applyFill="1" applyBorder="1" applyAlignment="1">
      <alignment vertical="center"/>
    </xf>
    <xf numFmtId="0" fontId="120" fillId="20" borderId="132" xfId="0" applyFont="1" applyFill="1" applyBorder="1" applyAlignment="1">
      <alignment horizontal="left" vertical="center" wrapText="1"/>
    </xf>
    <xf numFmtId="0" fontId="120" fillId="0" borderId="146" xfId="0" applyFont="1" applyBorder="1" applyAlignment="1">
      <alignment horizontal="center" vertical="center"/>
    </xf>
    <xf numFmtId="0" fontId="120" fillId="0" borderId="142" xfId="0" applyFont="1" applyBorder="1" applyAlignment="1">
      <alignment horizontal="center" vertical="center"/>
    </xf>
    <xf numFmtId="0" fontId="120" fillId="0" borderId="131" xfId="0" applyFont="1" applyBorder="1" applyAlignment="1">
      <alignment horizontal="left" vertical="center" shrinkToFit="1"/>
    </xf>
    <xf numFmtId="0" fontId="120" fillId="0" borderId="119" xfId="0" applyFont="1" applyBorder="1" applyAlignment="1">
      <alignment vertical="center"/>
    </xf>
    <xf numFmtId="0" fontId="120" fillId="0" borderId="29" xfId="0" applyFont="1" applyBorder="1" applyAlignment="1">
      <alignment horizontal="left" vertical="center"/>
    </xf>
    <xf numFmtId="0" fontId="120" fillId="0" borderId="28" xfId="0" applyFont="1" applyBorder="1" applyAlignment="1">
      <alignment horizontal="left" vertical="center"/>
    </xf>
    <xf numFmtId="0" fontId="120" fillId="0" borderId="140" xfId="0" applyFont="1" applyBorder="1" applyAlignment="1">
      <alignment horizontal="center" vertical="center"/>
    </xf>
    <xf numFmtId="0" fontId="132" fillId="0" borderId="135" xfId="0" applyFont="1" applyBorder="1" applyAlignment="1">
      <alignment vertical="center"/>
    </xf>
    <xf numFmtId="0" fontId="120" fillId="0" borderId="16" xfId="0" applyFont="1" applyBorder="1" applyAlignment="1">
      <alignment vertical="top"/>
    </xf>
    <xf numFmtId="0" fontId="132" fillId="0" borderId="14" xfId="0" applyFont="1" applyBorder="1" applyAlignment="1">
      <alignment vertical="center"/>
    </xf>
    <xf numFmtId="0" fontId="120" fillId="0" borderId="138" xfId="0" applyFont="1" applyBorder="1" applyAlignment="1">
      <alignment horizontal="left" vertical="center"/>
    </xf>
    <xf numFmtId="0" fontId="120" fillId="0" borderId="16" xfId="0" applyFont="1" applyBorder="1" applyAlignment="1">
      <alignment horizontal="center" vertical="center" wrapText="1"/>
    </xf>
    <xf numFmtId="0" fontId="120" fillId="0" borderId="17" xfId="0" applyFont="1" applyBorder="1" applyAlignment="1">
      <alignment horizontal="center" vertical="center" wrapText="1"/>
    </xf>
    <xf numFmtId="0" fontId="120" fillId="0" borderId="5" xfId="0" applyFont="1" applyBorder="1" applyAlignment="1">
      <alignment horizontal="left" vertical="center"/>
    </xf>
    <xf numFmtId="0" fontId="132" fillId="0" borderId="129" xfId="0" applyFont="1" applyBorder="1" applyAlignment="1" applyProtection="1">
      <alignment horizontal="center" vertical="center" wrapText="1"/>
      <protection locked="0"/>
    </xf>
    <xf numFmtId="0" fontId="120" fillId="0" borderId="129" xfId="0" applyFont="1" applyBorder="1" applyAlignment="1">
      <alignment horizontal="left" vertical="center"/>
    </xf>
    <xf numFmtId="0" fontId="132" fillId="0" borderId="128" xfId="0" applyFont="1" applyBorder="1" applyAlignment="1" applyProtection="1">
      <alignment horizontal="center" vertical="center" wrapText="1"/>
      <protection locked="0"/>
    </xf>
    <xf numFmtId="0" fontId="120" fillId="0" borderId="141" xfId="0" applyFont="1" applyBorder="1" applyAlignment="1">
      <alignment horizontal="center" vertical="center"/>
    </xf>
    <xf numFmtId="0" fontId="132" fillId="0" borderId="0" xfId="0" applyFont="1" applyAlignment="1">
      <alignment vertical="center"/>
    </xf>
    <xf numFmtId="0" fontId="132" fillId="0" borderId="1" xfId="0" applyFont="1" applyBorder="1" applyAlignment="1">
      <alignment vertical="center"/>
    </xf>
    <xf numFmtId="0" fontId="120" fillId="0" borderId="4" xfId="0" applyFont="1" applyBorder="1" applyAlignment="1">
      <alignment horizontal="left" vertical="center"/>
    </xf>
    <xf numFmtId="0" fontId="132" fillId="0" borderId="4" xfId="0" applyFont="1" applyBorder="1" applyAlignment="1" applyProtection="1">
      <alignment horizontal="center" vertical="center"/>
      <protection locked="0"/>
    </xf>
    <xf numFmtId="0" fontId="132" fillId="0" borderId="3" xfId="0" applyFont="1" applyBorder="1" applyAlignment="1" applyProtection="1">
      <alignment horizontal="center" vertical="center"/>
      <protection locked="0"/>
    </xf>
    <xf numFmtId="0" fontId="120" fillId="0" borderId="25" xfId="0" applyFont="1" applyBorder="1" applyAlignment="1">
      <alignment horizontal="left" vertical="center" wrapText="1"/>
    </xf>
    <xf numFmtId="0" fontId="120" fillId="0" borderId="3" xfId="0" applyFont="1" applyBorder="1" applyAlignment="1">
      <alignment horizontal="center" vertical="center" wrapText="1"/>
    </xf>
    <xf numFmtId="0" fontId="0" fillId="0" borderId="79" xfId="0" applyBorder="1"/>
    <xf numFmtId="0" fontId="0" fillId="0" borderId="78" xfId="0" applyBorder="1"/>
    <xf numFmtId="0" fontId="0" fillId="0" borderId="77" xfId="0" applyBorder="1"/>
    <xf numFmtId="0" fontId="132" fillId="0" borderId="5" xfId="0" applyFont="1" applyBorder="1" applyAlignment="1" applyProtection="1">
      <alignment horizontal="center" vertical="center" wrapText="1"/>
      <protection locked="0"/>
    </xf>
    <xf numFmtId="0" fontId="132" fillId="0" borderId="16" xfId="0" applyFont="1" applyBorder="1" applyAlignment="1" applyProtection="1">
      <alignment horizontal="center" vertical="center" wrapText="1"/>
      <protection locked="0"/>
    </xf>
    <xf numFmtId="0" fontId="120" fillId="0" borderId="27" xfId="0" applyFont="1" applyBorder="1" applyAlignment="1">
      <alignment horizontal="left" vertical="center" wrapText="1"/>
    </xf>
    <xf numFmtId="0" fontId="0" fillId="0" borderId="76" xfId="0" applyBorder="1"/>
    <xf numFmtId="0" fontId="0" fillId="0" borderId="75" xfId="0" applyBorder="1"/>
    <xf numFmtId="0" fontId="0" fillId="0" borderId="74" xfId="0" applyBorder="1"/>
    <xf numFmtId="0" fontId="132" fillId="0" borderId="117" xfId="0" applyFont="1" applyBorder="1" applyAlignment="1" applyProtection="1">
      <alignment horizontal="center" vertical="center" wrapText="1"/>
      <protection locked="0"/>
    </xf>
    <xf numFmtId="0" fontId="120" fillId="0" borderId="74" xfId="0" applyFont="1" applyBorder="1" applyAlignment="1">
      <alignment vertical="top"/>
    </xf>
    <xf numFmtId="0" fontId="132" fillId="20" borderId="127" xfId="0" applyFont="1" applyFill="1" applyBorder="1" applyAlignment="1">
      <alignment horizontal="left" vertical="center"/>
    </xf>
    <xf numFmtId="0" fontId="132" fillId="20" borderId="126" xfId="0" applyFont="1" applyFill="1" applyBorder="1" applyAlignment="1">
      <alignment horizontal="left" vertical="center"/>
    </xf>
    <xf numFmtId="0" fontId="120" fillId="20" borderId="126" xfId="0" applyFont="1" applyFill="1" applyBorder="1" applyAlignment="1">
      <alignment vertical="center"/>
    </xf>
    <xf numFmtId="0" fontId="132" fillId="20" borderId="126" xfId="0" applyFont="1" applyFill="1" applyBorder="1" applyAlignment="1">
      <alignment horizontal="center" vertical="center"/>
    </xf>
    <xf numFmtId="0" fontId="92" fillId="20" borderId="126" xfId="0" applyFont="1" applyFill="1" applyBorder="1" applyAlignment="1">
      <alignment vertical="center"/>
    </xf>
    <xf numFmtId="0" fontId="137" fillId="0" borderId="126" xfId="0" applyFont="1" applyBorder="1" applyAlignment="1" applyProtection="1">
      <alignment horizontal="center" vertical="center"/>
      <protection locked="0"/>
    </xf>
    <xf numFmtId="0" fontId="92" fillId="20" borderId="126" xfId="0" applyFont="1" applyFill="1" applyBorder="1" applyAlignment="1">
      <alignment horizontal="left" vertical="center" wrapText="1"/>
    </xf>
    <xf numFmtId="0" fontId="137" fillId="20" borderId="126" xfId="0" applyFont="1" applyFill="1" applyBorder="1" applyAlignment="1">
      <alignment vertical="center"/>
    </xf>
    <xf numFmtId="0" fontId="137" fillId="0" borderId="125" xfId="0" applyFont="1" applyBorder="1" applyAlignment="1" applyProtection="1">
      <alignment horizontal="center" vertical="center"/>
      <protection locked="0"/>
    </xf>
    <xf numFmtId="0" fontId="92" fillId="20" borderId="125" xfId="0" applyFont="1" applyFill="1" applyBorder="1" applyAlignment="1">
      <alignment vertical="center"/>
    </xf>
    <xf numFmtId="0" fontId="120" fillId="0" borderId="27" xfId="0" applyFont="1" applyBorder="1" applyAlignment="1">
      <alignment vertical="center" wrapText="1"/>
    </xf>
    <xf numFmtId="0" fontId="132" fillId="20" borderId="130" xfId="0" applyFont="1" applyFill="1" applyBorder="1" applyAlignment="1">
      <alignment vertical="center"/>
    </xf>
    <xf numFmtId="0" fontId="132" fillId="20" borderId="129" xfId="0" applyFont="1" applyFill="1" applyBorder="1" applyAlignment="1">
      <alignment vertical="center"/>
    </xf>
    <xf numFmtId="0" fontId="92" fillId="20" borderId="131" xfId="0" applyFont="1" applyFill="1" applyBorder="1" applyAlignment="1">
      <alignment horizontal="left" vertical="center"/>
    </xf>
    <xf numFmtId="0" fontId="120" fillId="0" borderId="139" xfId="0" applyFont="1" applyBorder="1" applyAlignment="1">
      <alignment vertical="center"/>
    </xf>
    <xf numFmtId="0" fontId="120" fillId="0" borderId="29" xfId="0" applyFont="1" applyBorder="1" applyAlignment="1">
      <alignment horizontal="center" vertical="center" wrapText="1"/>
    </xf>
    <xf numFmtId="0" fontId="120" fillId="0" borderId="17" xfId="0" applyFont="1" applyBorder="1" applyAlignment="1">
      <alignment vertical="center" wrapText="1"/>
    </xf>
    <xf numFmtId="0" fontId="120" fillId="0" borderId="126" xfId="0" applyFont="1" applyBorder="1" applyAlignment="1">
      <alignment horizontal="left" vertical="center" wrapText="1"/>
    </xf>
    <xf numFmtId="0" fontId="120" fillId="0" borderId="4" xfId="0" applyFont="1" applyBorder="1" applyAlignment="1">
      <alignment horizontal="left" vertical="center" wrapText="1"/>
    </xf>
    <xf numFmtId="0" fontId="120" fillId="0" borderId="1" xfId="0" applyFont="1" applyBorder="1" applyAlignment="1">
      <alignment horizontal="center" vertical="center" wrapText="1"/>
    </xf>
    <xf numFmtId="0" fontId="120" fillId="0" borderId="3" xfId="0" applyFont="1" applyBorder="1" applyAlignment="1">
      <alignment vertical="center" wrapText="1"/>
    </xf>
    <xf numFmtId="0" fontId="0" fillId="0" borderId="79" xfId="0" applyBorder="1" applyAlignment="1">
      <alignment horizontal="center" vertical="center"/>
    </xf>
    <xf numFmtId="0" fontId="0" fillId="0" borderId="78" xfId="0" applyBorder="1" applyAlignment="1">
      <alignment horizontal="center" vertical="center"/>
    </xf>
    <xf numFmtId="0" fontId="0" fillId="0" borderId="77" xfId="0" applyBorder="1" applyAlignment="1">
      <alignment horizontal="center" vertical="center"/>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4" xfId="0" applyBorder="1" applyAlignment="1">
      <alignment horizontal="center" vertical="center"/>
    </xf>
    <xf numFmtId="0" fontId="120" fillId="0" borderId="125" xfId="0" applyFont="1" applyBorder="1" applyAlignment="1">
      <alignment vertical="center"/>
    </xf>
    <xf numFmtId="0" fontId="0" fillId="0" borderId="73" xfId="0" applyBorder="1" applyAlignment="1">
      <alignment horizontal="center" vertical="center"/>
    </xf>
    <xf numFmtId="0" fontId="0" fillId="0" borderId="72" xfId="0" applyBorder="1" applyAlignment="1">
      <alignment horizontal="center" vertical="center"/>
    </xf>
    <xf numFmtId="0" fontId="120" fillId="0" borderId="4" xfId="0" applyFont="1" applyBorder="1" applyAlignment="1">
      <alignment vertical="top"/>
    </xf>
    <xf numFmtId="0" fontId="132" fillId="20" borderId="135" xfId="0" applyFont="1" applyFill="1" applyBorder="1" applyAlignment="1">
      <alignment vertical="center"/>
    </xf>
    <xf numFmtId="0" fontId="132" fillId="20" borderId="134" xfId="0" applyFont="1" applyFill="1" applyBorder="1" applyAlignment="1">
      <alignment vertical="center"/>
    </xf>
    <xf numFmtId="0" fontId="137" fillId="20" borderId="134" xfId="0" applyFont="1" applyFill="1" applyBorder="1" applyAlignment="1">
      <alignment vertical="center"/>
    </xf>
    <xf numFmtId="0" fontId="92" fillId="20" borderId="134" xfId="0" applyFont="1" applyFill="1" applyBorder="1" applyAlignment="1">
      <alignment vertical="center"/>
    </xf>
    <xf numFmtId="0" fontId="137" fillId="0" borderId="134" xfId="0" applyFont="1" applyBorder="1" applyAlignment="1" applyProtection="1">
      <alignment horizontal="center" vertical="center"/>
      <protection locked="0"/>
    </xf>
    <xf numFmtId="0" fontId="92" fillId="20" borderId="134" xfId="0" applyFont="1" applyFill="1" applyBorder="1" applyAlignment="1">
      <alignment horizontal="left" vertical="center" wrapText="1"/>
    </xf>
    <xf numFmtId="0" fontId="137" fillId="0" borderId="133" xfId="0" applyFont="1" applyBorder="1" applyAlignment="1" applyProtection="1">
      <alignment horizontal="center" vertical="center"/>
      <protection locked="0"/>
    </xf>
    <xf numFmtId="0" fontId="92" fillId="20" borderId="139" xfId="0" applyFont="1" applyFill="1" applyBorder="1" applyAlignment="1">
      <alignment horizontal="left" vertical="center"/>
    </xf>
    <xf numFmtId="0" fontId="120" fillId="0" borderId="128" xfId="0" applyFont="1" applyBorder="1" applyAlignment="1">
      <alignment vertical="center" wrapText="1"/>
    </xf>
    <xf numFmtId="0" fontId="120" fillId="0" borderId="128" xfId="0" applyFont="1" applyBorder="1" applyAlignment="1">
      <alignment horizontal="left" vertical="center"/>
    </xf>
    <xf numFmtId="0" fontId="120" fillId="0" borderId="125" xfId="0" applyFont="1" applyBorder="1" applyAlignment="1">
      <alignment horizontal="left" vertical="center"/>
    </xf>
    <xf numFmtId="0" fontId="120" fillId="0" borderId="117" xfId="0" applyFont="1" applyBorder="1" applyAlignment="1">
      <alignment horizontal="left" vertical="center"/>
    </xf>
    <xf numFmtId="0" fontId="120" fillId="0" borderId="133" xfId="0" applyFont="1" applyBorder="1" applyAlignment="1">
      <alignment horizontal="left" vertical="center"/>
    </xf>
    <xf numFmtId="0" fontId="120" fillId="0" borderId="124" xfId="0" applyFont="1" applyBorder="1" applyAlignment="1">
      <alignment horizontal="left" vertical="center" wrapText="1"/>
    </xf>
    <xf numFmtId="0" fontId="120" fillId="0" borderId="135" xfId="0" applyFont="1" applyBorder="1" applyAlignment="1">
      <alignment horizontal="left" vertical="center"/>
    </xf>
    <xf numFmtId="0" fontId="120" fillId="0" borderId="145" xfId="0" applyFont="1" applyBorder="1" applyAlignment="1">
      <alignment vertical="center"/>
    </xf>
    <xf numFmtId="0" fontId="120" fillId="0" borderId="137" xfId="0" applyFont="1" applyBorder="1" applyAlignment="1">
      <alignment horizontal="left" vertical="center"/>
    </xf>
    <xf numFmtId="0" fontId="120" fillId="0" borderId="136" xfId="0" applyFont="1" applyBorder="1" applyAlignment="1">
      <alignment horizontal="left" vertical="center"/>
    </xf>
    <xf numFmtId="0" fontId="132" fillId="0" borderId="136" xfId="0" applyFont="1" applyBorder="1" applyAlignment="1" applyProtection="1">
      <alignment horizontal="center" vertical="center"/>
      <protection locked="0"/>
    </xf>
    <xf numFmtId="0" fontId="120" fillId="0" borderId="136" xfId="0" applyFont="1" applyBorder="1" applyAlignment="1">
      <alignment horizontal="left" vertical="center" wrapText="1"/>
    </xf>
    <xf numFmtId="0" fontId="120" fillId="0" borderId="136" xfId="0" applyFont="1" applyBorder="1" applyAlignment="1">
      <alignment vertical="center"/>
    </xf>
    <xf numFmtId="0" fontId="132" fillId="0" borderId="144" xfId="0" applyFont="1" applyBorder="1" applyAlignment="1" applyProtection="1">
      <alignment horizontal="center" vertical="center"/>
      <protection locked="0"/>
    </xf>
    <xf numFmtId="0" fontId="120" fillId="0" borderId="143" xfId="0" applyFont="1" applyBorder="1" applyAlignment="1">
      <alignment horizontal="left" vertical="center" wrapText="1"/>
    </xf>
    <xf numFmtId="0" fontId="120" fillId="0" borderId="131" xfId="0" applyFont="1" applyBorder="1" applyAlignment="1">
      <alignment horizontal="left" vertical="center" wrapText="1"/>
    </xf>
    <xf numFmtId="0" fontId="120" fillId="0" borderId="131" xfId="0" applyFont="1" applyBorder="1" applyAlignment="1">
      <alignment horizontal="left" vertical="center"/>
    </xf>
    <xf numFmtId="0" fontId="120" fillId="0" borderId="139" xfId="0" applyFont="1" applyBorder="1" applyAlignment="1">
      <alignment horizontal="left" vertical="center"/>
    </xf>
    <xf numFmtId="0" fontId="120" fillId="0" borderId="139" xfId="0" applyFont="1" applyBorder="1" applyAlignment="1">
      <alignment horizontal="left" vertical="center" wrapText="1"/>
    </xf>
    <xf numFmtId="0" fontId="132" fillId="0" borderId="5" xfId="0" applyFont="1" applyBorder="1" applyAlignment="1">
      <alignment horizontal="center" vertical="center"/>
    </xf>
    <xf numFmtId="0" fontId="120" fillId="0" borderId="27" xfId="0" applyFont="1" applyBorder="1" applyAlignment="1">
      <alignment horizontal="left" vertical="center"/>
    </xf>
    <xf numFmtId="0" fontId="132" fillId="0" borderId="125" xfId="0" applyFont="1" applyBorder="1" applyAlignment="1" applyProtection="1">
      <alignment horizontal="center" vertical="center" wrapText="1"/>
      <protection locked="0"/>
    </xf>
    <xf numFmtId="0" fontId="132" fillId="0" borderId="119" xfId="0" applyFont="1" applyBorder="1" applyAlignment="1">
      <alignment vertical="center"/>
    </xf>
    <xf numFmtId="0" fontId="132" fillId="0" borderId="14" xfId="0" applyFont="1" applyBorder="1" applyAlignment="1">
      <alignment horizontal="left" vertical="center"/>
    </xf>
    <xf numFmtId="0" fontId="132" fillId="0" borderId="13" xfId="0" applyFont="1" applyBorder="1" applyAlignment="1">
      <alignment horizontal="left" vertical="center"/>
    </xf>
    <xf numFmtId="0" fontId="132" fillId="0" borderId="136" xfId="0" applyFont="1" applyBorder="1" applyAlignment="1">
      <alignment horizontal="center" vertical="center"/>
    </xf>
    <xf numFmtId="0" fontId="120" fillId="0" borderId="132" xfId="0" applyFont="1" applyBorder="1" applyAlignment="1">
      <alignment horizontal="left" vertical="center" wrapText="1"/>
    </xf>
    <xf numFmtId="0" fontId="132" fillId="20" borderId="130" xfId="0" applyFont="1" applyFill="1" applyBorder="1" applyAlignment="1">
      <alignment horizontal="left" vertical="center"/>
    </xf>
    <xf numFmtId="0" fontId="132" fillId="20" borderId="129" xfId="0" applyFont="1" applyFill="1" applyBorder="1" applyAlignment="1">
      <alignment horizontal="left" vertical="center"/>
    </xf>
    <xf numFmtId="0" fontId="120" fillId="20" borderId="129" xfId="0" applyFont="1" applyFill="1" applyBorder="1" applyAlignment="1">
      <alignment vertical="center"/>
    </xf>
    <xf numFmtId="0" fontId="132" fillId="20" borderId="129" xfId="0" applyFont="1" applyFill="1" applyBorder="1" applyAlignment="1">
      <alignment horizontal="center" vertical="center"/>
    </xf>
    <xf numFmtId="0" fontId="132" fillId="0" borderId="134" xfId="0" applyFont="1" applyBorder="1" applyAlignment="1">
      <alignment horizontal="center" vertical="center"/>
    </xf>
    <xf numFmtId="0" fontId="141" fillId="0" borderId="5" xfId="0" applyFont="1" applyBorder="1" applyAlignment="1">
      <alignment horizontal="left" vertical="center"/>
    </xf>
    <xf numFmtId="0" fontId="0" fillId="0" borderId="17" xfId="0" applyBorder="1"/>
    <xf numFmtId="0" fontId="120" fillId="0" borderId="0" xfId="0" applyFont="1" applyAlignment="1">
      <alignment vertical="center" wrapText="1"/>
    </xf>
    <xf numFmtId="0" fontId="120" fillId="0" borderId="29" xfId="0" applyFont="1" applyBorder="1" applyAlignment="1">
      <alignment horizontal="center" vertical="center"/>
    </xf>
    <xf numFmtId="0" fontId="120" fillId="0" borderId="17" xfId="0" applyFont="1" applyBorder="1" applyAlignment="1">
      <alignment horizontal="center" vertical="center"/>
    </xf>
    <xf numFmtId="0" fontId="120" fillId="0" borderId="0" xfId="0" applyFont="1" applyAlignment="1">
      <alignment horizontal="center" vertical="center"/>
    </xf>
    <xf numFmtId="0" fontId="120" fillId="0" borderId="8" xfId="0" applyFont="1" applyBorder="1" applyAlignment="1" applyProtection="1">
      <alignment horizontal="center" vertical="center"/>
      <protection locked="0"/>
    </xf>
    <xf numFmtId="0" fontId="120" fillId="0" borderId="9" xfId="0" applyFont="1" applyBorder="1" applyAlignment="1" applyProtection="1">
      <alignment horizontal="center" vertical="center"/>
      <protection locked="0"/>
    </xf>
    <xf numFmtId="0" fontId="120" fillId="0" borderId="122" xfId="0" applyFont="1" applyBorder="1" applyAlignment="1" applyProtection="1">
      <alignment horizontal="center" vertical="center"/>
      <protection locked="0"/>
    </xf>
    <xf numFmtId="0" fontId="138" fillId="0" borderId="0" xfId="0" applyFont="1" applyAlignment="1">
      <alignment horizontal="center" vertical="center"/>
    </xf>
    <xf numFmtId="0" fontId="138" fillId="0" borderId="0" xfId="0" applyFont="1" applyAlignment="1">
      <alignment vertical="center"/>
    </xf>
    <xf numFmtId="0" fontId="120" fillId="0" borderId="27" xfId="0" applyFont="1" applyBorder="1" applyAlignment="1">
      <alignment vertical="center" wrapText="1"/>
    </xf>
    <xf numFmtId="0" fontId="120" fillId="0" borderId="124" xfId="0" applyFont="1" applyBorder="1" applyAlignment="1">
      <alignment vertical="center" wrapText="1"/>
    </xf>
    <xf numFmtId="0" fontId="120" fillId="20" borderId="135" xfId="0" applyFont="1" applyFill="1" applyBorder="1" applyAlignment="1">
      <alignment horizontal="left" vertical="center" wrapText="1"/>
    </xf>
    <xf numFmtId="0" fontId="120" fillId="20" borderId="134" xfId="0" applyFont="1" applyFill="1" applyBorder="1" applyAlignment="1">
      <alignment horizontal="left" vertical="center" wrapText="1"/>
    </xf>
    <xf numFmtId="0" fontId="120" fillId="20" borderId="134" xfId="0" applyFont="1" applyFill="1" applyBorder="1" applyAlignment="1">
      <alignment vertical="top"/>
    </xf>
    <xf numFmtId="0" fontId="120" fillId="20" borderId="134" xfId="0" applyFont="1" applyFill="1" applyBorder="1" applyAlignment="1">
      <alignment vertical="center"/>
    </xf>
    <xf numFmtId="0" fontId="132" fillId="20" borderId="134" xfId="0" applyFont="1" applyFill="1" applyBorder="1" applyAlignment="1">
      <alignment horizontal="left" vertical="center"/>
    </xf>
    <xf numFmtId="0" fontId="132" fillId="20" borderId="134" xfId="0" applyFont="1" applyFill="1" applyBorder="1" applyAlignment="1">
      <alignment horizontal="center" vertical="center"/>
    </xf>
    <xf numFmtId="0" fontId="92" fillId="20" borderId="133" xfId="0" applyFont="1" applyFill="1" applyBorder="1" applyAlignment="1">
      <alignment vertical="center"/>
    </xf>
    <xf numFmtId="0" fontId="120" fillId="0" borderId="16" xfId="0" applyFont="1" applyBorder="1" applyAlignment="1">
      <alignment vertical="center" wrapText="1"/>
    </xf>
    <xf numFmtId="0" fontId="142" fillId="0" borderId="17" xfId="0" applyFont="1" applyBorder="1" applyAlignment="1" applyProtection="1">
      <alignment horizontal="center" vertical="center"/>
      <protection locked="0"/>
    </xf>
    <xf numFmtId="0" fontId="120" fillId="0" borderId="254" xfId="0" applyFont="1" applyBorder="1" applyAlignment="1">
      <alignment vertical="center" wrapText="1" shrinkToFit="1"/>
    </xf>
    <xf numFmtId="0" fontId="120" fillId="0" borderId="15" xfId="0" applyFont="1" applyBorder="1" applyAlignment="1">
      <alignment horizontal="left" vertical="center" wrapText="1"/>
    </xf>
    <xf numFmtId="0" fontId="120" fillId="0" borderId="5" xfId="0" applyFont="1" applyBorder="1" applyAlignment="1">
      <alignment horizontal="left" vertical="center" wrapText="1"/>
    </xf>
    <xf numFmtId="0" fontId="120" fillId="0" borderId="13" xfId="0" applyFont="1" applyBorder="1" applyAlignment="1">
      <alignment horizontal="left" vertical="center"/>
    </xf>
    <xf numFmtId="0" fontId="132" fillId="0" borderId="13" xfId="0" applyFont="1" applyBorder="1" applyAlignment="1" applyProtection="1">
      <alignment horizontal="center" vertical="center" wrapText="1"/>
      <protection locked="0"/>
    </xf>
    <xf numFmtId="0" fontId="132" fillId="0" borderId="12" xfId="0" applyFont="1" applyBorder="1" applyAlignment="1" applyProtection="1">
      <alignment horizontal="center" vertical="center" wrapText="1"/>
      <protection locked="0"/>
    </xf>
    <xf numFmtId="0" fontId="0" fillId="0" borderId="15" xfId="0" applyBorder="1" applyAlignment="1">
      <alignment vertical="center"/>
    </xf>
    <xf numFmtId="0" fontId="0" fillId="0" borderId="5" xfId="0" applyBorder="1" applyAlignment="1">
      <alignment vertical="center"/>
    </xf>
    <xf numFmtId="0" fontId="0" fillId="0" borderId="16" xfId="0" applyBorder="1" applyAlignment="1">
      <alignment vertical="center"/>
    </xf>
    <xf numFmtId="0" fontId="135" fillId="0" borderId="27" xfId="0" applyFont="1" applyBorder="1" applyAlignment="1">
      <alignment horizontal="left" vertical="center"/>
    </xf>
    <xf numFmtId="0" fontId="143" fillId="0" borderId="15" xfId="0" applyFont="1" applyBorder="1" applyAlignment="1">
      <alignment vertical="center"/>
    </xf>
    <xf numFmtId="0" fontId="143" fillId="0" borderId="16" xfId="0" applyFont="1" applyBorder="1" applyAlignment="1">
      <alignment horizontal="center" vertical="center" wrapText="1"/>
    </xf>
    <xf numFmtId="0" fontId="143" fillId="0" borderId="15" xfId="0" applyFont="1" applyBorder="1" applyAlignment="1">
      <alignment vertical="center" wrapText="1"/>
    </xf>
    <xf numFmtId="0" fontId="143" fillId="0" borderId="16" xfId="0" applyFont="1" applyBorder="1" applyAlignment="1">
      <alignment horizontal="left" vertical="center"/>
    </xf>
    <xf numFmtId="0" fontId="143" fillId="0" borderId="27" xfId="0" applyFont="1" applyBorder="1" applyAlignment="1">
      <alignment vertical="center"/>
    </xf>
    <xf numFmtId="0" fontId="143" fillId="0" borderId="15" xfId="0" applyFont="1" applyBorder="1" applyAlignment="1">
      <alignment horizontal="center" vertical="center"/>
    </xf>
    <xf numFmtId="0" fontId="143" fillId="0" borderId="16" xfId="0" applyFont="1" applyBorder="1" applyAlignment="1">
      <alignment vertical="center"/>
    </xf>
    <xf numFmtId="0" fontId="143" fillId="0" borderId="29" xfId="0" applyFont="1" applyBorder="1" applyAlignment="1">
      <alignment vertical="top"/>
    </xf>
    <xf numFmtId="0" fontId="143" fillId="0" borderId="0" xfId="0" applyFont="1" applyAlignment="1">
      <alignment vertical="top"/>
    </xf>
    <xf numFmtId="0" fontId="0" fillId="0" borderId="29" xfId="0" applyBorder="1" applyAlignment="1">
      <alignment vertical="center"/>
    </xf>
    <xf numFmtId="0" fontId="0" fillId="0" borderId="0" xfId="0" applyAlignment="1">
      <alignment vertical="center"/>
    </xf>
    <xf numFmtId="0" fontId="0" fillId="0" borderId="17" xfId="0" applyBorder="1" applyAlignment="1">
      <alignment vertical="center"/>
    </xf>
    <xf numFmtId="0" fontId="135" fillId="0" borderId="28" xfId="0" applyFont="1" applyBorder="1" applyAlignment="1">
      <alignment horizontal="left" vertical="center"/>
    </xf>
    <xf numFmtId="0" fontId="143" fillId="0" borderId="29" xfId="0" applyFont="1" applyBorder="1" applyAlignment="1">
      <alignment vertical="center"/>
    </xf>
    <xf numFmtId="0" fontId="143" fillId="0" borderId="17" xfId="0" applyFont="1" applyBorder="1" applyAlignment="1">
      <alignment horizontal="left" vertical="center" wrapText="1"/>
    </xf>
    <xf numFmtId="0" fontId="143" fillId="0" borderId="1" xfId="0" applyFont="1" applyBorder="1" applyAlignment="1">
      <alignment vertical="top"/>
    </xf>
    <xf numFmtId="0" fontId="143" fillId="0" borderId="4" xfId="0" applyFont="1" applyBorder="1" applyAlignment="1">
      <alignment vertical="top"/>
    </xf>
    <xf numFmtId="0" fontId="0" fillId="0" borderId="1" xfId="0" applyBorder="1" applyAlignment="1">
      <alignment vertical="center"/>
    </xf>
    <xf numFmtId="0" fontId="0" fillId="0" borderId="4" xfId="0" applyBorder="1" applyAlignment="1">
      <alignment vertical="center"/>
    </xf>
    <xf numFmtId="0" fontId="144" fillId="0" borderId="3" xfId="0" applyFont="1" applyBorder="1" applyAlignment="1">
      <alignment horizontal="left" vertical="center"/>
    </xf>
    <xf numFmtId="0" fontId="135" fillId="0" borderId="25" xfId="0" applyFont="1" applyBorder="1" applyAlignment="1">
      <alignment horizontal="left" vertical="center"/>
    </xf>
    <xf numFmtId="0" fontId="143" fillId="0" borderId="1" xfId="0" applyFont="1" applyBorder="1" applyAlignment="1">
      <alignment vertical="center"/>
    </xf>
    <xf numFmtId="0" fontId="143" fillId="0" borderId="3" xfId="0" applyFont="1" applyBorder="1" applyAlignment="1">
      <alignment horizontal="left" vertical="center" wrapText="1"/>
    </xf>
    <xf numFmtId="0" fontId="120" fillId="0" borderId="124" xfId="0" applyFont="1" applyBorder="1" applyAlignment="1">
      <alignment vertical="center"/>
    </xf>
    <xf numFmtId="0" fontId="0" fillId="0" borderId="73" xfId="0" applyBorder="1"/>
    <xf numFmtId="0" fontId="0" fillId="0" borderId="72" xfId="0" applyBorder="1"/>
    <xf numFmtId="0" fontId="120" fillId="0" borderId="71" xfId="0" applyFont="1" applyBorder="1" applyAlignment="1">
      <alignment vertical="top"/>
    </xf>
    <xf numFmtId="0" fontId="132" fillId="20" borderId="135" xfId="0" applyFont="1" applyFill="1" applyBorder="1" applyAlignment="1">
      <alignment horizontal="left" vertical="center"/>
    </xf>
    <xf numFmtId="14" fontId="120" fillId="0" borderId="0" xfId="0" applyNumberFormat="1" applyFont="1" applyAlignment="1">
      <alignment horizontal="left" vertical="center"/>
    </xf>
    <xf numFmtId="0" fontId="132" fillId="22" borderId="129" xfId="0" applyFont="1" applyFill="1" applyBorder="1" applyAlignment="1" applyProtection="1">
      <alignment horizontal="center" vertical="center"/>
      <protection locked="0"/>
    </xf>
    <xf numFmtId="0" fontId="132" fillId="22" borderId="128" xfId="0" applyFont="1" applyFill="1" applyBorder="1" applyAlignment="1" applyProtection="1">
      <alignment horizontal="center" vertical="center"/>
      <protection locked="0"/>
    </xf>
    <xf numFmtId="0" fontId="120" fillId="0" borderId="126" xfId="0" applyFont="1" applyBorder="1" applyAlignment="1" applyProtection="1">
      <alignment horizontal="left" vertical="center"/>
      <protection locked="0"/>
    </xf>
    <xf numFmtId="0" fontId="0" fillId="0" borderId="71" xfId="0" applyBorder="1" applyAlignment="1">
      <alignment horizontal="center" vertical="center"/>
    </xf>
    <xf numFmtId="0" fontId="0" fillId="0" borderId="79" xfId="0" applyBorder="1" applyAlignment="1">
      <alignment vertical="top"/>
    </xf>
    <xf numFmtId="0" fontId="0" fillId="0" borderId="78" xfId="0" applyBorder="1" applyAlignment="1">
      <alignment vertical="top"/>
    </xf>
    <xf numFmtId="0" fontId="0" fillId="0" borderId="77" xfId="0" applyBorder="1" applyAlignment="1">
      <alignment vertical="top"/>
    </xf>
    <xf numFmtId="0" fontId="0" fillId="0" borderId="76" xfId="0" applyBorder="1" applyAlignment="1">
      <alignment vertical="top"/>
    </xf>
    <xf numFmtId="0" fontId="0" fillId="0" borderId="75" xfId="0" applyBorder="1" applyAlignment="1">
      <alignment vertical="top"/>
    </xf>
    <xf numFmtId="0" fontId="0" fillId="0" borderId="74" xfId="0" applyBorder="1" applyAlignment="1">
      <alignment vertical="top"/>
    </xf>
    <xf numFmtId="0" fontId="0" fillId="0" borderId="73" xfId="0" applyBorder="1" applyAlignment="1">
      <alignment vertical="top"/>
    </xf>
    <xf numFmtId="0" fontId="0" fillId="0" borderId="72" xfId="0" applyBorder="1" applyAlignment="1">
      <alignment vertical="top"/>
    </xf>
    <xf numFmtId="0" fontId="140" fillId="0" borderId="119" xfId="0" applyFont="1" applyBorder="1" applyAlignment="1">
      <alignment horizontal="left" vertical="center"/>
    </xf>
    <xf numFmtId="0" fontId="140" fillId="0" borderId="118" xfId="0" applyFont="1" applyBorder="1" applyAlignment="1">
      <alignment horizontal="left" vertical="center"/>
    </xf>
    <xf numFmtId="0" fontId="120" fillId="0" borderId="79" xfId="0" applyFont="1" applyBorder="1" applyAlignment="1">
      <alignment horizontal="center" vertical="top"/>
    </xf>
    <xf numFmtId="0" fontId="120" fillId="0" borderId="78" xfId="0" applyFont="1" applyBorder="1" applyAlignment="1">
      <alignment horizontal="center" vertical="top"/>
    </xf>
    <xf numFmtId="0" fontId="120" fillId="0" borderId="77" xfId="0" applyFont="1" applyBorder="1" applyAlignment="1">
      <alignment horizontal="center" vertical="top"/>
    </xf>
    <xf numFmtId="0" fontId="120" fillId="0" borderId="76" xfId="0" applyFont="1" applyBorder="1" applyAlignment="1">
      <alignment horizontal="center" vertical="top"/>
    </xf>
    <xf numFmtId="0" fontId="120" fillId="0" borderId="75" xfId="0" applyFont="1" applyBorder="1" applyAlignment="1">
      <alignment horizontal="center" vertical="top"/>
    </xf>
    <xf numFmtId="0" fontId="120" fillId="0" borderId="74" xfId="0" applyFont="1" applyBorder="1" applyAlignment="1">
      <alignment horizontal="center" vertical="top"/>
    </xf>
    <xf numFmtId="0" fontId="120" fillId="0" borderId="73" xfId="0" applyFont="1" applyBorder="1" applyAlignment="1">
      <alignment horizontal="center" vertical="top"/>
    </xf>
    <xf numFmtId="0" fontId="120" fillId="0" borderId="72" xfId="0" applyFont="1" applyBorder="1" applyAlignment="1">
      <alignment horizontal="center" vertical="top"/>
    </xf>
    <xf numFmtId="0" fontId="120" fillId="0" borderId="71" xfId="0" applyFont="1" applyBorder="1" applyAlignment="1">
      <alignment horizontal="center" vertical="top"/>
    </xf>
    <xf numFmtId="0" fontId="132" fillId="0" borderId="255" xfId="0" applyFont="1" applyBorder="1" applyAlignment="1" applyProtection="1">
      <alignment horizontal="center" vertical="center"/>
      <protection locked="0"/>
    </xf>
    <xf numFmtId="0" fontId="120" fillId="0" borderId="11" xfId="0" applyFont="1" applyBorder="1" applyAlignment="1" applyProtection="1">
      <alignment horizontal="center" vertical="center"/>
      <protection locked="0"/>
    </xf>
    <xf numFmtId="0" fontId="138" fillId="0" borderId="0" xfId="0" applyFont="1" applyAlignment="1">
      <alignment horizontal="left" vertical="center"/>
    </xf>
  </cellXfs>
  <cellStyles count="24">
    <cellStyle name="パーセント" xfId="1" builtinId="5"/>
    <cellStyle name="パーセント 2" xfId="2" xr:uid="{00000000-0005-0000-0000-000001000000}"/>
    <cellStyle name="パーセント 2 2" xfId="3" xr:uid="{00000000-0005-0000-0000-000002000000}"/>
    <cellStyle name="パーセント 2 2 2" xfId="22" xr:uid="{11D2468D-E7FD-4683-AE4F-05E735927478}"/>
    <cellStyle name="ハイパーリンク" xfId="23" builtinId="8"/>
    <cellStyle name="桁区切り" xfId="4" builtinId="6"/>
    <cellStyle name="桁区切り 2" xfId="5" xr:uid="{00000000-0005-0000-0000-000004000000}"/>
    <cellStyle name="桁区切り 2 2" xfId="16" xr:uid="{8406874F-41ED-4EBA-8B36-572FA362BE70}"/>
    <cellStyle name="桁区切り 2 3" xfId="20" xr:uid="{65F093BA-A83B-4EF0-97E3-DF7117987868}"/>
    <cellStyle name="桁区切り 3" xfId="6" xr:uid="{00000000-0005-0000-0000-000005000000}"/>
    <cellStyle name="桁区切り 4" xfId="18" xr:uid="{E544318F-382C-46C6-ABD6-6719BAB5DF38}"/>
    <cellStyle name="標準" xfId="0" builtinId="0"/>
    <cellStyle name="標準 2" xfId="7" xr:uid="{00000000-0005-0000-0000-000007000000}"/>
    <cellStyle name="標準 2 2" xfId="8" xr:uid="{00000000-0005-0000-0000-000008000000}"/>
    <cellStyle name="標準 2 3" xfId="12" xr:uid="{BE0BF5C7-C8E6-4E5E-8FC8-BC44936C39A5}"/>
    <cellStyle name="標準 2 4" xfId="17" xr:uid="{3D838BF5-49C2-4E7C-A32A-6659389E0BB5}"/>
    <cellStyle name="標準 3" xfId="9" xr:uid="{00000000-0005-0000-0000-000009000000}"/>
    <cellStyle name="標準 3 2" xfId="10" xr:uid="{00000000-0005-0000-0000-00000A000000}"/>
    <cellStyle name="標準 3 2 2" xfId="21" xr:uid="{A5CEF4F5-4F0A-4404-BF05-D085FF5253E5}"/>
    <cellStyle name="標準 5" xfId="11" xr:uid="{00000000-0005-0000-0000-00000B000000}"/>
    <cellStyle name="標準_~9263894 2" xfId="19" xr:uid="{06F3DBF1-6843-404F-911E-AF2D2686096B}"/>
    <cellStyle name="標準_第１号様式・付表" xfId="14" xr:uid="{AFB0AE69-2A5B-4929-BDD6-4B68F5C695F6}"/>
    <cellStyle name="標準_付表　訪問介護　修正版_第一号様式 2" xfId="13" xr:uid="{D725E32B-4270-4812-9FDD-53E0955EDCBD}"/>
    <cellStyle name="標準_付表　訪問介護　修正版_第一号様式 2 2" xfId="15" xr:uid="{42A74F69-1517-41AB-AD38-1CF24E366891}"/>
  </cellStyles>
  <dxfs count="5">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1003356" y="827314"/>
          <a:ext cx="4190866" cy="37888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34</xdr:col>
      <xdr:colOff>260350</xdr:colOff>
      <xdr:row>33</xdr:row>
      <xdr:rowOff>120650</xdr:rowOff>
    </xdr:from>
    <xdr:to>
      <xdr:col>37</xdr:col>
      <xdr:colOff>22020</xdr:colOff>
      <xdr:row>35</xdr:row>
      <xdr:rowOff>205929</xdr:rowOff>
    </xdr:to>
    <xdr:sp macro="" textlink="" fLocksText="0">
      <xdr:nvSpPr>
        <xdr:cNvPr id="4" name="正方形/長方形 3">
          <a:extLst>
            <a:ext uri="{FF2B5EF4-FFF2-40B4-BE49-F238E27FC236}">
              <a16:creationId xmlns:a16="http://schemas.microsoft.com/office/drawing/2014/main" id="{00000000-0008-0000-2500-000004000000}"/>
            </a:ext>
          </a:extLst>
        </xdr:cNvPr>
        <xdr:cNvSpPr/>
      </xdr:nvSpPr>
      <xdr:spPr>
        <a:xfrm>
          <a:off x="11811000" y="7762875"/>
          <a:ext cx="1393704" cy="4821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91440" tIns="45720" rIns="91440" bIns="45720" anchor="ctr"/>
        <a:lstStyle/>
        <a:p>
          <a:pPr algn="ctr"/>
          <a:r>
            <a:rPr lang="ja-JP" altLang="en-US" sz="1600"/>
            <a:t>記　載　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84259" y="825500"/>
          <a:ext cx="5902173" cy="34895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251460</xdr:rowOff>
        </xdr:to>
        <xdr:sp macro="" textlink="">
          <xdr:nvSpPr>
            <xdr:cNvPr id="675841" name="Check Box 1" hidden="1">
              <a:extLst>
                <a:ext uri="{63B3BB69-23CF-44E3-9099-C40C66FF867C}">
                  <a14:compatExt spid="_x0000_s675841"/>
                </a:ext>
                <a:ext uri="{FF2B5EF4-FFF2-40B4-BE49-F238E27FC236}">
                  <a16:creationId xmlns:a16="http://schemas.microsoft.com/office/drawing/2014/main" id="{00000000-0008-0000-1100-000001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251460</xdr:rowOff>
        </xdr:to>
        <xdr:sp macro="" textlink="">
          <xdr:nvSpPr>
            <xdr:cNvPr id="675842" name="Check Box 2" hidden="1">
              <a:extLst>
                <a:ext uri="{63B3BB69-23CF-44E3-9099-C40C66FF867C}">
                  <a14:compatExt spid="_x0000_s675842"/>
                </a:ext>
                <a:ext uri="{FF2B5EF4-FFF2-40B4-BE49-F238E27FC236}">
                  <a16:creationId xmlns:a16="http://schemas.microsoft.com/office/drawing/2014/main" id="{00000000-0008-0000-1100-000002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75843" name="Check Box 3" hidden="1">
              <a:extLst>
                <a:ext uri="{63B3BB69-23CF-44E3-9099-C40C66FF867C}">
                  <a14:compatExt spid="_x0000_s675843"/>
                </a:ext>
                <a:ext uri="{FF2B5EF4-FFF2-40B4-BE49-F238E27FC236}">
                  <a16:creationId xmlns:a16="http://schemas.microsoft.com/office/drawing/2014/main" id="{00000000-0008-0000-1100-000003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75844" name="Check Box 4" hidden="1">
              <a:extLst>
                <a:ext uri="{63B3BB69-23CF-44E3-9099-C40C66FF867C}">
                  <a14:compatExt spid="_x0000_s675844"/>
                </a:ext>
                <a:ext uri="{FF2B5EF4-FFF2-40B4-BE49-F238E27FC236}">
                  <a16:creationId xmlns:a16="http://schemas.microsoft.com/office/drawing/2014/main" id="{00000000-0008-0000-1100-000004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251460</xdr:rowOff>
        </xdr:to>
        <xdr:sp macro="" textlink="">
          <xdr:nvSpPr>
            <xdr:cNvPr id="675845" name="Check Box 5" hidden="1">
              <a:extLst>
                <a:ext uri="{63B3BB69-23CF-44E3-9099-C40C66FF867C}">
                  <a14:compatExt spid="_x0000_s675845"/>
                </a:ext>
                <a:ext uri="{FF2B5EF4-FFF2-40B4-BE49-F238E27FC236}">
                  <a16:creationId xmlns:a16="http://schemas.microsoft.com/office/drawing/2014/main" id="{00000000-0008-0000-1100-0000055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4530" name="AutoShape 3">
          <a:extLst>
            <a:ext uri="{FF2B5EF4-FFF2-40B4-BE49-F238E27FC236}">
              <a16:creationId xmlns:a16="http://schemas.microsoft.com/office/drawing/2014/main" id="{00000000-0008-0000-1B00-000042C4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7620</xdr:rowOff>
        </xdr:to>
        <xdr:sp macro="" textlink="">
          <xdr:nvSpPr>
            <xdr:cNvPr id="600065" name="Check Box 1" hidden="1">
              <a:extLst>
                <a:ext uri="{63B3BB69-23CF-44E3-9099-C40C66FF867C}">
                  <a14:compatExt spid="_x0000_s600065"/>
                </a:ext>
                <a:ext uri="{FF2B5EF4-FFF2-40B4-BE49-F238E27FC236}">
                  <a16:creationId xmlns:a16="http://schemas.microsoft.com/office/drawing/2014/main" id="{00000000-0008-0000-2000-000001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30480</xdr:colOff>
          <xdr:row>19</xdr:row>
          <xdr:rowOff>7620</xdr:rowOff>
        </xdr:to>
        <xdr:sp macro="" textlink="">
          <xdr:nvSpPr>
            <xdr:cNvPr id="600066" name="Check Box 2" hidden="1">
              <a:extLst>
                <a:ext uri="{63B3BB69-23CF-44E3-9099-C40C66FF867C}">
                  <a14:compatExt spid="_x0000_s600066"/>
                </a:ext>
                <a:ext uri="{FF2B5EF4-FFF2-40B4-BE49-F238E27FC236}">
                  <a16:creationId xmlns:a16="http://schemas.microsoft.com/office/drawing/2014/main" id="{00000000-0008-0000-2000-000002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7620</xdr:rowOff>
        </xdr:to>
        <xdr:sp macro="" textlink="">
          <xdr:nvSpPr>
            <xdr:cNvPr id="600067" name="Check Box 3" hidden="1">
              <a:extLst>
                <a:ext uri="{63B3BB69-23CF-44E3-9099-C40C66FF867C}">
                  <a14:compatExt spid="_x0000_s600067"/>
                </a:ext>
                <a:ext uri="{FF2B5EF4-FFF2-40B4-BE49-F238E27FC236}">
                  <a16:creationId xmlns:a16="http://schemas.microsoft.com/office/drawing/2014/main" id="{00000000-0008-0000-2000-000003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30480</xdr:colOff>
          <xdr:row>31</xdr:row>
          <xdr:rowOff>7620</xdr:rowOff>
        </xdr:to>
        <xdr:sp macro="" textlink="">
          <xdr:nvSpPr>
            <xdr:cNvPr id="600068" name="Check Box 4" hidden="1">
              <a:extLst>
                <a:ext uri="{63B3BB69-23CF-44E3-9099-C40C66FF867C}">
                  <a14:compatExt spid="_x0000_s600068"/>
                </a:ext>
                <a:ext uri="{FF2B5EF4-FFF2-40B4-BE49-F238E27FC236}">
                  <a16:creationId xmlns:a16="http://schemas.microsoft.com/office/drawing/2014/main" id="{00000000-0008-0000-2000-00000428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2</xdr:row>
          <xdr:rowOff>213360</xdr:rowOff>
        </xdr:from>
        <xdr:to>
          <xdr:col>13</xdr:col>
          <xdr:colOff>0</xdr:colOff>
          <xdr:row>4</xdr:row>
          <xdr:rowOff>22860</xdr:rowOff>
        </xdr:to>
        <xdr:sp macro="" textlink="">
          <xdr:nvSpPr>
            <xdr:cNvPr id="601089" name="Check Box 1" hidden="1">
              <a:extLst>
                <a:ext uri="{63B3BB69-23CF-44E3-9099-C40C66FF867C}">
                  <a14:compatExt spid="_x0000_s601089"/>
                </a:ext>
                <a:ext uri="{FF2B5EF4-FFF2-40B4-BE49-F238E27FC236}">
                  <a16:creationId xmlns:a16="http://schemas.microsoft.com/office/drawing/2014/main" id="{00000000-0008-0000-2100-000001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xdr:row>
          <xdr:rowOff>213360</xdr:rowOff>
        </xdr:from>
        <xdr:to>
          <xdr:col>21</xdr:col>
          <xdr:colOff>38100</xdr:colOff>
          <xdr:row>4</xdr:row>
          <xdr:rowOff>22860</xdr:rowOff>
        </xdr:to>
        <xdr:sp macro="" textlink="">
          <xdr:nvSpPr>
            <xdr:cNvPr id="601090" name="Check Box 2" hidden="1">
              <a:extLst>
                <a:ext uri="{63B3BB69-23CF-44E3-9099-C40C66FF867C}">
                  <a14:compatExt spid="_x0000_s601090"/>
                </a:ext>
                <a:ext uri="{FF2B5EF4-FFF2-40B4-BE49-F238E27FC236}">
                  <a16:creationId xmlns:a16="http://schemas.microsoft.com/office/drawing/2014/main" id="{00000000-0008-0000-2100-000002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xdr:row>
          <xdr:rowOff>0</xdr:rowOff>
        </xdr:from>
        <xdr:to>
          <xdr:col>13</xdr:col>
          <xdr:colOff>0</xdr:colOff>
          <xdr:row>16</xdr:row>
          <xdr:rowOff>22860</xdr:rowOff>
        </xdr:to>
        <xdr:sp macro="" textlink="">
          <xdr:nvSpPr>
            <xdr:cNvPr id="601091" name="Check Box 3" hidden="1">
              <a:extLst>
                <a:ext uri="{63B3BB69-23CF-44E3-9099-C40C66FF867C}">
                  <a14:compatExt spid="_x0000_s601091"/>
                </a:ext>
                <a:ext uri="{FF2B5EF4-FFF2-40B4-BE49-F238E27FC236}">
                  <a16:creationId xmlns:a16="http://schemas.microsoft.com/office/drawing/2014/main" id="{00000000-0008-0000-2100-000003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xdr:row>
          <xdr:rowOff>0</xdr:rowOff>
        </xdr:from>
        <xdr:to>
          <xdr:col>21</xdr:col>
          <xdr:colOff>38100</xdr:colOff>
          <xdr:row>16</xdr:row>
          <xdr:rowOff>22860</xdr:rowOff>
        </xdr:to>
        <xdr:sp macro="" textlink="">
          <xdr:nvSpPr>
            <xdr:cNvPr id="601092" name="Check Box 4" hidden="1">
              <a:extLst>
                <a:ext uri="{63B3BB69-23CF-44E3-9099-C40C66FF867C}">
                  <a14:compatExt spid="_x0000_s601092"/>
                </a:ext>
                <a:ext uri="{FF2B5EF4-FFF2-40B4-BE49-F238E27FC236}">
                  <a16:creationId xmlns:a16="http://schemas.microsoft.com/office/drawing/2014/main" id="{00000000-0008-0000-2100-0000042C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160020</xdr:colOff>
          <xdr:row>16</xdr:row>
          <xdr:rowOff>30480</xdr:rowOff>
        </xdr:from>
        <xdr:to>
          <xdr:col>11</xdr:col>
          <xdr:colOff>0</xdr:colOff>
          <xdr:row>16</xdr:row>
          <xdr:rowOff>289560</xdr:rowOff>
        </xdr:to>
        <xdr:sp macro="" textlink="">
          <xdr:nvSpPr>
            <xdr:cNvPr id="638977" name="Check Box 1" hidden="1">
              <a:extLst>
                <a:ext uri="{63B3BB69-23CF-44E3-9099-C40C66FF867C}">
                  <a14:compatExt spid="_x0000_s638977"/>
                </a:ext>
                <a:ext uri="{FF2B5EF4-FFF2-40B4-BE49-F238E27FC236}">
                  <a16:creationId xmlns:a16="http://schemas.microsoft.com/office/drawing/2014/main" id="{00000000-0008-0000-2200-000001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16</xdr:row>
          <xdr:rowOff>45720</xdr:rowOff>
        </xdr:from>
        <xdr:to>
          <xdr:col>12</xdr:col>
          <xdr:colOff>0</xdr:colOff>
          <xdr:row>16</xdr:row>
          <xdr:rowOff>274320</xdr:rowOff>
        </xdr:to>
        <xdr:sp macro="" textlink="">
          <xdr:nvSpPr>
            <xdr:cNvPr id="638978" name="Check Box 2" hidden="1">
              <a:extLst>
                <a:ext uri="{63B3BB69-23CF-44E3-9099-C40C66FF867C}">
                  <a14:compatExt spid="_x0000_s638978"/>
                </a:ext>
                <a:ext uri="{FF2B5EF4-FFF2-40B4-BE49-F238E27FC236}">
                  <a16:creationId xmlns:a16="http://schemas.microsoft.com/office/drawing/2014/main" id="{00000000-0008-0000-2200-000002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16</xdr:row>
          <xdr:rowOff>60960</xdr:rowOff>
        </xdr:from>
        <xdr:to>
          <xdr:col>18</xdr:col>
          <xdr:colOff>7620</xdr:colOff>
          <xdr:row>16</xdr:row>
          <xdr:rowOff>274320</xdr:rowOff>
        </xdr:to>
        <xdr:sp macro="" textlink="">
          <xdr:nvSpPr>
            <xdr:cNvPr id="638979" name="Check Box 3" hidden="1">
              <a:extLst>
                <a:ext uri="{63B3BB69-23CF-44E3-9099-C40C66FF867C}">
                  <a14:compatExt spid="_x0000_s638979"/>
                </a:ext>
                <a:ext uri="{FF2B5EF4-FFF2-40B4-BE49-F238E27FC236}">
                  <a16:creationId xmlns:a16="http://schemas.microsoft.com/office/drawing/2014/main" id="{00000000-0008-0000-2200-000003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xdr:row>
          <xdr:rowOff>60960</xdr:rowOff>
        </xdr:from>
        <xdr:to>
          <xdr:col>17</xdr:col>
          <xdr:colOff>0</xdr:colOff>
          <xdr:row>16</xdr:row>
          <xdr:rowOff>274320</xdr:rowOff>
        </xdr:to>
        <xdr:sp macro="" textlink="">
          <xdr:nvSpPr>
            <xdr:cNvPr id="638980" name="Check Box 4" hidden="1">
              <a:extLst>
                <a:ext uri="{63B3BB69-23CF-44E3-9099-C40C66FF867C}">
                  <a14:compatExt spid="_x0000_s638980"/>
                </a:ext>
                <a:ext uri="{FF2B5EF4-FFF2-40B4-BE49-F238E27FC236}">
                  <a16:creationId xmlns:a16="http://schemas.microsoft.com/office/drawing/2014/main" id="{00000000-0008-0000-2200-000004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1" name="Check Box 5" hidden="1">
              <a:extLst>
                <a:ext uri="{63B3BB69-23CF-44E3-9099-C40C66FF867C}">
                  <a14:compatExt spid="_x0000_s638981"/>
                </a:ext>
                <a:ext uri="{FF2B5EF4-FFF2-40B4-BE49-F238E27FC236}">
                  <a16:creationId xmlns:a16="http://schemas.microsoft.com/office/drawing/2014/main" id="{00000000-0008-0000-2200-000005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2" name="Check Box 6" hidden="1">
              <a:extLst>
                <a:ext uri="{63B3BB69-23CF-44E3-9099-C40C66FF867C}">
                  <a14:compatExt spid="_x0000_s638982"/>
                </a:ext>
                <a:ext uri="{FF2B5EF4-FFF2-40B4-BE49-F238E27FC236}">
                  <a16:creationId xmlns:a16="http://schemas.microsoft.com/office/drawing/2014/main" id="{00000000-0008-0000-2200-000006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0</xdr:rowOff>
        </xdr:from>
        <xdr:to>
          <xdr:col>10</xdr:col>
          <xdr:colOff>541020</xdr:colOff>
          <xdr:row>25</xdr:row>
          <xdr:rowOff>30480</xdr:rowOff>
        </xdr:to>
        <xdr:sp macro="" textlink="">
          <xdr:nvSpPr>
            <xdr:cNvPr id="638983" name="Check Box 7" hidden="1">
              <a:extLst>
                <a:ext uri="{63B3BB69-23CF-44E3-9099-C40C66FF867C}">
                  <a14:compatExt spid="_x0000_s638983"/>
                </a:ext>
                <a:ext uri="{FF2B5EF4-FFF2-40B4-BE49-F238E27FC236}">
                  <a16:creationId xmlns:a16="http://schemas.microsoft.com/office/drawing/2014/main" id="{00000000-0008-0000-2200-000007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0</xdr:rowOff>
        </xdr:from>
        <xdr:to>
          <xdr:col>14</xdr:col>
          <xdr:colOff>571500</xdr:colOff>
          <xdr:row>25</xdr:row>
          <xdr:rowOff>30480</xdr:rowOff>
        </xdr:to>
        <xdr:sp macro="" textlink="">
          <xdr:nvSpPr>
            <xdr:cNvPr id="638984" name="Check Box 8" hidden="1">
              <a:extLst>
                <a:ext uri="{63B3BB69-23CF-44E3-9099-C40C66FF867C}">
                  <a14:compatExt spid="_x0000_s638984"/>
                </a:ext>
                <a:ext uri="{FF2B5EF4-FFF2-40B4-BE49-F238E27FC236}">
                  <a16:creationId xmlns:a16="http://schemas.microsoft.com/office/drawing/2014/main" id="{00000000-0008-0000-2200-000008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47</xdr:row>
          <xdr:rowOff>0</xdr:rowOff>
        </xdr:from>
        <xdr:to>
          <xdr:col>10</xdr:col>
          <xdr:colOff>533400</xdr:colOff>
          <xdr:row>48</xdr:row>
          <xdr:rowOff>22860</xdr:rowOff>
        </xdr:to>
        <xdr:sp macro="" textlink="">
          <xdr:nvSpPr>
            <xdr:cNvPr id="638985" name="Check Box 9" hidden="1">
              <a:extLst>
                <a:ext uri="{63B3BB69-23CF-44E3-9099-C40C66FF867C}">
                  <a14:compatExt spid="_x0000_s638985"/>
                </a:ext>
                <a:ext uri="{FF2B5EF4-FFF2-40B4-BE49-F238E27FC236}">
                  <a16:creationId xmlns:a16="http://schemas.microsoft.com/office/drawing/2014/main" id="{00000000-0008-0000-2200-000009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47</xdr:row>
          <xdr:rowOff>0</xdr:rowOff>
        </xdr:from>
        <xdr:to>
          <xdr:col>14</xdr:col>
          <xdr:colOff>571500</xdr:colOff>
          <xdr:row>48</xdr:row>
          <xdr:rowOff>22860</xdr:rowOff>
        </xdr:to>
        <xdr:sp macro="" textlink="">
          <xdr:nvSpPr>
            <xdr:cNvPr id="638986" name="Check Box 10" hidden="1">
              <a:extLst>
                <a:ext uri="{63B3BB69-23CF-44E3-9099-C40C66FF867C}">
                  <a14:compatExt spid="_x0000_s638986"/>
                </a:ext>
                <a:ext uri="{FF2B5EF4-FFF2-40B4-BE49-F238E27FC236}">
                  <a16:creationId xmlns:a16="http://schemas.microsoft.com/office/drawing/2014/main" id="{00000000-0008-0000-2200-00000A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7" name="Check Box 11" hidden="1">
              <a:extLst>
                <a:ext uri="{63B3BB69-23CF-44E3-9099-C40C66FF867C}">
                  <a14:compatExt spid="_x0000_s638987"/>
                </a:ext>
                <a:ext uri="{FF2B5EF4-FFF2-40B4-BE49-F238E27FC236}">
                  <a16:creationId xmlns:a16="http://schemas.microsoft.com/office/drawing/2014/main" id="{00000000-0008-0000-2200-00000B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88" name="Check Box 12" hidden="1">
              <a:extLst>
                <a:ext uri="{63B3BB69-23CF-44E3-9099-C40C66FF867C}">
                  <a14:compatExt spid="_x0000_s638988"/>
                </a:ext>
                <a:ext uri="{FF2B5EF4-FFF2-40B4-BE49-F238E27FC236}">
                  <a16:creationId xmlns:a16="http://schemas.microsoft.com/office/drawing/2014/main" id="{00000000-0008-0000-2200-00000C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24</xdr:row>
          <xdr:rowOff>213360</xdr:rowOff>
        </xdr:from>
        <xdr:to>
          <xdr:col>10</xdr:col>
          <xdr:colOff>541020</xdr:colOff>
          <xdr:row>26</xdr:row>
          <xdr:rowOff>7620</xdr:rowOff>
        </xdr:to>
        <xdr:sp macro="" textlink="">
          <xdr:nvSpPr>
            <xdr:cNvPr id="638989" name="Check Box 13" hidden="1">
              <a:extLst>
                <a:ext uri="{63B3BB69-23CF-44E3-9099-C40C66FF867C}">
                  <a14:compatExt spid="_x0000_s638989"/>
                </a:ext>
                <a:ext uri="{FF2B5EF4-FFF2-40B4-BE49-F238E27FC236}">
                  <a16:creationId xmlns:a16="http://schemas.microsoft.com/office/drawing/2014/main" id="{00000000-0008-0000-2200-00000D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24</xdr:row>
          <xdr:rowOff>213360</xdr:rowOff>
        </xdr:from>
        <xdr:to>
          <xdr:col>14</xdr:col>
          <xdr:colOff>571500</xdr:colOff>
          <xdr:row>26</xdr:row>
          <xdr:rowOff>7620</xdr:rowOff>
        </xdr:to>
        <xdr:sp macro="" textlink="">
          <xdr:nvSpPr>
            <xdr:cNvPr id="638990" name="Check Box 14" hidden="1">
              <a:extLst>
                <a:ext uri="{63B3BB69-23CF-44E3-9099-C40C66FF867C}">
                  <a14:compatExt spid="_x0000_s638990"/>
                </a:ext>
                <a:ext uri="{FF2B5EF4-FFF2-40B4-BE49-F238E27FC236}">
                  <a16:creationId xmlns:a16="http://schemas.microsoft.com/office/drawing/2014/main" id="{00000000-0008-0000-2200-00000EC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1" name="Check Box 1" hidden="1">
              <a:extLst>
                <a:ext uri="{63B3BB69-23CF-44E3-9099-C40C66FF867C}">
                  <a14:compatExt spid="_x0000_s640001"/>
                </a:ext>
                <a:ext uri="{FF2B5EF4-FFF2-40B4-BE49-F238E27FC236}">
                  <a16:creationId xmlns:a16="http://schemas.microsoft.com/office/drawing/2014/main" id="{00000000-0008-0000-2300-000001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2" name="Check Box 2" hidden="1">
              <a:extLst>
                <a:ext uri="{63B3BB69-23CF-44E3-9099-C40C66FF867C}">
                  <a14:compatExt spid="_x0000_s640002"/>
                </a:ext>
                <a:ext uri="{FF2B5EF4-FFF2-40B4-BE49-F238E27FC236}">
                  <a16:creationId xmlns:a16="http://schemas.microsoft.com/office/drawing/2014/main" id="{00000000-0008-0000-2300-000002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8</xdr:row>
          <xdr:rowOff>198120</xdr:rowOff>
        </xdr:from>
        <xdr:to>
          <xdr:col>10</xdr:col>
          <xdr:colOff>541020</xdr:colOff>
          <xdr:row>10</xdr:row>
          <xdr:rowOff>38100</xdr:rowOff>
        </xdr:to>
        <xdr:sp macro="" textlink="">
          <xdr:nvSpPr>
            <xdr:cNvPr id="640003" name="Check Box 3" hidden="1">
              <a:extLst>
                <a:ext uri="{63B3BB69-23CF-44E3-9099-C40C66FF867C}">
                  <a14:compatExt spid="_x0000_s640003"/>
                </a:ext>
                <a:ext uri="{FF2B5EF4-FFF2-40B4-BE49-F238E27FC236}">
                  <a16:creationId xmlns:a16="http://schemas.microsoft.com/office/drawing/2014/main" id="{00000000-0008-0000-2300-000003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8</xdr:row>
          <xdr:rowOff>198120</xdr:rowOff>
        </xdr:from>
        <xdr:to>
          <xdr:col>15</xdr:col>
          <xdr:colOff>0</xdr:colOff>
          <xdr:row>10</xdr:row>
          <xdr:rowOff>38100</xdr:rowOff>
        </xdr:to>
        <xdr:sp macro="" textlink="">
          <xdr:nvSpPr>
            <xdr:cNvPr id="640004" name="Check Box 4" hidden="1">
              <a:extLst>
                <a:ext uri="{63B3BB69-23CF-44E3-9099-C40C66FF867C}">
                  <a14:compatExt spid="_x0000_s640004"/>
                </a:ext>
                <a:ext uri="{FF2B5EF4-FFF2-40B4-BE49-F238E27FC236}">
                  <a16:creationId xmlns:a16="http://schemas.microsoft.com/office/drawing/2014/main" id="{00000000-0008-0000-2300-000004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31</xdr:row>
          <xdr:rowOff>175260</xdr:rowOff>
        </xdr:from>
        <xdr:to>
          <xdr:col>10</xdr:col>
          <xdr:colOff>541020</xdr:colOff>
          <xdr:row>33</xdr:row>
          <xdr:rowOff>38100</xdr:rowOff>
        </xdr:to>
        <xdr:sp macro="" textlink="">
          <xdr:nvSpPr>
            <xdr:cNvPr id="640005" name="Check Box 5" hidden="1">
              <a:extLst>
                <a:ext uri="{63B3BB69-23CF-44E3-9099-C40C66FF867C}">
                  <a14:compatExt spid="_x0000_s640005"/>
                </a:ext>
                <a:ext uri="{FF2B5EF4-FFF2-40B4-BE49-F238E27FC236}">
                  <a16:creationId xmlns:a16="http://schemas.microsoft.com/office/drawing/2014/main" id="{00000000-0008-0000-2300-000005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31</xdr:row>
          <xdr:rowOff>175260</xdr:rowOff>
        </xdr:from>
        <xdr:to>
          <xdr:col>14</xdr:col>
          <xdr:colOff>571500</xdr:colOff>
          <xdr:row>33</xdr:row>
          <xdr:rowOff>38100</xdr:rowOff>
        </xdr:to>
        <xdr:sp macro="" textlink="">
          <xdr:nvSpPr>
            <xdr:cNvPr id="640006" name="Check Box 6" hidden="1">
              <a:extLst>
                <a:ext uri="{63B3BB69-23CF-44E3-9099-C40C66FF867C}">
                  <a14:compatExt spid="_x0000_s640006"/>
                </a:ext>
                <a:ext uri="{FF2B5EF4-FFF2-40B4-BE49-F238E27FC236}">
                  <a16:creationId xmlns:a16="http://schemas.microsoft.com/office/drawing/2014/main" id="{00000000-0008-0000-2300-000006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7" name="Check Box 7" hidden="1">
              <a:extLst>
                <a:ext uri="{63B3BB69-23CF-44E3-9099-C40C66FF867C}">
                  <a14:compatExt spid="_x0000_s640007"/>
                </a:ext>
                <a:ext uri="{FF2B5EF4-FFF2-40B4-BE49-F238E27FC236}">
                  <a16:creationId xmlns:a16="http://schemas.microsoft.com/office/drawing/2014/main" id="{00000000-0008-0000-2300-000007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08" name="Check Box 8" hidden="1">
              <a:extLst>
                <a:ext uri="{63B3BB69-23CF-44E3-9099-C40C66FF867C}">
                  <a14:compatExt spid="_x0000_s640008"/>
                </a:ext>
                <a:ext uri="{FF2B5EF4-FFF2-40B4-BE49-F238E27FC236}">
                  <a16:creationId xmlns:a16="http://schemas.microsoft.com/office/drawing/2014/main" id="{00000000-0008-0000-2300-000008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259080</xdr:colOff>
          <xdr:row>9</xdr:row>
          <xdr:rowOff>175260</xdr:rowOff>
        </xdr:from>
        <xdr:to>
          <xdr:col>10</xdr:col>
          <xdr:colOff>541020</xdr:colOff>
          <xdr:row>11</xdr:row>
          <xdr:rowOff>38100</xdr:rowOff>
        </xdr:to>
        <xdr:sp macro="" textlink="">
          <xdr:nvSpPr>
            <xdr:cNvPr id="640009" name="Check Box 9" hidden="1">
              <a:extLst>
                <a:ext uri="{63B3BB69-23CF-44E3-9099-C40C66FF867C}">
                  <a14:compatExt spid="_x0000_s640009"/>
                </a:ext>
                <a:ext uri="{FF2B5EF4-FFF2-40B4-BE49-F238E27FC236}">
                  <a16:creationId xmlns:a16="http://schemas.microsoft.com/office/drawing/2014/main" id="{00000000-0008-0000-2300-000009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289560</xdr:colOff>
          <xdr:row>9</xdr:row>
          <xdr:rowOff>175260</xdr:rowOff>
        </xdr:from>
        <xdr:to>
          <xdr:col>14</xdr:col>
          <xdr:colOff>571500</xdr:colOff>
          <xdr:row>11</xdr:row>
          <xdr:rowOff>38100</xdr:rowOff>
        </xdr:to>
        <xdr:sp macro="" textlink="">
          <xdr:nvSpPr>
            <xdr:cNvPr id="640010" name="Check Box 10" hidden="1">
              <a:extLst>
                <a:ext uri="{63B3BB69-23CF-44E3-9099-C40C66FF867C}">
                  <a14:compatExt spid="_x0000_s640010"/>
                </a:ext>
                <a:ext uri="{FF2B5EF4-FFF2-40B4-BE49-F238E27FC236}">
                  <a16:creationId xmlns:a16="http://schemas.microsoft.com/office/drawing/2014/main" id="{00000000-0008-0000-2300-00000AC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22</xdr:col>
      <xdr:colOff>524247</xdr:colOff>
      <xdr:row>7</xdr:row>
      <xdr:rowOff>82364</xdr:rowOff>
    </xdr:from>
    <xdr:to>
      <xdr:col>24</xdr:col>
      <xdr:colOff>533372</xdr:colOff>
      <xdr:row>9</xdr:row>
      <xdr:rowOff>161925</xdr:rowOff>
    </xdr:to>
    <xdr:sp macro="" textlink="">
      <xdr:nvSpPr>
        <xdr:cNvPr id="2" name="四角形吹き出し 1">
          <a:extLst>
            <a:ext uri="{FF2B5EF4-FFF2-40B4-BE49-F238E27FC236}">
              <a16:creationId xmlns:a16="http://schemas.microsoft.com/office/drawing/2014/main" id="{00000000-0008-0000-2400-000002000000}"/>
            </a:ext>
          </a:extLst>
        </xdr:cNvPr>
        <xdr:cNvSpPr/>
      </xdr:nvSpPr>
      <xdr:spPr>
        <a:xfrm>
          <a:off x="10115922" y="2003239"/>
          <a:ext cx="1368054" cy="682811"/>
        </a:xfrm>
        <a:prstGeom prst="wedgeRectCallout">
          <a:avLst>
            <a:gd name="adj1" fmla="val -69800"/>
            <a:gd name="adj2" fmla="val -32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t>有無等の選択時に、ご使用ください。</a:t>
          </a:r>
        </a:p>
      </xdr:txBody>
    </xdr:sp>
    <xdr:clientData/>
  </xdr:twoCellAnchor>
  <xdr:twoCellAnchor>
    <xdr:from>
      <xdr:col>21</xdr:col>
      <xdr:colOff>92076</xdr:colOff>
      <xdr:row>7</xdr:row>
      <xdr:rowOff>57151</xdr:rowOff>
    </xdr:from>
    <xdr:to>
      <xdr:col>22</xdr:col>
      <xdr:colOff>25401</xdr:colOff>
      <xdr:row>7</xdr:row>
      <xdr:rowOff>377079</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9185276" y="1952626"/>
          <a:ext cx="361950" cy="319928"/>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6.xml"/><Relationship Id="rId1" Type="http://schemas.openxmlformats.org/officeDocument/2006/relationships/printerSettings" Target="../printerSettings/printerSettings3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7.xml"/><Relationship Id="rId16" Type="http://schemas.openxmlformats.org/officeDocument/2006/relationships/ctrlProp" Target="../ctrlProps/ctrlProp26.xml"/><Relationship Id="rId1" Type="http://schemas.openxmlformats.org/officeDocument/2006/relationships/printerSettings" Target="../printerSettings/printerSettings36.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8.xml"/><Relationship Id="rId1" Type="http://schemas.openxmlformats.org/officeDocument/2006/relationships/printerSettings" Target="../printerSettings/printerSettings3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39.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H76"/>
  <sheetViews>
    <sheetView view="pageBreakPreview" zoomScale="70" zoomScaleNormal="100" zoomScaleSheetLayoutView="70" workbookViewId="0"/>
  </sheetViews>
  <sheetFormatPr defaultColWidth="9" defaultRowHeight="13.2" x14ac:dyDescent="0.2"/>
  <cols>
    <col min="1" max="1" width="2" style="303" customWidth="1"/>
    <col min="2" max="3" width="3.33203125" style="303" customWidth="1"/>
    <col min="4" max="4" width="27.109375" style="303" customWidth="1"/>
    <col min="5" max="5" width="23.44140625" style="303" customWidth="1"/>
    <col min="6" max="6" width="22.77734375" style="303" customWidth="1"/>
    <col min="7" max="7" width="39.21875" style="303" customWidth="1"/>
    <col min="8" max="8" width="1.44140625" style="303" customWidth="1"/>
    <col min="9" max="16384" width="9" style="303"/>
  </cols>
  <sheetData>
    <row r="1" spans="2:7" x14ac:dyDescent="0.2">
      <c r="G1" s="1203" t="s">
        <v>2071</v>
      </c>
    </row>
    <row r="2" spans="2:7" ht="16.2" x14ac:dyDescent="0.2">
      <c r="B2" s="1283" t="s">
        <v>623</v>
      </c>
      <c r="C2" s="1283"/>
      <c r="D2" s="1283"/>
      <c r="E2" s="1283"/>
      <c r="F2" s="1283"/>
      <c r="G2" s="1283"/>
    </row>
    <row r="4" spans="2:7" ht="16.2" x14ac:dyDescent="0.2">
      <c r="B4" s="304" t="s">
        <v>573</v>
      </c>
      <c r="C4" s="304"/>
    </row>
    <row r="5" spans="2:7" x14ac:dyDescent="0.2">
      <c r="B5" s="1262" t="s">
        <v>1040</v>
      </c>
      <c r="C5" s="1262"/>
      <c r="D5" s="1262"/>
      <c r="E5" s="1262"/>
      <c r="F5" s="1262"/>
      <c r="G5" s="1262"/>
    </row>
    <row r="6" spans="2:7" x14ac:dyDescent="0.2">
      <c r="B6" s="1262"/>
      <c r="C6" s="1262"/>
      <c r="D6" s="1262"/>
      <c r="E6" s="1262"/>
      <c r="F6" s="1262"/>
      <c r="G6" s="1262"/>
    </row>
    <row r="7" spans="2:7" x14ac:dyDescent="0.2">
      <c r="B7" s="1262"/>
      <c r="C7" s="1262"/>
      <c r="D7" s="1262"/>
      <c r="E7" s="1262"/>
      <c r="F7" s="1262"/>
      <c r="G7" s="1262"/>
    </row>
    <row r="9" spans="2:7" x14ac:dyDescent="0.2">
      <c r="B9" s="305" t="s">
        <v>574</v>
      </c>
      <c r="C9" s="305"/>
    </row>
    <row r="10" spans="2:7" x14ac:dyDescent="0.2">
      <c r="B10" s="1262" t="s">
        <v>575</v>
      </c>
      <c r="C10" s="1262"/>
      <c r="D10" s="1262"/>
      <c r="E10" s="1262"/>
      <c r="F10" s="1262"/>
      <c r="G10" s="1262"/>
    </row>
    <row r="11" spans="2:7" x14ac:dyDescent="0.2">
      <c r="B11" s="1262"/>
      <c r="C11" s="1262"/>
      <c r="D11" s="1262"/>
      <c r="E11" s="1262"/>
      <c r="F11" s="1262"/>
      <c r="G11" s="1262"/>
    </row>
    <row r="12" spans="2:7" x14ac:dyDescent="0.2">
      <c r="B12" s="1262"/>
      <c r="C12" s="1262"/>
      <c r="D12" s="1262"/>
      <c r="E12" s="1262"/>
      <c r="F12" s="1262"/>
      <c r="G12" s="1262"/>
    </row>
    <row r="13" spans="2:7" x14ac:dyDescent="0.2">
      <c r="B13" s="1262"/>
      <c r="C13" s="1262"/>
      <c r="D13" s="1262"/>
      <c r="E13" s="1262"/>
      <c r="F13" s="1262"/>
      <c r="G13" s="1262"/>
    </row>
    <row r="14" spans="2:7" x14ac:dyDescent="0.2">
      <c r="B14" s="1262"/>
      <c r="C14" s="1262"/>
      <c r="D14" s="1262"/>
      <c r="E14" s="1262"/>
      <c r="F14" s="1262"/>
      <c r="G14" s="1262"/>
    </row>
    <row r="16" spans="2:7" ht="16.2" x14ac:dyDescent="0.2">
      <c r="B16" s="304" t="s">
        <v>576</v>
      </c>
      <c r="C16" s="304"/>
    </row>
    <row r="17" spans="2:8" x14ac:dyDescent="0.2">
      <c r="B17" s="1262" t="s">
        <v>577</v>
      </c>
      <c r="C17" s="1262"/>
      <c r="D17" s="1262"/>
      <c r="E17" s="1262"/>
      <c r="F17" s="1262"/>
      <c r="G17" s="1262"/>
    </row>
    <row r="18" spans="2:8" x14ac:dyDescent="0.2">
      <c r="B18" s="1262"/>
      <c r="C18" s="1262"/>
      <c r="D18" s="1262"/>
      <c r="E18" s="1262"/>
      <c r="F18" s="1262"/>
      <c r="G18" s="1262"/>
    </row>
    <row r="19" spans="2:8" x14ac:dyDescent="0.2">
      <c r="B19" s="1262"/>
      <c r="C19" s="1262"/>
      <c r="D19" s="1262"/>
      <c r="E19" s="1262"/>
      <c r="F19" s="1262"/>
      <c r="G19" s="1262"/>
    </row>
    <row r="21" spans="2:8" ht="16.2" x14ac:dyDescent="0.2">
      <c r="C21" s="304" t="s">
        <v>578</v>
      </c>
    </row>
    <row r="22" spans="2:8" ht="16.2" x14ac:dyDescent="0.2">
      <c r="C22" s="304"/>
      <c r="D22" s="306" t="s">
        <v>1041</v>
      </c>
    </row>
    <row r="23" spans="2:8" ht="26.25" customHeight="1" x14ac:dyDescent="0.2">
      <c r="D23" s="1284" t="s">
        <v>579</v>
      </c>
      <c r="E23" s="1285"/>
      <c r="F23" s="307" t="s">
        <v>580</v>
      </c>
      <c r="G23" s="308" t="s">
        <v>581</v>
      </c>
    </row>
    <row r="24" spans="2:8" x14ac:dyDescent="0.2">
      <c r="D24" s="1204" t="s">
        <v>2</v>
      </c>
      <c r="E24" s="1205"/>
      <c r="F24" s="1281" t="s">
        <v>2072</v>
      </c>
      <c r="G24" s="1277" t="s">
        <v>2073</v>
      </c>
    </row>
    <row r="25" spans="2:8" x14ac:dyDescent="0.2">
      <c r="D25" s="1206"/>
      <c r="E25" s="1207"/>
      <c r="F25" s="1276"/>
      <c r="G25" s="1278"/>
    </row>
    <row r="26" spans="2:8" x14ac:dyDescent="0.2">
      <c r="D26" s="1204" t="s">
        <v>582</v>
      </c>
      <c r="E26" s="1205"/>
      <c r="F26" s="1276"/>
      <c r="G26" s="1278"/>
    </row>
    <row r="27" spans="2:8" x14ac:dyDescent="0.2">
      <c r="D27" s="1206" t="s">
        <v>583</v>
      </c>
      <c r="E27" s="1207"/>
      <c r="F27" s="1276"/>
      <c r="G27" s="1278"/>
    </row>
    <row r="28" spans="2:8" ht="13.2" customHeight="1" x14ac:dyDescent="0.2">
      <c r="D28" s="1208" t="s">
        <v>584</v>
      </c>
      <c r="E28" s="1263" t="s">
        <v>585</v>
      </c>
      <c r="F28" s="1276"/>
      <c r="G28" s="1278"/>
    </row>
    <row r="29" spans="2:8" x14ac:dyDescent="0.2">
      <c r="D29" s="1208" t="s">
        <v>586</v>
      </c>
      <c r="E29" s="1264"/>
      <c r="F29" s="1276"/>
      <c r="G29" s="1278"/>
    </row>
    <row r="30" spans="2:8" s="1152" customFormat="1" x14ac:dyDescent="0.2">
      <c r="D30" s="1153" t="s">
        <v>589</v>
      </c>
      <c r="E30" s="1154" t="s">
        <v>2043</v>
      </c>
      <c r="F30" s="1276"/>
      <c r="G30" s="1278"/>
      <c r="H30" s="1155"/>
    </row>
    <row r="31" spans="2:8" s="1152" customFormat="1" x14ac:dyDescent="0.2">
      <c r="D31" s="1156" t="s">
        <v>2044</v>
      </c>
      <c r="E31" s="1209"/>
      <c r="F31" s="1276"/>
      <c r="G31" s="1286"/>
      <c r="H31" s="1155"/>
    </row>
    <row r="32" spans="2:8" s="1152" customFormat="1" ht="13.2" customHeight="1" x14ac:dyDescent="0.2">
      <c r="D32" s="1156"/>
      <c r="E32" s="1255" t="s">
        <v>2045</v>
      </c>
      <c r="F32" s="1210" t="s">
        <v>587</v>
      </c>
      <c r="G32" s="1211" t="s">
        <v>588</v>
      </c>
    </row>
    <row r="33" spans="4:7" s="1152" customFormat="1" x14ac:dyDescent="0.2">
      <c r="D33" s="1156"/>
      <c r="E33" s="1256"/>
      <c r="F33" s="1158" t="s">
        <v>599</v>
      </c>
      <c r="G33" s="1159" t="s">
        <v>590</v>
      </c>
    </row>
    <row r="34" spans="4:7" s="1152" customFormat="1" x14ac:dyDescent="0.2">
      <c r="D34" s="1160"/>
      <c r="E34" s="1257"/>
      <c r="F34" s="1161" t="s">
        <v>600</v>
      </c>
      <c r="G34" s="1212" t="s">
        <v>592</v>
      </c>
    </row>
    <row r="35" spans="4:7" x14ac:dyDescent="0.2">
      <c r="D35" s="1208" t="s">
        <v>4</v>
      </c>
      <c r="E35" s="1213"/>
      <c r="F35" s="1276" t="s">
        <v>2074</v>
      </c>
      <c r="G35" s="1277" t="s">
        <v>2073</v>
      </c>
    </row>
    <row r="36" spans="4:7" x14ac:dyDescent="0.2">
      <c r="D36" s="1206"/>
      <c r="E36" s="1207"/>
      <c r="F36" s="1276"/>
      <c r="G36" s="1278"/>
    </row>
    <row r="37" spans="4:7" x14ac:dyDescent="0.2">
      <c r="D37" s="1204" t="s">
        <v>593</v>
      </c>
      <c r="E37" s="1205"/>
      <c r="F37" s="1276"/>
      <c r="G37" s="1278"/>
    </row>
    <row r="38" spans="4:7" x14ac:dyDescent="0.2">
      <c r="D38" s="1206" t="s">
        <v>594</v>
      </c>
      <c r="E38" s="1207"/>
      <c r="F38" s="1276"/>
      <c r="G38" s="1279"/>
    </row>
    <row r="39" spans="4:7" ht="13.2" customHeight="1" x14ac:dyDescent="0.2">
      <c r="D39" s="1208" t="s">
        <v>584</v>
      </c>
      <c r="E39" s="1263" t="s">
        <v>595</v>
      </c>
      <c r="F39" s="1276"/>
      <c r="G39" s="1280" t="s">
        <v>596</v>
      </c>
    </row>
    <row r="40" spans="4:7" x14ac:dyDescent="0.2">
      <c r="D40" s="1208" t="s">
        <v>586</v>
      </c>
      <c r="E40" s="1264"/>
      <c r="F40" s="1276"/>
      <c r="G40" s="1279"/>
    </row>
    <row r="41" spans="4:7" x14ac:dyDescent="0.2">
      <c r="D41" s="1214" t="s">
        <v>597</v>
      </c>
      <c r="E41" s="1154" t="s">
        <v>2043</v>
      </c>
      <c r="F41" s="1276"/>
      <c r="G41" s="1214"/>
    </row>
    <row r="42" spans="4:7" x14ac:dyDescent="0.2">
      <c r="D42" s="1159" t="s">
        <v>598</v>
      </c>
      <c r="E42" s="1157"/>
      <c r="F42" s="1276"/>
      <c r="G42" s="1159" t="s">
        <v>588</v>
      </c>
    </row>
    <row r="43" spans="4:7" ht="13.2" customHeight="1" x14ac:dyDescent="0.2">
      <c r="D43" s="1159"/>
      <c r="E43" s="1265" t="s">
        <v>2045</v>
      </c>
      <c r="F43" s="1246" t="s">
        <v>587</v>
      </c>
      <c r="G43" s="1159" t="s">
        <v>590</v>
      </c>
    </row>
    <row r="44" spans="4:7" x14ac:dyDescent="0.2">
      <c r="D44" s="1159"/>
      <c r="E44" s="1266"/>
      <c r="F44" s="1215" t="s">
        <v>599</v>
      </c>
      <c r="G44" s="1159" t="s">
        <v>592</v>
      </c>
    </row>
    <row r="45" spans="4:7" x14ac:dyDescent="0.2">
      <c r="D45" s="1159"/>
      <c r="E45" s="1267"/>
      <c r="F45" s="487" t="s">
        <v>600</v>
      </c>
      <c r="G45" s="1159"/>
    </row>
    <row r="46" spans="4:7" ht="18" customHeight="1" x14ac:dyDescent="0.2">
      <c r="D46" s="1204" t="s">
        <v>601</v>
      </c>
      <c r="E46" s="1205"/>
      <c r="F46" s="1281" t="s">
        <v>2075</v>
      </c>
      <c r="G46" s="1216"/>
    </row>
    <row r="47" spans="4:7" ht="18" customHeight="1" x14ac:dyDescent="0.2">
      <c r="D47" s="1268" t="s">
        <v>602</v>
      </c>
      <c r="E47" s="1269"/>
      <c r="F47" s="1276"/>
      <c r="G47" s="1217"/>
    </row>
    <row r="48" spans="4:7" ht="18" customHeight="1" x14ac:dyDescent="0.2">
      <c r="D48" s="1206"/>
      <c r="E48" s="1207"/>
      <c r="F48" s="1276"/>
      <c r="G48" s="1217"/>
    </row>
    <row r="49" spans="3:7" ht="18" customHeight="1" x14ac:dyDescent="0.2">
      <c r="D49" s="1209" t="s">
        <v>6</v>
      </c>
      <c r="E49" s="1204" t="s">
        <v>603</v>
      </c>
      <c r="F49" s="1276"/>
      <c r="G49" s="1217"/>
    </row>
    <row r="50" spans="3:7" ht="18" customHeight="1" x14ac:dyDescent="0.2">
      <c r="D50" s="1209" t="s">
        <v>604</v>
      </c>
      <c r="E50" s="1218" t="s">
        <v>605</v>
      </c>
      <c r="F50" s="1276"/>
      <c r="G50" s="1217"/>
    </row>
    <row r="51" spans="3:7" ht="18" customHeight="1" x14ac:dyDescent="0.2">
      <c r="D51" s="1209"/>
      <c r="E51" s="1270" t="s">
        <v>606</v>
      </c>
      <c r="F51" s="1276"/>
      <c r="G51" s="1217"/>
    </row>
    <row r="52" spans="3:7" ht="18" customHeight="1" x14ac:dyDescent="0.2">
      <c r="D52" s="1209"/>
      <c r="E52" s="1271"/>
      <c r="F52" s="1282"/>
      <c r="G52" s="1217" t="s">
        <v>607</v>
      </c>
    </row>
    <row r="53" spans="3:7" ht="18" customHeight="1" x14ac:dyDescent="0.2">
      <c r="D53" s="1214" t="s">
        <v>608</v>
      </c>
      <c r="E53" s="1272" t="s">
        <v>2046</v>
      </c>
      <c r="F53" s="1219" t="s">
        <v>587</v>
      </c>
      <c r="G53" s="1275" t="s">
        <v>609</v>
      </c>
    </row>
    <row r="54" spans="3:7" ht="18" customHeight="1" x14ac:dyDescent="0.2">
      <c r="D54" s="1159" t="s">
        <v>610</v>
      </c>
      <c r="E54" s="1273"/>
      <c r="F54" s="1220" t="s">
        <v>599</v>
      </c>
      <c r="G54" s="1275"/>
    </row>
    <row r="55" spans="3:7" ht="18" customHeight="1" x14ac:dyDescent="0.2">
      <c r="D55" s="1159"/>
      <c r="E55" s="1274"/>
      <c r="F55" s="1221" t="s">
        <v>600</v>
      </c>
      <c r="G55" s="1217"/>
    </row>
    <row r="56" spans="3:7" ht="18" customHeight="1" x14ac:dyDescent="0.2">
      <c r="D56" s="1209"/>
      <c r="E56" s="1213" t="s">
        <v>611</v>
      </c>
      <c r="F56" s="1215" t="s">
        <v>2076</v>
      </c>
      <c r="G56" s="1217"/>
    </row>
    <row r="57" spans="3:7" ht="18" customHeight="1" x14ac:dyDescent="0.2">
      <c r="D57" s="1209"/>
      <c r="E57" s="1213"/>
      <c r="F57" s="1215" t="s">
        <v>2077</v>
      </c>
      <c r="G57" s="1217"/>
    </row>
    <row r="58" spans="3:7" ht="18" customHeight="1" x14ac:dyDescent="0.2">
      <c r="D58" s="1222"/>
      <c r="E58" s="1213"/>
      <c r="F58" s="487" t="s">
        <v>591</v>
      </c>
      <c r="G58" s="1217"/>
    </row>
    <row r="59" spans="3:7" ht="18" customHeight="1" x14ac:dyDescent="0.2">
      <c r="D59" s="1153" t="s">
        <v>612</v>
      </c>
      <c r="E59" s="1258" t="s">
        <v>613</v>
      </c>
      <c r="F59" s="1223"/>
      <c r="G59" s="1159"/>
    </row>
    <row r="60" spans="3:7" ht="18" customHeight="1" x14ac:dyDescent="0.2">
      <c r="D60" s="1156"/>
      <c r="E60" s="1259"/>
      <c r="F60" s="1223" t="s">
        <v>587</v>
      </c>
      <c r="G60" s="1159"/>
    </row>
    <row r="61" spans="3:7" ht="18" customHeight="1" x14ac:dyDescent="0.2">
      <c r="D61" s="1156"/>
      <c r="E61" s="1159" t="s">
        <v>614</v>
      </c>
      <c r="F61" s="1223" t="s">
        <v>599</v>
      </c>
      <c r="G61" s="1260"/>
    </row>
    <row r="62" spans="3:7" ht="18" customHeight="1" x14ac:dyDescent="0.2">
      <c r="D62" s="1160"/>
      <c r="E62" s="1212" t="s">
        <v>1358</v>
      </c>
      <c r="F62" s="1224" t="s">
        <v>600</v>
      </c>
      <c r="G62" s="1261"/>
    </row>
    <row r="64" spans="3:7" ht="16.2" x14ac:dyDescent="0.2">
      <c r="C64" s="304" t="s">
        <v>615</v>
      </c>
    </row>
    <row r="65" spans="2:7" ht="14.4" x14ac:dyDescent="0.2">
      <c r="D65" s="310" t="s">
        <v>616</v>
      </c>
    </row>
    <row r="67" spans="2:7" ht="16.2" x14ac:dyDescent="0.2">
      <c r="B67" s="304" t="s">
        <v>617</v>
      </c>
    </row>
    <row r="68" spans="2:7" x14ac:dyDescent="0.2">
      <c r="B68" s="1262" t="s">
        <v>618</v>
      </c>
      <c r="C68" s="1262"/>
      <c r="D68" s="1262"/>
      <c r="E68" s="1262"/>
      <c r="F68" s="1262"/>
      <c r="G68" s="1262"/>
    </row>
    <row r="69" spans="2:7" x14ac:dyDescent="0.2">
      <c r="B69" s="1262"/>
      <c r="C69" s="1262"/>
      <c r="D69" s="1262"/>
      <c r="E69" s="1262"/>
      <c r="F69" s="1262"/>
      <c r="G69" s="1262"/>
    </row>
    <row r="70" spans="2:7" x14ac:dyDescent="0.2">
      <c r="B70" s="1262"/>
      <c r="C70" s="1262"/>
      <c r="D70" s="1262"/>
      <c r="E70" s="1262"/>
      <c r="F70" s="1262"/>
      <c r="G70" s="1262"/>
    </row>
    <row r="71" spans="2:7" x14ac:dyDescent="0.2">
      <c r="D71" s="303" t="s">
        <v>619</v>
      </c>
    </row>
    <row r="72" spans="2:7" x14ac:dyDescent="0.2">
      <c r="D72" s="303" t="s">
        <v>620</v>
      </c>
    </row>
    <row r="73" spans="2:7" x14ac:dyDescent="0.2">
      <c r="D73" s="303" t="s">
        <v>1042</v>
      </c>
    </row>
    <row r="75" spans="2:7" x14ac:dyDescent="0.2">
      <c r="C75" s="305" t="s">
        <v>621</v>
      </c>
    </row>
    <row r="76" spans="2:7" x14ac:dyDescent="0.2">
      <c r="C76" s="305" t="s">
        <v>622</v>
      </c>
    </row>
  </sheetData>
  <mergeCells count="22">
    <mergeCell ref="E28:E29"/>
    <mergeCell ref="B2:G2"/>
    <mergeCell ref="B5:G7"/>
    <mergeCell ref="B10:G14"/>
    <mergeCell ref="B17:G19"/>
    <mergeCell ref="D23:E23"/>
    <mergeCell ref="F24:F31"/>
    <mergeCell ref="G24:G31"/>
    <mergeCell ref="E32:E34"/>
    <mergeCell ref="E59:E60"/>
    <mergeCell ref="G61:G62"/>
    <mergeCell ref="B68:G70"/>
    <mergeCell ref="E39:E40"/>
    <mergeCell ref="E43:E45"/>
    <mergeCell ref="D47:E47"/>
    <mergeCell ref="E51:E52"/>
    <mergeCell ref="E53:E55"/>
    <mergeCell ref="G53:G54"/>
    <mergeCell ref="F35:F42"/>
    <mergeCell ref="G35:G38"/>
    <mergeCell ref="G39:G40"/>
    <mergeCell ref="F46:F52"/>
  </mergeCells>
  <phoneticPr fontId="2"/>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0BF1-F141-403C-A487-E96C62BC1C79}">
  <sheetPr>
    <tabColor rgb="FFFFFF00"/>
  </sheetPr>
  <dimension ref="B2:Y62"/>
  <sheetViews>
    <sheetView view="pageBreakPreview" zoomScale="70" zoomScaleNormal="100" zoomScaleSheetLayoutView="70" workbookViewId="0">
      <selection activeCell="B4" sqref="B4:Y4"/>
    </sheetView>
  </sheetViews>
  <sheetFormatPr defaultColWidth="3.44140625" defaultRowHeight="13.2" x14ac:dyDescent="0.2"/>
  <cols>
    <col min="1" max="1" width="2.33203125" style="3" customWidth="1"/>
    <col min="2" max="2" width="3" style="598" customWidth="1"/>
    <col min="3" max="7" width="3.44140625" style="3"/>
    <col min="8" max="25" width="4.44140625" style="3" customWidth="1"/>
    <col min="26" max="16384" width="3.44140625" style="3"/>
  </cols>
  <sheetData>
    <row r="2" spans="2:25" x14ac:dyDescent="0.2">
      <c r="B2" s="3" t="s">
        <v>1961</v>
      </c>
    </row>
    <row r="3" spans="2:25" x14ac:dyDescent="0.2">
      <c r="Q3" s="1"/>
      <c r="R3" s="45" t="s">
        <v>643</v>
      </c>
      <c r="S3" s="1456"/>
      <c r="T3" s="1456"/>
      <c r="U3" s="45" t="s">
        <v>34</v>
      </c>
      <c r="V3" s="12"/>
      <c r="W3" s="45" t="s">
        <v>922</v>
      </c>
      <c r="X3" s="12"/>
      <c r="Y3" s="45" t="s">
        <v>167</v>
      </c>
    </row>
    <row r="4" spans="2:25" x14ac:dyDescent="0.2">
      <c r="B4" s="1548" t="s">
        <v>1960</v>
      </c>
      <c r="C4" s="1548"/>
      <c r="D4" s="1548"/>
      <c r="E4" s="1548"/>
      <c r="F4" s="1548"/>
      <c r="G4" s="1548"/>
      <c r="H4" s="1548"/>
      <c r="I4" s="1548"/>
      <c r="J4" s="1548"/>
      <c r="K4" s="1548"/>
      <c r="L4" s="1548"/>
      <c r="M4" s="1548"/>
      <c r="N4" s="1548"/>
      <c r="O4" s="1548"/>
      <c r="P4" s="1548"/>
      <c r="Q4" s="1548"/>
      <c r="R4" s="1548"/>
      <c r="S4" s="1548"/>
      <c r="T4" s="1548"/>
      <c r="U4" s="1548"/>
      <c r="V4" s="1548"/>
      <c r="W4" s="1548"/>
      <c r="X4" s="1548"/>
      <c r="Y4" s="1548"/>
    </row>
    <row r="6" spans="2:25" ht="30" customHeight="1" x14ac:dyDescent="0.2">
      <c r="B6" s="573">
        <v>1</v>
      </c>
      <c r="C6" s="759" t="s">
        <v>92</v>
      </c>
      <c r="D6" s="16"/>
      <c r="E6" s="16"/>
      <c r="F6" s="16"/>
      <c r="G6" s="17"/>
      <c r="H6" s="1549"/>
      <c r="I6" s="1550"/>
      <c r="J6" s="1550"/>
      <c r="K6" s="1550"/>
      <c r="L6" s="1550"/>
      <c r="M6" s="1550"/>
      <c r="N6" s="1550"/>
      <c r="O6" s="1550"/>
      <c r="P6" s="1550"/>
      <c r="Q6" s="1550"/>
      <c r="R6" s="1550"/>
      <c r="S6" s="1550"/>
      <c r="T6" s="1550"/>
      <c r="U6" s="1550"/>
      <c r="V6" s="1550"/>
      <c r="W6" s="1550"/>
      <c r="X6" s="1550"/>
      <c r="Y6" s="1551"/>
    </row>
    <row r="7" spans="2:25" ht="30" customHeight="1" x14ac:dyDescent="0.2">
      <c r="B7" s="573">
        <v>2</v>
      </c>
      <c r="C7" s="759" t="s">
        <v>62</v>
      </c>
      <c r="D7" s="759"/>
      <c r="E7" s="759"/>
      <c r="F7" s="759"/>
      <c r="G7" s="785"/>
      <c r="H7" s="758" t="s">
        <v>116</v>
      </c>
      <c r="I7" s="759" t="s">
        <v>1174</v>
      </c>
      <c r="J7" s="759"/>
      <c r="K7" s="759"/>
      <c r="L7" s="759"/>
      <c r="M7" s="786" t="s">
        <v>116</v>
      </c>
      <c r="N7" s="759" t="s">
        <v>1175</v>
      </c>
      <c r="O7" s="759"/>
      <c r="P7" s="759"/>
      <c r="Q7" s="759"/>
      <c r="R7" s="786" t="s">
        <v>116</v>
      </c>
      <c r="S7" s="759" t="s">
        <v>1176</v>
      </c>
      <c r="T7" s="759"/>
      <c r="U7" s="759"/>
      <c r="V7" s="759"/>
      <c r="W7" s="759"/>
      <c r="X7" s="759"/>
      <c r="Y7" s="785"/>
    </row>
    <row r="8" spans="2:25" ht="30" customHeight="1" x14ac:dyDescent="0.2">
      <c r="B8" s="576">
        <v>3</v>
      </c>
      <c r="C8" s="2" t="s">
        <v>63</v>
      </c>
      <c r="D8" s="2"/>
      <c r="E8" s="2"/>
      <c r="F8" s="2"/>
      <c r="G8" s="583"/>
      <c r="H8" s="760" t="s">
        <v>116</v>
      </c>
      <c r="I8" s="1" t="s">
        <v>1959</v>
      </c>
      <c r="J8" s="2"/>
      <c r="K8" s="2"/>
      <c r="L8" s="2"/>
      <c r="M8" s="2"/>
      <c r="N8" s="2"/>
      <c r="O8" s="2"/>
      <c r="P8" s="760"/>
      <c r="Q8" s="1"/>
      <c r="R8" s="2"/>
      <c r="S8" s="2"/>
      <c r="T8" s="2"/>
      <c r="U8" s="2"/>
      <c r="V8" s="2"/>
      <c r="W8" s="2"/>
      <c r="X8" s="2"/>
      <c r="Y8" s="583"/>
    </row>
    <row r="9" spans="2:25" ht="30" customHeight="1" x14ac:dyDescent="0.2">
      <c r="B9" s="576"/>
      <c r="C9" s="2"/>
      <c r="D9" s="2"/>
      <c r="E9" s="2"/>
      <c r="F9" s="2"/>
      <c r="G9" s="583"/>
      <c r="H9" s="760" t="s">
        <v>116</v>
      </c>
      <c r="I9" s="1" t="s">
        <v>1958</v>
      </c>
      <c r="J9" s="2"/>
      <c r="K9" s="2"/>
      <c r="L9" s="2"/>
      <c r="M9" s="2"/>
      <c r="N9" s="2"/>
      <c r="O9" s="2"/>
      <c r="P9" s="760"/>
      <c r="Q9" s="1"/>
      <c r="R9" s="2"/>
      <c r="S9" s="2"/>
      <c r="T9" s="2"/>
      <c r="U9" s="2"/>
      <c r="V9" s="2"/>
      <c r="W9" s="2"/>
      <c r="X9" s="2"/>
      <c r="Y9" s="583"/>
    </row>
    <row r="10" spans="2:25" ht="30" customHeight="1" x14ac:dyDescent="0.2">
      <c r="B10" s="576"/>
      <c r="C10" s="2"/>
      <c r="D10" s="2"/>
      <c r="E10" s="2"/>
      <c r="F10" s="2"/>
      <c r="G10" s="583"/>
      <c r="H10" s="760" t="s">
        <v>116</v>
      </c>
      <c r="I10" s="1" t="s">
        <v>1957</v>
      </c>
      <c r="J10" s="2"/>
      <c r="K10" s="2"/>
      <c r="L10" s="2"/>
      <c r="M10" s="2"/>
      <c r="N10" s="2"/>
      <c r="O10" s="2"/>
      <c r="P10" s="760"/>
      <c r="Q10" s="1"/>
      <c r="R10" s="2"/>
      <c r="S10" s="2"/>
      <c r="T10" s="2"/>
      <c r="U10" s="2"/>
      <c r="V10" s="2"/>
      <c r="W10" s="2"/>
      <c r="X10" s="2"/>
      <c r="Y10" s="583"/>
    </row>
    <row r="11" spans="2:25" ht="30" customHeight="1" x14ac:dyDescent="0.2">
      <c r="B11" s="576"/>
      <c r="C11" s="2"/>
      <c r="D11" s="2"/>
      <c r="E11" s="2"/>
      <c r="F11" s="2"/>
      <c r="G11" s="583"/>
      <c r="H11" s="760" t="s">
        <v>117</v>
      </c>
      <c r="I11" s="1" t="s">
        <v>1956</v>
      </c>
      <c r="J11" s="2"/>
      <c r="K11" s="2"/>
      <c r="L11" s="2"/>
      <c r="M11" s="2"/>
      <c r="N11" s="2"/>
      <c r="O11" s="2"/>
      <c r="P11" s="760"/>
      <c r="Q11" s="1"/>
      <c r="R11" s="2"/>
      <c r="S11" s="2"/>
      <c r="T11" s="2"/>
      <c r="U11" s="2"/>
      <c r="V11" s="2"/>
      <c r="W11" s="2"/>
      <c r="X11" s="2"/>
      <c r="Y11" s="583"/>
    </row>
    <row r="12" spans="2:25" ht="30" customHeight="1" x14ac:dyDescent="0.2">
      <c r="B12" s="576"/>
      <c r="C12" s="2"/>
      <c r="D12" s="2"/>
      <c r="E12" s="2"/>
      <c r="F12" s="2"/>
      <c r="G12" s="583"/>
      <c r="H12" s="760" t="s">
        <v>117</v>
      </c>
      <c r="I12" s="1" t="s">
        <v>1955</v>
      </c>
      <c r="J12" s="2"/>
      <c r="K12" s="2"/>
      <c r="L12" s="2"/>
      <c r="M12" s="2"/>
      <c r="N12" s="2"/>
      <c r="O12" s="2"/>
      <c r="P12" s="760"/>
      <c r="Q12" s="1"/>
      <c r="R12" s="2"/>
      <c r="S12" s="2"/>
      <c r="T12" s="2"/>
      <c r="U12" s="2"/>
      <c r="V12" s="2"/>
      <c r="W12" s="2"/>
      <c r="X12" s="2"/>
      <c r="Y12" s="583"/>
    </row>
    <row r="13" spans="2:25" ht="30" customHeight="1" x14ac:dyDescent="0.2">
      <c r="B13" s="576"/>
      <c r="C13" s="2"/>
      <c r="D13" s="2"/>
      <c r="E13" s="2"/>
      <c r="F13" s="2"/>
      <c r="G13" s="583"/>
      <c r="H13" s="760" t="s">
        <v>116</v>
      </c>
      <c r="I13" s="1" t="s">
        <v>1954</v>
      </c>
      <c r="J13" s="2"/>
      <c r="K13" s="2"/>
      <c r="L13" s="2"/>
      <c r="M13" s="2"/>
      <c r="N13" s="2"/>
      <c r="O13" s="2"/>
      <c r="P13" s="2"/>
      <c r="Q13" s="1"/>
      <c r="R13" s="2"/>
      <c r="S13" s="2"/>
      <c r="T13" s="2"/>
      <c r="U13" s="2"/>
      <c r="V13" s="2"/>
      <c r="W13" s="2"/>
      <c r="X13" s="2"/>
      <c r="Y13" s="583"/>
    </row>
    <row r="14" spans="2:25" x14ac:dyDescent="0.2">
      <c r="B14" s="56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788">
        <v>4</v>
      </c>
      <c r="C15" s="1552" t="s">
        <v>1953</v>
      </c>
      <c r="D15" s="1552"/>
      <c r="E15" s="1552"/>
      <c r="F15" s="1552"/>
      <c r="G15" s="1553"/>
      <c r="H15" s="579" t="s">
        <v>1952</v>
      </c>
      <c r="I15" s="2"/>
      <c r="Y15" s="404"/>
    </row>
    <row r="16" spans="2:25" ht="12" customHeight="1" x14ac:dyDescent="0.2">
      <c r="B16" s="789"/>
      <c r="G16" s="404"/>
      <c r="H16" s="762"/>
      <c r="I16" s="1554" t="s">
        <v>1949</v>
      </c>
      <c r="J16" s="1554"/>
      <c r="K16" s="1554"/>
      <c r="L16" s="1554"/>
      <c r="M16" s="1554"/>
      <c r="N16" s="1554"/>
      <c r="O16" s="1554"/>
      <c r="P16" s="1554"/>
      <c r="Q16" s="1332"/>
      <c r="R16" s="1333"/>
      <c r="S16" s="1333"/>
      <c r="T16" s="1333"/>
      <c r="U16" s="1333"/>
      <c r="V16" s="1333"/>
      <c r="W16" s="1334"/>
      <c r="Y16" s="404"/>
    </row>
    <row r="17" spans="2:25" ht="12" customHeight="1" x14ac:dyDescent="0.2">
      <c r="B17" s="789"/>
      <c r="G17" s="404"/>
      <c r="H17" s="762"/>
      <c r="I17" s="1554"/>
      <c r="J17" s="1554"/>
      <c r="K17" s="1554"/>
      <c r="L17" s="1554"/>
      <c r="M17" s="1554"/>
      <c r="N17" s="1554"/>
      <c r="O17" s="1554"/>
      <c r="P17" s="1554"/>
      <c r="Q17" s="1335"/>
      <c r="R17" s="1336"/>
      <c r="S17" s="1336"/>
      <c r="T17" s="1336"/>
      <c r="U17" s="1336"/>
      <c r="V17" s="1336"/>
      <c r="W17" s="1337"/>
      <c r="Y17" s="404"/>
    </row>
    <row r="18" spans="2:25" ht="12" customHeight="1" x14ac:dyDescent="0.2">
      <c r="B18" s="789"/>
      <c r="G18" s="404"/>
      <c r="H18" s="762"/>
      <c r="I18" s="1332" t="s">
        <v>1391</v>
      </c>
      <c r="J18" s="1333"/>
      <c r="K18" s="1333"/>
      <c r="L18" s="1333"/>
      <c r="M18" s="1333"/>
      <c r="N18" s="1333"/>
      <c r="O18" s="1333"/>
      <c r="P18" s="1334"/>
      <c r="Q18" s="1332"/>
      <c r="R18" s="1333"/>
      <c r="S18" s="1333"/>
      <c r="T18" s="1333"/>
      <c r="U18" s="1333"/>
      <c r="V18" s="1333"/>
      <c r="W18" s="1334"/>
      <c r="Y18" s="404"/>
    </row>
    <row r="19" spans="2:25" ht="12" customHeight="1" x14ac:dyDescent="0.2">
      <c r="B19" s="789"/>
      <c r="G19" s="404"/>
      <c r="H19" s="762"/>
      <c r="I19" s="1555"/>
      <c r="J19" s="1456"/>
      <c r="K19" s="1456"/>
      <c r="L19" s="1456"/>
      <c r="M19" s="1456"/>
      <c r="N19" s="1456"/>
      <c r="O19" s="1456"/>
      <c r="P19" s="1556"/>
      <c r="Q19" s="1555"/>
      <c r="R19" s="1456"/>
      <c r="S19" s="1456"/>
      <c r="T19" s="1456"/>
      <c r="U19" s="1456"/>
      <c r="V19" s="1456"/>
      <c r="W19" s="1556"/>
      <c r="Y19" s="404"/>
    </row>
    <row r="20" spans="2:25" ht="12" customHeight="1" x14ac:dyDescent="0.2">
      <c r="B20" s="789"/>
      <c r="G20" s="404"/>
      <c r="H20" s="762"/>
      <c r="I20" s="1555"/>
      <c r="J20" s="1456"/>
      <c r="K20" s="1456"/>
      <c r="L20" s="1456"/>
      <c r="M20" s="1456"/>
      <c r="N20" s="1456"/>
      <c r="O20" s="1456"/>
      <c r="P20" s="1556"/>
      <c r="Q20" s="1555"/>
      <c r="R20" s="1456"/>
      <c r="S20" s="1456"/>
      <c r="T20" s="1456"/>
      <c r="U20" s="1456"/>
      <c r="V20" s="1456"/>
      <c r="W20" s="1556"/>
      <c r="Y20" s="404"/>
    </row>
    <row r="21" spans="2:25" ht="12" customHeight="1" x14ac:dyDescent="0.2">
      <c r="B21" s="789"/>
      <c r="G21" s="404"/>
      <c r="H21" s="762"/>
      <c r="I21" s="1335"/>
      <c r="J21" s="1336"/>
      <c r="K21" s="1336"/>
      <c r="L21" s="1336"/>
      <c r="M21" s="1336"/>
      <c r="N21" s="1336"/>
      <c r="O21" s="1336"/>
      <c r="P21" s="1337"/>
      <c r="Q21" s="1335"/>
      <c r="R21" s="1336"/>
      <c r="S21" s="1336"/>
      <c r="T21" s="1336"/>
      <c r="U21" s="1336"/>
      <c r="V21" s="1336"/>
      <c r="W21" s="1337"/>
      <c r="Y21" s="404"/>
    </row>
    <row r="22" spans="2:25" ht="12" customHeight="1" x14ac:dyDescent="0.2">
      <c r="B22" s="789"/>
      <c r="G22" s="404"/>
      <c r="H22" s="762"/>
      <c r="I22" s="1554" t="s">
        <v>1948</v>
      </c>
      <c r="J22" s="1554"/>
      <c r="K22" s="1554"/>
      <c r="L22" s="1554"/>
      <c r="M22" s="1554"/>
      <c r="N22" s="1554"/>
      <c r="O22" s="1554"/>
      <c r="P22" s="1554"/>
      <c r="Q22" s="1557"/>
      <c r="R22" s="1558"/>
      <c r="S22" s="1558"/>
      <c r="T22" s="1558"/>
      <c r="U22" s="1558"/>
      <c r="V22" s="1558"/>
      <c r="W22" s="1559"/>
      <c r="Y22" s="404"/>
    </row>
    <row r="23" spans="2:25" ht="12" customHeight="1" x14ac:dyDescent="0.2">
      <c r="B23" s="789"/>
      <c r="G23" s="404"/>
      <c r="H23" s="762"/>
      <c r="I23" s="1554"/>
      <c r="J23" s="1554"/>
      <c r="K23" s="1554"/>
      <c r="L23" s="1554"/>
      <c r="M23" s="1554"/>
      <c r="N23" s="1554"/>
      <c r="O23" s="1554"/>
      <c r="P23" s="1554"/>
      <c r="Q23" s="1560"/>
      <c r="R23" s="1561"/>
      <c r="S23" s="1561"/>
      <c r="T23" s="1561"/>
      <c r="U23" s="1561"/>
      <c r="V23" s="1561"/>
      <c r="W23" s="1562"/>
      <c r="Y23" s="404"/>
    </row>
    <row r="24" spans="2:25" ht="12" customHeight="1" x14ac:dyDescent="0.2">
      <c r="B24" s="789"/>
      <c r="G24" s="404"/>
      <c r="H24" s="762"/>
      <c r="I24" s="1554" t="s">
        <v>1947</v>
      </c>
      <c r="J24" s="1554"/>
      <c r="K24" s="1554"/>
      <c r="L24" s="1554"/>
      <c r="M24" s="1554"/>
      <c r="N24" s="1554"/>
      <c r="O24" s="1554"/>
      <c r="P24" s="1554"/>
      <c r="Q24" s="1557" t="s">
        <v>1946</v>
      </c>
      <c r="R24" s="1558"/>
      <c r="S24" s="1558"/>
      <c r="T24" s="1558"/>
      <c r="U24" s="1558"/>
      <c r="V24" s="1558"/>
      <c r="W24" s="1559"/>
      <c r="Y24" s="404"/>
    </row>
    <row r="25" spans="2:25" ht="12" customHeight="1" x14ac:dyDescent="0.2">
      <c r="B25" s="789"/>
      <c r="G25" s="404"/>
      <c r="H25" s="762"/>
      <c r="I25" s="1554"/>
      <c r="J25" s="1554"/>
      <c r="K25" s="1554"/>
      <c r="L25" s="1554"/>
      <c r="M25" s="1554"/>
      <c r="N25" s="1554"/>
      <c r="O25" s="1554"/>
      <c r="P25" s="1554"/>
      <c r="Q25" s="1560"/>
      <c r="R25" s="1561"/>
      <c r="S25" s="1561"/>
      <c r="T25" s="1561"/>
      <c r="U25" s="1561"/>
      <c r="V25" s="1561"/>
      <c r="W25" s="1562"/>
      <c r="Y25" s="404"/>
    </row>
    <row r="26" spans="2:25" ht="12" customHeight="1" x14ac:dyDescent="0.2">
      <c r="B26" s="789"/>
      <c r="G26" s="404"/>
      <c r="H26" s="762"/>
      <c r="I26" s="1554" t="s">
        <v>1945</v>
      </c>
      <c r="J26" s="1554"/>
      <c r="K26" s="1554"/>
      <c r="L26" s="1554"/>
      <c r="M26" s="1554"/>
      <c r="N26" s="1554"/>
      <c r="O26" s="1554"/>
      <c r="P26" s="1554"/>
      <c r="Q26" s="1557"/>
      <c r="R26" s="1558"/>
      <c r="S26" s="1558"/>
      <c r="T26" s="1558"/>
      <c r="U26" s="1558"/>
      <c r="V26" s="1558"/>
      <c r="W26" s="1559"/>
      <c r="Y26" s="404"/>
    </row>
    <row r="27" spans="2:25" ht="12" customHeight="1" x14ac:dyDescent="0.2">
      <c r="B27" s="789"/>
      <c r="G27" s="404"/>
      <c r="H27" s="762"/>
      <c r="I27" s="1554"/>
      <c r="J27" s="1554"/>
      <c r="K27" s="1554"/>
      <c r="L27" s="1554"/>
      <c r="M27" s="1554"/>
      <c r="N27" s="1554"/>
      <c r="O27" s="1554"/>
      <c r="P27" s="1554"/>
      <c r="Q27" s="1560"/>
      <c r="R27" s="1561"/>
      <c r="S27" s="1561"/>
      <c r="T27" s="1561"/>
      <c r="U27" s="1561"/>
      <c r="V27" s="1561"/>
      <c r="W27" s="1562"/>
      <c r="Y27" s="404"/>
    </row>
    <row r="28" spans="2:25" ht="15" customHeight="1" x14ac:dyDescent="0.2">
      <c r="B28" s="789"/>
      <c r="G28" s="404"/>
      <c r="H28" s="762"/>
      <c r="I28" s="2"/>
      <c r="J28" s="2"/>
      <c r="K28" s="2"/>
      <c r="L28" s="2"/>
      <c r="M28" s="2"/>
      <c r="N28" s="2"/>
      <c r="O28" s="2"/>
      <c r="P28" s="2"/>
      <c r="Q28" s="2"/>
      <c r="R28" s="2"/>
      <c r="S28" s="2"/>
      <c r="T28" s="2"/>
      <c r="U28" s="2"/>
      <c r="Y28" s="578"/>
    </row>
    <row r="29" spans="2:25" ht="29.25" customHeight="1" x14ac:dyDescent="0.2">
      <c r="B29" s="788"/>
      <c r="C29" s="792"/>
      <c r="D29" s="792"/>
      <c r="E29" s="792"/>
      <c r="F29" s="792"/>
      <c r="G29" s="1120"/>
      <c r="H29" s="579" t="s">
        <v>1951</v>
      </c>
      <c r="I29" s="2"/>
      <c r="Y29" s="404"/>
    </row>
    <row r="30" spans="2:25" ht="12" customHeight="1" x14ac:dyDescent="0.2">
      <c r="B30" s="789"/>
      <c r="G30" s="404"/>
      <c r="H30" s="762"/>
      <c r="I30" s="1554" t="s">
        <v>1949</v>
      </c>
      <c r="J30" s="1554"/>
      <c r="K30" s="1554"/>
      <c r="L30" s="1554"/>
      <c r="M30" s="1554"/>
      <c r="N30" s="1554"/>
      <c r="O30" s="1554"/>
      <c r="P30" s="1554"/>
      <c r="Q30" s="1332"/>
      <c r="R30" s="1333"/>
      <c r="S30" s="1333"/>
      <c r="T30" s="1333"/>
      <c r="U30" s="1333"/>
      <c r="V30" s="1333"/>
      <c r="W30" s="1334"/>
      <c r="Y30" s="404"/>
    </row>
    <row r="31" spans="2:25" ht="12" customHeight="1" x14ac:dyDescent="0.2">
      <c r="B31" s="789"/>
      <c r="G31" s="404"/>
      <c r="H31" s="762"/>
      <c r="I31" s="1554"/>
      <c r="J31" s="1554"/>
      <c r="K31" s="1554"/>
      <c r="L31" s="1554"/>
      <c r="M31" s="1554"/>
      <c r="N31" s="1554"/>
      <c r="O31" s="1554"/>
      <c r="P31" s="1554"/>
      <c r="Q31" s="1335"/>
      <c r="R31" s="1336"/>
      <c r="S31" s="1336"/>
      <c r="T31" s="1336"/>
      <c r="U31" s="1336"/>
      <c r="V31" s="1336"/>
      <c r="W31" s="1337"/>
      <c r="Y31" s="404"/>
    </row>
    <row r="32" spans="2:25" ht="12" customHeight="1" x14ac:dyDescent="0.2">
      <c r="B32" s="789"/>
      <c r="G32" s="404"/>
      <c r="H32" s="762"/>
      <c r="I32" s="1332" t="s">
        <v>1391</v>
      </c>
      <c r="J32" s="1333"/>
      <c r="K32" s="1333"/>
      <c r="L32" s="1333"/>
      <c r="M32" s="1333"/>
      <c r="N32" s="1333"/>
      <c r="O32" s="1333"/>
      <c r="P32" s="1334"/>
      <c r="Q32" s="1332"/>
      <c r="R32" s="1333"/>
      <c r="S32" s="1333"/>
      <c r="T32" s="1333"/>
      <c r="U32" s="1333"/>
      <c r="V32" s="1333"/>
      <c r="W32" s="1334"/>
      <c r="Y32" s="404"/>
    </row>
    <row r="33" spans="2:25" ht="12" customHeight="1" x14ac:dyDescent="0.2">
      <c r="B33" s="789"/>
      <c r="G33" s="404"/>
      <c r="H33" s="762"/>
      <c r="I33" s="1555"/>
      <c r="J33" s="1456"/>
      <c r="K33" s="1456"/>
      <c r="L33" s="1456"/>
      <c r="M33" s="1456"/>
      <c r="N33" s="1456"/>
      <c r="O33" s="1456"/>
      <c r="P33" s="1556"/>
      <c r="Q33" s="1555"/>
      <c r="R33" s="1456"/>
      <c r="S33" s="1456"/>
      <c r="T33" s="1456"/>
      <c r="U33" s="1456"/>
      <c r="V33" s="1456"/>
      <c r="W33" s="1556"/>
      <c r="Y33" s="404"/>
    </row>
    <row r="34" spans="2:25" ht="12" customHeight="1" x14ac:dyDescent="0.2">
      <c r="B34" s="789"/>
      <c r="G34" s="404"/>
      <c r="H34" s="762"/>
      <c r="I34" s="1555"/>
      <c r="J34" s="1456"/>
      <c r="K34" s="1456"/>
      <c r="L34" s="1456"/>
      <c r="M34" s="1456"/>
      <c r="N34" s="1456"/>
      <c r="O34" s="1456"/>
      <c r="P34" s="1556"/>
      <c r="Q34" s="1555"/>
      <c r="R34" s="1456"/>
      <c r="S34" s="1456"/>
      <c r="T34" s="1456"/>
      <c r="U34" s="1456"/>
      <c r="V34" s="1456"/>
      <c r="W34" s="1556"/>
      <c r="Y34" s="404"/>
    </row>
    <row r="35" spans="2:25" ht="12" customHeight="1" x14ac:dyDescent="0.2">
      <c r="B35" s="789"/>
      <c r="G35" s="404"/>
      <c r="H35" s="762"/>
      <c r="I35" s="1335"/>
      <c r="J35" s="1336"/>
      <c r="K35" s="1336"/>
      <c r="L35" s="1336"/>
      <c r="M35" s="1336"/>
      <c r="N35" s="1336"/>
      <c r="O35" s="1336"/>
      <c r="P35" s="1337"/>
      <c r="Q35" s="1335"/>
      <c r="R35" s="1336"/>
      <c r="S35" s="1336"/>
      <c r="T35" s="1336"/>
      <c r="U35" s="1336"/>
      <c r="V35" s="1336"/>
      <c r="W35" s="1337"/>
      <c r="Y35" s="404"/>
    </row>
    <row r="36" spans="2:25" ht="12" customHeight="1" x14ac:dyDescent="0.2">
      <c r="B36" s="789"/>
      <c r="G36" s="404"/>
      <c r="H36" s="762"/>
      <c r="I36" s="1554" t="s">
        <v>1948</v>
      </c>
      <c r="J36" s="1554"/>
      <c r="K36" s="1554"/>
      <c r="L36" s="1554"/>
      <c r="M36" s="1554"/>
      <c r="N36" s="1554"/>
      <c r="O36" s="1554"/>
      <c r="P36" s="1554"/>
      <c r="Q36" s="1557"/>
      <c r="R36" s="1558"/>
      <c r="S36" s="1558"/>
      <c r="T36" s="1558"/>
      <c r="U36" s="1558"/>
      <c r="V36" s="1558"/>
      <c r="W36" s="1559"/>
      <c r="Y36" s="404"/>
    </row>
    <row r="37" spans="2:25" ht="12" customHeight="1" x14ac:dyDescent="0.2">
      <c r="B37" s="789"/>
      <c r="G37" s="404"/>
      <c r="H37" s="762"/>
      <c r="I37" s="1554"/>
      <c r="J37" s="1554"/>
      <c r="K37" s="1554"/>
      <c r="L37" s="1554"/>
      <c r="M37" s="1554"/>
      <c r="N37" s="1554"/>
      <c r="O37" s="1554"/>
      <c r="P37" s="1554"/>
      <c r="Q37" s="1560"/>
      <c r="R37" s="1561"/>
      <c r="S37" s="1561"/>
      <c r="T37" s="1561"/>
      <c r="U37" s="1561"/>
      <c r="V37" s="1561"/>
      <c r="W37" s="1562"/>
      <c r="Y37" s="404"/>
    </row>
    <row r="38" spans="2:25" ht="12" customHeight="1" x14ac:dyDescent="0.2">
      <c r="B38" s="789"/>
      <c r="G38" s="404"/>
      <c r="H38" s="791"/>
      <c r="I38" s="1340" t="s">
        <v>1947</v>
      </c>
      <c r="J38" s="1554"/>
      <c r="K38" s="1554"/>
      <c r="L38" s="1554"/>
      <c r="M38" s="1554"/>
      <c r="N38" s="1554"/>
      <c r="O38" s="1554"/>
      <c r="P38" s="1554"/>
      <c r="Q38" s="1549" t="s">
        <v>1946</v>
      </c>
      <c r="R38" s="1550"/>
      <c r="S38" s="1550"/>
      <c r="T38" s="1550"/>
      <c r="U38" s="1550"/>
      <c r="V38" s="1550"/>
      <c r="W38" s="1550"/>
      <c r="X38" s="762"/>
      <c r="Y38" s="404"/>
    </row>
    <row r="39" spans="2:25" ht="12" customHeight="1" x14ac:dyDescent="0.2">
      <c r="B39" s="789"/>
      <c r="G39" s="404"/>
      <c r="H39" s="762"/>
      <c r="I39" s="1563"/>
      <c r="J39" s="1563"/>
      <c r="K39" s="1563"/>
      <c r="L39" s="1563"/>
      <c r="M39" s="1563"/>
      <c r="N39" s="1563"/>
      <c r="O39" s="1563"/>
      <c r="P39" s="1563"/>
      <c r="Q39" s="1560"/>
      <c r="R39" s="1561"/>
      <c r="S39" s="1561"/>
      <c r="T39" s="1561"/>
      <c r="U39" s="1561"/>
      <c r="V39" s="1561"/>
      <c r="W39" s="1562"/>
      <c r="Y39" s="404"/>
    </row>
    <row r="40" spans="2:25" ht="12" customHeight="1" x14ac:dyDescent="0.2">
      <c r="B40" s="789"/>
      <c r="G40" s="404"/>
      <c r="H40" s="762"/>
      <c r="I40" s="1554" t="s">
        <v>1945</v>
      </c>
      <c r="J40" s="1554"/>
      <c r="K40" s="1554"/>
      <c r="L40" s="1554"/>
      <c r="M40" s="1554"/>
      <c r="N40" s="1554"/>
      <c r="O40" s="1554"/>
      <c r="P40" s="1554"/>
      <c r="Q40" s="1557"/>
      <c r="R40" s="1558"/>
      <c r="S40" s="1558"/>
      <c r="T40" s="1558"/>
      <c r="U40" s="1558"/>
      <c r="V40" s="1558"/>
      <c r="W40" s="1559"/>
      <c r="Y40" s="404"/>
    </row>
    <row r="41" spans="2:25" ht="12" customHeight="1" x14ac:dyDescent="0.2">
      <c r="B41" s="789"/>
      <c r="G41" s="404"/>
      <c r="H41" s="762"/>
      <c r="I41" s="1554"/>
      <c r="J41" s="1554"/>
      <c r="K41" s="1554"/>
      <c r="L41" s="1554"/>
      <c r="M41" s="1554"/>
      <c r="N41" s="1554"/>
      <c r="O41" s="1554"/>
      <c r="P41" s="1554"/>
      <c r="Q41" s="1560"/>
      <c r="R41" s="1561"/>
      <c r="S41" s="1561"/>
      <c r="T41" s="1561"/>
      <c r="U41" s="1561"/>
      <c r="V41" s="1561"/>
      <c r="W41" s="1562"/>
      <c r="Y41" s="404"/>
    </row>
    <row r="42" spans="2:25" ht="15" customHeight="1" x14ac:dyDescent="0.2">
      <c r="B42" s="789"/>
      <c r="G42" s="404"/>
      <c r="H42" s="762"/>
      <c r="I42" s="2"/>
      <c r="J42" s="2"/>
      <c r="K42" s="2"/>
      <c r="L42" s="2"/>
      <c r="M42" s="2"/>
      <c r="N42" s="2"/>
      <c r="O42" s="2"/>
      <c r="P42" s="2"/>
      <c r="Q42" s="2"/>
      <c r="R42" s="2"/>
      <c r="S42" s="2"/>
      <c r="T42" s="2"/>
      <c r="U42" s="2"/>
      <c r="Y42" s="578"/>
    </row>
    <row r="43" spans="2:25" ht="29.25" customHeight="1" x14ac:dyDescent="0.2">
      <c r="B43" s="788"/>
      <c r="C43" s="792"/>
      <c r="D43" s="792"/>
      <c r="E43" s="792"/>
      <c r="F43" s="792"/>
      <c r="G43" s="1120"/>
      <c r="H43" s="579" t="s">
        <v>1950</v>
      </c>
      <c r="I43" s="2"/>
      <c r="Y43" s="404"/>
    </row>
    <row r="44" spans="2:25" ht="12" customHeight="1" x14ac:dyDescent="0.2">
      <c r="B44" s="789"/>
      <c r="G44" s="404"/>
      <c r="H44" s="762"/>
      <c r="I44" s="1554" t="s">
        <v>1949</v>
      </c>
      <c r="J44" s="1554"/>
      <c r="K44" s="1554"/>
      <c r="L44" s="1554"/>
      <c r="M44" s="1554"/>
      <c r="N44" s="1554"/>
      <c r="O44" s="1554"/>
      <c r="P44" s="1554"/>
      <c r="Q44" s="1332"/>
      <c r="R44" s="1333"/>
      <c r="S44" s="1333"/>
      <c r="T44" s="1333"/>
      <c r="U44" s="1333"/>
      <c r="V44" s="1333"/>
      <c r="W44" s="1334"/>
      <c r="Y44" s="404"/>
    </row>
    <row r="45" spans="2:25" ht="12" customHeight="1" x14ac:dyDescent="0.2">
      <c r="B45" s="789"/>
      <c r="G45" s="404"/>
      <c r="H45" s="762"/>
      <c r="I45" s="1554"/>
      <c r="J45" s="1554"/>
      <c r="K45" s="1554"/>
      <c r="L45" s="1554"/>
      <c r="M45" s="1554"/>
      <c r="N45" s="1554"/>
      <c r="O45" s="1554"/>
      <c r="P45" s="1554"/>
      <c r="Q45" s="1335"/>
      <c r="R45" s="1336"/>
      <c r="S45" s="1336"/>
      <c r="T45" s="1336"/>
      <c r="U45" s="1336"/>
      <c r="V45" s="1336"/>
      <c r="W45" s="1337"/>
      <c r="Y45" s="404"/>
    </row>
    <row r="46" spans="2:25" ht="12" customHeight="1" x14ac:dyDescent="0.2">
      <c r="B46" s="789"/>
      <c r="G46" s="404"/>
      <c r="H46" s="762"/>
      <c r="I46" s="1332" t="s">
        <v>1391</v>
      </c>
      <c r="J46" s="1333"/>
      <c r="K46" s="1333"/>
      <c r="L46" s="1333"/>
      <c r="M46" s="1333"/>
      <c r="N46" s="1333"/>
      <c r="O46" s="1333"/>
      <c r="P46" s="1334"/>
      <c r="Q46" s="1332"/>
      <c r="R46" s="1333"/>
      <c r="S46" s="1333"/>
      <c r="T46" s="1333"/>
      <c r="U46" s="1333"/>
      <c r="V46" s="1333"/>
      <c r="W46" s="1334"/>
      <c r="Y46" s="404"/>
    </row>
    <row r="47" spans="2:25" ht="12" customHeight="1" x14ac:dyDescent="0.2">
      <c r="B47" s="789"/>
      <c r="G47" s="404"/>
      <c r="H47" s="762"/>
      <c r="I47" s="1555"/>
      <c r="J47" s="1456"/>
      <c r="K47" s="1456"/>
      <c r="L47" s="1456"/>
      <c r="M47" s="1456"/>
      <c r="N47" s="1456"/>
      <c r="O47" s="1456"/>
      <c r="P47" s="1556"/>
      <c r="Q47" s="1555"/>
      <c r="R47" s="1456"/>
      <c r="S47" s="1456"/>
      <c r="T47" s="1456"/>
      <c r="U47" s="1456"/>
      <c r="V47" s="1456"/>
      <c r="W47" s="1556"/>
      <c r="Y47" s="404"/>
    </row>
    <row r="48" spans="2:25" ht="12" customHeight="1" x14ac:dyDescent="0.2">
      <c r="B48" s="789"/>
      <c r="G48" s="404"/>
      <c r="H48" s="762"/>
      <c r="I48" s="1555"/>
      <c r="J48" s="1456"/>
      <c r="K48" s="1456"/>
      <c r="L48" s="1456"/>
      <c r="M48" s="1456"/>
      <c r="N48" s="1456"/>
      <c r="O48" s="1456"/>
      <c r="P48" s="1556"/>
      <c r="Q48" s="1555"/>
      <c r="R48" s="1456"/>
      <c r="S48" s="1456"/>
      <c r="T48" s="1456"/>
      <c r="U48" s="1456"/>
      <c r="V48" s="1456"/>
      <c r="W48" s="1556"/>
      <c r="Y48" s="404"/>
    </row>
    <row r="49" spans="2:25" ht="12" customHeight="1" x14ac:dyDescent="0.2">
      <c r="B49" s="789"/>
      <c r="G49" s="404"/>
      <c r="H49" s="762"/>
      <c r="I49" s="1335"/>
      <c r="J49" s="1336"/>
      <c r="K49" s="1336"/>
      <c r="L49" s="1336"/>
      <c r="M49" s="1336"/>
      <c r="N49" s="1336"/>
      <c r="O49" s="1336"/>
      <c r="P49" s="1337"/>
      <c r="Q49" s="1335"/>
      <c r="R49" s="1336"/>
      <c r="S49" s="1336"/>
      <c r="T49" s="1336"/>
      <c r="U49" s="1336"/>
      <c r="V49" s="1336"/>
      <c r="W49" s="1337"/>
      <c r="Y49" s="404"/>
    </row>
    <row r="50" spans="2:25" ht="12" customHeight="1" x14ac:dyDescent="0.2">
      <c r="B50" s="789"/>
      <c r="G50" s="404"/>
      <c r="H50" s="762"/>
      <c r="I50" s="1554" t="s">
        <v>1948</v>
      </c>
      <c r="J50" s="1554"/>
      <c r="K50" s="1554"/>
      <c r="L50" s="1554"/>
      <c r="M50" s="1554"/>
      <c r="N50" s="1554"/>
      <c r="O50" s="1554"/>
      <c r="P50" s="1554"/>
      <c r="Q50" s="1557"/>
      <c r="R50" s="1558"/>
      <c r="S50" s="1558"/>
      <c r="T50" s="1558"/>
      <c r="U50" s="1558"/>
      <c r="V50" s="1558"/>
      <c r="W50" s="1559"/>
      <c r="Y50" s="404"/>
    </row>
    <row r="51" spans="2:25" ht="12" customHeight="1" x14ac:dyDescent="0.2">
      <c r="B51" s="789"/>
      <c r="G51" s="404"/>
      <c r="H51" s="762"/>
      <c r="I51" s="1554"/>
      <c r="J51" s="1554"/>
      <c r="K51" s="1554"/>
      <c r="L51" s="1554"/>
      <c r="M51" s="1554"/>
      <c r="N51" s="1554"/>
      <c r="O51" s="1554"/>
      <c r="P51" s="1554"/>
      <c r="Q51" s="1560"/>
      <c r="R51" s="1561"/>
      <c r="S51" s="1561"/>
      <c r="T51" s="1561"/>
      <c r="U51" s="1561"/>
      <c r="V51" s="1561"/>
      <c r="W51" s="1562"/>
      <c r="Y51" s="404"/>
    </row>
    <row r="52" spans="2:25" ht="12" customHeight="1" x14ac:dyDescent="0.2">
      <c r="B52" s="789"/>
      <c r="G52" s="404"/>
      <c r="H52" s="762"/>
      <c r="I52" s="1554" t="s">
        <v>1947</v>
      </c>
      <c r="J52" s="1554"/>
      <c r="K52" s="1554"/>
      <c r="L52" s="1554"/>
      <c r="M52" s="1554"/>
      <c r="N52" s="1554"/>
      <c r="O52" s="1554"/>
      <c r="P52" s="1554"/>
      <c r="Q52" s="1557" t="s">
        <v>1946</v>
      </c>
      <c r="R52" s="1558"/>
      <c r="S52" s="1558"/>
      <c r="T52" s="1558"/>
      <c r="U52" s="1558"/>
      <c r="V52" s="1558"/>
      <c r="W52" s="1559"/>
      <c r="Y52" s="404"/>
    </row>
    <row r="53" spans="2:25" ht="12" customHeight="1" x14ac:dyDescent="0.2">
      <c r="B53" s="789"/>
      <c r="G53" s="404"/>
      <c r="H53" s="762"/>
      <c r="I53" s="1554"/>
      <c r="J53" s="1554"/>
      <c r="K53" s="1554"/>
      <c r="L53" s="1554"/>
      <c r="M53" s="1554"/>
      <c r="N53" s="1554"/>
      <c r="O53" s="1554"/>
      <c r="P53" s="1554"/>
      <c r="Q53" s="1560"/>
      <c r="R53" s="1561"/>
      <c r="S53" s="1561"/>
      <c r="T53" s="1561"/>
      <c r="U53" s="1561"/>
      <c r="V53" s="1561"/>
      <c r="W53" s="1562"/>
      <c r="Y53" s="404"/>
    </row>
    <row r="54" spans="2:25" ht="12" customHeight="1" x14ac:dyDescent="0.2">
      <c r="B54" s="789"/>
      <c r="G54" s="404"/>
      <c r="H54" s="762"/>
      <c r="I54" s="1554" t="s">
        <v>1945</v>
      </c>
      <c r="J54" s="1554"/>
      <c r="K54" s="1554"/>
      <c r="L54" s="1554"/>
      <c r="M54" s="1554"/>
      <c r="N54" s="1554"/>
      <c r="O54" s="1554"/>
      <c r="P54" s="1554"/>
      <c r="Q54" s="1557"/>
      <c r="R54" s="1558"/>
      <c r="S54" s="1558"/>
      <c r="T54" s="1558"/>
      <c r="U54" s="1558"/>
      <c r="V54" s="1558"/>
      <c r="W54" s="1559"/>
      <c r="Y54" s="404"/>
    </row>
    <row r="55" spans="2:25" ht="12" customHeight="1" x14ac:dyDescent="0.2">
      <c r="B55" s="789"/>
      <c r="G55" s="404"/>
      <c r="H55" s="762"/>
      <c r="I55" s="1554"/>
      <c r="J55" s="1554"/>
      <c r="K55" s="1554"/>
      <c r="L55" s="1554"/>
      <c r="M55" s="1554"/>
      <c r="N55" s="1554"/>
      <c r="O55" s="1554"/>
      <c r="P55" s="1554"/>
      <c r="Q55" s="1560"/>
      <c r="R55" s="1561"/>
      <c r="S55" s="1561"/>
      <c r="T55" s="1561"/>
      <c r="U55" s="1561"/>
      <c r="V55" s="1561"/>
      <c r="W55" s="1562"/>
      <c r="Y55" s="404"/>
    </row>
    <row r="56" spans="2:25" ht="15" customHeight="1" x14ac:dyDescent="0.2">
      <c r="B56" s="560"/>
      <c r="C56" s="59"/>
      <c r="D56" s="59"/>
      <c r="E56" s="59"/>
      <c r="F56" s="59"/>
      <c r="G56" s="60"/>
      <c r="H56" s="764"/>
      <c r="I56" s="59"/>
      <c r="J56" s="59"/>
      <c r="K56" s="59"/>
      <c r="L56" s="59"/>
      <c r="M56" s="59"/>
      <c r="N56" s="59"/>
      <c r="O56" s="59"/>
      <c r="P56" s="59"/>
      <c r="Q56" s="59"/>
      <c r="R56" s="59"/>
      <c r="S56" s="59"/>
      <c r="T56" s="59"/>
      <c r="U56" s="59"/>
      <c r="V56" s="59"/>
      <c r="W56" s="1565"/>
      <c r="X56" s="1565"/>
      <c r="Y56" s="1566"/>
    </row>
    <row r="57" spans="2:25" ht="15" customHeight="1" x14ac:dyDescent="0.2">
      <c r="Y57" s="577"/>
    </row>
    <row r="58" spans="2:25" ht="38.700000000000003" customHeight="1" x14ac:dyDescent="0.2">
      <c r="B58" s="1564" t="s">
        <v>1944</v>
      </c>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row>
    <row r="59" spans="2:25" ht="24" customHeight="1" x14ac:dyDescent="0.2">
      <c r="B59" s="1564" t="s">
        <v>1943</v>
      </c>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row>
    <row r="60" spans="2:25" ht="24" customHeight="1" x14ac:dyDescent="0.2">
      <c r="B60" s="1564" t="s">
        <v>1942</v>
      </c>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row>
    <row r="61" spans="2:25" x14ac:dyDescent="0.2">
      <c r="B61" s="780" t="s">
        <v>825</v>
      </c>
      <c r="D61" s="792"/>
      <c r="E61" s="792"/>
      <c r="F61" s="792"/>
      <c r="G61" s="792"/>
      <c r="H61" s="792"/>
      <c r="I61" s="792"/>
      <c r="J61" s="792"/>
      <c r="K61" s="792"/>
      <c r="L61" s="792"/>
      <c r="M61" s="792"/>
      <c r="N61" s="792"/>
      <c r="O61" s="792"/>
      <c r="P61" s="792"/>
      <c r="Q61" s="792"/>
      <c r="R61" s="792"/>
      <c r="S61" s="792"/>
      <c r="T61" s="792"/>
      <c r="U61" s="792"/>
      <c r="V61" s="792"/>
      <c r="W61" s="792"/>
      <c r="X61" s="792"/>
      <c r="Y61" s="792"/>
    </row>
    <row r="62" spans="2:25" x14ac:dyDescent="0.2">
      <c r="B62" s="780"/>
      <c r="D62" s="600"/>
      <c r="E62" s="600"/>
      <c r="F62" s="600"/>
      <c r="G62" s="600"/>
      <c r="H62" s="600"/>
      <c r="I62" s="600"/>
      <c r="J62" s="600"/>
      <c r="K62" s="600"/>
      <c r="L62" s="600"/>
      <c r="M62" s="600"/>
      <c r="N62" s="600"/>
      <c r="O62" s="600"/>
      <c r="P62" s="600"/>
      <c r="Q62" s="600"/>
      <c r="R62" s="600"/>
      <c r="S62" s="600"/>
      <c r="T62" s="600"/>
      <c r="U62" s="600"/>
      <c r="V62" s="600"/>
      <c r="W62" s="600"/>
      <c r="X62" s="600"/>
      <c r="Y62" s="600"/>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7:H13 JD7:JD13 SZ7:SZ13 ACV7:ACV13 AMR7:AMR13 AWN7:AWN13 BGJ7:BGJ13 BQF7:BQF13 CAB7:CAB13 CJX7:CJX13 CTT7:CTT13 DDP7:DDP13 DNL7:DNL13 DXH7:DXH13 EHD7:EHD13 EQZ7:EQZ13 FAV7:FAV13 FKR7:FKR13 FUN7:FUN13 GEJ7:GEJ13 GOF7:GOF13 GYB7:GYB13 HHX7:HHX13 HRT7:HRT13 IBP7:IBP13 ILL7:ILL13 IVH7:IVH13 JFD7:JFD13 JOZ7:JOZ13 JYV7:JYV13 KIR7:KIR13 KSN7:KSN13 LCJ7:LCJ13 LMF7:LMF13 LWB7:LWB13 MFX7:MFX13 MPT7:MPT13 MZP7:MZP13 NJL7:NJL13 NTH7:NTH13 ODD7:ODD13 OMZ7:OMZ13 OWV7:OWV13 PGR7:PGR13 PQN7:PQN13 QAJ7:QAJ13 QKF7:QKF13 QUB7:QUB13 RDX7:RDX13 RNT7:RNT13 RXP7:RXP13 SHL7:SHL13 SRH7:SRH13 TBD7:TBD13 TKZ7:TKZ13 TUV7:TUV13 UER7:UER13 UON7:UON13 UYJ7:UYJ13 VIF7:VIF13 VSB7:VSB13 WBX7:WBX13 WLT7:WLT13 WVP7:WVP13 H65543:H65549 JD65543:JD65549 SZ65543:SZ65549 ACV65543:ACV65549 AMR65543:AMR65549 AWN65543:AWN65549 BGJ65543:BGJ65549 BQF65543:BQF65549 CAB65543:CAB65549 CJX65543:CJX65549 CTT65543:CTT65549 DDP65543:DDP65549 DNL65543:DNL65549 DXH65543:DXH65549 EHD65543:EHD65549 EQZ65543:EQZ65549 FAV65543:FAV65549 FKR65543:FKR65549 FUN65543:FUN65549 GEJ65543:GEJ65549 GOF65543:GOF65549 GYB65543:GYB65549 HHX65543:HHX65549 HRT65543:HRT65549 IBP65543:IBP65549 ILL65543:ILL65549 IVH65543:IVH65549 JFD65543:JFD65549 JOZ65543:JOZ65549 JYV65543:JYV65549 KIR65543:KIR65549 KSN65543:KSN65549 LCJ65543:LCJ65549 LMF65543:LMF65549 LWB65543:LWB65549 MFX65543:MFX65549 MPT65543:MPT65549 MZP65543:MZP65549 NJL65543:NJL65549 NTH65543:NTH65549 ODD65543:ODD65549 OMZ65543:OMZ65549 OWV65543:OWV65549 PGR65543:PGR65549 PQN65543:PQN65549 QAJ65543:QAJ65549 QKF65543:QKF65549 QUB65543:QUB65549 RDX65543:RDX65549 RNT65543:RNT65549 RXP65543:RXP65549 SHL65543:SHL65549 SRH65543:SRH65549 TBD65543:TBD65549 TKZ65543:TKZ65549 TUV65543:TUV65549 UER65543:UER65549 UON65543:UON65549 UYJ65543:UYJ65549 VIF65543:VIF65549 VSB65543:VSB65549 WBX65543:WBX65549 WLT65543:WLT65549 WVP65543:WVP65549 H131079:H131085 JD131079:JD131085 SZ131079:SZ131085 ACV131079:ACV131085 AMR131079:AMR131085 AWN131079:AWN131085 BGJ131079:BGJ131085 BQF131079:BQF131085 CAB131079:CAB131085 CJX131079:CJX131085 CTT131079:CTT131085 DDP131079:DDP131085 DNL131079:DNL131085 DXH131079:DXH131085 EHD131079:EHD131085 EQZ131079:EQZ131085 FAV131079:FAV131085 FKR131079:FKR131085 FUN131079:FUN131085 GEJ131079:GEJ131085 GOF131079:GOF131085 GYB131079:GYB131085 HHX131079:HHX131085 HRT131079:HRT131085 IBP131079:IBP131085 ILL131079:ILL131085 IVH131079:IVH131085 JFD131079:JFD131085 JOZ131079:JOZ131085 JYV131079:JYV131085 KIR131079:KIR131085 KSN131079:KSN131085 LCJ131079:LCJ131085 LMF131079:LMF131085 LWB131079:LWB131085 MFX131079:MFX131085 MPT131079:MPT131085 MZP131079:MZP131085 NJL131079:NJL131085 NTH131079:NTH131085 ODD131079:ODD131085 OMZ131079:OMZ131085 OWV131079:OWV131085 PGR131079:PGR131085 PQN131079:PQN131085 QAJ131079:QAJ131085 QKF131079:QKF131085 QUB131079:QUB131085 RDX131079:RDX131085 RNT131079:RNT131085 RXP131079:RXP131085 SHL131079:SHL131085 SRH131079:SRH131085 TBD131079:TBD131085 TKZ131079:TKZ131085 TUV131079:TUV131085 UER131079:UER131085 UON131079:UON131085 UYJ131079:UYJ131085 VIF131079:VIF131085 VSB131079:VSB131085 WBX131079:WBX131085 WLT131079:WLT131085 WVP131079:WVP131085 H196615:H196621 JD196615:JD196621 SZ196615:SZ196621 ACV196615:ACV196621 AMR196615:AMR196621 AWN196615:AWN196621 BGJ196615:BGJ196621 BQF196615:BQF196621 CAB196615:CAB196621 CJX196615:CJX196621 CTT196615:CTT196621 DDP196615:DDP196621 DNL196615:DNL196621 DXH196615:DXH196621 EHD196615:EHD196621 EQZ196615:EQZ196621 FAV196615:FAV196621 FKR196615:FKR196621 FUN196615:FUN196621 GEJ196615:GEJ196621 GOF196615:GOF196621 GYB196615:GYB196621 HHX196615:HHX196621 HRT196615:HRT196621 IBP196615:IBP196621 ILL196615:ILL196621 IVH196615:IVH196621 JFD196615:JFD196621 JOZ196615:JOZ196621 JYV196615:JYV196621 KIR196615:KIR196621 KSN196615:KSN196621 LCJ196615:LCJ196621 LMF196615:LMF196621 LWB196615:LWB196621 MFX196615:MFX196621 MPT196615:MPT196621 MZP196615:MZP196621 NJL196615:NJL196621 NTH196615:NTH196621 ODD196615:ODD196621 OMZ196615:OMZ196621 OWV196615:OWV196621 PGR196615:PGR196621 PQN196615:PQN196621 QAJ196615:QAJ196621 QKF196615:QKF196621 QUB196615:QUB196621 RDX196615:RDX196621 RNT196615:RNT196621 RXP196615:RXP196621 SHL196615:SHL196621 SRH196615:SRH196621 TBD196615:TBD196621 TKZ196615:TKZ196621 TUV196615:TUV196621 UER196615:UER196621 UON196615:UON196621 UYJ196615:UYJ196621 VIF196615:VIF196621 VSB196615:VSB196621 WBX196615:WBX196621 WLT196615:WLT196621 WVP196615:WVP196621 H262151:H262157 JD262151:JD262157 SZ262151:SZ262157 ACV262151:ACV262157 AMR262151:AMR262157 AWN262151:AWN262157 BGJ262151:BGJ262157 BQF262151:BQF262157 CAB262151:CAB262157 CJX262151:CJX262157 CTT262151:CTT262157 DDP262151:DDP262157 DNL262151:DNL262157 DXH262151:DXH262157 EHD262151:EHD262157 EQZ262151:EQZ262157 FAV262151:FAV262157 FKR262151:FKR262157 FUN262151:FUN262157 GEJ262151:GEJ262157 GOF262151:GOF262157 GYB262151:GYB262157 HHX262151:HHX262157 HRT262151:HRT262157 IBP262151:IBP262157 ILL262151:ILL262157 IVH262151:IVH262157 JFD262151:JFD262157 JOZ262151:JOZ262157 JYV262151:JYV262157 KIR262151:KIR262157 KSN262151:KSN262157 LCJ262151:LCJ262157 LMF262151:LMF262157 LWB262151:LWB262157 MFX262151:MFX262157 MPT262151:MPT262157 MZP262151:MZP262157 NJL262151:NJL262157 NTH262151:NTH262157 ODD262151:ODD262157 OMZ262151:OMZ262157 OWV262151:OWV262157 PGR262151:PGR262157 PQN262151:PQN262157 QAJ262151:QAJ262157 QKF262151:QKF262157 QUB262151:QUB262157 RDX262151:RDX262157 RNT262151:RNT262157 RXP262151:RXP262157 SHL262151:SHL262157 SRH262151:SRH262157 TBD262151:TBD262157 TKZ262151:TKZ262157 TUV262151:TUV262157 UER262151:UER262157 UON262151:UON262157 UYJ262151:UYJ262157 VIF262151:VIF262157 VSB262151:VSB262157 WBX262151:WBX262157 WLT262151:WLT262157 WVP262151:WVP262157 H327687:H327693 JD327687:JD327693 SZ327687:SZ327693 ACV327687:ACV327693 AMR327687:AMR327693 AWN327687:AWN327693 BGJ327687:BGJ327693 BQF327687:BQF327693 CAB327687:CAB327693 CJX327687:CJX327693 CTT327687:CTT327693 DDP327687:DDP327693 DNL327687:DNL327693 DXH327687:DXH327693 EHD327687:EHD327693 EQZ327687:EQZ327693 FAV327687:FAV327693 FKR327687:FKR327693 FUN327687:FUN327693 GEJ327687:GEJ327693 GOF327687:GOF327693 GYB327687:GYB327693 HHX327687:HHX327693 HRT327687:HRT327693 IBP327687:IBP327693 ILL327687:ILL327693 IVH327687:IVH327693 JFD327687:JFD327693 JOZ327687:JOZ327693 JYV327687:JYV327693 KIR327687:KIR327693 KSN327687:KSN327693 LCJ327687:LCJ327693 LMF327687:LMF327693 LWB327687:LWB327693 MFX327687:MFX327693 MPT327687:MPT327693 MZP327687:MZP327693 NJL327687:NJL327693 NTH327687:NTH327693 ODD327687:ODD327693 OMZ327687:OMZ327693 OWV327687:OWV327693 PGR327687:PGR327693 PQN327687:PQN327693 QAJ327687:QAJ327693 QKF327687:QKF327693 QUB327687:QUB327693 RDX327687:RDX327693 RNT327687:RNT327693 RXP327687:RXP327693 SHL327687:SHL327693 SRH327687:SRH327693 TBD327687:TBD327693 TKZ327687:TKZ327693 TUV327687:TUV327693 UER327687:UER327693 UON327687:UON327693 UYJ327687:UYJ327693 VIF327687:VIF327693 VSB327687:VSB327693 WBX327687:WBX327693 WLT327687:WLT327693 WVP327687:WVP327693 H393223:H393229 JD393223:JD393229 SZ393223:SZ393229 ACV393223:ACV393229 AMR393223:AMR393229 AWN393223:AWN393229 BGJ393223:BGJ393229 BQF393223:BQF393229 CAB393223:CAB393229 CJX393223:CJX393229 CTT393223:CTT393229 DDP393223:DDP393229 DNL393223:DNL393229 DXH393223:DXH393229 EHD393223:EHD393229 EQZ393223:EQZ393229 FAV393223:FAV393229 FKR393223:FKR393229 FUN393223:FUN393229 GEJ393223:GEJ393229 GOF393223:GOF393229 GYB393223:GYB393229 HHX393223:HHX393229 HRT393223:HRT393229 IBP393223:IBP393229 ILL393223:ILL393229 IVH393223:IVH393229 JFD393223:JFD393229 JOZ393223:JOZ393229 JYV393223:JYV393229 KIR393223:KIR393229 KSN393223:KSN393229 LCJ393223:LCJ393229 LMF393223:LMF393229 LWB393223:LWB393229 MFX393223:MFX393229 MPT393223:MPT393229 MZP393223:MZP393229 NJL393223:NJL393229 NTH393223:NTH393229 ODD393223:ODD393229 OMZ393223:OMZ393229 OWV393223:OWV393229 PGR393223:PGR393229 PQN393223:PQN393229 QAJ393223:QAJ393229 QKF393223:QKF393229 QUB393223:QUB393229 RDX393223:RDX393229 RNT393223:RNT393229 RXP393223:RXP393229 SHL393223:SHL393229 SRH393223:SRH393229 TBD393223:TBD393229 TKZ393223:TKZ393229 TUV393223:TUV393229 UER393223:UER393229 UON393223:UON393229 UYJ393223:UYJ393229 VIF393223:VIF393229 VSB393223:VSB393229 WBX393223:WBX393229 WLT393223:WLT393229 WVP393223:WVP393229 H458759:H458765 JD458759:JD458765 SZ458759:SZ458765 ACV458759:ACV458765 AMR458759:AMR458765 AWN458759:AWN458765 BGJ458759:BGJ458765 BQF458759:BQF458765 CAB458759:CAB458765 CJX458759:CJX458765 CTT458759:CTT458765 DDP458759:DDP458765 DNL458759:DNL458765 DXH458759:DXH458765 EHD458759:EHD458765 EQZ458759:EQZ458765 FAV458759:FAV458765 FKR458759:FKR458765 FUN458759:FUN458765 GEJ458759:GEJ458765 GOF458759:GOF458765 GYB458759:GYB458765 HHX458759:HHX458765 HRT458759:HRT458765 IBP458759:IBP458765 ILL458759:ILL458765 IVH458759:IVH458765 JFD458759:JFD458765 JOZ458759:JOZ458765 JYV458759:JYV458765 KIR458759:KIR458765 KSN458759:KSN458765 LCJ458759:LCJ458765 LMF458759:LMF458765 LWB458759:LWB458765 MFX458759:MFX458765 MPT458759:MPT458765 MZP458759:MZP458765 NJL458759:NJL458765 NTH458759:NTH458765 ODD458759:ODD458765 OMZ458759:OMZ458765 OWV458759:OWV458765 PGR458759:PGR458765 PQN458759:PQN458765 QAJ458759:QAJ458765 QKF458759:QKF458765 QUB458759:QUB458765 RDX458759:RDX458765 RNT458759:RNT458765 RXP458759:RXP458765 SHL458759:SHL458765 SRH458759:SRH458765 TBD458759:TBD458765 TKZ458759:TKZ458765 TUV458759:TUV458765 UER458759:UER458765 UON458759:UON458765 UYJ458759:UYJ458765 VIF458759:VIF458765 VSB458759:VSB458765 WBX458759:WBX458765 WLT458759:WLT458765 WVP458759:WVP458765 H524295:H524301 JD524295:JD524301 SZ524295:SZ524301 ACV524295:ACV524301 AMR524295:AMR524301 AWN524295:AWN524301 BGJ524295:BGJ524301 BQF524295:BQF524301 CAB524295:CAB524301 CJX524295:CJX524301 CTT524295:CTT524301 DDP524295:DDP524301 DNL524295:DNL524301 DXH524295:DXH524301 EHD524295:EHD524301 EQZ524295:EQZ524301 FAV524295:FAV524301 FKR524295:FKR524301 FUN524295:FUN524301 GEJ524295:GEJ524301 GOF524295:GOF524301 GYB524295:GYB524301 HHX524295:HHX524301 HRT524295:HRT524301 IBP524295:IBP524301 ILL524295:ILL524301 IVH524295:IVH524301 JFD524295:JFD524301 JOZ524295:JOZ524301 JYV524295:JYV524301 KIR524295:KIR524301 KSN524295:KSN524301 LCJ524295:LCJ524301 LMF524295:LMF524301 LWB524295:LWB524301 MFX524295:MFX524301 MPT524295:MPT524301 MZP524295:MZP524301 NJL524295:NJL524301 NTH524295:NTH524301 ODD524295:ODD524301 OMZ524295:OMZ524301 OWV524295:OWV524301 PGR524295:PGR524301 PQN524295:PQN524301 QAJ524295:QAJ524301 QKF524295:QKF524301 QUB524295:QUB524301 RDX524295:RDX524301 RNT524295:RNT524301 RXP524295:RXP524301 SHL524295:SHL524301 SRH524295:SRH524301 TBD524295:TBD524301 TKZ524295:TKZ524301 TUV524295:TUV524301 UER524295:UER524301 UON524295:UON524301 UYJ524295:UYJ524301 VIF524295:VIF524301 VSB524295:VSB524301 WBX524295:WBX524301 WLT524295:WLT524301 WVP524295:WVP524301 H589831:H589837 JD589831:JD589837 SZ589831:SZ589837 ACV589831:ACV589837 AMR589831:AMR589837 AWN589831:AWN589837 BGJ589831:BGJ589837 BQF589831:BQF589837 CAB589831:CAB589837 CJX589831:CJX589837 CTT589831:CTT589837 DDP589831:DDP589837 DNL589831:DNL589837 DXH589831:DXH589837 EHD589831:EHD589837 EQZ589831:EQZ589837 FAV589831:FAV589837 FKR589831:FKR589837 FUN589831:FUN589837 GEJ589831:GEJ589837 GOF589831:GOF589837 GYB589831:GYB589837 HHX589831:HHX589837 HRT589831:HRT589837 IBP589831:IBP589837 ILL589831:ILL589837 IVH589831:IVH589837 JFD589831:JFD589837 JOZ589831:JOZ589837 JYV589831:JYV589837 KIR589831:KIR589837 KSN589831:KSN589837 LCJ589831:LCJ589837 LMF589831:LMF589837 LWB589831:LWB589837 MFX589831:MFX589837 MPT589831:MPT589837 MZP589831:MZP589837 NJL589831:NJL589837 NTH589831:NTH589837 ODD589831:ODD589837 OMZ589831:OMZ589837 OWV589831:OWV589837 PGR589831:PGR589837 PQN589831:PQN589837 QAJ589831:QAJ589837 QKF589831:QKF589837 QUB589831:QUB589837 RDX589831:RDX589837 RNT589831:RNT589837 RXP589831:RXP589837 SHL589831:SHL589837 SRH589831:SRH589837 TBD589831:TBD589837 TKZ589831:TKZ589837 TUV589831:TUV589837 UER589831:UER589837 UON589831:UON589837 UYJ589831:UYJ589837 VIF589831:VIF589837 VSB589831:VSB589837 WBX589831:WBX589837 WLT589831:WLT589837 WVP589831:WVP589837 H655367:H655373 JD655367:JD655373 SZ655367:SZ655373 ACV655367:ACV655373 AMR655367:AMR655373 AWN655367:AWN655373 BGJ655367:BGJ655373 BQF655367:BQF655373 CAB655367:CAB655373 CJX655367:CJX655373 CTT655367:CTT655373 DDP655367:DDP655373 DNL655367:DNL655373 DXH655367:DXH655373 EHD655367:EHD655373 EQZ655367:EQZ655373 FAV655367:FAV655373 FKR655367:FKR655373 FUN655367:FUN655373 GEJ655367:GEJ655373 GOF655367:GOF655373 GYB655367:GYB655373 HHX655367:HHX655373 HRT655367:HRT655373 IBP655367:IBP655373 ILL655367:ILL655373 IVH655367:IVH655373 JFD655367:JFD655373 JOZ655367:JOZ655373 JYV655367:JYV655373 KIR655367:KIR655373 KSN655367:KSN655373 LCJ655367:LCJ655373 LMF655367:LMF655373 LWB655367:LWB655373 MFX655367:MFX655373 MPT655367:MPT655373 MZP655367:MZP655373 NJL655367:NJL655373 NTH655367:NTH655373 ODD655367:ODD655373 OMZ655367:OMZ655373 OWV655367:OWV655373 PGR655367:PGR655373 PQN655367:PQN655373 QAJ655367:QAJ655373 QKF655367:QKF655373 QUB655367:QUB655373 RDX655367:RDX655373 RNT655367:RNT655373 RXP655367:RXP655373 SHL655367:SHL655373 SRH655367:SRH655373 TBD655367:TBD655373 TKZ655367:TKZ655373 TUV655367:TUV655373 UER655367:UER655373 UON655367:UON655373 UYJ655367:UYJ655373 VIF655367:VIF655373 VSB655367:VSB655373 WBX655367:WBX655373 WLT655367:WLT655373 WVP655367:WVP655373 H720903:H720909 JD720903:JD720909 SZ720903:SZ720909 ACV720903:ACV720909 AMR720903:AMR720909 AWN720903:AWN720909 BGJ720903:BGJ720909 BQF720903:BQF720909 CAB720903:CAB720909 CJX720903:CJX720909 CTT720903:CTT720909 DDP720903:DDP720909 DNL720903:DNL720909 DXH720903:DXH720909 EHD720903:EHD720909 EQZ720903:EQZ720909 FAV720903:FAV720909 FKR720903:FKR720909 FUN720903:FUN720909 GEJ720903:GEJ720909 GOF720903:GOF720909 GYB720903:GYB720909 HHX720903:HHX720909 HRT720903:HRT720909 IBP720903:IBP720909 ILL720903:ILL720909 IVH720903:IVH720909 JFD720903:JFD720909 JOZ720903:JOZ720909 JYV720903:JYV720909 KIR720903:KIR720909 KSN720903:KSN720909 LCJ720903:LCJ720909 LMF720903:LMF720909 LWB720903:LWB720909 MFX720903:MFX720909 MPT720903:MPT720909 MZP720903:MZP720909 NJL720903:NJL720909 NTH720903:NTH720909 ODD720903:ODD720909 OMZ720903:OMZ720909 OWV720903:OWV720909 PGR720903:PGR720909 PQN720903:PQN720909 QAJ720903:QAJ720909 QKF720903:QKF720909 QUB720903:QUB720909 RDX720903:RDX720909 RNT720903:RNT720909 RXP720903:RXP720909 SHL720903:SHL720909 SRH720903:SRH720909 TBD720903:TBD720909 TKZ720903:TKZ720909 TUV720903:TUV720909 UER720903:UER720909 UON720903:UON720909 UYJ720903:UYJ720909 VIF720903:VIF720909 VSB720903:VSB720909 WBX720903:WBX720909 WLT720903:WLT720909 WVP720903:WVP720909 H786439:H786445 JD786439:JD786445 SZ786439:SZ786445 ACV786439:ACV786445 AMR786439:AMR786445 AWN786439:AWN786445 BGJ786439:BGJ786445 BQF786439:BQF786445 CAB786439:CAB786445 CJX786439:CJX786445 CTT786439:CTT786445 DDP786439:DDP786445 DNL786439:DNL786445 DXH786439:DXH786445 EHD786439:EHD786445 EQZ786439:EQZ786445 FAV786439:FAV786445 FKR786439:FKR786445 FUN786439:FUN786445 GEJ786439:GEJ786445 GOF786439:GOF786445 GYB786439:GYB786445 HHX786439:HHX786445 HRT786439:HRT786445 IBP786439:IBP786445 ILL786439:ILL786445 IVH786439:IVH786445 JFD786439:JFD786445 JOZ786439:JOZ786445 JYV786439:JYV786445 KIR786439:KIR786445 KSN786439:KSN786445 LCJ786439:LCJ786445 LMF786439:LMF786445 LWB786439:LWB786445 MFX786439:MFX786445 MPT786439:MPT786445 MZP786439:MZP786445 NJL786439:NJL786445 NTH786439:NTH786445 ODD786439:ODD786445 OMZ786439:OMZ786445 OWV786439:OWV786445 PGR786439:PGR786445 PQN786439:PQN786445 QAJ786439:QAJ786445 QKF786439:QKF786445 QUB786439:QUB786445 RDX786439:RDX786445 RNT786439:RNT786445 RXP786439:RXP786445 SHL786439:SHL786445 SRH786439:SRH786445 TBD786439:TBD786445 TKZ786439:TKZ786445 TUV786439:TUV786445 UER786439:UER786445 UON786439:UON786445 UYJ786439:UYJ786445 VIF786439:VIF786445 VSB786439:VSB786445 WBX786439:WBX786445 WLT786439:WLT786445 WVP786439:WVP786445 H851975:H851981 JD851975:JD851981 SZ851975:SZ851981 ACV851975:ACV851981 AMR851975:AMR851981 AWN851975:AWN851981 BGJ851975:BGJ851981 BQF851975:BQF851981 CAB851975:CAB851981 CJX851975:CJX851981 CTT851975:CTT851981 DDP851975:DDP851981 DNL851975:DNL851981 DXH851975:DXH851981 EHD851975:EHD851981 EQZ851975:EQZ851981 FAV851975:FAV851981 FKR851975:FKR851981 FUN851975:FUN851981 GEJ851975:GEJ851981 GOF851975:GOF851981 GYB851975:GYB851981 HHX851975:HHX851981 HRT851975:HRT851981 IBP851975:IBP851981 ILL851975:ILL851981 IVH851975:IVH851981 JFD851975:JFD851981 JOZ851975:JOZ851981 JYV851975:JYV851981 KIR851975:KIR851981 KSN851975:KSN851981 LCJ851975:LCJ851981 LMF851975:LMF851981 LWB851975:LWB851981 MFX851975:MFX851981 MPT851975:MPT851981 MZP851975:MZP851981 NJL851975:NJL851981 NTH851975:NTH851981 ODD851975:ODD851981 OMZ851975:OMZ851981 OWV851975:OWV851981 PGR851975:PGR851981 PQN851975:PQN851981 QAJ851975:QAJ851981 QKF851975:QKF851981 QUB851975:QUB851981 RDX851975:RDX851981 RNT851975:RNT851981 RXP851975:RXP851981 SHL851975:SHL851981 SRH851975:SRH851981 TBD851975:TBD851981 TKZ851975:TKZ851981 TUV851975:TUV851981 UER851975:UER851981 UON851975:UON851981 UYJ851975:UYJ851981 VIF851975:VIF851981 VSB851975:VSB851981 WBX851975:WBX851981 WLT851975:WLT851981 WVP851975:WVP851981 H917511:H917517 JD917511:JD917517 SZ917511:SZ917517 ACV917511:ACV917517 AMR917511:AMR917517 AWN917511:AWN917517 BGJ917511:BGJ917517 BQF917511:BQF917517 CAB917511:CAB917517 CJX917511:CJX917517 CTT917511:CTT917517 DDP917511:DDP917517 DNL917511:DNL917517 DXH917511:DXH917517 EHD917511:EHD917517 EQZ917511:EQZ917517 FAV917511:FAV917517 FKR917511:FKR917517 FUN917511:FUN917517 GEJ917511:GEJ917517 GOF917511:GOF917517 GYB917511:GYB917517 HHX917511:HHX917517 HRT917511:HRT917517 IBP917511:IBP917517 ILL917511:ILL917517 IVH917511:IVH917517 JFD917511:JFD917517 JOZ917511:JOZ917517 JYV917511:JYV917517 KIR917511:KIR917517 KSN917511:KSN917517 LCJ917511:LCJ917517 LMF917511:LMF917517 LWB917511:LWB917517 MFX917511:MFX917517 MPT917511:MPT917517 MZP917511:MZP917517 NJL917511:NJL917517 NTH917511:NTH917517 ODD917511:ODD917517 OMZ917511:OMZ917517 OWV917511:OWV917517 PGR917511:PGR917517 PQN917511:PQN917517 QAJ917511:QAJ917517 QKF917511:QKF917517 QUB917511:QUB917517 RDX917511:RDX917517 RNT917511:RNT917517 RXP917511:RXP917517 SHL917511:SHL917517 SRH917511:SRH917517 TBD917511:TBD917517 TKZ917511:TKZ917517 TUV917511:TUV917517 UER917511:UER917517 UON917511:UON917517 UYJ917511:UYJ917517 VIF917511:VIF917517 VSB917511:VSB917517 WBX917511:WBX917517 WLT917511:WLT917517 WVP917511:WVP917517 H983047:H983053 JD983047:JD983053 SZ983047:SZ983053 ACV983047:ACV983053 AMR983047:AMR983053 AWN983047:AWN983053 BGJ983047:BGJ983053 BQF983047:BQF983053 CAB983047:CAB983053 CJX983047:CJX983053 CTT983047:CTT983053 DDP983047:DDP983053 DNL983047:DNL983053 DXH983047:DXH983053 EHD983047:EHD983053 EQZ983047:EQZ983053 FAV983047:FAV983053 FKR983047:FKR983053 FUN983047:FUN983053 GEJ983047:GEJ983053 GOF983047:GOF983053 GYB983047:GYB983053 HHX983047:HHX983053 HRT983047:HRT983053 IBP983047:IBP983053 ILL983047:ILL983053 IVH983047:IVH983053 JFD983047:JFD983053 JOZ983047:JOZ983053 JYV983047:JYV983053 KIR983047:KIR983053 KSN983047:KSN983053 LCJ983047:LCJ983053 LMF983047:LMF983053 LWB983047:LWB983053 MFX983047:MFX983053 MPT983047:MPT983053 MZP983047:MZP983053 NJL983047:NJL983053 NTH983047:NTH983053 ODD983047:ODD983053 OMZ983047:OMZ983053 OWV983047:OWV983053 PGR983047:PGR983053 PQN983047:PQN983053 QAJ983047:QAJ983053 QKF983047:QKF983053 QUB983047:QUB983053 RDX983047:RDX983053 RNT983047:RNT983053 RXP983047:RXP983053 SHL983047:SHL983053 SRH983047:SRH983053 TBD983047:TBD983053 TKZ983047:TKZ983053 TUV983047:TUV983053 UER983047:UER983053 UON983047:UON983053 UYJ983047:UYJ983053 VIF983047:VIF983053 VSB983047:VSB983053 WBX983047:WBX983053 WLT983047:WLT983053 WVP983047:WVP983053 P8:P12 JL8:JL12 TH8:TH12 ADD8:ADD12 AMZ8:AMZ12 AWV8:AWV12 BGR8:BGR12 BQN8:BQN12 CAJ8:CAJ12 CKF8:CKF12 CUB8:CUB12 DDX8:DDX12 DNT8:DNT12 DXP8:DXP12 EHL8:EHL12 ERH8:ERH12 FBD8:FBD12 FKZ8:FKZ12 FUV8:FUV12 GER8:GER12 GON8:GON12 GYJ8:GYJ12 HIF8:HIF12 HSB8:HSB12 IBX8:IBX12 ILT8:ILT12 IVP8:IVP12 JFL8:JFL12 JPH8:JPH12 JZD8:JZD12 KIZ8:KIZ12 KSV8:KSV12 LCR8:LCR12 LMN8:LMN12 LWJ8:LWJ12 MGF8:MGF12 MQB8:MQB12 MZX8:MZX12 NJT8:NJT12 NTP8:NTP12 ODL8:ODL12 ONH8:ONH12 OXD8:OXD12 PGZ8:PGZ12 PQV8:PQV12 QAR8:QAR12 QKN8:QKN12 QUJ8:QUJ12 REF8:REF12 ROB8:ROB12 RXX8:RXX12 SHT8:SHT12 SRP8:SRP12 TBL8:TBL12 TLH8:TLH12 TVD8:TVD12 UEZ8:UEZ12 UOV8:UOV12 UYR8:UYR12 VIN8:VIN12 VSJ8:VSJ12 WCF8:WCF12 WMB8:WMB12 WVX8:WVX12 P65544:P65548 JL65544:JL65548 TH65544:TH65548 ADD65544:ADD65548 AMZ65544:AMZ65548 AWV65544:AWV65548 BGR65544:BGR65548 BQN65544:BQN65548 CAJ65544:CAJ65548 CKF65544:CKF65548 CUB65544:CUB65548 DDX65544:DDX65548 DNT65544:DNT65548 DXP65544:DXP65548 EHL65544:EHL65548 ERH65544:ERH65548 FBD65544:FBD65548 FKZ65544:FKZ65548 FUV65544:FUV65548 GER65544:GER65548 GON65544:GON65548 GYJ65544:GYJ65548 HIF65544:HIF65548 HSB65544:HSB65548 IBX65544:IBX65548 ILT65544:ILT65548 IVP65544:IVP65548 JFL65544:JFL65548 JPH65544:JPH65548 JZD65544:JZD65548 KIZ65544:KIZ65548 KSV65544:KSV65548 LCR65544:LCR65548 LMN65544:LMN65548 LWJ65544:LWJ65548 MGF65544:MGF65548 MQB65544:MQB65548 MZX65544:MZX65548 NJT65544:NJT65548 NTP65544:NTP65548 ODL65544:ODL65548 ONH65544:ONH65548 OXD65544:OXD65548 PGZ65544:PGZ65548 PQV65544:PQV65548 QAR65544:QAR65548 QKN65544:QKN65548 QUJ65544:QUJ65548 REF65544:REF65548 ROB65544:ROB65548 RXX65544:RXX65548 SHT65544:SHT65548 SRP65544:SRP65548 TBL65544:TBL65548 TLH65544:TLH65548 TVD65544:TVD65548 UEZ65544:UEZ65548 UOV65544:UOV65548 UYR65544:UYR65548 VIN65544:VIN65548 VSJ65544:VSJ65548 WCF65544:WCF65548 WMB65544:WMB65548 WVX65544:WVX65548 P131080:P131084 JL131080:JL131084 TH131080:TH131084 ADD131080:ADD131084 AMZ131080:AMZ131084 AWV131080:AWV131084 BGR131080:BGR131084 BQN131080:BQN131084 CAJ131080:CAJ131084 CKF131080:CKF131084 CUB131080:CUB131084 DDX131080:DDX131084 DNT131080:DNT131084 DXP131080:DXP131084 EHL131080:EHL131084 ERH131080:ERH131084 FBD131080:FBD131084 FKZ131080:FKZ131084 FUV131080:FUV131084 GER131080:GER131084 GON131080:GON131084 GYJ131080:GYJ131084 HIF131080:HIF131084 HSB131080:HSB131084 IBX131080:IBX131084 ILT131080:ILT131084 IVP131080:IVP131084 JFL131080:JFL131084 JPH131080:JPH131084 JZD131080:JZD131084 KIZ131080:KIZ131084 KSV131080:KSV131084 LCR131080:LCR131084 LMN131080:LMN131084 LWJ131080:LWJ131084 MGF131080:MGF131084 MQB131080:MQB131084 MZX131080:MZX131084 NJT131080:NJT131084 NTP131080:NTP131084 ODL131080:ODL131084 ONH131080:ONH131084 OXD131080:OXD131084 PGZ131080:PGZ131084 PQV131080:PQV131084 QAR131080:QAR131084 QKN131080:QKN131084 QUJ131080:QUJ131084 REF131080:REF131084 ROB131080:ROB131084 RXX131080:RXX131084 SHT131080:SHT131084 SRP131080:SRP131084 TBL131080:TBL131084 TLH131080:TLH131084 TVD131080:TVD131084 UEZ131080:UEZ131084 UOV131080:UOV131084 UYR131080:UYR131084 VIN131080:VIN131084 VSJ131080:VSJ131084 WCF131080:WCF131084 WMB131080:WMB131084 WVX131080:WVX131084 P196616:P196620 JL196616:JL196620 TH196616:TH196620 ADD196616:ADD196620 AMZ196616:AMZ196620 AWV196616:AWV196620 BGR196616:BGR196620 BQN196616:BQN196620 CAJ196616:CAJ196620 CKF196616:CKF196620 CUB196616:CUB196620 DDX196616:DDX196620 DNT196616:DNT196620 DXP196616:DXP196620 EHL196616:EHL196620 ERH196616:ERH196620 FBD196616:FBD196620 FKZ196616:FKZ196620 FUV196616:FUV196620 GER196616:GER196620 GON196616:GON196620 GYJ196616:GYJ196620 HIF196616:HIF196620 HSB196616:HSB196620 IBX196616:IBX196620 ILT196616:ILT196620 IVP196616:IVP196620 JFL196616:JFL196620 JPH196616:JPH196620 JZD196616:JZD196620 KIZ196616:KIZ196620 KSV196616:KSV196620 LCR196616:LCR196620 LMN196616:LMN196620 LWJ196616:LWJ196620 MGF196616:MGF196620 MQB196616:MQB196620 MZX196616:MZX196620 NJT196616:NJT196620 NTP196616:NTP196620 ODL196616:ODL196620 ONH196616:ONH196620 OXD196616:OXD196620 PGZ196616:PGZ196620 PQV196616:PQV196620 QAR196616:QAR196620 QKN196616:QKN196620 QUJ196616:QUJ196620 REF196616:REF196620 ROB196616:ROB196620 RXX196616:RXX196620 SHT196616:SHT196620 SRP196616:SRP196620 TBL196616:TBL196620 TLH196616:TLH196620 TVD196616:TVD196620 UEZ196616:UEZ196620 UOV196616:UOV196620 UYR196616:UYR196620 VIN196616:VIN196620 VSJ196616:VSJ196620 WCF196616:WCF196620 WMB196616:WMB196620 WVX196616:WVX196620 P262152:P262156 JL262152:JL262156 TH262152:TH262156 ADD262152:ADD262156 AMZ262152:AMZ262156 AWV262152:AWV262156 BGR262152:BGR262156 BQN262152:BQN262156 CAJ262152:CAJ262156 CKF262152:CKF262156 CUB262152:CUB262156 DDX262152:DDX262156 DNT262152:DNT262156 DXP262152:DXP262156 EHL262152:EHL262156 ERH262152:ERH262156 FBD262152:FBD262156 FKZ262152:FKZ262156 FUV262152:FUV262156 GER262152:GER262156 GON262152:GON262156 GYJ262152:GYJ262156 HIF262152:HIF262156 HSB262152:HSB262156 IBX262152:IBX262156 ILT262152:ILT262156 IVP262152:IVP262156 JFL262152:JFL262156 JPH262152:JPH262156 JZD262152:JZD262156 KIZ262152:KIZ262156 KSV262152:KSV262156 LCR262152:LCR262156 LMN262152:LMN262156 LWJ262152:LWJ262156 MGF262152:MGF262156 MQB262152:MQB262156 MZX262152:MZX262156 NJT262152:NJT262156 NTP262152:NTP262156 ODL262152:ODL262156 ONH262152:ONH262156 OXD262152:OXD262156 PGZ262152:PGZ262156 PQV262152:PQV262156 QAR262152:QAR262156 QKN262152:QKN262156 QUJ262152:QUJ262156 REF262152:REF262156 ROB262152:ROB262156 RXX262152:RXX262156 SHT262152:SHT262156 SRP262152:SRP262156 TBL262152:TBL262156 TLH262152:TLH262156 TVD262152:TVD262156 UEZ262152:UEZ262156 UOV262152:UOV262156 UYR262152:UYR262156 VIN262152:VIN262156 VSJ262152:VSJ262156 WCF262152:WCF262156 WMB262152:WMB262156 WVX262152:WVX262156 P327688:P327692 JL327688:JL327692 TH327688:TH327692 ADD327688:ADD327692 AMZ327688:AMZ327692 AWV327688:AWV327692 BGR327688:BGR327692 BQN327688:BQN327692 CAJ327688:CAJ327692 CKF327688:CKF327692 CUB327688:CUB327692 DDX327688:DDX327692 DNT327688:DNT327692 DXP327688:DXP327692 EHL327688:EHL327692 ERH327688:ERH327692 FBD327688:FBD327692 FKZ327688:FKZ327692 FUV327688:FUV327692 GER327688:GER327692 GON327688:GON327692 GYJ327688:GYJ327692 HIF327688:HIF327692 HSB327688:HSB327692 IBX327688:IBX327692 ILT327688:ILT327692 IVP327688:IVP327692 JFL327688:JFL327692 JPH327688:JPH327692 JZD327688:JZD327692 KIZ327688:KIZ327692 KSV327688:KSV327692 LCR327688:LCR327692 LMN327688:LMN327692 LWJ327688:LWJ327692 MGF327688:MGF327692 MQB327688:MQB327692 MZX327688:MZX327692 NJT327688:NJT327692 NTP327688:NTP327692 ODL327688:ODL327692 ONH327688:ONH327692 OXD327688:OXD327692 PGZ327688:PGZ327692 PQV327688:PQV327692 QAR327688:QAR327692 QKN327688:QKN327692 QUJ327688:QUJ327692 REF327688:REF327692 ROB327688:ROB327692 RXX327688:RXX327692 SHT327688:SHT327692 SRP327688:SRP327692 TBL327688:TBL327692 TLH327688:TLH327692 TVD327688:TVD327692 UEZ327688:UEZ327692 UOV327688:UOV327692 UYR327688:UYR327692 VIN327688:VIN327692 VSJ327688:VSJ327692 WCF327688:WCF327692 WMB327688:WMB327692 WVX327688:WVX327692 P393224:P393228 JL393224:JL393228 TH393224:TH393228 ADD393224:ADD393228 AMZ393224:AMZ393228 AWV393224:AWV393228 BGR393224:BGR393228 BQN393224:BQN393228 CAJ393224:CAJ393228 CKF393224:CKF393228 CUB393224:CUB393228 DDX393224:DDX393228 DNT393224:DNT393228 DXP393224:DXP393228 EHL393224:EHL393228 ERH393224:ERH393228 FBD393224:FBD393228 FKZ393224:FKZ393228 FUV393224:FUV393228 GER393224:GER393228 GON393224:GON393228 GYJ393224:GYJ393228 HIF393224:HIF393228 HSB393224:HSB393228 IBX393224:IBX393228 ILT393224:ILT393228 IVP393224:IVP393228 JFL393224:JFL393228 JPH393224:JPH393228 JZD393224:JZD393228 KIZ393224:KIZ393228 KSV393224:KSV393228 LCR393224:LCR393228 LMN393224:LMN393228 LWJ393224:LWJ393228 MGF393224:MGF393228 MQB393224:MQB393228 MZX393224:MZX393228 NJT393224:NJT393228 NTP393224:NTP393228 ODL393224:ODL393228 ONH393224:ONH393228 OXD393224:OXD393228 PGZ393224:PGZ393228 PQV393224:PQV393228 QAR393224:QAR393228 QKN393224:QKN393228 QUJ393224:QUJ393228 REF393224:REF393228 ROB393224:ROB393228 RXX393224:RXX393228 SHT393224:SHT393228 SRP393224:SRP393228 TBL393224:TBL393228 TLH393224:TLH393228 TVD393224:TVD393228 UEZ393224:UEZ393228 UOV393224:UOV393228 UYR393224:UYR393228 VIN393224:VIN393228 VSJ393224:VSJ393228 WCF393224:WCF393228 WMB393224:WMB393228 WVX393224:WVX393228 P458760:P458764 JL458760:JL458764 TH458760:TH458764 ADD458760:ADD458764 AMZ458760:AMZ458764 AWV458760:AWV458764 BGR458760:BGR458764 BQN458760:BQN458764 CAJ458760:CAJ458764 CKF458760:CKF458764 CUB458760:CUB458764 DDX458760:DDX458764 DNT458760:DNT458764 DXP458760:DXP458764 EHL458760:EHL458764 ERH458760:ERH458764 FBD458760:FBD458764 FKZ458760:FKZ458764 FUV458760:FUV458764 GER458760:GER458764 GON458760:GON458764 GYJ458760:GYJ458764 HIF458760:HIF458764 HSB458760:HSB458764 IBX458760:IBX458764 ILT458760:ILT458764 IVP458760:IVP458764 JFL458760:JFL458764 JPH458760:JPH458764 JZD458760:JZD458764 KIZ458760:KIZ458764 KSV458760:KSV458764 LCR458760:LCR458764 LMN458760:LMN458764 LWJ458760:LWJ458764 MGF458760:MGF458764 MQB458760:MQB458764 MZX458760:MZX458764 NJT458760:NJT458764 NTP458760:NTP458764 ODL458760:ODL458764 ONH458760:ONH458764 OXD458760:OXD458764 PGZ458760:PGZ458764 PQV458760:PQV458764 QAR458760:QAR458764 QKN458760:QKN458764 QUJ458760:QUJ458764 REF458760:REF458764 ROB458760:ROB458764 RXX458760:RXX458764 SHT458760:SHT458764 SRP458760:SRP458764 TBL458760:TBL458764 TLH458760:TLH458764 TVD458760:TVD458764 UEZ458760:UEZ458764 UOV458760:UOV458764 UYR458760:UYR458764 VIN458760:VIN458764 VSJ458760:VSJ458764 WCF458760:WCF458764 WMB458760:WMB458764 WVX458760:WVX458764 P524296:P524300 JL524296:JL524300 TH524296:TH524300 ADD524296:ADD524300 AMZ524296:AMZ524300 AWV524296:AWV524300 BGR524296:BGR524300 BQN524296:BQN524300 CAJ524296:CAJ524300 CKF524296:CKF524300 CUB524296:CUB524300 DDX524296:DDX524300 DNT524296:DNT524300 DXP524296:DXP524300 EHL524296:EHL524300 ERH524296:ERH524300 FBD524296:FBD524300 FKZ524296:FKZ524300 FUV524296:FUV524300 GER524296:GER524300 GON524296:GON524300 GYJ524296:GYJ524300 HIF524296:HIF524300 HSB524296:HSB524300 IBX524296:IBX524300 ILT524296:ILT524300 IVP524296:IVP524300 JFL524296:JFL524300 JPH524296:JPH524300 JZD524296:JZD524300 KIZ524296:KIZ524300 KSV524296:KSV524300 LCR524296:LCR524300 LMN524296:LMN524300 LWJ524296:LWJ524300 MGF524296:MGF524300 MQB524296:MQB524300 MZX524296:MZX524300 NJT524296:NJT524300 NTP524296:NTP524300 ODL524296:ODL524300 ONH524296:ONH524300 OXD524296:OXD524300 PGZ524296:PGZ524300 PQV524296:PQV524300 QAR524296:QAR524300 QKN524296:QKN524300 QUJ524296:QUJ524300 REF524296:REF524300 ROB524296:ROB524300 RXX524296:RXX524300 SHT524296:SHT524300 SRP524296:SRP524300 TBL524296:TBL524300 TLH524296:TLH524300 TVD524296:TVD524300 UEZ524296:UEZ524300 UOV524296:UOV524300 UYR524296:UYR524300 VIN524296:VIN524300 VSJ524296:VSJ524300 WCF524296:WCF524300 WMB524296:WMB524300 WVX524296:WVX524300 P589832:P589836 JL589832:JL589836 TH589832:TH589836 ADD589832:ADD589836 AMZ589832:AMZ589836 AWV589832:AWV589836 BGR589832:BGR589836 BQN589832:BQN589836 CAJ589832:CAJ589836 CKF589832:CKF589836 CUB589832:CUB589836 DDX589832:DDX589836 DNT589832:DNT589836 DXP589832:DXP589836 EHL589832:EHL589836 ERH589832:ERH589836 FBD589832:FBD589836 FKZ589832:FKZ589836 FUV589832:FUV589836 GER589832:GER589836 GON589832:GON589836 GYJ589832:GYJ589836 HIF589832:HIF589836 HSB589832:HSB589836 IBX589832:IBX589836 ILT589832:ILT589836 IVP589832:IVP589836 JFL589832:JFL589836 JPH589832:JPH589836 JZD589832:JZD589836 KIZ589832:KIZ589836 KSV589832:KSV589836 LCR589832:LCR589836 LMN589832:LMN589836 LWJ589832:LWJ589836 MGF589832:MGF589836 MQB589832:MQB589836 MZX589832:MZX589836 NJT589832:NJT589836 NTP589832:NTP589836 ODL589832:ODL589836 ONH589832:ONH589836 OXD589832:OXD589836 PGZ589832:PGZ589836 PQV589832:PQV589836 QAR589832:QAR589836 QKN589832:QKN589836 QUJ589832:QUJ589836 REF589832:REF589836 ROB589832:ROB589836 RXX589832:RXX589836 SHT589832:SHT589836 SRP589832:SRP589836 TBL589832:TBL589836 TLH589832:TLH589836 TVD589832:TVD589836 UEZ589832:UEZ589836 UOV589832:UOV589836 UYR589832:UYR589836 VIN589832:VIN589836 VSJ589832:VSJ589836 WCF589832:WCF589836 WMB589832:WMB589836 WVX589832:WVX589836 P655368:P655372 JL655368:JL655372 TH655368:TH655372 ADD655368:ADD655372 AMZ655368:AMZ655372 AWV655368:AWV655372 BGR655368:BGR655372 BQN655368:BQN655372 CAJ655368:CAJ655372 CKF655368:CKF655372 CUB655368:CUB655372 DDX655368:DDX655372 DNT655368:DNT655372 DXP655368:DXP655372 EHL655368:EHL655372 ERH655368:ERH655372 FBD655368:FBD655372 FKZ655368:FKZ655372 FUV655368:FUV655372 GER655368:GER655372 GON655368:GON655372 GYJ655368:GYJ655372 HIF655368:HIF655372 HSB655368:HSB655372 IBX655368:IBX655372 ILT655368:ILT655372 IVP655368:IVP655372 JFL655368:JFL655372 JPH655368:JPH655372 JZD655368:JZD655372 KIZ655368:KIZ655372 KSV655368:KSV655372 LCR655368:LCR655372 LMN655368:LMN655372 LWJ655368:LWJ655372 MGF655368:MGF655372 MQB655368:MQB655372 MZX655368:MZX655372 NJT655368:NJT655372 NTP655368:NTP655372 ODL655368:ODL655372 ONH655368:ONH655372 OXD655368:OXD655372 PGZ655368:PGZ655372 PQV655368:PQV655372 QAR655368:QAR655372 QKN655368:QKN655372 QUJ655368:QUJ655372 REF655368:REF655372 ROB655368:ROB655372 RXX655368:RXX655372 SHT655368:SHT655372 SRP655368:SRP655372 TBL655368:TBL655372 TLH655368:TLH655372 TVD655368:TVD655372 UEZ655368:UEZ655372 UOV655368:UOV655372 UYR655368:UYR655372 VIN655368:VIN655372 VSJ655368:VSJ655372 WCF655368:WCF655372 WMB655368:WMB655372 WVX655368:WVX655372 P720904:P720908 JL720904:JL720908 TH720904:TH720908 ADD720904:ADD720908 AMZ720904:AMZ720908 AWV720904:AWV720908 BGR720904:BGR720908 BQN720904:BQN720908 CAJ720904:CAJ720908 CKF720904:CKF720908 CUB720904:CUB720908 DDX720904:DDX720908 DNT720904:DNT720908 DXP720904:DXP720908 EHL720904:EHL720908 ERH720904:ERH720908 FBD720904:FBD720908 FKZ720904:FKZ720908 FUV720904:FUV720908 GER720904:GER720908 GON720904:GON720908 GYJ720904:GYJ720908 HIF720904:HIF720908 HSB720904:HSB720908 IBX720904:IBX720908 ILT720904:ILT720908 IVP720904:IVP720908 JFL720904:JFL720908 JPH720904:JPH720908 JZD720904:JZD720908 KIZ720904:KIZ720908 KSV720904:KSV720908 LCR720904:LCR720908 LMN720904:LMN720908 LWJ720904:LWJ720908 MGF720904:MGF720908 MQB720904:MQB720908 MZX720904:MZX720908 NJT720904:NJT720908 NTP720904:NTP720908 ODL720904:ODL720908 ONH720904:ONH720908 OXD720904:OXD720908 PGZ720904:PGZ720908 PQV720904:PQV720908 QAR720904:QAR720908 QKN720904:QKN720908 QUJ720904:QUJ720908 REF720904:REF720908 ROB720904:ROB720908 RXX720904:RXX720908 SHT720904:SHT720908 SRP720904:SRP720908 TBL720904:TBL720908 TLH720904:TLH720908 TVD720904:TVD720908 UEZ720904:UEZ720908 UOV720904:UOV720908 UYR720904:UYR720908 VIN720904:VIN720908 VSJ720904:VSJ720908 WCF720904:WCF720908 WMB720904:WMB720908 WVX720904:WVX720908 P786440:P786444 JL786440:JL786444 TH786440:TH786444 ADD786440:ADD786444 AMZ786440:AMZ786444 AWV786440:AWV786444 BGR786440:BGR786444 BQN786440:BQN786444 CAJ786440:CAJ786444 CKF786440:CKF786444 CUB786440:CUB786444 DDX786440:DDX786444 DNT786440:DNT786444 DXP786440:DXP786444 EHL786440:EHL786444 ERH786440:ERH786444 FBD786440:FBD786444 FKZ786440:FKZ786444 FUV786440:FUV786444 GER786440:GER786444 GON786440:GON786444 GYJ786440:GYJ786444 HIF786440:HIF786444 HSB786440:HSB786444 IBX786440:IBX786444 ILT786440:ILT786444 IVP786440:IVP786444 JFL786440:JFL786444 JPH786440:JPH786444 JZD786440:JZD786444 KIZ786440:KIZ786444 KSV786440:KSV786444 LCR786440:LCR786444 LMN786440:LMN786444 LWJ786440:LWJ786444 MGF786440:MGF786444 MQB786440:MQB786444 MZX786440:MZX786444 NJT786440:NJT786444 NTP786440:NTP786444 ODL786440:ODL786444 ONH786440:ONH786444 OXD786440:OXD786444 PGZ786440:PGZ786444 PQV786440:PQV786444 QAR786440:QAR786444 QKN786440:QKN786444 QUJ786440:QUJ786444 REF786440:REF786444 ROB786440:ROB786444 RXX786440:RXX786444 SHT786440:SHT786444 SRP786440:SRP786444 TBL786440:TBL786444 TLH786440:TLH786444 TVD786440:TVD786444 UEZ786440:UEZ786444 UOV786440:UOV786444 UYR786440:UYR786444 VIN786440:VIN786444 VSJ786440:VSJ786444 WCF786440:WCF786444 WMB786440:WMB786444 WVX786440:WVX786444 P851976:P851980 JL851976:JL851980 TH851976:TH851980 ADD851976:ADD851980 AMZ851976:AMZ851980 AWV851976:AWV851980 BGR851976:BGR851980 BQN851976:BQN851980 CAJ851976:CAJ851980 CKF851976:CKF851980 CUB851976:CUB851980 DDX851976:DDX851980 DNT851976:DNT851980 DXP851976:DXP851980 EHL851976:EHL851980 ERH851976:ERH851980 FBD851976:FBD851980 FKZ851976:FKZ851980 FUV851976:FUV851980 GER851976:GER851980 GON851976:GON851980 GYJ851976:GYJ851980 HIF851976:HIF851980 HSB851976:HSB851980 IBX851976:IBX851980 ILT851976:ILT851980 IVP851976:IVP851980 JFL851976:JFL851980 JPH851976:JPH851980 JZD851976:JZD851980 KIZ851976:KIZ851980 KSV851976:KSV851980 LCR851976:LCR851980 LMN851976:LMN851980 LWJ851976:LWJ851980 MGF851976:MGF851980 MQB851976:MQB851980 MZX851976:MZX851980 NJT851976:NJT851980 NTP851976:NTP851980 ODL851976:ODL851980 ONH851976:ONH851980 OXD851976:OXD851980 PGZ851976:PGZ851980 PQV851976:PQV851980 QAR851976:QAR851980 QKN851976:QKN851980 QUJ851976:QUJ851980 REF851976:REF851980 ROB851976:ROB851980 RXX851976:RXX851980 SHT851976:SHT851980 SRP851976:SRP851980 TBL851976:TBL851980 TLH851976:TLH851980 TVD851976:TVD851980 UEZ851976:UEZ851980 UOV851976:UOV851980 UYR851976:UYR851980 VIN851976:VIN851980 VSJ851976:VSJ851980 WCF851976:WCF851980 WMB851976:WMB851980 WVX851976:WVX851980 P917512:P917516 JL917512:JL917516 TH917512:TH917516 ADD917512:ADD917516 AMZ917512:AMZ917516 AWV917512:AWV917516 BGR917512:BGR917516 BQN917512:BQN917516 CAJ917512:CAJ917516 CKF917512:CKF917516 CUB917512:CUB917516 DDX917512:DDX917516 DNT917512:DNT917516 DXP917512:DXP917516 EHL917512:EHL917516 ERH917512:ERH917516 FBD917512:FBD917516 FKZ917512:FKZ917516 FUV917512:FUV917516 GER917512:GER917516 GON917512:GON917516 GYJ917512:GYJ917516 HIF917512:HIF917516 HSB917512:HSB917516 IBX917512:IBX917516 ILT917512:ILT917516 IVP917512:IVP917516 JFL917512:JFL917516 JPH917512:JPH917516 JZD917512:JZD917516 KIZ917512:KIZ917516 KSV917512:KSV917516 LCR917512:LCR917516 LMN917512:LMN917516 LWJ917512:LWJ917516 MGF917512:MGF917516 MQB917512:MQB917516 MZX917512:MZX917516 NJT917512:NJT917516 NTP917512:NTP917516 ODL917512:ODL917516 ONH917512:ONH917516 OXD917512:OXD917516 PGZ917512:PGZ917516 PQV917512:PQV917516 QAR917512:QAR917516 QKN917512:QKN917516 QUJ917512:QUJ917516 REF917512:REF917516 ROB917512:ROB917516 RXX917512:RXX917516 SHT917512:SHT917516 SRP917512:SRP917516 TBL917512:TBL917516 TLH917512:TLH917516 TVD917512:TVD917516 UEZ917512:UEZ917516 UOV917512:UOV917516 UYR917512:UYR917516 VIN917512:VIN917516 VSJ917512:VSJ917516 WCF917512:WCF917516 WMB917512:WMB917516 WVX917512:WVX917516 P983048:P983052 JL983048:JL983052 TH983048:TH983052 ADD983048:ADD983052 AMZ983048:AMZ983052 AWV983048:AWV983052 BGR983048:BGR983052 BQN983048:BQN983052 CAJ983048:CAJ983052 CKF983048:CKF983052 CUB983048:CUB983052 DDX983048:DDX983052 DNT983048:DNT983052 DXP983048:DXP983052 EHL983048:EHL983052 ERH983048:ERH983052 FBD983048:FBD983052 FKZ983048:FKZ983052 FUV983048:FUV983052 GER983048:GER983052 GON983048:GON983052 GYJ983048:GYJ983052 HIF983048:HIF983052 HSB983048:HSB983052 IBX983048:IBX983052 ILT983048:ILT983052 IVP983048:IVP983052 JFL983048:JFL983052 JPH983048:JPH983052 JZD983048:JZD983052 KIZ983048:KIZ983052 KSV983048:KSV983052 LCR983048:LCR983052 LMN983048:LMN983052 LWJ983048:LWJ983052 MGF983048:MGF983052 MQB983048:MQB983052 MZX983048:MZX983052 NJT983048:NJT983052 NTP983048:NTP983052 ODL983048:ODL983052 ONH983048:ONH983052 OXD983048:OXD983052 PGZ983048:PGZ983052 PQV983048:PQV983052 QAR983048:QAR983052 QKN983048:QKN983052 QUJ983048:QUJ983052 REF983048:REF983052 ROB983048:ROB983052 RXX983048:RXX983052 SHT983048:SHT983052 SRP983048:SRP983052 TBL983048:TBL983052 TLH983048:TLH983052 TVD983048:TVD983052 UEZ983048:UEZ983052 UOV983048:UOV983052 UYR983048:UYR983052 VIN983048:VIN983052 VSJ983048:VSJ983052 WCF983048:WCF983052 WMB983048:WMB983052 WVX983048:WVX983052" xr:uid="{E683C695-7529-401A-812F-0DEF9B4E511D}">
      <formula1>"□,■"</formula1>
    </dataValidation>
  </dataValidations>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9993-5EC6-49DE-B26B-9214F14B4D10}">
  <sheetPr>
    <tabColor rgb="FFFFFF00"/>
    <pageSetUpPr fitToPage="1"/>
  </sheetPr>
  <dimension ref="B2:AJ123"/>
  <sheetViews>
    <sheetView view="pageBreakPreview" zoomScale="70" zoomScaleNormal="100" zoomScaleSheetLayoutView="70" zoomScalePageLayoutView="85"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x14ac:dyDescent="0.2">
      <c r="B2" s="1" t="s">
        <v>1565</v>
      </c>
    </row>
    <row r="3" spans="2:31" x14ac:dyDescent="0.2">
      <c r="U3" s="2"/>
      <c r="X3" s="45" t="s">
        <v>643</v>
      </c>
      <c r="Y3" s="1456"/>
      <c r="Z3" s="1456"/>
      <c r="AA3" s="45" t="s">
        <v>34</v>
      </c>
      <c r="AB3" s="12"/>
      <c r="AC3" s="45" t="s">
        <v>922</v>
      </c>
      <c r="AD3" s="12"/>
      <c r="AE3" s="45" t="s">
        <v>167</v>
      </c>
    </row>
    <row r="4" spans="2:31" x14ac:dyDescent="0.2">
      <c r="T4" s="584"/>
      <c r="U4" s="584"/>
      <c r="V4" s="584"/>
    </row>
    <row r="5" spans="2:31" x14ac:dyDescent="0.2">
      <c r="B5" s="1456" t="s">
        <v>1105</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row>
    <row r="6" spans="2:31" ht="65.25" customHeight="1" x14ac:dyDescent="0.2">
      <c r="B6" s="1568" t="s">
        <v>1566</v>
      </c>
      <c r="C6" s="1568"/>
      <c r="D6" s="1568"/>
      <c r="E6" s="1568"/>
      <c r="F6" s="1568"/>
      <c r="G6" s="1568"/>
      <c r="H6" s="1568"/>
      <c r="I6" s="1568"/>
      <c r="J6" s="1568"/>
      <c r="K6" s="1568"/>
      <c r="L6" s="1568"/>
      <c r="M6" s="1568"/>
      <c r="N6" s="1568"/>
      <c r="O6" s="1568"/>
      <c r="P6" s="1568"/>
      <c r="Q6" s="1568"/>
      <c r="R6" s="1568"/>
      <c r="S6" s="1568"/>
      <c r="T6" s="1568"/>
      <c r="U6" s="1568"/>
      <c r="V6" s="1568"/>
      <c r="W6" s="1568"/>
      <c r="X6" s="1568"/>
      <c r="Y6" s="1568"/>
      <c r="Z6" s="1568"/>
      <c r="AA6" s="1568"/>
      <c r="AB6" s="1568"/>
      <c r="AC6" s="1568"/>
      <c r="AD6" s="1568"/>
      <c r="AE6" s="12"/>
    </row>
    <row r="7" spans="2:31" ht="23.25" customHeight="1" x14ac:dyDescent="0.2"/>
    <row r="8" spans="2:31" ht="23.25" customHeight="1" x14ac:dyDescent="0.2">
      <c r="B8" s="793" t="s">
        <v>1108</v>
      </c>
      <c r="C8" s="793"/>
      <c r="D8" s="793"/>
      <c r="E8" s="793"/>
      <c r="F8" s="1338"/>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1340"/>
    </row>
    <row r="9" spans="2:31" ht="25.2" customHeight="1" x14ac:dyDescent="0.2">
      <c r="B9" s="793" t="s">
        <v>1109</v>
      </c>
      <c r="C9" s="793"/>
      <c r="D9" s="793"/>
      <c r="E9" s="793"/>
      <c r="F9" s="573" t="s">
        <v>116</v>
      </c>
      <c r="G9" s="759" t="s">
        <v>1110</v>
      </c>
      <c r="H9" s="759"/>
      <c r="I9" s="759"/>
      <c r="J9" s="759"/>
      <c r="K9" s="574" t="s">
        <v>116</v>
      </c>
      <c r="L9" s="759" t="s">
        <v>1111</v>
      </c>
      <c r="M9" s="759"/>
      <c r="N9" s="759"/>
      <c r="O9" s="759"/>
      <c r="P9" s="759"/>
      <c r="Q9" s="574" t="s">
        <v>116</v>
      </c>
      <c r="R9" s="759" t="s">
        <v>1112</v>
      </c>
      <c r="S9" s="759"/>
      <c r="T9" s="759"/>
      <c r="U9" s="759"/>
      <c r="V9" s="759"/>
      <c r="W9" s="759"/>
      <c r="X9" s="759"/>
      <c r="Y9" s="759"/>
      <c r="Z9" s="759"/>
      <c r="AA9" s="759"/>
      <c r="AB9" s="759"/>
      <c r="AC9" s="759"/>
      <c r="AD9" s="10"/>
      <c r="AE9" s="11"/>
    </row>
    <row r="10" spans="2:31" ht="25.2" customHeight="1" x14ac:dyDescent="0.2">
      <c r="B10" s="1332" t="s">
        <v>1113</v>
      </c>
      <c r="C10" s="1333"/>
      <c r="D10" s="1333"/>
      <c r="E10" s="1334"/>
      <c r="F10" s="12" t="s">
        <v>116</v>
      </c>
      <c r="G10" s="2" t="s">
        <v>1567</v>
      </c>
      <c r="H10" s="2"/>
      <c r="I10" s="2"/>
      <c r="J10" s="2"/>
      <c r="K10" s="2"/>
      <c r="L10" s="2"/>
      <c r="M10" s="2"/>
      <c r="N10" s="2"/>
      <c r="O10" s="2"/>
      <c r="Q10" s="7"/>
      <c r="R10" s="562" t="s">
        <v>116</v>
      </c>
      <c r="S10" s="2" t="s">
        <v>1568</v>
      </c>
      <c r="T10" s="2"/>
      <c r="U10" s="2"/>
      <c r="V10" s="2"/>
      <c r="W10" s="22"/>
      <c r="X10" s="22"/>
      <c r="Y10" s="22"/>
      <c r="Z10" s="22"/>
      <c r="AA10" s="22"/>
      <c r="AB10" s="22"/>
      <c r="AC10" s="22"/>
      <c r="AD10" s="7"/>
      <c r="AE10" s="4"/>
    </row>
    <row r="11" spans="2:31" ht="25.2" customHeight="1" x14ac:dyDescent="0.2">
      <c r="B11" s="1555"/>
      <c r="C11" s="1456"/>
      <c r="D11" s="1456"/>
      <c r="E11" s="1556"/>
      <c r="F11" s="12" t="s">
        <v>116</v>
      </c>
      <c r="G11" s="2" t="s">
        <v>1569</v>
      </c>
      <c r="H11" s="2"/>
      <c r="I11" s="2"/>
      <c r="J11" s="2"/>
      <c r="K11" s="2"/>
      <c r="L11" s="2"/>
      <c r="M11" s="2"/>
      <c r="N11" s="2"/>
      <c r="O11" s="2"/>
      <c r="R11" s="12" t="s">
        <v>116</v>
      </c>
      <c r="S11" s="2" t="s">
        <v>1570</v>
      </c>
      <c r="T11" s="2"/>
      <c r="U11" s="2"/>
      <c r="V11" s="2"/>
      <c r="W11" s="2"/>
      <c r="X11" s="2"/>
      <c r="Y11" s="2"/>
      <c r="Z11" s="2"/>
      <c r="AA11" s="2"/>
      <c r="AB11" s="2"/>
      <c r="AC11" s="2"/>
      <c r="AE11" s="588"/>
    </row>
    <row r="12" spans="2:31" ht="25.2" customHeight="1" x14ac:dyDescent="0.2">
      <c r="B12" s="1555"/>
      <c r="C12" s="1456"/>
      <c r="D12" s="1456"/>
      <c r="E12" s="1556"/>
      <c r="F12" s="12" t="s">
        <v>116</v>
      </c>
      <c r="G12" s="781" t="s">
        <v>1571</v>
      </c>
      <c r="H12" s="2"/>
      <c r="I12" s="2"/>
      <c r="J12" s="2"/>
      <c r="K12" s="2"/>
      <c r="L12" s="2"/>
      <c r="M12" s="2"/>
      <c r="N12" s="2"/>
      <c r="O12" s="2"/>
      <c r="R12" s="12" t="s">
        <v>116</v>
      </c>
      <c r="S12" s="781" t="s">
        <v>1572</v>
      </c>
      <c r="T12" s="2"/>
      <c r="U12" s="2"/>
      <c r="V12" s="2"/>
      <c r="W12" s="2"/>
      <c r="X12" s="2"/>
      <c r="Y12" s="2"/>
      <c r="Z12" s="2"/>
      <c r="AA12" s="2"/>
      <c r="AB12" s="2"/>
      <c r="AC12" s="2"/>
      <c r="AE12" s="588"/>
    </row>
    <row r="13" spans="2:31" ht="25.2" customHeight="1" x14ac:dyDescent="0.2">
      <c r="B13" s="1555"/>
      <c r="C13" s="1456"/>
      <c r="D13" s="1456"/>
      <c r="E13" s="1556"/>
      <c r="F13" s="12" t="s">
        <v>116</v>
      </c>
      <c r="G13" s="2" t="s">
        <v>1573</v>
      </c>
      <c r="H13" s="2"/>
      <c r="I13" s="2"/>
      <c r="J13" s="2"/>
      <c r="K13" s="2"/>
      <c r="L13" s="2"/>
      <c r="M13"/>
      <c r="N13" s="2"/>
      <c r="O13" s="2"/>
      <c r="R13" s="12" t="s">
        <v>116</v>
      </c>
      <c r="S13" s="2" t="s">
        <v>1574</v>
      </c>
      <c r="T13" s="2"/>
      <c r="U13" s="2"/>
      <c r="V13" s="2"/>
      <c r="W13" s="2"/>
      <c r="X13" s="2"/>
      <c r="Y13" s="2"/>
      <c r="Z13" s="2"/>
      <c r="AA13" s="2"/>
      <c r="AB13" s="2"/>
      <c r="AC13" s="2"/>
      <c r="AE13" s="588"/>
    </row>
    <row r="14" spans="2:31" ht="25.2" customHeight="1" x14ac:dyDescent="0.2">
      <c r="B14" s="1555"/>
      <c r="C14" s="1456"/>
      <c r="D14" s="1456"/>
      <c r="E14" s="1556"/>
      <c r="F14" s="12" t="s">
        <v>116</v>
      </c>
      <c r="G14" s="2" t="s">
        <v>1575</v>
      </c>
      <c r="H14" s="2"/>
      <c r="I14" s="2"/>
      <c r="J14" s="2"/>
      <c r="K14"/>
      <c r="L14" s="781"/>
      <c r="M14" s="794"/>
      <c r="N14" s="794"/>
      <c r="O14" s="781"/>
      <c r="R14" s="12"/>
      <c r="S14" s="2"/>
      <c r="T14" s="781"/>
      <c r="U14" s="781"/>
      <c r="V14" s="781"/>
      <c r="W14" s="781"/>
      <c r="X14" s="781"/>
      <c r="Y14" s="781"/>
      <c r="Z14" s="781"/>
      <c r="AA14" s="781"/>
      <c r="AB14" s="781"/>
      <c r="AC14" s="781"/>
      <c r="AE14" s="588"/>
    </row>
    <row r="15" spans="2:31" ht="25.2" customHeight="1" x14ac:dyDescent="0.2">
      <c r="B15" s="793" t="s">
        <v>1114</v>
      </c>
      <c r="C15" s="793"/>
      <c r="D15" s="793"/>
      <c r="E15" s="793"/>
      <c r="F15" s="573" t="s">
        <v>116</v>
      </c>
      <c r="G15" s="759" t="s">
        <v>1115</v>
      </c>
      <c r="H15" s="795"/>
      <c r="I15" s="795"/>
      <c r="J15" s="795"/>
      <c r="K15" s="795"/>
      <c r="L15" s="795"/>
      <c r="M15" s="795"/>
      <c r="N15" s="795"/>
      <c r="O15" s="795"/>
      <c r="P15" s="795"/>
      <c r="Q15" s="10"/>
      <c r="R15" s="574" t="s">
        <v>116</v>
      </c>
      <c r="S15" s="759" t="s">
        <v>1116</v>
      </c>
      <c r="T15" s="795"/>
      <c r="U15" s="795"/>
      <c r="V15" s="795"/>
      <c r="W15" s="795"/>
      <c r="X15" s="795"/>
      <c r="Y15" s="795"/>
      <c r="Z15" s="795"/>
      <c r="AA15" s="795"/>
      <c r="AB15" s="795"/>
      <c r="AC15" s="795"/>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573"/>
      <c r="AB17" s="574" t="s">
        <v>1117</v>
      </c>
      <c r="AC17" s="574" t="s">
        <v>441</v>
      </c>
      <c r="AD17" s="574" t="s">
        <v>721</v>
      </c>
      <c r="AE17" s="11"/>
    </row>
    <row r="18" spans="2:31" x14ac:dyDescent="0.2">
      <c r="B18" s="6" t="s">
        <v>1118</v>
      </c>
      <c r="C18" s="7"/>
      <c r="D18" s="7"/>
      <c r="E18" s="7"/>
      <c r="F18" s="7"/>
      <c r="G18" s="7"/>
      <c r="H18" s="7"/>
      <c r="I18" s="7"/>
      <c r="J18" s="7"/>
      <c r="K18" s="7"/>
      <c r="L18" s="7"/>
      <c r="M18" s="7"/>
      <c r="N18" s="7"/>
      <c r="O18" s="7"/>
      <c r="P18" s="7"/>
      <c r="Q18" s="7"/>
      <c r="R18" s="7"/>
      <c r="S18" s="7"/>
      <c r="T18" s="7"/>
      <c r="U18" s="7"/>
      <c r="V18" s="7"/>
      <c r="W18" s="7"/>
      <c r="X18" s="7"/>
      <c r="Y18" s="7"/>
      <c r="Z18" s="23"/>
      <c r="AA18" s="561"/>
      <c r="AB18" s="562"/>
      <c r="AC18" s="562"/>
      <c r="AD18" s="7"/>
      <c r="AE18" s="4"/>
    </row>
    <row r="19" spans="2:31" x14ac:dyDescent="0.2">
      <c r="B19" s="582"/>
      <c r="C19" s="796" t="s">
        <v>1119</v>
      </c>
      <c r="D19" s="1" t="s">
        <v>1120</v>
      </c>
      <c r="Z19" s="797"/>
      <c r="AA19" s="798"/>
      <c r="AB19" s="12" t="s">
        <v>116</v>
      </c>
      <c r="AC19" s="12" t="s">
        <v>441</v>
      </c>
      <c r="AD19" s="12" t="s">
        <v>116</v>
      </c>
      <c r="AE19" s="588"/>
    </row>
    <row r="20" spans="2:31" x14ac:dyDescent="0.2">
      <c r="B20" s="582"/>
      <c r="D20" s="1" t="s">
        <v>1121</v>
      </c>
      <c r="Z20" s="583"/>
      <c r="AA20" s="576"/>
      <c r="AB20" s="12"/>
      <c r="AC20" s="12"/>
      <c r="AE20" s="588"/>
    </row>
    <row r="21" spans="2:31" x14ac:dyDescent="0.2">
      <c r="B21" s="582"/>
      <c r="Z21" s="583"/>
      <c r="AA21" s="576"/>
      <c r="AB21" s="12"/>
      <c r="AC21" s="12"/>
      <c r="AE21" s="588"/>
    </row>
    <row r="22" spans="2:31" ht="13.5" customHeight="1" x14ac:dyDescent="0.2">
      <c r="B22" s="582"/>
      <c r="D22" s="799" t="s">
        <v>1122</v>
      </c>
      <c r="E22" s="759"/>
      <c r="F22" s="759"/>
      <c r="G22" s="759"/>
      <c r="H22" s="759"/>
      <c r="I22" s="759"/>
      <c r="J22" s="759"/>
      <c r="K22" s="759"/>
      <c r="L22" s="759"/>
      <c r="M22" s="759"/>
      <c r="N22" s="759"/>
      <c r="O22" s="10"/>
      <c r="P22" s="10"/>
      <c r="Q22" s="10"/>
      <c r="R22" s="10"/>
      <c r="S22" s="759"/>
      <c r="T22" s="759"/>
      <c r="U22" s="1338"/>
      <c r="V22" s="1339"/>
      <c r="W22" s="1339"/>
      <c r="X22" s="10" t="s">
        <v>1123</v>
      </c>
      <c r="Y22" s="582"/>
      <c r="Z22" s="583"/>
      <c r="AA22" s="576"/>
      <c r="AB22" s="12"/>
      <c r="AC22" s="12"/>
      <c r="AE22" s="588"/>
    </row>
    <row r="23" spans="2:31" x14ac:dyDescent="0.2">
      <c r="B23" s="582"/>
      <c r="D23" s="799" t="s">
        <v>1124</v>
      </c>
      <c r="E23" s="759"/>
      <c r="F23" s="759"/>
      <c r="G23" s="759"/>
      <c r="H23" s="759"/>
      <c r="I23" s="759"/>
      <c r="J23" s="759"/>
      <c r="K23" s="759"/>
      <c r="L23" s="759"/>
      <c r="M23" s="759"/>
      <c r="N23" s="759"/>
      <c r="O23" s="10"/>
      <c r="P23" s="10"/>
      <c r="Q23" s="10"/>
      <c r="R23" s="10"/>
      <c r="S23" s="759"/>
      <c r="T23" s="759"/>
      <c r="U23" s="1338"/>
      <c r="V23" s="1339"/>
      <c r="W23" s="1339"/>
      <c r="X23" s="10" t="s">
        <v>1123</v>
      </c>
      <c r="Y23" s="582"/>
      <c r="Z23" s="588"/>
      <c r="AA23" s="576"/>
      <c r="AB23" s="12"/>
      <c r="AC23" s="12"/>
      <c r="AE23" s="588"/>
    </row>
    <row r="24" spans="2:31" x14ac:dyDescent="0.2">
      <c r="B24" s="582"/>
      <c r="D24" s="799" t="s">
        <v>1125</v>
      </c>
      <c r="E24" s="759"/>
      <c r="F24" s="759"/>
      <c r="G24" s="759"/>
      <c r="H24" s="759"/>
      <c r="I24" s="759"/>
      <c r="J24" s="759"/>
      <c r="K24" s="759"/>
      <c r="L24" s="759"/>
      <c r="M24" s="759"/>
      <c r="N24" s="759"/>
      <c r="O24" s="10"/>
      <c r="P24" s="10"/>
      <c r="Q24" s="10"/>
      <c r="R24" s="10"/>
      <c r="S24" s="759"/>
      <c r="T24" s="800" t="str">
        <f>(IFERROR(ROUNDDOWN(T23/T22*100,0),""))</f>
        <v/>
      </c>
      <c r="U24" s="1569" t="str">
        <f>(IFERROR(ROUNDDOWN(U23/U22*100,0),""))</f>
        <v/>
      </c>
      <c r="V24" s="1570"/>
      <c r="W24" s="1570"/>
      <c r="X24" s="10" t="s">
        <v>60</v>
      </c>
      <c r="Y24" s="582"/>
      <c r="Z24" s="580"/>
      <c r="AA24" s="576"/>
      <c r="AB24" s="12"/>
      <c r="AC24" s="12"/>
      <c r="AE24" s="588"/>
    </row>
    <row r="25" spans="2:31" x14ac:dyDescent="0.2">
      <c r="B25" s="582"/>
      <c r="D25" s="1" t="s">
        <v>1126</v>
      </c>
      <c r="Z25" s="580"/>
      <c r="AA25" s="576"/>
      <c r="AB25" s="12"/>
      <c r="AC25" s="12"/>
      <c r="AE25" s="588"/>
    </row>
    <row r="26" spans="2:31" x14ac:dyDescent="0.2">
      <c r="B26" s="582"/>
      <c r="E26" s="1" t="s">
        <v>1127</v>
      </c>
      <c r="Z26" s="580"/>
      <c r="AA26" s="576"/>
      <c r="AB26" s="12"/>
      <c r="AC26" s="12"/>
      <c r="AE26" s="588"/>
    </row>
    <row r="27" spans="2:31" x14ac:dyDescent="0.2">
      <c r="B27" s="582"/>
      <c r="Z27" s="580"/>
      <c r="AA27" s="576"/>
      <c r="AB27" s="12"/>
      <c r="AC27" s="12"/>
      <c r="AE27" s="588"/>
    </row>
    <row r="28" spans="2:31" x14ac:dyDescent="0.2">
      <c r="B28" s="582"/>
      <c r="C28" s="796" t="s">
        <v>1128</v>
      </c>
      <c r="D28" s="1" t="s">
        <v>1129</v>
      </c>
      <c r="Z28" s="797"/>
      <c r="AA28" s="576"/>
      <c r="AB28" s="12" t="s">
        <v>116</v>
      </c>
      <c r="AC28" s="12" t="s">
        <v>441</v>
      </c>
      <c r="AD28" s="12" t="s">
        <v>116</v>
      </c>
      <c r="AE28" s="588"/>
    </row>
    <row r="29" spans="2:31" x14ac:dyDescent="0.2">
      <c r="B29" s="582"/>
      <c r="C29" s="796"/>
      <c r="D29" s="1" t="s">
        <v>1130</v>
      </c>
      <c r="Z29" s="797"/>
      <c r="AA29" s="576"/>
      <c r="AB29" s="12"/>
      <c r="AC29" s="12"/>
      <c r="AD29" s="12"/>
      <c r="AE29" s="588"/>
    </row>
    <row r="30" spans="2:31" x14ac:dyDescent="0.2">
      <c r="B30" s="582"/>
      <c r="C30" s="796"/>
      <c r="D30" s="1" t="s">
        <v>1131</v>
      </c>
      <c r="Z30" s="797"/>
      <c r="AA30" s="798"/>
      <c r="AB30" s="12"/>
      <c r="AC30" s="773"/>
      <c r="AE30" s="588"/>
    </row>
    <row r="31" spans="2:31" x14ac:dyDescent="0.2">
      <c r="B31" s="582"/>
      <c r="Z31" s="580"/>
      <c r="AA31" s="576"/>
      <c r="AB31" s="12"/>
      <c r="AC31" s="12"/>
      <c r="AE31" s="588"/>
    </row>
    <row r="32" spans="2:31" ht="13.5" customHeight="1" x14ac:dyDescent="0.2">
      <c r="B32" s="582"/>
      <c r="C32" s="796"/>
      <c r="D32" s="799" t="s">
        <v>1132</v>
      </c>
      <c r="E32" s="759"/>
      <c r="F32" s="759"/>
      <c r="G32" s="759"/>
      <c r="H32" s="759"/>
      <c r="I32" s="759"/>
      <c r="J32" s="759"/>
      <c r="K32" s="759"/>
      <c r="L32" s="759"/>
      <c r="M32" s="759"/>
      <c r="N32" s="759"/>
      <c r="O32" s="10"/>
      <c r="P32" s="10"/>
      <c r="Q32" s="10"/>
      <c r="R32" s="10"/>
      <c r="S32" s="10"/>
      <c r="T32" s="11"/>
      <c r="U32" s="1338"/>
      <c r="V32" s="1339"/>
      <c r="W32" s="1339"/>
      <c r="X32" s="11" t="s">
        <v>1123</v>
      </c>
      <c r="Y32" s="582"/>
      <c r="Z32" s="580"/>
      <c r="AA32" s="576"/>
      <c r="AB32" s="12"/>
      <c r="AC32" s="12"/>
      <c r="AE32" s="588"/>
    </row>
    <row r="33" spans="2:32" x14ac:dyDescent="0.2">
      <c r="B33" s="582"/>
      <c r="C33" s="796"/>
      <c r="D33" s="2"/>
      <c r="E33" s="2"/>
      <c r="F33" s="2"/>
      <c r="G33" s="2"/>
      <c r="H33" s="2"/>
      <c r="I33" s="2"/>
      <c r="J33" s="2"/>
      <c r="K33" s="2"/>
      <c r="L33" s="2"/>
      <c r="M33" s="2"/>
      <c r="N33" s="2"/>
      <c r="U33" s="12"/>
      <c r="V33" s="12"/>
      <c r="W33" s="12"/>
      <c r="Z33" s="580"/>
      <c r="AA33" s="576"/>
      <c r="AB33" s="12"/>
      <c r="AC33" s="12"/>
      <c r="AE33" s="588"/>
    </row>
    <row r="34" spans="2:32" ht="13.5" customHeight="1" x14ac:dyDescent="0.2">
      <c r="B34" s="582"/>
      <c r="C34" s="796"/>
      <c r="E34" s="801" t="s">
        <v>1133</v>
      </c>
      <c r="Z34" s="580"/>
      <c r="AA34" s="576"/>
      <c r="AB34" s="12"/>
      <c r="AC34" s="12"/>
      <c r="AE34" s="588"/>
    </row>
    <row r="35" spans="2:32" x14ac:dyDescent="0.2">
      <c r="B35" s="582"/>
      <c r="C35" s="796"/>
      <c r="E35" s="1567" t="s">
        <v>1134</v>
      </c>
      <c r="F35" s="1567"/>
      <c r="G35" s="1567"/>
      <c r="H35" s="1567"/>
      <c r="I35" s="1567"/>
      <c r="J35" s="1567"/>
      <c r="K35" s="1567"/>
      <c r="L35" s="1567"/>
      <c r="M35" s="1567"/>
      <c r="N35" s="1567"/>
      <c r="O35" s="1567" t="s">
        <v>1135</v>
      </c>
      <c r="P35" s="1567"/>
      <c r="Q35" s="1567"/>
      <c r="R35" s="1567"/>
      <c r="S35" s="1567"/>
      <c r="Z35" s="580"/>
      <c r="AA35" s="576"/>
      <c r="AB35" s="12"/>
      <c r="AC35" s="12"/>
      <c r="AE35" s="588"/>
    </row>
    <row r="36" spans="2:32" x14ac:dyDescent="0.2">
      <c r="B36" s="582"/>
      <c r="C36" s="796"/>
      <c r="E36" s="1567" t="s">
        <v>1136</v>
      </c>
      <c r="F36" s="1567"/>
      <c r="G36" s="1567"/>
      <c r="H36" s="1567"/>
      <c r="I36" s="1567"/>
      <c r="J36" s="1567"/>
      <c r="K36" s="1567"/>
      <c r="L36" s="1567"/>
      <c r="M36" s="1567"/>
      <c r="N36" s="1567"/>
      <c r="O36" s="1567" t="s">
        <v>1137</v>
      </c>
      <c r="P36" s="1567"/>
      <c r="Q36" s="1567"/>
      <c r="R36" s="1567"/>
      <c r="S36" s="1567"/>
      <c r="Z36" s="580"/>
      <c r="AA36" s="576"/>
      <c r="AB36" s="12"/>
      <c r="AC36" s="12"/>
      <c r="AE36" s="588"/>
    </row>
    <row r="37" spans="2:32" x14ac:dyDescent="0.2">
      <c r="B37" s="582"/>
      <c r="C37" s="796"/>
      <c r="E37" s="1567" t="s">
        <v>1138</v>
      </c>
      <c r="F37" s="1567"/>
      <c r="G37" s="1567"/>
      <c r="H37" s="1567"/>
      <c r="I37" s="1567"/>
      <c r="J37" s="1567"/>
      <c r="K37" s="1567"/>
      <c r="L37" s="1567"/>
      <c r="M37" s="1567"/>
      <c r="N37" s="1567"/>
      <c r="O37" s="1567" t="s">
        <v>1139</v>
      </c>
      <c r="P37" s="1567"/>
      <c r="Q37" s="1567"/>
      <c r="R37" s="1567"/>
      <c r="S37" s="1567"/>
      <c r="Z37" s="580"/>
      <c r="AA37" s="576"/>
      <c r="AB37" s="12"/>
      <c r="AC37" s="12"/>
      <c r="AE37" s="588"/>
    </row>
    <row r="38" spans="2:32" x14ac:dyDescent="0.2">
      <c r="B38" s="582"/>
      <c r="C38" s="796"/>
      <c r="D38" s="588"/>
      <c r="E38" s="1571" t="s">
        <v>1140</v>
      </c>
      <c r="F38" s="1567"/>
      <c r="G38" s="1567"/>
      <c r="H38" s="1567"/>
      <c r="I38" s="1567"/>
      <c r="J38" s="1567"/>
      <c r="K38" s="1567"/>
      <c r="L38" s="1567"/>
      <c r="M38" s="1567"/>
      <c r="N38" s="1567"/>
      <c r="O38" s="1567" t="s">
        <v>1141</v>
      </c>
      <c r="P38" s="1567"/>
      <c r="Q38" s="1567"/>
      <c r="R38" s="1567"/>
      <c r="S38" s="1572"/>
      <c r="T38" s="582"/>
      <c r="Z38" s="580"/>
      <c r="AA38" s="576"/>
      <c r="AB38" s="12"/>
      <c r="AC38" s="12"/>
      <c r="AE38" s="588"/>
    </row>
    <row r="39" spans="2:32" x14ac:dyDescent="0.2">
      <c r="B39" s="582"/>
      <c r="C39" s="796"/>
      <c r="E39" s="1573" t="s">
        <v>1142</v>
      </c>
      <c r="F39" s="1573"/>
      <c r="G39" s="1573"/>
      <c r="H39" s="1573"/>
      <c r="I39" s="1573"/>
      <c r="J39" s="1573"/>
      <c r="K39" s="1573"/>
      <c r="L39" s="1573"/>
      <c r="M39" s="1573"/>
      <c r="N39" s="1573"/>
      <c r="O39" s="1573" t="s">
        <v>1143</v>
      </c>
      <c r="P39" s="1573"/>
      <c r="Q39" s="1573"/>
      <c r="R39" s="1573"/>
      <c r="S39" s="1573"/>
      <c r="Z39" s="580"/>
      <c r="AA39" s="576"/>
      <c r="AB39" s="12"/>
      <c r="AC39" s="12"/>
      <c r="AE39" s="588"/>
      <c r="AF39" s="582"/>
    </row>
    <row r="40" spans="2:32" x14ac:dyDescent="0.2">
      <c r="B40" s="582"/>
      <c r="C40" s="796"/>
      <c r="E40" s="1567" t="s">
        <v>1144</v>
      </c>
      <c r="F40" s="1567"/>
      <c r="G40" s="1567"/>
      <c r="H40" s="1567"/>
      <c r="I40" s="1567"/>
      <c r="J40" s="1567"/>
      <c r="K40" s="1567"/>
      <c r="L40" s="1567"/>
      <c r="M40" s="1567"/>
      <c r="N40" s="1567"/>
      <c r="O40" s="1567" t="s">
        <v>1145</v>
      </c>
      <c r="P40" s="1567"/>
      <c r="Q40" s="1567"/>
      <c r="R40" s="1567"/>
      <c r="S40" s="1567"/>
      <c r="Z40" s="580"/>
      <c r="AA40" s="576"/>
      <c r="AB40" s="12"/>
      <c r="AC40" s="12"/>
      <c r="AE40" s="588"/>
    </row>
    <row r="41" spans="2:32" x14ac:dyDescent="0.2">
      <c r="B41" s="582"/>
      <c r="C41" s="796"/>
      <c r="E41" s="1567" t="s">
        <v>1146</v>
      </c>
      <c r="F41" s="1567"/>
      <c r="G41" s="1567"/>
      <c r="H41" s="1567"/>
      <c r="I41" s="1567"/>
      <c r="J41" s="1567"/>
      <c r="K41" s="1567"/>
      <c r="L41" s="1567"/>
      <c r="M41" s="1567"/>
      <c r="N41" s="1567"/>
      <c r="O41" s="1567" t="s">
        <v>1147</v>
      </c>
      <c r="P41" s="1567"/>
      <c r="Q41" s="1567"/>
      <c r="R41" s="1567"/>
      <c r="S41" s="1567"/>
      <c r="Z41" s="580"/>
      <c r="AA41" s="576"/>
      <c r="AB41" s="12"/>
      <c r="AC41" s="12"/>
      <c r="AE41" s="588"/>
    </row>
    <row r="42" spans="2:32" x14ac:dyDescent="0.2">
      <c r="B42" s="582"/>
      <c r="C42" s="796"/>
      <c r="E42" s="1567" t="s">
        <v>382</v>
      </c>
      <c r="F42" s="1567"/>
      <c r="G42" s="1567"/>
      <c r="H42" s="1567"/>
      <c r="I42" s="1567"/>
      <c r="J42" s="1567"/>
      <c r="K42" s="1567"/>
      <c r="L42" s="1567"/>
      <c r="M42" s="1567"/>
      <c r="N42" s="1567"/>
      <c r="O42" s="1567" t="s">
        <v>382</v>
      </c>
      <c r="P42" s="1567"/>
      <c r="Q42" s="1567"/>
      <c r="R42" s="1567"/>
      <c r="S42" s="1567"/>
      <c r="Z42" s="583"/>
      <c r="AA42" s="576"/>
      <c r="AB42" s="12"/>
      <c r="AC42" s="12"/>
      <c r="AE42" s="588"/>
    </row>
    <row r="43" spans="2:32" x14ac:dyDescent="0.2">
      <c r="B43" s="582"/>
      <c r="C43" s="796"/>
      <c r="J43" s="1456"/>
      <c r="K43" s="1456"/>
      <c r="L43" s="1456"/>
      <c r="M43" s="1456"/>
      <c r="N43" s="1456"/>
      <c r="O43" s="1456"/>
      <c r="P43" s="1456"/>
      <c r="Q43" s="1456"/>
      <c r="R43" s="1456"/>
      <c r="S43" s="1456"/>
      <c r="T43" s="1456"/>
      <c r="U43" s="1456"/>
      <c r="V43" s="1456"/>
      <c r="Z43" s="583"/>
      <c r="AA43" s="576"/>
      <c r="AB43" s="12"/>
      <c r="AC43" s="12"/>
      <c r="AE43" s="588"/>
    </row>
    <row r="44" spans="2:32" x14ac:dyDescent="0.2">
      <c r="B44" s="582"/>
      <c r="C44" s="796" t="s">
        <v>1148</v>
      </c>
      <c r="D44" s="1" t="s">
        <v>1149</v>
      </c>
      <c r="Z44" s="797"/>
      <c r="AA44" s="798"/>
      <c r="AB44" s="12" t="s">
        <v>116</v>
      </c>
      <c r="AC44" s="12" t="s">
        <v>441</v>
      </c>
      <c r="AD44" s="12" t="s">
        <v>116</v>
      </c>
      <c r="AE44" s="588"/>
    </row>
    <row r="45" spans="2:32" ht="14.25" customHeight="1" x14ac:dyDescent="0.2">
      <c r="B45" s="582"/>
      <c r="D45" s="1" t="s">
        <v>1150</v>
      </c>
      <c r="Z45" s="580"/>
      <c r="AA45" s="576"/>
      <c r="AB45" s="12"/>
      <c r="AC45" s="12"/>
      <c r="AE45" s="588"/>
    </row>
    <row r="46" spans="2:32" x14ac:dyDescent="0.2">
      <c r="B46" s="582"/>
      <c r="Z46" s="583"/>
      <c r="AA46" s="576"/>
      <c r="AB46" s="12"/>
      <c r="AC46" s="12"/>
      <c r="AE46" s="588"/>
    </row>
    <row r="47" spans="2:32" x14ac:dyDescent="0.2">
      <c r="B47" s="582" t="s">
        <v>1151</v>
      </c>
      <c r="Z47" s="580"/>
      <c r="AA47" s="576"/>
      <c r="AB47" s="12"/>
      <c r="AC47" s="12"/>
      <c r="AE47" s="588"/>
    </row>
    <row r="48" spans="2:32" x14ac:dyDescent="0.2">
      <c r="B48" s="582"/>
      <c r="C48" s="796" t="s">
        <v>1119</v>
      </c>
      <c r="D48" s="1" t="s">
        <v>1152</v>
      </c>
      <c r="Z48" s="797"/>
      <c r="AA48" s="798"/>
      <c r="AB48" s="12" t="s">
        <v>116</v>
      </c>
      <c r="AC48" s="12" t="s">
        <v>441</v>
      </c>
      <c r="AD48" s="12" t="s">
        <v>116</v>
      </c>
      <c r="AE48" s="588"/>
    </row>
    <row r="49" spans="2:36" ht="17.25" customHeight="1" x14ac:dyDescent="0.2">
      <c r="B49" s="582"/>
      <c r="D49" s="1" t="s">
        <v>1153</v>
      </c>
      <c r="Z49" s="580"/>
      <c r="AA49" s="576"/>
      <c r="AB49" s="12"/>
      <c r="AC49" s="12"/>
      <c r="AE49" s="588"/>
    </row>
    <row r="50" spans="2:36" ht="18.75" customHeight="1" x14ac:dyDescent="0.2">
      <c r="B50" s="582"/>
      <c r="W50" s="21"/>
      <c r="Z50" s="588"/>
      <c r="AA50" s="576"/>
      <c r="AB50" s="12"/>
      <c r="AC50" s="12"/>
      <c r="AE50" s="588"/>
      <c r="AJ50" s="577"/>
    </row>
    <row r="51" spans="2:36" ht="13.5" customHeight="1" x14ac:dyDescent="0.2">
      <c r="B51" s="582"/>
      <c r="C51" s="796" t="s">
        <v>1128</v>
      </c>
      <c r="D51" s="1" t="s">
        <v>1154</v>
      </c>
      <c r="Z51" s="797"/>
      <c r="AA51" s="798"/>
      <c r="AB51" s="12" t="s">
        <v>116</v>
      </c>
      <c r="AC51" s="12" t="s">
        <v>441</v>
      </c>
      <c r="AD51" s="12" t="s">
        <v>116</v>
      </c>
      <c r="AE51" s="588"/>
    </row>
    <row r="52" spans="2:36" x14ac:dyDescent="0.2">
      <c r="B52" s="582"/>
      <c r="D52" s="1" t="s">
        <v>1155</v>
      </c>
      <c r="E52" s="2"/>
      <c r="F52" s="2"/>
      <c r="G52" s="2"/>
      <c r="H52" s="2"/>
      <c r="I52" s="2"/>
      <c r="J52" s="2"/>
      <c r="K52" s="2"/>
      <c r="L52" s="2"/>
      <c r="M52" s="2"/>
      <c r="N52" s="2"/>
      <c r="O52" s="577"/>
      <c r="P52" s="577"/>
      <c r="Q52" s="577"/>
      <c r="Z52" s="580"/>
      <c r="AA52" s="576"/>
      <c r="AB52" s="12"/>
      <c r="AC52" s="12"/>
      <c r="AE52" s="588"/>
    </row>
    <row r="53" spans="2:36" x14ac:dyDescent="0.2">
      <c r="B53" s="582"/>
      <c r="D53" s="12"/>
      <c r="E53" s="1574"/>
      <c r="F53" s="1574"/>
      <c r="G53" s="1574"/>
      <c r="H53" s="1574"/>
      <c r="I53" s="1574"/>
      <c r="J53" s="1574"/>
      <c r="K53" s="1574"/>
      <c r="L53" s="1574"/>
      <c r="M53" s="1574"/>
      <c r="N53" s="1574"/>
      <c r="Q53" s="12"/>
      <c r="S53" s="21"/>
      <c r="T53" s="21"/>
      <c r="U53" s="21"/>
      <c r="V53" s="21"/>
      <c r="Z53" s="583"/>
      <c r="AA53" s="576"/>
      <c r="AB53" s="12"/>
      <c r="AC53" s="12"/>
      <c r="AE53" s="588"/>
    </row>
    <row r="54" spans="2:36" x14ac:dyDescent="0.2">
      <c r="B54" s="582"/>
      <c r="C54" s="796" t="s">
        <v>1148</v>
      </c>
      <c r="D54" s="1" t="s">
        <v>1156</v>
      </c>
      <c r="Z54" s="797"/>
      <c r="AA54" s="798"/>
      <c r="AB54" s="12" t="s">
        <v>116</v>
      </c>
      <c r="AC54" s="12" t="s">
        <v>441</v>
      </c>
      <c r="AD54" s="12" t="s">
        <v>116</v>
      </c>
      <c r="AE54" s="588"/>
    </row>
    <row r="55" spans="2:36" x14ac:dyDescent="0.2">
      <c r="B55" s="591"/>
      <c r="C55" s="802"/>
      <c r="D55" s="8" t="s">
        <v>1157</v>
      </c>
      <c r="E55" s="8"/>
      <c r="F55" s="8"/>
      <c r="G55" s="8"/>
      <c r="H55" s="8"/>
      <c r="I55" s="8"/>
      <c r="J55" s="8"/>
      <c r="K55" s="8"/>
      <c r="L55" s="8"/>
      <c r="M55" s="8"/>
      <c r="N55" s="8"/>
      <c r="O55" s="8"/>
      <c r="P55" s="8"/>
      <c r="Q55" s="8"/>
      <c r="R55" s="8"/>
      <c r="S55" s="8"/>
      <c r="T55" s="8"/>
      <c r="U55" s="8"/>
      <c r="V55" s="8"/>
      <c r="W55" s="8"/>
      <c r="X55" s="8"/>
      <c r="Y55" s="8"/>
      <c r="Z55" s="593"/>
      <c r="AA55" s="563"/>
      <c r="AB55" s="564"/>
      <c r="AC55" s="564"/>
      <c r="AD55" s="8"/>
      <c r="AE55" s="593"/>
    </row>
    <row r="56" spans="2:36" x14ac:dyDescent="0.2">
      <c r="B56" s="1" t="s">
        <v>1158</v>
      </c>
    </row>
    <row r="57" spans="2:36" x14ac:dyDescent="0.2">
      <c r="C57" s="1" t="s">
        <v>1159</v>
      </c>
    </row>
    <row r="58" spans="2:36" x14ac:dyDescent="0.2">
      <c r="B58" s="1" t="s">
        <v>1160</v>
      </c>
    </row>
    <row r="59" spans="2:36" x14ac:dyDescent="0.2">
      <c r="C59" s="1" t="s">
        <v>1161</v>
      </c>
    </row>
    <row r="60" spans="2:36" x14ac:dyDescent="0.2">
      <c r="C60" s="1" t="s">
        <v>1162</v>
      </c>
    </row>
    <row r="61" spans="2:36" x14ac:dyDescent="0.2">
      <c r="C61" s="1" t="s">
        <v>1163</v>
      </c>
      <c r="K61" s="1" t="s">
        <v>1164</v>
      </c>
    </row>
    <row r="62" spans="2:36" x14ac:dyDescent="0.2">
      <c r="K62" s="1" t="s">
        <v>1165</v>
      </c>
    </row>
    <row r="63" spans="2:36" x14ac:dyDescent="0.2">
      <c r="K63" s="1" t="s">
        <v>1166</v>
      </c>
    </row>
    <row r="64" spans="2:36" x14ac:dyDescent="0.2">
      <c r="K64" s="1" t="s">
        <v>1167</v>
      </c>
    </row>
    <row r="65" spans="2:11" x14ac:dyDescent="0.2">
      <c r="K65" s="1" t="s">
        <v>1168</v>
      </c>
    </row>
    <row r="66" spans="2:11" x14ac:dyDescent="0.2">
      <c r="B66" s="1" t="s">
        <v>1169</v>
      </c>
    </row>
    <row r="67" spans="2:11" x14ac:dyDescent="0.2">
      <c r="C67" s="1" t="s">
        <v>1170</v>
      </c>
    </row>
    <row r="68" spans="2:11" x14ac:dyDescent="0.2">
      <c r="C68" s="1" t="s">
        <v>1171</v>
      </c>
    </row>
    <row r="69" spans="2:11" x14ac:dyDescent="0.2">
      <c r="C69" s="1" t="s">
        <v>1172</v>
      </c>
    </row>
    <row r="81" spans="12:12" x14ac:dyDescent="0.2">
      <c r="L81" s="587"/>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FAEDB1-D90D-46DC-809C-F006965476F8}">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C6A-CBF3-4CA7-BA50-56E89776F2DA}">
  <sheetPr>
    <tabColor rgb="FFFFFF00"/>
    <pageSetUpPr fitToPage="1"/>
  </sheetPr>
  <dimension ref="B1:AD123"/>
  <sheetViews>
    <sheetView view="pageBreakPreview" zoomScale="70" zoomScaleNormal="100" zoomScaleSheetLayoutView="70" workbookViewId="0">
      <selection activeCell="B6" sqref="B6:AD6"/>
    </sheetView>
  </sheetViews>
  <sheetFormatPr defaultColWidth="3.44140625" defaultRowHeight="13.2" x14ac:dyDescent="0.2"/>
  <cols>
    <col min="1" max="1" width="1.21875" style="3" customWidth="1"/>
    <col min="2" max="2" width="3.109375" style="598"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 customFormat="1" ht="6.75" customHeight="1" x14ac:dyDescent="0.2"/>
    <row r="2" spans="2:30" s="1" customFormat="1" x14ac:dyDescent="0.2">
      <c r="B2" s="1" t="s">
        <v>1981</v>
      </c>
    </row>
    <row r="3" spans="2:30" s="1" customFormat="1" x14ac:dyDescent="0.2">
      <c r="U3" s="45" t="s">
        <v>643</v>
      </c>
      <c r="V3" s="1456"/>
      <c r="W3" s="1456"/>
      <c r="X3" s="45" t="s">
        <v>34</v>
      </c>
      <c r="Y3" s="1456"/>
      <c r="Z3" s="1456"/>
      <c r="AA3" s="45" t="s">
        <v>383</v>
      </c>
      <c r="AB3" s="1456"/>
      <c r="AC3" s="1456"/>
      <c r="AD3" s="45" t="s">
        <v>167</v>
      </c>
    </row>
    <row r="4" spans="2:30" s="1" customFormat="1" ht="5.25" customHeight="1" x14ac:dyDescent="0.2">
      <c r="AD4" s="45"/>
    </row>
    <row r="5" spans="2:30" s="1" customFormat="1" x14ac:dyDescent="0.2">
      <c r="B5" s="1456" t="s">
        <v>826</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row>
    <row r="6" spans="2:30" s="1" customFormat="1" x14ac:dyDescent="0.2">
      <c r="B6" s="1456" t="s">
        <v>1982</v>
      </c>
      <c r="C6" s="1456"/>
      <c r="D6" s="1456"/>
      <c r="E6" s="1456"/>
      <c r="F6" s="1456"/>
      <c r="G6" s="1456"/>
      <c r="H6" s="1456"/>
      <c r="I6" s="1456"/>
      <c r="J6" s="1456"/>
      <c r="K6" s="1456"/>
      <c r="L6" s="1456"/>
      <c r="M6" s="1456"/>
      <c r="N6" s="1456"/>
      <c r="O6" s="1456"/>
      <c r="P6" s="1456"/>
      <c r="Q6" s="1456"/>
      <c r="R6" s="1456"/>
      <c r="S6" s="1456"/>
      <c r="T6" s="1456"/>
      <c r="U6" s="1456"/>
      <c r="V6" s="1456"/>
      <c r="W6" s="1456"/>
      <c r="X6" s="1456"/>
      <c r="Y6" s="1456"/>
      <c r="Z6" s="1456"/>
      <c r="AA6" s="1456"/>
      <c r="AB6" s="1456"/>
      <c r="AC6" s="1456"/>
      <c r="AD6" s="1456"/>
    </row>
    <row r="7" spans="2:30" s="1" customFormat="1" ht="6" customHeight="1" x14ac:dyDescent="0.2"/>
    <row r="8" spans="2:30" s="1" customFormat="1" ht="21.75" customHeight="1" x14ac:dyDescent="0.2">
      <c r="B8" s="1575" t="s">
        <v>274</v>
      </c>
      <c r="C8" s="1575"/>
      <c r="D8" s="1575"/>
      <c r="E8" s="1575"/>
      <c r="F8" s="1549"/>
      <c r="G8" s="1576"/>
      <c r="H8" s="1577"/>
      <c r="I8" s="1577"/>
      <c r="J8" s="1577"/>
      <c r="K8" s="1577"/>
      <c r="L8" s="1577"/>
      <c r="M8" s="1577"/>
      <c r="N8" s="1577"/>
      <c r="O8" s="1577"/>
      <c r="P8" s="1577"/>
      <c r="Q8" s="1577"/>
      <c r="R8" s="1577"/>
      <c r="S8" s="1577"/>
      <c r="T8" s="1577"/>
      <c r="U8" s="1577"/>
      <c r="V8" s="1577"/>
      <c r="W8" s="1577"/>
      <c r="X8" s="1577"/>
      <c r="Y8" s="1577"/>
      <c r="Z8" s="1577"/>
      <c r="AA8" s="1577"/>
      <c r="AB8" s="1577"/>
      <c r="AC8" s="1577"/>
      <c r="AD8" s="1578"/>
    </row>
    <row r="9" spans="2:30" ht="21.75" customHeight="1" x14ac:dyDescent="0.2">
      <c r="B9" s="1549" t="s">
        <v>93</v>
      </c>
      <c r="C9" s="1550"/>
      <c r="D9" s="1550"/>
      <c r="E9" s="1550"/>
      <c r="F9" s="1550"/>
      <c r="G9" s="758" t="s">
        <v>116</v>
      </c>
      <c r="H9" s="759" t="s">
        <v>1174</v>
      </c>
      <c r="I9" s="759"/>
      <c r="J9" s="759"/>
      <c r="K9" s="759"/>
      <c r="L9" s="786" t="s">
        <v>116</v>
      </c>
      <c r="M9" s="759" t="s">
        <v>1175</v>
      </c>
      <c r="N9" s="759"/>
      <c r="O9" s="759"/>
      <c r="P9" s="759"/>
      <c r="Q9" s="786" t="s">
        <v>116</v>
      </c>
      <c r="R9" s="759" t="s">
        <v>1176</v>
      </c>
      <c r="S9" s="842"/>
      <c r="T9" s="842"/>
      <c r="U9" s="842"/>
      <c r="V9" s="842"/>
      <c r="W9" s="842"/>
      <c r="X9" s="842"/>
      <c r="Y9" s="842"/>
      <c r="Z9" s="842"/>
      <c r="AA9" s="842"/>
      <c r="AB9" s="842"/>
      <c r="AC9" s="842"/>
      <c r="AD9" s="843"/>
    </row>
    <row r="10" spans="2:30" ht="21.75" customHeight="1" x14ac:dyDescent="0.2">
      <c r="B10" s="1557" t="s">
        <v>828</v>
      </c>
      <c r="C10" s="1558"/>
      <c r="D10" s="1558"/>
      <c r="E10" s="1558"/>
      <c r="F10" s="1559"/>
      <c r="G10" s="760" t="s">
        <v>116</v>
      </c>
      <c r="H10" s="1" t="s">
        <v>1983</v>
      </c>
      <c r="I10" s="2"/>
      <c r="J10" s="2"/>
      <c r="K10" s="2"/>
      <c r="L10" s="2"/>
      <c r="M10" s="2"/>
      <c r="N10" s="2"/>
      <c r="O10" s="2"/>
      <c r="P10" s="2"/>
      <c r="Q10" s="2"/>
      <c r="R10" s="760" t="s">
        <v>116</v>
      </c>
      <c r="S10" s="1" t="s">
        <v>1984</v>
      </c>
      <c r="T10" s="847"/>
      <c r="U10" s="847"/>
      <c r="V10" s="847"/>
      <c r="W10" s="847"/>
      <c r="X10" s="847"/>
      <c r="Y10" s="847"/>
      <c r="Z10" s="847"/>
      <c r="AA10" s="847"/>
      <c r="AB10" s="847"/>
      <c r="AC10" s="847"/>
      <c r="AD10" s="848"/>
    </row>
    <row r="11" spans="2:30" ht="21.75" customHeight="1" x14ac:dyDescent="0.2">
      <c r="B11" s="1560"/>
      <c r="C11" s="1561"/>
      <c r="D11" s="1561"/>
      <c r="E11" s="1561"/>
      <c r="F11" s="1562"/>
      <c r="G11" s="760" t="s">
        <v>116</v>
      </c>
      <c r="H11" s="8" t="s">
        <v>1985</v>
      </c>
      <c r="I11" s="594"/>
      <c r="J11" s="594"/>
      <c r="K11" s="594"/>
      <c r="L11" s="594"/>
      <c r="M11" s="594"/>
      <c r="N11" s="594"/>
      <c r="O11" s="594"/>
      <c r="P11" s="594"/>
      <c r="Q11" s="594"/>
      <c r="R11" s="594"/>
      <c r="S11" s="850"/>
      <c r="T11" s="850"/>
      <c r="U11" s="850"/>
      <c r="V11" s="850"/>
      <c r="W11" s="850"/>
      <c r="X11" s="850"/>
      <c r="Y11" s="850"/>
      <c r="Z11" s="850"/>
      <c r="AA11" s="850"/>
      <c r="AB11" s="850"/>
      <c r="AC11" s="850"/>
      <c r="AD11" s="851"/>
    </row>
    <row r="12" spans="2:30" x14ac:dyDescent="0.2">
      <c r="B12" s="1557" t="s">
        <v>829</v>
      </c>
      <c r="C12" s="1558"/>
      <c r="D12" s="1558"/>
      <c r="E12" s="1558"/>
      <c r="F12" s="1559"/>
      <c r="G12" s="1122" t="s">
        <v>1986</v>
      </c>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4"/>
    </row>
    <row r="13" spans="2:30" ht="31.5" customHeight="1" x14ac:dyDescent="0.2">
      <c r="B13" s="1579"/>
      <c r="C13" s="1329"/>
      <c r="D13" s="1329"/>
      <c r="E13" s="1329"/>
      <c r="F13" s="1580"/>
      <c r="G13" s="763" t="s">
        <v>116</v>
      </c>
      <c r="H13" s="1" t="s">
        <v>1727</v>
      </c>
      <c r="I13" s="2"/>
      <c r="J13" s="2"/>
      <c r="K13" s="2"/>
      <c r="L13" s="2"/>
      <c r="M13" s="2"/>
      <c r="N13" s="2"/>
      <c r="O13" s="2"/>
      <c r="P13" s="2"/>
      <c r="Q13" s="2"/>
      <c r="R13" s="760" t="s">
        <v>116</v>
      </c>
      <c r="S13" s="1" t="s">
        <v>1728</v>
      </c>
      <c r="T13" s="847"/>
      <c r="U13" s="847"/>
      <c r="V13" s="847"/>
      <c r="W13" s="847"/>
      <c r="X13" s="847"/>
      <c r="Y13" s="847"/>
      <c r="Z13" s="847"/>
      <c r="AA13" s="847"/>
      <c r="AB13" s="847"/>
      <c r="AC13" s="847"/>
      <c r="AD13" s="848"/>
    </row>
    <row r="14" spans="2:30" x14ac:dyDescent="0.2">
      <c r="B14" s="1579"/>
      <c r="C14" s="1329"/>
      <c r="D14" s="1329"/>
      <c r="E14" s="1329"/>
      <c r="F14" s="1580"/>
      <c r="G14" s="579" t="s">
        <v>1987</v>
      </c>
      <c r="H14" s="1"/>
      <c r="I14" s="2"/>
      <c r="J14" s="2"/>
      <c r="K14" s="2"/>
      <c r="L14" s="2"/>
      <c r="M14" s="2"/>
      <c r="N14" s="2"/>
      <c r="O14" s="2"/>
      <c r="P14" s="2"/>
      <c r="Q14" s="2"/>
      <c r="R14" s="2"/>
      <c r="S14" s="1"/>
      <c r="T14" s="847"/>
      <c r="U14" s="847"/>
      <c r="V14" s="847"/>
      <c r="W14" s="847"/>
      <c r="X14" s="847"/>
      <c r="Y14" s="847"/>
      <c r="Z14" s="847"/>
      <c r="AA14" s="847"/>
      <c r="AB14" s="847"/>
      <c r="AC14" s="847"/>
      <c r="AD14" s="848"/>
    </row>
    <row r="15" spans="2:30" ht="31.5" customHeight="1" x14ac:dyDescent="0.2">
      <c r="B15" s="1560"/>
      <c r="C15" s="1561"/>
      <c r="D15" s="1561"/>
      <c r="E15" s="1561"/>
      <c r="F15" s="1562"/>
      <c r="G15" s="765" t="s">
        <v>116</v>
      </c>
      <c r="H15" s="8" t="s">
        <v>1729</v>
      </c>
      <c r="I15" s="594"/>
      <c r="J15" s="594"/>
      <c r="K15" s="594"/>
      <c r="L15" s="594"/>
      <c r="M15" s="594"/>
      <c r="N15" s="594"/>
      <c r="O15" s="594"/>
      <c r="P15" s="594"/>
      <c r="Q15" s="594"/>
      <c r="R15" s="849" t="s">
        <v>116</v>
      </c>
      <c r="S15" s="8" t="s">
        <v>1988</v>
      </c>
      <c r="T15" s="850"/>
      <c r="U15" s="850"/>
      <c r="V15" s="850"/>
      <c r="W15" s="850"/>
      <c r="X15" s="850"/>
      <c r="Y15" s="850"/>
      <c r="Z15" s="850"/>
      <c r="AA15" s="850"/>
      <c r="AB15" s="850"/>
      <c r="AC15" s="850"/>
      <c r="AD15" s="851"/>
    </row>
    <row r="16" spans="2:30" s="1" customFormat="1" ht="7.5" customHeight="1" x14ac:dyDescent="0.2"/>
    <row r="17" spans="2:30" s="1" customFormat="1" x14ac:dyDescent="0.15">
      <c r="B17" s="1443" t="s">
        <v>1989</v>
      </c>
      <c r="C17" s="1433"/>
      <c r="D17" s="1433"/>
      <c r="E17" s="1433"/>
      <c r="F17" s="1434"/>
      <c r="G17" s="1581"/>
      <c r="H17" s="1582"/>
      <c r="I17" s="1582"/>
      <c r="J17" s="1582"/>
      <c r="K17" s="1582"/>
      <c r="L17" s="1582"/>
      <c r="M17" s="1582"/>
      <c r="N17" s="1582"/>
      <c r="O17" s="1582"/>
      <c r="P17" s="1582"/>
      <c r="Q17" s="1582"/>
      <c r="R17" s="1582"/>
      <c r="S17" s="1582"/>
      <c r="T17" s="1582"/>
      <c r="U17" s="1582"/>
      <c r="V17" s="1582"/>
      <c r="W17" s="1582"/>
      <c r="X17" s="1582"/>
      <c r="Y17" s="1583"/>
      <c r="Z17" s="41"/>
      <c r="AA17" s="827" t="s">
        <v>1117</v>
      </c>
      <c r="AB17" s="827" t="s">
        <v>441</v>
      </c>
      <c r="AC17" s="827" t="s">
        <v>721</v>
      </c>
      <c r="AD17" s="23"/>
    </row>
    <row r="18" spans="2:30" s="1" customFormat="1" ht="27" customHeight="1" x14ac:dyDescent="0.2">
      <c r="B18" s="1462"/>
      <c r="C18" s="1463"/>
      <c r="D18" s="1463"/>
      <c r="E18" s="1463"/>
      <c r="F18" s="1466"/>
      <c r="G18" s="1584" t="s">
        <v>1990</v>
      </c>
      <c r="H18" s="1585"/>
      <c r="I18" s="1585"/>
      <c r="J18" s="1585"/>
      <c r="K18" s="1585"/>
      <c r="L18" s="1585"/>
      <c r="M18" s="1585"/>
      <c r="N18" s="1585"/>
      <c r="O18" s="1585"/>
      <c r="P18" s="1585"/>
      <c r="Q18" s="1585"/>
      <c r="R18" s="1585"/>
      <c r="S18" s="1585"/>
      <c r="T18" s="1585"/>
      <c r="U18" s="1585"/>
      <c r="V18" s="1585"/>
      <c r="W18" s="1585"/>
      <c r="X18" s="1585"/>
      <c r="Y18" s="1586"/>
      <c r="Z18" s="576"/>
      <c r="AA18" s="760" t="s">
        <v>116</v>
      </c>
      <c r="AB18" s="760" t="s">
        <v>441</v>
      </c>
      <c r="AC18" s="760" t="s">
        <v>116</v>
      </c>
      <c r="AD18" s="580"/>
    </row>
    <row r="19" spans="2:30" s="1" customFormat="1" ht="27" customHeight="1" x14ac:dyDescent="0.2">
      <c r="B19" s="1462"/>
      <c r="C19" s="1463"/>
      <c r="D19" s="1463"/>
      <c r="E19" s="1463"/>
      <c r="F19" s="1466"/>
      <c r="G19" s="1587" t="s">
        <v>1991</v>
      </c>
      <c r="H19" s="1588"/>
      <c r="I19" s="1588"/>
      <c r="J19" s="1588"/>
      <c r="K19" s="1588"/>
      <c r="L19" s="1588"/>
      <c r="M19" s="1588"/>
      <c r="N19" s="1588"/>
      <c r="O19" s="1588"/>
      <c r="P19" s="1588"/>
      <c r="Q19" s="1588"/>
      <c r="R19" s="1588"/>
      <c r="S19" s="1588"/>
      <c r="T19" s="1588"/>
      <c r="U19" s="1588"/>
      <c r="V19" s="1588"/>
      <c r="W19" s="1588"/>
      <c r="X19" s="1588"/>
      <c r="Y19" s="1589"/>
      <c r="Z19" s="579"/>
      <c r="AA19" s="760" t="s">
        <v>116</v>
      </c>
      <c r="AB19" s="760" t="s">
        <v>441</v>
      </c>
      <c r="AC19" s="760" t="s">
        <v>116</v>
      </c>
      <c r="AD19" s="583"/>
    </row>
    <row r="20" spans="2:30" s="1" customFormat="1" ht="27" customHeight="1" x14ac:dyDescent="0.2">
      <c r="B20" s="1447"/>
      <c r="C20" s="1448"/>
      <c r="D20" s="1448"/>
      <c r="E20" s="1448"/>
      <c r="F20" s="1449"/>
      <c r="G20" s="1590" t="s">
        <v>1992</v>
      </c>
      <c r="H20" s="1591"/>
      <c r="I20" s="1591"/>
      <c r="J20" s="1591"/>
      <c r="K20" s="1591"/>
      <c r="L20" s="1591"/>
      <c r="M20" s="1591"/>
      <c r="N20" s="1591"/>
      <c r="O20" s="1591"/>
      <c r="P20" s="1591"/>
      <c r="Q20" s="1591"/>
      <c r="R20" s="1591"/>
      <c r="S20" s="1591"/>
      <c r="T20" s="1591"/>
      <c r="U20" s="1591"/>
      <c r="V20" s="1591"/>
      <c r="W20" s="1591"/>
      <c r="X20" s="1591"/>
      <c r="Y20" s="1592"/>
      <c r="Z20" s="589"/>
      <c r="AA20" s="849" t="s">
        <v>116</v>
      </c>
      <c r="AB20" s="849" t="s">
        <v>441</v>
      </c>
      <c r="AC20" s="849" t="s">
        <v>116</v>
      </c>
      <c r="AD20" s="592"/>
    </row>
    <row r="21" spans="2:30" s="1" customFormat="1" ht="6" customHeight="1" x14ac:dyDescent="0.2"/>
    <row r="22" spans="2:30" s="1" customFormat="1" x14ac:dyDescent="0.2">
      <c r="B22" s="1" t="s">
        <v>1993</v>
      </c>
    </row>
    <row r="23" spans="2:30" s="1" customFormat="1" x14ac:dyDescent="0.2">
      <c r="B23" s="1" t="s">
        <v>831</v>
      </c>
      <c r="AC23" s="2"/>
      <c r="AD23" s="2"/>
    </row>
    <row r="24" spans="2:30" s="1" customFormat="1" ht="6" customHeight="1" x14ac:dyDescent="0.2"/>
    <row r="25" spans="2:30" s="1" customFormat="1" ht="4.5" customHeight="1" x14ac:dyDescent="0.2">
      <c r="B25" s="1593" t="s">
        <v>843</v>
      </c>
      <c r="C25" s="1594"/>
      <c r="D25" s="1600" t="s">
        <v>1994</v>
      </c>
      <c r="E25" s="1601"/>
      <c r="F25" s="1602"/>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595"/>
      <c r="C26" s="1596"/>
      <c r="D26" s="1603"/>
      <c r="E26" s="1604"/>
      <c r="F26" s="1605"/>
      <c r="G26" s="582"/>
      <c r="H26" s="1" t="s">
        <v>844</v>
      </c>
      <c r="Z26" s="582"/>
      <c r="AA26" s="769" t="s">
        <v>1117</v>
      </c>
      <c r="AB26" s="769" t="s">
        <v>441</v>
      </c>
      <c r="AC26" s="769" t="s">
        <v>721</v>
      </c>
      <c r="AD26" s="890"/>
    </row>
    <row r="27" spans="2:30" s="1" customFormat="1" ht="18" customHeight="1" x14ac:dyDescent="0.2">
      <c r="B27" s="1595"/>
      <c r="C27" s="1596"/>
      <c r="D27" s="1603"/>
      <c r="E27" s="1604"/>
      <c r="F27" s="1605"/>
      <c r="G27" s="582"/>
      <c r="I27" s="891" t="s">
        <v>103</v>
      </c>
      <c r="J27" s="1606" t="s">
        <v>1995</v>
      </c>
      <c r="K27" s="1607"/>
      <c r="L27" s="1607"/>
      <c r="M27" s="1607"/>
      <c r="N27" s="1607"/>
      <c r="O27" s="1607"/>
      <c r="P27" s="1607"/>
      <c r="Q27" s="1607"/>
      <c r="R27" s="1607"/>
      <c r="S27" s="1607"/>
      <c r="T27" s="1607"/>
      <c r="U27" s="1554"/>
      <c r="V27" s="1338"/>
      <c r="W27" s="11" t="s">
        <v>89</v>
      </c>
      <c r="Z27" s="582"/>
      <c r="AC27" s="2"/>
      <c r="AD27" s="583"/>
    </row>
    <row r="28" spans="2:30" s="1" customFormat="1" ht="30" customHeight="1" x14ac:dyDescent="0.2">
      <c r="B28" s="1595"/>
      <c r="C28" s="1596"/>
      <c r="D28" s="1603"/>
      <c r="E28" s="1604"/>
      <c r="F28" s="1605"/>
      <c r="G28" s="582"/>
      <c r="I28" s="892" t="s">
        <v>104</v>
      </c>
      <c r="J28" s="1608" t="s">
        <v>1996</v>
      </c>
      <c r="K28" s="1609"/>
      <c r="L28" s="1609"/>
      <c r="M28" s="1609"/>
      <c r="N28" s="1609"/>
      <c r="O28" s="1609"/>
      <c r="P28" s="1609"/>
      <c r="Q28" s="1609"/>
      <c r="R28" s="1609"/>
      <c r="S28" s="1609"/>
      <c r="T28" s="1609"/>
      <c r="U28" s="1554"/>
      <c r="V28" s="1338"/>
      <c r="W28" s="593" t="s">
        <v>89</v>
      </c>
      <c r="Y28" s="877"/>
      <c r="Z28" s="579"/>
      <c r="AA28" s="760" t="s">
        <v>116</v>
      </c>
      <c r="AB28" s="760" t="s">
        <v>441</v>
      </c>
      <c r="AC28" s="760" t="s">
        <v>116</v>
      </c>
      <c r="AD28" s="583"/>
    </row>
    <row r="29" spans="2:30" s="1" customFormat="1" ht="6" customHeight="1" x14ac:dyDescent="0.2">
      <c r="B29" s="1595"/>
      <c r="C29" s="1596"/>
      <c r="D29" s="1603"/>
      <c r="E29" s="1604"/>
      <c r="F29" s="1605"/>
      <c r="G29" s="591"/>
      <c r="H29" s="8"/>
      <c r="I29" s="8"/>
      <c r="J29" s="8"/>
      <c r="K29" s="8"/>
      <c r="L29" s="8"/>
      <c r="M29" s="8"/>
      <c r="N29" s="8"/>
      <c r="O29" s="8"/>
      <c r="P29" s="8"/>
      <c r="Q29" s="8"/>
      <c r="R29" s="8"/>
      <c r="S29" s="8"/>
      <c r="T29" s="894"/>
      <c r="U29" s="901"/>
      <c r="V29" s="564"/>
      <c r="W29" s="8"/>
      <c r="X29" s="8"/>
      <c r="Y29" s="8"/>
      <c r="Z29" s="591"/>
      <c r="AA29" s="8"/>
      <c r="AB29" s="8"/>
      <c r="AC29" s="594"/>
      <c r="AD29" s="592"/>
    </row>
    <row r="30" spans="2:30" s="1" customFormat="1" ht="4.5" customHeight="1" x14ac:dyDescent="0.2">
      <c r="B30" s="1595"/>
      <c r="C30" s="1596"/>
      <c r="D30" s="1600" t="s">
        <v>1997</v>
      </c>
      <c r="E30" s="1601"/>
      <c r="F30" s="1602"/>
      <c r="G30" s="6"/>
      <c r="H30" s="7"/>
      <c r="I30" s="7"/>
      <c r="J30" s="7"/>
      <c r="K30" s="7"/>
      <c r="L30" s="7"/>
      <c r="M30" s="7"/>
      <c r="N30" s="7"/>
      <c r="O30" s="7"/>
      <c r="P30" s="7"/>
      <c r="Q30" s="7"/>
      <c r="R30" s="7"/>
      <c r="S30" s="7"/>
      <c r="T30" s="7"/>
      <c r="U30" s="562"/>
      <c r="V30" s="562"/>
      <c r="W30" s="7"/>
      <c r="X30" s="7"/>
      <c r="Y30" s="7"/>
      <c r="Z30" s="6"/>
      <c r="AA30" s="7"/>
      <c r="AB30" s="7"/>
      <c r="AC30" s="22"/>
      <c r="AD30" s="23"/>
    </row>
    <row r="31" spans="2:30" s="1" customFormat="1" ht="15.75" customHeight="1" x14ac:dyDescent="0.2">
      <c r="B31" s="1595"/>
      <c r="C31" s="1596"/>
      <c r="D31" s="1603"/>
      <c r="E31" s="1604"/>
      <c r="F31" s="1605"/>
      <c r="G31" s="582"/>
      <c r="H31" s="1" t="s">
        <v>1998</v>
      </c>
      <c r="U31" s="12"/>
      <c r="V31" s="12"/>
      <c r="Z31" s="582"/>
      <c r="AA31" s="769" t="s">
        <v>1117</v>
      </c>
      <c r="AB31" s="769" t="s">
        <v>441</v>
      </c>
      <c r="AC31" s="769" t="s">
        <v>721</v>
      </c>
      <c r="AD31" s="890"/>
    </row>
    <row r="32" spans="2:30" s="1" customFormat="1" ht="30" customHeight="1" x14ac:dyDescent="0.2">
      <c r="B32" s="1595"/>
      <c r="C32" s="1596"/>
      <c r="D32" s="1603"/>
      <c r="E32" s="1604"/>
      <c r="F32" s="1605"/>
      <c r="G32" s="582"/>
      <c r="I32" s="891" t="s">
        <v>103</v>
      </c>
      <c r="J32" s="1606" t="s">
        <v>1999</v>
      </c>
      <c r="K32" s="1607"/>
      <c r="L32" s="1607"/>
      <c r="M32" s="1607"/>
      <c r="N32" s="1607"/>
      <c r="O32" s="1607"/>
      <c r="P32" s="1607"/>
      <c r="Q32" s="1607"/>
      <c r="R32" s="1607"/>
      <c r="S32" s="1607"/>
      <c r="T32" s="1607"/>
      <c r="U32" s="1554"/>
      <c r="V32" s="1338"/>
      <c r="W32" s="11" t="s">
        <v>89</v>
      </c>
      <c r="Z32" s="582"/>
      <c r="AC32" s="2"/>
      <c r="AD32" s="583"/>
    </row>
    <row r="33" spans="2:30" s="1" customFormat="1" ht="18" customHeight="1" x14ac:dyDescent="0.2">
      <c r="B33" s="1595"/>
      <c r="C33" s="1596"/>
      <c r="D33" s="1603"/>
      <c r="E33" s="1604"/>
      <c r="F33" s="1605"/>
      <c r="G33" s="582"/>
      <c r="I33" s="892" t="s">
        <v>104</v>
      </c>
      <c r="J33" s="1608" t="s">
        <v>2000</v>
      </c>
      <c r="K33" s="1609"/>
      <c r="L33" s="1609"/>
      <c r="M33" s="1609"/>
      <c r="N33" s="1609"/>
      <c r="O33" s="1609"/>
      <c r="P33" s="1609"/>
      <c r="Q33" s="1609"/>
      <c r="R33" s="1609"/>
      <c r="S33" s="1609"/>
      <c r="T33" s="1609"/>
      <c r="U33" s="1554"/>
      <c r="V33" s="1338"/>
      <c r="W33" s="593" t="s">
        <v>89</v>
      </c>
      <c r="Y33" s="877"/>
      <c r="Z33" s="579"/>
      <c r="AA33" s="760" t="s">
        <v>116</v>
      </c>
      <c r="AB33" s="760" t="s">
        <v>441</v>
      </c>
      <c r="AC33" s="760" t="s">
        <v>116</v>
      </c>
      <c r="AD33" s="583"/>
    </row>
    <row r="34" spans="2:30" s="1" customFormat="1" ht="6" customHeight="1" x14ac:dyDescent="0.2">
      <c r="B34" s="1595"/>
      <c r="C34" s="1596"/>
      <c r="D34" s="1610"/>
      <c r="E34" s="1611"/>
      <c r="F34" s="1612"/>
      <c r="G34" s="591"/>
      <c r="H34" s="8"/>
      <c r="I34" s="8"/>
      <c r="J34" s="8"/>
      <c r="K34" s="8"/>
      <c r="L34" s="8"/>
      <c r="M34" s="8"/>
      <c r="N34" s="8"/>
      <c r="O34" s="8"/>
      <c r="P34" s="8"/>
      <c r="Q34" s="8"/>
      <c r="R34" s="8"/>
      <c r="S34" s="8"/>
      <c r="T34" s="894"/>
      <c r="U34" s="901"/>
      <c r="V34" s="564"/>
      <c r="W34" s="8"/>
      <c r="X34" s="8"/>
      <c r="Y34" s="8"/>
      <c r="Z34" s="591"/>
      <c r="AA34" s="8"/>
      <c r="AB34" s="8"/>
      <c r="AC34" s="594"/>
      <c r="AD34" s="592"/>
    </row>
    <row r="35" spans="2:30" s="1" customFormat="1" ht="4.5" customHeight="1" x14ac:dyDescent="0.2">
      <c r="B35" s="1595"/>
      <c r="C35" s="1596"/>
      <c r="D35" s="1600" t="s">
        <v>2001</v>
      </c>
      <c r="E35" s="1601"/>
      <c r="F35" s="1602"/>
      <c r="G35" s="6"/>
      <c r="H35" s="7"/>
      <c r="I35" s="7"/>
      <c r="J35" s="7"/>
      <c r="K35" s="7"/>
      <c r="L35" s="7"/>
      <c r="M35" s="7"/>
      <c r="N35" s="7"/>
      <c r="O35" s="7"/>
      <c r="P35" s="7"/>
      <c r="Q35" s="7"/>
      <c r="R35" s="7"/>
      <c r="S35" s="7"/>
      <c r="T35" s="7"/>
      <c r="U35" s="562"/>
      <c r="V35" s="562"/>
      <c r="W35" s="7"/>
      <c r="X35" s="7"/>
      <c r="Y35" s="7"/>
      <c r="Z35" s="6"/>
      <c r="AA35" s="7"/>
      <c r="AB35" s="7"/>
      <c r="AC35" s="22"/>
      <c r="AD35" s="23"/>
    </row>
    <row r="36" spans="2:30" s="1" customFormat="1" ht="15.75" customHeight="1" x14ac:dyDescent="0.2">
      <c r="B36" s="1595"/>
      <c r="C36" s="1596"/>
      <c r="D36" s="1603"/>
      <c r="E36" s="1604"/>
      <c r="F36" s="1605"/>
      <c r="G36" s="582"/>
      <c r="H36" s="1" t="s">
        <v>844</v>
      </c>
      <c r="U36" s="12"/>
      <c r="V36" s="12"/>
      <c r="Z36" s="582"/>
      <c r="AA36" s="769" t="s">
        <v>1117</v>
      </c>
      <c r="AB36" s="769" t="s">
        <v>441</v>
      </c>
      <c r="AC36" s="769" t="s">
        <v>721</v>
      </c>
      <c r="AD36" s="890"/>
    </row>
    <row r="37" spans="2:30" s="1" customFormat="1" ht="27" customHeight="1" x14ac:dyDescent="0.2">
      <c r="B37" s="1595"/>
      <c r="C37" s="1596"/>
      <c r="D37" s="1603"/>
      <c r="E37" s="1604"/>
      <c r="F37" s="1605"/>
      <c r="G37" s="582"/>
      <c r="I37" s="891" t="s">
        <v>103</v>
      </c>
      <c r="J37" s="1606" t="s">
        <v>2002</v>
      </c>
      <c r="K37" s="1607"/>
      <c r="L37" s="1607"/>
      <c r="M37" s="1607"/>
      <c r="N37" s="1607"/>
      <c r="O37" s="1607"/>
      <c r="P37" s="1607"/>
      <c r="Q37" s="1607"/>
      <c r="R37" s="1607"/>
      <c r="S37" s="1607"/>
      <c r="T37" s="1607"/>
      <c r="U37" s="1554"/>
      <c r="V37" s="1338"/>
      <c r="W37" s="11" t="s">
        <v>89</v>
      </c>
      <c r="Z37" s="582"/>
      <c r="AC37" s="2"/>
      <c r="AD37" s="583"/>
    </row>
    <row r="38" spans="2:30" s="1" customFormat="1" ht="27" customHeight="1" x14ac:dyDescent="0.2">
      <c r="B38" s="1597"/>
      <c r="C38" s="1598"/>
      <c r="D38" s="1610"/>
      <c r="E38" s="1611"/>
      <c r="F38" s="1611"/>
      <c r="G38" s="582"/>
      <c r="I38" s="891" t="s">
        <v>104</v>
      </c>
      <c r="J38" s="1608" t="s">
        <v>1996</v>
      </c>
      <c r="K38" s="1609"/>
      <c r="L38" s="1609"/>
      <c r="M38" s="1609"/>
      <c r="N38" s="1609"/>
      <c r="O38" s="1609"/>
      <c r="P38" s="1609"/>
      <c r="Q38" s="1609"/>
      <c r="R38" s="1609"/>
      <c r="S38" s="1609"/>
      <c r="T38" s="1609"/>
      <c r="U38" s="1554"/>
      <c r="V38" s="1338"/>
      <c r="W38" s="8" t="s">
        <v>89</v>
      </c>
      <c r="X38" s="582"/>
      <c r="Y38" s="877"/>
      <c r="Z38" s="579"/>
      <c r="AA38" s="760" t="s">
        <v>116</v>
      </c>
      <c r="AB38" s="760" t="s">
        <v>441</v>
      </c>
      <c r="AC38" s="760" t="s">
        <v>116</v>
      </c>
      <c r="AD38" s="583"/>
    </row>
    <row r="39" spans="2:30" s="1" customFormat="1" ht="6" customHeight="1" x14ac:dyDescent="0.2">
      <c r="B39" s="1597"/>
      <c r="C39" s="1599"/>
      <c r="D39" s="1610"/>
      <c r="E39" s="1611"/>
      <c r="F39" s="1612"/>
      <c r="G39" s="591"/>
      <c r="H39" s="8"/>
      <c r="I39" s="8"/>
      <c r="J39" s="8"/>
      <c r="K39" s="8"/>
      <c r="L39" s="8"/>
      <c r="M39" s="8"/>
      <c r="N39" s="8"/>
      <c r="O39" s="8"/>
      <c r="P39" s="8"/>
      <c r="Q39" s="8"/>
      <c r="R39" s="8"/>
      <c r="S39" s="8"/>
      <c r="T39" s="894"/>
      <c r="U39" s="901"/>
      <c r="V39" s="564"/>
      <c r="W39" s="8"/>
      <c r="X39" s="8"/>
      <c r="Y39" s="8"/>
      <c r="Z39" s="591"/>
      <c r="AA39" s="8"/>
      <c r="AB39" s="8"/>
      <c r="AC39" s="594"/>
      <c r="AD39" s="592"/>
    </row>
    <row r="40" spans="2:30" s="1" customFormat="1" ht="9" customHeight="1" x14ac:dyDescent="0.2">
      <c r="B40" s="870"/>
      <c r="C40" s="870"/>
      <c r="D40" s="870"/>
      <c r="E40" s="870"/>
      <c r="F40" s="870"/>
      <c r="T40" s="877"/>
      <c r="U40" s="902"/>
      <c r="V40" s="12"/>
      <c r="AC40" s="2"/>
      <c r="AD40" s="2"/>
    </row>
    <row r="41" spans="2:30" s="1" customFormat="1" x14ac:dyDescent="0.2">
      <c r="B41" s="1" t="s">
        <v>839</v>
      </c>
      <c r="U41" s="12"/>
      <c r="V41" s="12"/>
      <c r="AC41" s="2"/>
      <c r="AD41" s="2"/>
    </row>
    <row r="42" spans="2:30" s="1" customFormat="1" ht="6" customHeight="1" x14ac:dyDescent="0.2">
      <c r="U42" s="12"/>
      <c r="V42" s="12"/>
    </row>
    <row r="43" spans="2:30" s="1" customFormat="1" ht="4.5" customHeight="1" x14ac:dyDescent="0.2">
      <c r="B43" s="1593" t="s">
        <v>843</v>
      </c>
      <c r="C43" s="1594"/>
      <c r="D43" s="1600" t="s">
        <v>1994</v>
      </c>
      <c r="E43" s="1601"/>
      <c r="F43" s="1602"/>
      <c r="G43" s="6"/>
      <c r="H43" s="7"/>
      <c r="I43" s="7"/>
      <c r="J43" s="7"/>
      <c r="K43" s="7"/>
      <c r="L43" s="7"/>
      <c r="M43" s="7"/>
      <c r="N43" s="7"/>
      <c r="O43" s="7"/>
      <c r="P43" s="7"/>
      <c r="Q43" s="7"/>
      <c r="R43" s="7"/>
      <c r="S43" s="7"/>
      <c r="T43" s="7"/>
      <c r="U43" s="562"/>
      <c r="V43" s="562"/>
      <c r="W43" s="7"/>
      <c r="X43" s="7"/>
      <c r="Y43" s="7"/>
      <c r="Z43" s="6"/>
      <c r="AA43" s="7"/>
      <c r="AB43" s="7"/>
      <c r="AC43" s="22"/>
      <c r="AD43" s="23"/>
    </row>
    <row r="44" spans="2:30" s="1" customFormat="1" ht="15.75" customHeight="1" x14ac:dyDescent="0.2">
      <c r="B44" s="1595"/>
      <c r="C44" s="1596"/>
      <c r="D44" s="1603"/>
      <c r="E44" s="1604"/>
      <c r="F44" s="1605"/>
      <c r="G44" s="582"/>
      <c r="H44" s="1" t="s">
        <v>844</v>
      </c>
      <c r="U44" s="12"/>
      <c r="V44" s="12"/>
      <c r="Z44" s="582"/>
      <c r="AA44" s="769" t="s">
        <v>1117</v>
      </c>
      <c r="AB44" s="769" t="s">
        <v>441</v>
      </c>
      <c r="AC44" s="769" t="s">
        <v>721</v>
      </c>
      <c r="AD44" s="890"/>
    </row>
    <row r="45" spans="2:30" s="1" customFormat="1" ht="18" customHeight="1" x14ac:dyDescent="0.2">
      <c r="B45" s="1595"/>
      <c r="C45" s="1596"/>
      <c r="D45" s="1603"/>
      <c r="E45" s="1604"/>
      <c r="F45" s="1605"/>
      <c r="G45" s="582"/>
      <c r="I45" s="891" t="s">
        <v>103</v>
      </c>
      <c r="J45" s="1606" t="s">
        <v>1995</v>
      </c>
      <c r="K45" s="1607"/>
      <c r="L45" s="1607"/>
      <c r="M45" s="1607"/>
      <c r="N45" s="1607"/>
      <c r="O45" s="1607"/>
      <c r="P45" s="1607"/>
      <c r="Q45" s="1607"/>
      <c r="R45" s="1607"/>
      <c r="S45" s="1607"/>
      <c r="T45" s="1607"/>
      <c r="U45" s="1554"/>
      <c r="V45" s="1338"/>
      <c r="W45" s="11" t="s">
        <v>89</v>
      </c>
      <c r="Z45" s="582"/>
      <c r="AC45" s="2"/>
      <c r="AD45" s="583"/>
    </row>
    <row r="46" spans="2:30" s="1" customFormat="1" ht="30" customHeight="1" x14ac:dyDescent="0.2">
      <c r="B46" s="1595"/>
      <c r="C46" s="1596"/>
      <c r="D46" s="1603"/>
      <c r="E46" s="1604"/>
      <c r="F46" s="1605"/>
      <c r="G46" s="582"/>
      <c r="I46" s="892" t="s">
        <v>104</v>
      </c>
      <c r="J46" s="1608" t="s">
        <v>2003</v>
      </c>
      <c r="K46" s="1609"/>
      <c r="L46" s="1609"/>
      <c r="M46" s="1609"/>
      <c r="N46" s="1609"/>
      <c r="O46" s="1609"/>
      <c r="P46" s="1609"/>
      <c r="Q46" s="1609"/>
      <c r="R46" s="1609"/>
      <c r="S46" s="1609"/>
      <c r="T46" s="1609"/>
      <c r="U46" s="1554"/>
      <c r="V46" s="1338"/>
      <c r="W46" s="593" t="s">
        <v>89</v>
      </c>
      <c r="Y46" s="877"/>
      <c r="Z46" s="579"/>
      <c r="AA46" s="760" t="s">
        <v>116</v>
      </c>
      <c r="AB46" s="760" t="s">
        <v>441</v>
      </c>
      <c r="AC46" s="760" t="s">
        <v>116</v>
      </c>
      <c r="AD46" s="583"/>
    </row>
    <row r="47" spans="2:30" s="1" customFormat="1" ht="6" customHeight="1" x14ac:dyDescent="0.2">
      <c r="B47" s="1595"/>
      <c r="C47" s="1596"/>
      <c r="D47" s="1603"/>
      <c r="E47" s="1604"/>
      <c r="F47" s="1605"/>
      <c r="G47" s="591"/>
      <c r="H47" s="8"/>
      <c r="I47" s="8"/>
      <c r="J47" s="8"/>
      <c r="K47" s="8"/>
      <c r="L47" s="8"/>
      <c r="M47" s="8"/>
      <c r="N47" s="8"/>
      <c r="O47" s="8"/>
      <c r="P47" s="8"/>
      <c r="Q47" s="8"/>
      <c r="R47" s="8"/>
      <c r="S47" s="8"/>
      <c r="T47" s="894"/>
      <c r="U47" s="901"/>
      <c r="V47" s="564"/>
      <c r="W47" s="8"/>
      <c r="X47" s="8"/>
      <c r="Y47" s="8"/>
      <c r="Z47" s="591"/>
      <c r="AA47" s="8"/>
      <c r="AB47" s="8"/>
      <c r="AC47" s="594"/>
      <c r="AD47" s="592"/>
    </row>
    <row r="48" spans="2:30" s="1" customFormat="1" ht="4.5" customHeight="1" x14ac:dyDescent="0.2">
      <c r="B48" s="1595"/>
      <c r="C48" s="1596"/>
      <c r="D48" s="1600" t="s">
        <v>1997</v>
      </c>
      <c r="E48" s="1601"/>
      <c r="F48" s="1602"/>
      <c r="G48" s="582"/>
      <c r="T48" s="877"/>
      <c r="U48" s="902"/>
      <c r="V48" s="12"/>
      <c r="Z48" s="582"/>
      <c r="AC48" s="2"/>
      <c r="AD48" s="583"/>
    </row>
    <row r="49" spans="2:30" s="1" customFormat="1" ht="15.75" customHeight="1" x14ac:dyDescent="0.2">
      <c r="B49" s="1595"/>
      <c r="C49" s="1596"/>
      <c r="D49" s="1603"/>
      <c r="E49" s="1604"/>
      <c r="F49" s="1605"/>
      <c r="G49" s="582"/>
      <c r="H49" s="1" t="s">
        <v>1998</v>
      </c>
      <c r="U49" s="12"/>
      <c r="V49" s="12"/>
      <c r="Z49" s="582"/>
      <c r="AA49" s="769" t="s">
        <v>1117</v>
      </c>
      <c r="AB49" s="769" t="s">
        <v>441</v>
      </c>
      <c r="AC49" s="769" t="s">
        <v>721</v>
      </c>
      <c r="AD49" s="890"/>
    </row>
    <row r="50" spans="2:30" s="1" customFormat="1" ht="27" customHeight="1" x14ac:dyDescent="0.2">
      <c r="B50" s="1595"/>
      <c r="C50" s="1596"/>
      <c r="D50" s="1603"/>
      <c r="E50" s="1604"/>
      <c r="F50" s="1605"/>
      <c r="G50" s="582"/>
      <c r="I50" s="891" t="s">
        <v>103</v>
      </c>
      <c r="J50" s="1606" t="s">
        <v>1999</v>
      </c>
      <c r="K50" s="1613"/>
      <c r="L50" s="1613"/>
      <c r="M50" s="1613"/>
      <c r="N50" s="1613"/>
      <c r="O50" s="1613"/>
      <c r="P50" s="1613"/>
      <c r="Q50" s="1613"/>
      <c r="R50" s="1613"/>
      <c r="S50" s="1613"/>
      <c r="T50" s="1614"/>
      <c r="U50" s="1554"/>
      <c r="V50" s="1338"/>
      <c r="W50" s="11" t="s">
        <v>89</v>
      </c>
      <c r="Z50" s="582"/>
      <c r="AC50" s="2"/>
      <c r="AD50" s="583"/>
    </row>
    <row r="51" spans="2:30" s="1" customFormat="1" ht="18" customHeight="1" x14ac:dyDescent="0.2">
      <c r="B51" s="1595"/>
      <c r="C51" s="1596"/>
      <c r="D51" s="1603"/>
      <c r="E51" s="1604"/>
      <c r="F51" s="1605"/>
      <c r="G51" s="582"/>
      <c r="I51" s="892" t="s">
        <v>104</v>
      </c>
      <c r="J51" s="1608" t="s">
        <v>2004</v>
      </c>
      <c r="K51" s="1609"/>
      <c r="L51" s="1609"/>
      <c r="M51" s="1609"/>
      <c r="N51" s="1609"/>
      <c r="O51" s="1609"/>
      <c r="P51" s="1609"/>
      <c r="Q51" s="1609"/>
      <c r="R51" s="1609"/>
      <c r="S51" s="1609"/>
      <c r="T51" s="1609"/>
      <c r="U51" s="1554"/>
      <c r="V51" s="1338"/>
      <c r="W51" s="593" t="s">
        <v>89</v>
      </c>
      <c r="Y51" s="877"/>
      <c r="Z51" s="579"/>
      <c r="AA51" s="760" t="s">
        <v>116</v>
      </c>
      <c r="AB51" s="760" t="s">
        <v>441</v>
      </c>
      <c r="AC51" s="760" t="s">
        <v>116</v>
      </c>
      <c r="AD51" s="583"/>
    </row>
    <row r="52" spans="2:30" s="1" customFormat="1" ht="6" customHeight="1" x14ac:dyDescent="0.2">
      <c r="B52" s="1595"/>
      <c r="C52" s="1596"/>
      <c r="D52" s="1610"/>
      <c r="E52" s="1611"/>
      <c r="F52" s="1612"/>
      <c r="G52" s="582"/>
      <c r="T52" s="877"/>
      <c r="U52" s="902"/>
      <c r="V52" s="12"/>
      <c r="Z52" s="582"/>
      <c r="AC52" s="2"/>
      <c r="AD52" s="583"/>
    </row>
    <row r="53" spans="2:30" s="1" customFormat="1" ht="4.5" customHeight="1" x14ac:dyDescent="0.2">
      <c r="B53" s="1595"/>
      <c r="C53" s="1596"/>
      <c r="D53" s="1600" t="s">
        <v>2001</v>
      </c>
      <c r="E53" s="1601"/>
      <c r="F53" s="1602"/>
      <c r="G53" s="6"/>
      <c r="H53" s="7"/>
      <c r="I53" s="7"/>
      <c r="J53" s="7"/>
      <c r="K53" s="7"/>
      <c r="L53" s="7"/>
      <c r="M53" s="7"/>
      <c r="N53" s="7"/>
      <c r="O53" s="7"/>
      <c r="P53" s="7"/>
      <c r="Q53" s="7"/>
      <c r="R53" s="7"/>
      <c r="S53" s="7"/>
      <c r="T53" s="7"/>
      <c r="U53" s="562"/>
      <c r="V53" s="562"/>
      <c r="W53" s="7"/>
      <c r="X53" s="7"/>
      <c r="Y53" s="7"/>
      <c r="Z53" s="6"/>
      <c r="AA53" s="7"/>
      <c r="AB53" s="7"/>
      <c r="AC53" s="22"/>
      <c r="AD53" s="23"/>
    </row>
    <row r="54" spans="2:30" s="1" customFormat="1" ht="15.75" customHeight="1" x14ac:dyDescent="0.2">
      <c r="B54" s="1595"/>
      <c r="C54" s="1596"/>
      <c r="D54" s="1603"/>
      <c r="E54" s="1604"/>
      <c r="F54" s="1605"/>
      <c r="G54" s="582"/>
      <c r="H54" s="1" t="s">
        <v>844</v>
      </c>
      <c r="U54" s="12"/>
      <c r="V54" s="12"/>
      <c r="Z54" s="582"/>
      <c r="AA54" s="769" t="s">
        <v>1117</v>
      </c>
      <c r="AB54" s="769" t="s">
        <v>441</v>
      </c>
      <c r="AC54" s="769" t="s">
        <v>721</v>
      </c>
      <c r="AD54" s="890"/>
    </row>
    <row r="55" spans="2:30" s="1" customFormat="1" ht="30" customHeight="1" x14ac:dyDescent="0.2">
      <c r="B55" s="1595"/>
      <c r="C55" s="1596"/>
      <c r="D55" s="1603"/>
      <c r="E55" s="1604"/>
      <c r="F55" s="1605"/>
      <c r="G55" s="582"/>
      <c r="I55" s="891" t="s">
        <v>103</v>
      </c>
      <c r="J55" s="1606" t="s">
        <v>2002</v>
      </c>
      <c r="K55" s="1607"/>
      <c r="L55" s="1607"/>
      <c r="M55" s="1607"/>
      <c r="N55" s="1607"/>
      <c r="O55" s="1607"/>
      <c r="P55" s="1607"/>
      <c r="Q55" s="1607"/>
      <c r="R55" s="1607"/>
      <c r="S55" s="1607"/>
      <c r="T55" s="1607"/>
      <c r="U55" s="1554"/>
      <c r="V55" s="1338"/>
      <c r="W55" s="11" t="s">
        <v>89</v>
      </c>
      <c r="Z55" s="582"/>
      <c r="AC55" s="2"/>
      <c r="AD55" s="583"/>
    </row>
    <row r="56" spans="2:30" s="1" customFormat="1" ht="27" customHeight="1" x14ac:dyDescent="0.2">
      <c r="B56" s="1595"/>
      <c r="C56" s="1596"/>
      <c r="D56" s="1603"/>
      <c r="E56" s="1604"/>
      <c r="F56" s="1605"/>
      <c r="G56" s="582"/>
      <c r="I56" s="892" t="s">
        <v>104</v>
      </c>
      <c r="J56" s="1608" t="s">
        <v>2003</v>
      </c>
      <c r="K56" s="1609"/>
      <c r="L56" s="1609"/>
      <c r="M56" s="1609"/>
      <c r="N56" s="1609"/>
      <c r="O56" s="1609"/>
      <c r="P56" s="1609"/>
      <c r="Q56" s="1609"/>
      <c r="R56" s="1609"/>
      <c r="S56" s="1609"/>
      <c r="T56" s="1609"/>
      <c r="U56" s="1554"/>
      <c r="V56" s="1338"/>
      <c r="W56" s="593" t="s">
        <v>89</v>
      </c>
      <c r="Y56" s="877"/>
      <c r="Z56" s="579"/>
      <c r="AA56" s="760" t="s">
        <v>116</v>
      </c>
      <c r="AB56" s="760" t="s">
        <v>441</v>
      </c>
      <c r="AC56" s="760" t="s">
        <v>116</v>
      </c>
      <c r="AD56" s="583"/>
    </row>
    <row r="57" spans="2:30" s="1" customFormat="1" ht="3.75" customHeight="1" x14ac:dyDescent="0.2">
      <c r="B57" s="1597"/>
      <c r="C57" s="1598"/>
      <c r="D57" s="1610"/>
      <c r="E57" s="1611"/>
      <c r="F57" s="1612"/>
      <c r="G57" s="591"/>
      <c r="H57" s="8"/>
      <c r="I57" s="8"/>
      <c r="J57" s="8"/>
      <c r="K57" s="8"/>
      <c r="L57" s="8"/>
      <c r="M57" s="8"/>
      <c r="N57" s="8"/>
      <c r="O57" s="8"/>
      <c r="P57" s="8"/>
      <c r="Q57" s="8"/>
      <c r="R57" s="8"/>
      <c r="S57" s="8"/>
      <c r="T57" s="894"/>
      <c r="U57" s="894"/>
      <c r="V57" s="8"/>
      <c r="W57" s="8"/>
      <c r="X57" s="8"/>
      <c r="Y57" s="8"/>
      <c r="Z57" s="591"/>
      <c r="AA57" s="8"/>
      <c r="AB57" s="8"/>
      <c r="AC57" s="594"/>
      <c r="AD57" s="592"/>
    </row>
    <row r="58" spans="2:30" s="1" customFormat="1" ht="3.75" customHeight="1" x14ac:dyDescent="0.2">
      <c r="B58" s="870"/>
      <c r="C58" s="870"/>
      <c r="D58" s="870"/>
      <c r="E58" s="870"/>
      <c r="F58" s="870"/>
      <c r="T58" s="877"/>
      <c r="U58" s="877"/>
    </row>
    <row r="59" spans="2:30" s="1" customFormat="1" ht="13.5" customHeight="1" x14ac:dyDescent="0.2">
      <c r="B59" s="1615" t="s">
        <v>2005</v>
      </c>
      <c r="C59" s="1616"/>
      <c r="D59" s="878" t="s">
        <v>1651</v>
      </c>
      <c r="E59" s="878"/>
      <c r="F59" s="878"/>
      <c r="G59" s="878"/>
      <c r="H59" s="878"/>
      <c r="I59" s="878"/>
      <c r="J59" s="878"/>
      <c r="K59" s="878"/>
      <c r="L59" s="878"/>
      <c r="M59" s="878"/>
      <c r="N59" s="878"/>
      <c r="O59" s="878"/>
      <c r="P59" s="878"/>
      <c r="Q59" s="878"/>
      <c r="R59" s="878"/>
      <c r="S59" s="878"/>
      <c r="T59" s="878"/>
      <c r="U59" s="878"/>
      <c r="V59" s="878"/>
      <c r="W59" s="878"/>
      <c r="X59" s="878"/>
      <c r="Y59" s="878"/>
      <c r="Z59" s="878"/>
      <c r="AA59" s="878"/>
      <c r="AB59" s="878"/>
      <c r="AC59" s="878"/>
      <c r="AD59" s="878"/>
    </row>
    <row r="60" spans="2:30" s="1" customFormat="1" x14ac:dyDescent="0.2">
      <c r="B60" s="1616"/>
      <c r="C60" s="1616"/>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7"/>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3505713-0F0F-439B-9043-646C73A675D8}">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C33D-935F-4FEE-BBFF-F4238EA57775}">
  <sheetPr>
    <tabColor rgb="FFFFFF00"/>
    <pageSetUpPr fitToPage="1"/>
  </sheetPr>
  <dimension ref="B1:AD123"/>
  <sheetViews>
    <sheetView view="pageBreakPreview" zoomScale="70" zoomScaleNormal="100" zoomScaleSheetLayoutView="70" workbookViewId="0"/>
  </sheetViews>
  <sheetFormatPr defaultColWidth="3.44140625" defaultRowHeight="13.2" x14ac:dyDescent="0.2"/>
  <cols>
    <col min="1" max="1" width="1.21875" style="3" customWidth="1"/>
    <col min="2" max="2" width="3.109375" style="598" customWidth="1"/>
    <col min="3" max="30" width="3.109375" style="3" customWidth="1"/>
    <col min="31" max="31" width="1.21875" style="3" customWidth="1"/>
    <col min="32" max="256" width="3.44140625" style="3"/>
    <col min="257" max="257" width="1.21875" style="3" customWidth="1"/>
    <col min="258" max="286" width="3.109375" style="3" customWidth="1"/>
    <col min="287" max="287" width="1.21875" style="3" customWidth="1"/>
    <col min="288" max="512" width="3.44140625" style="3"/>
    <col min="513" max="513" width="1.21875" style="3" customWidth="1"/>
    <col min="514" max="542" width="3.109375" style="3" customWidth="1"/>
    <col min="543" max="543" width="1.21875" style="3" customWidth="1"/>
    <col min="544" max="768" width="3.44140625" style="3"/>
    <col min="769" max="769" width="1.21875" style="3" customWidth="1"/>
    <col min="770" max="798" width="3.109375" style="3" customWidth="1"/>
    <col min="799" max="799" width="1.21875" style="3" customWidth="1"/>
    <col min="800" max="1024" width="3.44140625" style="3"/>
    <col min="1025" max="1025" width="1.21875" style="3" customWidth="1"/>
    <col min="1026" max="1054" width="3.109375" style="3" customWidth="1"/>
    <col min="1055" max="1055" width="1.21875" style="3" customWidth="1"/>
    <col min="1056" max="1280" width="3.44140625" style="3"/>
    <col min="1281" max="1281" width="1.21875" style="3" customWidth="1"/>
    <col min="1282" max="1310" width="3.109375" style="3" customWidth="1"/>
    <col min="1311" max="1311" width="1.21875" style="3" customWidth="1"/>
    <col min="1312" max="1536" width="3.44140625" style="3"/>
    <col min="1537" max="1537" width="1.21875" style="3" customWidth="1"/>
    <col min="1538" max="1566" width="3.109375" style="3" customWidth="1"/>
    <col min="1567" max="1567" width="1.21875" style="3" customWidth="1"/>
    <col min="1568" max="1792" width="3.44140625" style="3"/>
    <col min="1793" max="1793" width="1.21875" style="3" customWidth="1"/>
    <col min="1794" max="1822" width="3.109375" style="3" customWidth="1"/>
    <col min="1823" max="1823" width="1.21875" style="3" customWidth="1"/>
    <col min="1824" max="2048" width="3.44140625" style="3"/>
    <col min="2049" max="2049" width="1.21875" style="3" customWidth="1"/>
    <col min="2050" max="2078" width="3.109375" style="3" customWidth="1"/>
    <col min="2079" max="2079" width="1.21875" style="3" customWidth="1"/>
    <col min="2080" max="2304" width="3.44140625" style="3"/>
    <col min="2305" max="2305" width="1.21875" style="3" customWidth="1"/>
    <col min="2306" max="2334" width="3.109375" style="3" customWidth="1"/>
    <col min="2335" max="2335" width="1.21875" style="3" customWidth="1"/>
    <col min="2336" max="2560" width="3.44140625" style="3"/>
    <col min="2561" max="2561" width="1.21875" style="3" customWidth="1"/>
    <col min="2562" max="2590" width="3.109375" style="3" customWidth="1"/>
    <col min="2591" max="2591" width="1.21875" style="3" customWidth="1"/>
    <col min="2592" max="2816" width="3.44140625" style="3"/>
    <col min="2817" max="2817" width="1.21875" style="3" customWidth="1"/>
    <col min="2818" max="2846" width="3.109375" style="3" customWidth="1"/>
    <col min="2847" max="2847" width="1.21875" style="3" customWidth="1"/>
    <col min="2848" max="3072" width="3.44140625" style="3"/>
    <col min="3073" max="3073" width="1.21875" style="3" customWidth="1"/>
    <col min="3074" max="3102" width="3.109375" style="3" customWidth="1"/>
    <col min="3103" max="3103" width="1.21875" style="3" customWidth="1"/>
    <col min="3104" max="3328" width="3.44140625" style="3"/>
    <col min="3329" max="3329" width="1.21875" style="3" customWidth="1"/>
    <col min="3330" max="3358" width="3.109375" style="3" customWidth="1"/>
    <col min="3359" max="3359" width="1.21875" style="3" customWidth="1"/>
    <col min="3360" max="3584" width="3.44140625" style="3"/>
    <col min="3585" max="3585" width="1.21875" style="3" customWidth="1"/>
    <col min="3586" max="3614" width="3.109375" style="3" customWidth="1"/>
    <col min="3615" max="3615" width="1.21875" style="3" customWidth="1"/>
    <col min="3616" max="3840" width="3.44140625" style="3"/>
    <col min="3841" max="3841" width="1.21875" style="3" customWidth="1"/>
    <col min="3842" max="3870" width="3.109375" style="3" customWidth="1"/>
    <col min="3871" max="3871" width="1.21875" style="3" customWidth="1"/>
    <col min="3872" max="4096" width="3.44140625" style="3"/>
    <col min="4097" max="4097" width="1.21875" style="3" customWidth="1"/>
    <col min="4098" max="4126" width="3.109375" style="3" customWidth="1"/>
    <col min="4127" max="4127" width="1.21875" style="3" customWidth="1"/>
    <col min="4128" max="4352" width="3.44140625" style="3"/>
    <col min="4353" max="4353" width="1.21875" style="3" customWidth="1"/>
    <col min="4354" max="4382" width="3.109375" style="3" customWidth="1"/>
    <col min="4383" max="4383" width="1.21875" style="3" customWidth="1"/>
    <col min="4384" max="4608" width="3.44140625" style="3"/>
    <col min="4609" max="4609" width="1.21875" style="3" customWidth="1"/>
    <col min="4610" max="4638" width="3.109375" style="3" customWidth="1"/>
    <col min="4639" max="4639" width="1.21875" style="3" customWidth="1"/>
    <col min="4640" max="4864" width="3.44140625" style="3"/>
    <col min="4865" max="4865" width="1.21875" style="3" customWidth="1"/>
    <col min="4866" max="4894" width="3.109375" style="3" customWidth="1"/>
    <col min="4895" max="4895" width="1.21875" style="3" customWidth="1"/>
    <col min="4896" max="5120" width="3.44140625" style="3"/>
    <col min="5121" max="5121" width="1.21875" style="3" customWidth="1"/>
    <col min="5122" max="5150" width="3.109375" style="3" customWidth="1"/>
    <col min="5151" max="5151" width="1.21875" style="3" customWidth="1"/>
    <col min="5152" max="5376" width="3.44140625" style="3"/>
    <col min="5377" max="5377" width="1.21875" style="3" customWidth="1"/>
    <col min="5378" max="5406" width="3.109375" style="3" customWidth="1"/>
    <col min="5407" max="5407" width="1.21875" style="3" customWidth="1"/>
    <col min="5408" max="5632" width="3.44140625" style="3"/>
    <col min="5633" max="5633" width="1.21875" style="3" customWidth="1"/>
    <col min="5634" max="5662" width="3.109375" style="3" customWidth="1"/>
    <col min="5663" max="5663" width="1.21875" style="3" customWidth="1"/>
    <col min="5664" max="5888" width="3.44140625" style="3"/>
    <col min="5889" max="5889" width="1.21875" style="3" customWidth="1"/>
    <col min="5890" max="5918" width="3.109375" style="3" customWidth="1"/>
    <col min="5919" max="5919" width="1.21875" style="3" customWidth="1"/>
    <col min="5920" max="6144" width="3.44140625" style="3"/>
    <col min="6145" max="6145" width="1.21875" style="3" customWidth="1"/>
    <col min="6146" max="6174" width="3.109375" style="3" customWidth="1"/>
    <col min="6175" max="6175" width="1.21875" style="3" customWidth="1"/>
    <col min="6176" max="6400" width="3.44140625" style="3"/>
    <col min="6401" max="6401" width="1.21875" style="3" customWidth="1"/>
    <col min="6402" max="6430" width="3.109375" style="3" customWidth="1"/>
    <col min="6431" max="6431" width="1.21875" style="3" customWidth="1"/>
    <col min="6432" max="6656" width="3.44140625" style="3"/>
    <col min="6657" max="6657" width="1.21875" style="3" customWidth="1"/>
    <col min="6658" max="6686" width="3.109375" style="3" customWidth="1"/>
    <col min="6687" max="6687" width="1.21875" style="3" customWidth="1"/>
    <col min="6688" max="6912" width="3.44140625" style="3"/>
    <col min="6913" max="6913" width="1.21875" style="3" customWidth="1"/>
    <col min="6914" max="6942" width="3.109375" style="3" customWidth="1"/>
    <col min="6943" max="6943" width="1.21875" style="3" customWidth="1"/>
    <col min="6944" max="7168" width="3.44140625" style="3"/>
    <col min="7169" max="7169" width="1.21875" style="3" customWidth="1"/>
    <col min="7170" max="7198" width="3.109375" style="3" customWidth="1"/>
    <col min="7199" max="7199" width="1.21875" style="3" customWidth="1"/>
    <col min="7200" max="7424" width="3.44140625" style="3"/>
    <col min="7425" max="7425" width="1.21875" style="3" customWidth="1"/>
    <col min="7426" max="7454" width="3.109375" style="3" customWidth="1"/>
    <col min="7455" max="7455" width="1.21875" style="3" customWidth="1"/>
    <col min="7456" max="7680" width="3.44140625" style="3"/>
    <col min="7681" max="7681" width="1.21875" style="3" customWidth="1"/>
    <col min="7682" max="7710" width="3.109375" style="3" customWidth="1"/>
    <col min="7711" max="7711" width="1.21875" style="3" customWidth="1"/>
    <col min="7712" max="7936" width="3.44140625" style="3"/>
    <col min="7937" max="7937" width="1.21875" style="3" customWidth="1"/>
    <col min="7938" max="7966" width="3.109375" style="3" customWidth="1"/>
    <col min="7967" max="7967" width="1.21875" style="3" customWidth="1"/>
    <col min="7968" max="8192" width="3.44140625" style="3"/>
    <col min="8193" max="8193" width="1.21875" style="3" customWidth="1"/>
    <col min="8194" max="8222" width="3.109375" style="3" customWidth="1"/>
    <col min="8223" max="8223" width="1.21875" style="3" customWidth="1"/>
    <col min="8224" max="8448" width="3.44140625" style="3"/>
    <col min="8449" max="8449" width="1.21875" style="3" customWidth="1"/>
    <col min="8450" max="8478" width="3.109375" style="3" customWidth="1"/>
    <col min="8479" max="8479" width="1.21875" style="3" customWidth="1"/>
    <col min="8480" max="8704" width="3.44140625" style="3"/>
    <col min="8705" max="8705" width="1.21875" style="3" customWidth="1"/>
    <col min="8706" max="8734" width="3.109375" style="3" customWidth="1"/>
    <col min="8735" max="8735" width="1.21875" style="3" customWidth="1"/>
    <col min="8736" max="8960" width="3.44140625" style="3"/>
    <col min="8961" max="8961" width="1.21875" style="3" customWidth="1"/>
    <col min="8962" max="8990" width="3.109375" style="3" customWidth="1"/>
    <col min="8991" max="8991" width="1.21875" style="3" customWidth="1"/>
    <col min="8992" max="9216" width="3.44140625" style="3"/>
    <col min="9217" max="9217" width="1.21875" style="3" customWidth="1"/>
    <col min="9218" max="9246" width="3.109375" style="3" customWidth="1"/>
    <col min="9247" max="9247" width="1.21875" style="3" customWidth="1"/>
    <col min="9248" max="9472" width="3.44140625" style="3"/>
    <col min="9473" max="9473" width="1.21875" style="3" customWidth="1"/>
    <col min="9474" max="9502" width="3.109375" style="3" customWidth="1"/>
    <col min="9503" max="9503" width="1.21875" style="3" customWidth="1"/>
    <col min="9504" max="9728" width="3.44140625" style="3"/>
    <col min="9729" max="9729" width="1.21875" style="3" customWidth="1"/>
    <col min="9730" max="9758" width="3.109375" style="3" customWidth="1"/>
    <col min="9759" max="9759" width="1.21875" style="3" customWidth="1"/>
    <col min="9760" max="9984" width="3.44140625" style="3"/>
    <col min="9985" max="9985" width="1.21875" style="3" customWidth="1"/>
    <col min="9986" max="10014" width="3.109375" style="3" customWidth="1"/>
    <col min="10015" max="10015" width="1.21875" style="3" customWidth="1"/>
    <col min="10016" max="10240" width="3.44140625" style="3"/>
    <col min="10241" max="10241" width="1.21875" style="3" customWidth="1"/>
    <col min="10242" max="10270" width="3.109375" style="3" customWidth="1"/>
    <col min="10271" max="10271" width="1.21875" style="3" customWidth="1"/>
    <col min="10272" max="10496" width="3.44140625" style="3"/>
    <col min="10497" max="10497" width="1.21875" style="3" customWidth="1"/>
    <col min="10498" max="10526" width="3.109375" style="3" customWidth="1"/>
    <col min="10527" max="10527" width="1.21875" style="3" customWidth="1"/>
    <col min="10528" max="10752" width="3.44140625" style="3"/>
    <col min="10753" max="10753" width="1.21875" style="3" customWidth="1"/>
    <col min="10754" max="10782" width="3.109375" style="3" customWidth="1"/>
    <col min="10783" max="10783" width="1.21875" style="3" customWidth="1"/>
    <col min="10784" max="11008" width="3.44140625" style="3"/>
    <col min="11009" max="11009" width="1.21875" style="3" customWidth="1"/>
    <col min="11010" max="11038" width="3.109375" style="3" customWidth="1"/>
    <col min="11039" max="11039" width="1.21875" style="3" customWidth="1"/>
    <col min="11040" max="11264" width="3.44140625" style="3"/>
    <col min="11265" max="11265" width="1.21875" style="3" customWidth="1"/>
    <col min="11266" max="11294" width="3.109375" style="3" customWidth="1"/>
    <col min="11295" max="11295" width="1.21875" style="3" customWidth="1"/>
    <col min="11296" max="11520" width="3.44140625" style="3"/>
    <col min="11521" max="11521" width="1.21875" style="3" customWidth="1"/>
    <col min="11522" max="11550" width="3.109375" style="3" customWidth="1"/>
    <col min="11551" max="11551" width="1.21875" style="3" customWidth="1"/>
    <col min="11552" max="11776" width="3.44140625" style="3"/>
    <col min="11777" max="11777" width="1.21875" style="3" customWidth="1"/>
    <col min="11778" max="11806" width="3.109375" style="3" customWidth="1"/>
    <col min="11807" max="11807" width="1.21875" style="3" customWidth="1"/>
    <col min="11808" max="12032" width="3.44140625" style="3"/>
    <col min="12033" max="12033" width="1.21875" style="3" customWidth="1"/>
    <col min="12034" max="12062" width="3.109375" style="3" customWidth="1"/>
    <col min="12063" max="12063" width="1.21875" style="3" customWidth="1"/>
    <col min="12064" max="12288" width="3.44140625" style="3"/>
    <col min="12289" max="12289" width="1.21875" style="3" customWidth="1"/>
    <col min="12290" max="12318" width="3.109375" style="3" customWidth="1"/>
    <col min="12319" max="12319" width="1.21875" style="3" customWidth="1"/>
    <col min="12320" max="12544" width="3.44140625" style="3"/>
    <col min="12545" max="12545" width="1.21875" style="3" customWidth="1"/>
    <col min="12546" max="12574" width="3.109375" style="3" customWidth="1"/>
    <col min="12575" max="12575" width="1.21875" style="3" customWidth="1"/>
    <col min="12576" max="12800" width="3.44140625" style="3"/>
    <col min="12801" max="12801" width="1.21875" style="3" customWidth="1"/>
    <col min="12802" max="12830" width="3.109375" style="3" customWidth="1"/>
    <col min="12831" max="12831" width="1.21875" style="3" customWidth="1"/>
    <col min="12832" max="13056" width="3.44140625" style="3"/>
    <col min="13057" max="13057" width="1.21875" style="3" customWidth="1"/>
    <col min="13058" max="13086" width="3.109375" style="3" customWidth="1"/>
    <col min="13087" max="13087" width="1.21875" style="3" customWidth="1"/>
    <col min="13088" max="13312" width="3.44140625" style="3"/>
    <col min="13313" max="13313" width="1.21875" style="3" customWidth="1"/>
    <col min="13314" max="13342" width="3.109375" style="3" customWidth="1"/>
    <col min="13343" max="13343" width="1.21875" style="3" customWidth="1"/>
    <col min="13344" max="13568" width="3.44140625" style="3"/>
    <col min="13569" max="13569" width="1.21875" style="3" customWidth="1"/>
    <col min="13570" max="13598" width="3.109375" style="3" customWidth="1"/>
    <col min="13599" max="13599" width="1.21875" style="3" customWidth="1"/>
    <col min="13600" max="13824" width="3.44140625" style="3"/>
    <col min="13825" max="13825" width="1.21875" style="3" customWidth="1"/>
    <col min="13826" max="13854" width="3.109375" style="3" customWidth="1"/>
    <col min="13855" max="13855" width="1.21875" style="3" customWidth="1"/>
    <col min="13856" max="14080" width="3.44140625" style="3"/>
    <col min="14081" max="14081" width="1.21875" style="3" customWidth="1"/>
    <col min="14082" max="14110" width="3.109375" style="3" customWidth="1"/>
    <col min="14111" max="14111" width="1.21875" style="3" customWidth="1"/>
    <col min="14112" max="14336" width="3.44140625" style="3"/>
    <col min="14337" max="14337" width="1.21875" style="3" customWidth="1"/>
    <col min="14338" max="14366" width="3.109375" style="3" customWidth="1"/>
    <col min="14367" max="14367" width="1.21875" style="3" customWidth="1"/>
    <col min="14368" max="14592" width="3.44140625" style="3"/>
    <col min="14593" max="14593" width="1.21875" style="3" customWidth="1"/>
    <col min="14594" max="14622" width="3.109375" style="3" customWidth="1"/>
    <col min="14623" max="14623" width="1.21875" style="3" customWidth="1"/>
    <col min="14624" max="14848" width="3.44140625" style="3"/>
    <col min="14849" max="14849" width="1.21875" style="3" customWidth="1"/>
    <col min="14850" max="14878" width="3.109375" style="3" customWidth="1"/>
    <col min="14879" max="14879" width="1.21875" style="3" customWidth="1"/>
    <col min="14880" max="15104" width="3.44140625" style="3"/>
    <col min="15105" max="15105" width="1.21875" style="3" customWidth="1"/>
    <col min="15106" max="15134" width="3.109375" style="3" customWidth="1"/>
    <col min="15135" max="15135" width="1.21875" style="3" customWidth="1"/>
    <col min="15136" max="15360" width="3.44140625" style="3"/>
    <col min="15361" max="15361" width="1.21875" style="3" customWidth="1"/>
    <col min="15362" max="15390" width="3.109375" style="3" customWidth="1"/>
    <col min="15391" max="15391" width="1.21875" style="3" customWidth="1"/>
    <col min="15392" max="15616" width="3.44140625" style="3"/>
    <col min="15617" max="15617" width="1.21875" style="3" customWidth="1"/>
    <col min="15618" max="15646" width="3.109375" style="3" customWidth="1"/>
    <col min="15647" max="15647" width="1.21875" style="3" customWidth="1"/>
    <col min="15648" max="15872" width="3.44140625" style="3"/>
    <col min="15873" max="15873" width="1.21875" style="3" customWidth="1"/>
    <col min="15874" max="15902" width="3.109375" style="3" customWidth="1"/>
    <col min="15903" max="15903" width="1.21875" style="3" customWidth="1"/>
    <col min="15904" max="16128" width="3.44140625" style="3"/>
    <col min="16129" max="16129" width="1.21875" style="3" customWidth="1"/>
    <col min="16130" max="16158" width="3.109375" style="3" customWidth="1"/>
    <col min="16159" max="16159" width="1.21875" style="3" customWidth="1"/>
    <col min="16160" max="16384" width="3.44140625" style="3"/>
  </cols>
  <sheetData>
    <row r="1" spans="2:30" s="1" customFormat="1" x14ac:dyDescent="0.2"/>
    <row r="2" spans="2:30" s="1" customFormat="1" x14ac:dyDescent="0.2">
      <c r="B2" s="1" t="s">
        <v>1923</v>
      </c>
    </row>
    <row r="3" spans="2:30" s="1" customFormat="1" x14ac:dyDescent="0.2">
      <c r="U3" s="45" t="s">
        <v>643</v>
      </c>
      <c r="V3" s="1456"/>
      <c r="W3" s="1456"/>
      <c r="X3" s="45" t="s">
        <v>34</v>
      </c>
      <c r="Y3" s="1456"/>
      <c r="Z3" s="1456"/>
      <c r="AA3" s="45" t="s">
        <v>383</v>
      </c>
      <c r="AB3" s="1456"/>
      <c r="AC3" s="1456"/>
      <c r="AD3" s="45" t="s">
        <v>167</v>
      </c>
    </row>
    <row r="4" spans="2:30" s="1" customFormat="1" x14ac:dyDescent="0.2">
      <c r="AD4" s="45"/>
    </row>
    <row r="5" spans="2:30" s="1" customFormat="1" x14ac:dyDescent="0.2">
      <c r="B5" s="1456" t="s">
        <v>826</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row>
    <row r="6" spans="2:30" s="1" customFormat="1" ht="28.5" customHeight="1" x14ac:dyDescent="0.2">
      <c r="B6" s="1568" t="s">
        <v>827</v>
      </c>
      <c r="C6" s="1568"/>
      <c r="D6" s="1568"/>
      <c r="E6" s="1568"/>
      <c r="F6" s="1568"/>
      <c r="G6" s="1568"/>
      <c r="H6" s="1568"/>
      <c r="I6" s="1568"/>
      <c r="J6" s="1568"/>
      <c r="K6" s="1568"/>
      <c r="L6" s="1568"/>
      <c r="M6" s="1568"/>
      <c r="N6" s="1568"/>
      <c r="O6" s="1568"/>
      <c r="P6" s="1568"/>
      <c r="Q6" s="1568"/>
      <c r="R6" s="1568"/>
      <c r="S6" s="1568"/>
      <c r="T6" s="1568"/>
      <c r="U6" s="1568"/>
      <c r="V6" s="1568"/>
      <c r="W6" s="1568"/>
      <c r="X6" s="1568"/>
      <c r="Y6" s="1568"/>
      <c r="Z6" s="1568"/>
      <c r="AA6" s="1568"/>
      <c r="AB6" s="1568"/>
      <c r="AC6" s="1568"/>
      <c r="AD6" s="1568"/>
    </row>
    <row r="7" spans="2:30" s="1" customFormat="1" x14ac:dyDescent="0.2"/>
    <row r="8" spans="2:30" s="1" customFormat="1" ht="23.25" customHeight="1" x14ac:dyDescent="0.2">
      <c r="B8" s="1575" t="s">
        <v>274</v>
      </c>
      <c r="C8" s="1575"/>
      <c r="D8" s="1575"/>
      <c r="E8" s="1575"/>
      <c r="F8" s="1549"/>
      <c r="G8" s="1576"/>
      <c r="H8" s="1577"/>
      <c r="I8" s="1577"/>
      <c r="J8" s="1577"/>
      <c r="K8" s="1577"/>
      <c r="L8" s="1577"/>
      <c r="M8" s="1577"/>
      <c r="N8" s="1577"/>
      <c r="O8" s="1577"/>
      <c r="P8" s="1577"/>
      <c r="Q8" s="1577"/>
      <c r="R8" s="1577"/>
      <c r="S8" s="1577"/>
      <c r="T8" s="1577"/>
      <c r="U8" s="1577"/>
      <c r="V8" s="1577"/>
      <c r="W8" s="1577"/>
      <c r="X8" s="1577"/>
      <c r="Y8" s="1577"/>
      <c r="Z8" s="1577"/>
      <c r="AA8" s="1577"/>
      <c r="AB8" s="1577"/>
      <c r="AC8" s="1577"/>
      <c r="AD8" s="1578"/>
    </row>
    <row r="9" spans="2:30" ht="23.25" customHeight="1" x14ac:dyDescent="0.2">
      <c r="B9" s="1549" t="s">
        <v>93</v>
      </c>
      <c r="C9" s="1550"/>
      <c r="D9" s="1550"/>
      <c r="E9" s="1550"/>
      <c r="F9" s="1550"/>
      <c r="G9" s="758" t="s">
        <v>116</v>
      </c>
      <c r="H9" s="759" t="s">
        <v>1174</v>
      </c>
      <c r="I9" s="759"/>
      <c r="J9" s="759"/>
      <c r="K9" s="759"/>
      <c r="L9" s="760" t="s">
        <v>116</v>
      </c>
      <c r="M9" s="759" t="s">
        <v>1175</v>
      </c>
      <c r="N9" s="759"/>
      <c r="O9" s="759"/>
      <c r="P9" s="759"/>
      <c r="Q9" s="760" t="s">
        <v>116</v>
      </c>
      <c r="R9" s="759" t="s">
        <v>1176</v>
      </c>
      <c r="S9" s="842"/>
      <c r="T9" s="842"/>
      <c r="U9" s="842"/>
      <c r="V9" s="842"/>
      <c r="W9" s="842"/>
      <c r="X9" s="842"/>
      <c r="Y9" s="842"/>
      <c r="Z9" s="842"/>
      <c r="AA9" s="842"/>
      <c r="AB9" s="842"/>
      <c r="AC9" s="842"/>
      <c r="AD9" s="843"/>
    </row>
    <row r="10" spans="2:30" ht="23.25" customHeight="1" x14ac:dyDescent="0.2">
      <c r="B10" s="1557" t="s">
        <v>828</v>
      </c>
      <c r="C10" s="1558"/>
      <c r="D10" s="1558"/>
      <c r="E10" s="1558"/>
      <c r="F10" s="1559"/>
      <c r="G10" s="760" t="s">
        <v>116</v>
      </c>
      <c r="H10" s="7" t="s">
        <v>1924</v>
      </c>
      <c r="I10" s="22"/>
      <c r="J10" s="22"/>
      <c r="K10" s="22"/>
      <c r="L10" s="22"/>
      <c r="M10" s="22"/>
      <c r="N10" s="7"/>
      <c r="O10" s="22"/>
      <c r="P10" s="760" t="s">
        <v>116</v>
      </c>
      <c r="Q10" s="7" t="s">
        <v>1925</v>
      </c>
      <c r="R10" s="22"/>
      <c r="S10" s="7"/>
      <c r="T10" s="845"/>
      <c r="U10" s="845"/>
      <c r="V10" s="845"/>
      <c r="W10" s="845"/>
      <c r="X10" s="845"/>
      <c r="Y10" s="845"/>
      <c r="Z10" s="845"/>
      <c r="AA10" s="845"/>
      <c r="AB10" s="845"/>
      <c r="AC10" s="845"/>
      <c r="AD10" s="846"/>
    </row>
    <row r="11" spans="2:30" ht="23.25" customHeight="1" x14ac:dyDescent="0.2">
      <c r="B11" s="1560"/>
      <c r="C11" s="1561"/>
      <c r="D11" s="1561"/>
      <c r="E11" s="1561"/>
      <c r="F11" s="1562"/>
      <c r="G11" s="765" t="s">
        <v>116</v>
      </c>
      <c r="H11" s="8" t="s">
        <v>1926</v>
      </c>
      <c r="I11" s="594"/>
      <c r="J11" s="594"/>
      <c r="K11" s="594"/>
      <c r="L11" s="594"/>
      <c r="M11" s="594"/>
      <c r="N11" s="594"/>
      <c r="O11" s="594"/>
      <c r="P11" s="760" t="s">
        <v>116</v>
      </c>
      <c r="Q11" s="8" t="s">
        <v>1927</v>
      </c>
      <c r="R11" s="594"/>
      <c r="S11" s="850"/>
      <c r="T11" s="850"/>
      <c r="U11" s="850"/>
      <c r="V11" s="850"/>
      <c r="W11" s="850"/>
      <c r="X11" s="850"/>
      <c r="Y11" s="850"/>
      <c r="Z11" s="850"/>
      <c r="AA11" s="850"/>
      <c r="AB11" s="850"/>
      <c r="AC11" s="850"/>
      <c r="AD11" s="851"/>
    </row>
    <row r="12" spans="2:30" ht="23.25" customHeight="1" x14ac:dyDescent="0.2">
      <c r="B12" s="1557" t="s">
        <v>829</v>
      </c>
      <c r="C12" s="1558"/>
      <c r="D12" s="1558"/>
      <c r="E12" s="1558"/>
      <c r="F12" s="1559"/>
      <c r="G12" s="760" t="s">
        <v>116</v>
      </c>
      <c r="H12" s="7" t="s">
        <v>1727</v>
      </c>
      <c r="I12" s="22"/>
      <c r="J12" s="22"/>
      <c r="K12" s="22"/>
      <c r="L12" s="22"/>
      <c r="M12" s="22"/>
      <c r="N12" s="22"/>
      <c r="O12" s="22"/>
      <c r="P12" s="22"/>
      <c r="Q12" s="22"/>
      <c r="R12" s="22"/>
      <c r="S12" s="760" t="s">
        <v>116</v>
      </c>
      <c r="T12" s="7" t="s">
        <v>1728</v>
      </c>
      <c r="U12" s="845"/>
      <c r="V12" s="845"/>
      <c r="W12" s="845"/>
      <c r="X12" s="845"/>
      <c r="Y12" s="845"/>
      <c r="Z12" s="845"/>
      <c r="AA12" s="845"/>
      <c r="AB12" s="845"/>
      <c r="AC12" s="845"/>
      <c r="AD12" s="846"/>
    </row>
    <row r="13" spans="2:30" ht="23.25" customHeight="1" x14ac:dyDescent="0.2">
      <c r="B13" s="1560"/>
      <c r="C13" s="1561"/>
      <c r="D13" s="1561"/>
      <c r="E13" s="1561"/>
      <c r="F13" s="1562"/>
      <c r="G13" s="765" t="s">
        <v>116</v>
      </c>
      <c r="H13" s="8" t="s">
        <v>1729</v>
      </c>
      <c r="I13" s="594"/>
      <c r="J13" s="594"/>
      <c r="K13" s="594"/>
      <c r="L13" s="594"/>
      <c r="M13" s="594"/>
      <c r="N13" s="594"/>
      <c r="O13" s="594"/>
      <c r="P13" s="594"/>
      <c r="Q13" s="594"/>
      <c r="R13" s="594"/>
      <c r="S13" s="850"/>
      <c r="T13" s="850"/>
      <c r="U13" s="850"/>
      <c r="V13" s="850"/>
      <c r="W13" s="850"/>
      <c r="X13" s="850"/>
      <c r="Y13" s="850"/>
      <c r="Z13" s="850"/>
      <c r="AA13" s="850"/>
      <c r="AB13" s="850"/>
      <c r="AC13" s="850"/>
      <c r="AD13" s="851"/>
    </row>
    <row r="14" spans="2:30" s="1" customFormat="1" x14ac:dyDescent="0.2"/>
    <row r="15" spans="2:30" s="1" customFormat="1" x14ac:dyDescent="0.2">
      <c r="B15" s="1" t="s">
        <v>830</v>
      </c>
    </row>
    <row r="16" spans="2:30" s="1" customFormat="1" x14ac:dyDescent="0.2">
      <c r="B16" s="1" t="s">
        <v>831</v>
      </c>
      <c r="AC16" s="2"/>
      <c r="AD16" s="2"/>
    </row>
    <row r="17" spans="2:30" s="1" customFormat="1" ht="6" customHeight="1" x14ac:dyDescent="0.2"/>
    <row r="18" spans="2:30" s="1" customFormat="1" ht="4.5" customHeight="1" x14ac:dyDescent="0.2">
      <c r="B18" s="1431" t="s">
        <v>832</v>
      </c>
      <c r="C18" s="1432"/>
      <c r="D18" s="1432"/>
      <c r="E18" s="1432"/>
      <c r="F18" s="1450"/>
      <c r="G18" s="6"/>
      <c r="H18" s="7"/>
      <c r="I18" s="7"/>
      <c r="J18" s="7"/>
      <c r="K18" s="7"/>
      <c r="L18" s="7"/>
      <c r="M18" s="7"/>
      <c r="N18" s="7"/>
      <c r="O18" s="7"/>
      <c r="P18" s="7"/>
      <c r="Q18" s="7"/>
      <c r="R18" s="7"/>
      <c r="S18" s="7"/>
      <c r="T18" s="7"/>
      <c r="U18" s="7"/>
      <c r="V18" s="7"/>
      <c r="W18" s="7"/>
      <c r="X18" s="7"/>
      <c r="Y18" s="7"/>
      <c r="Z18" s="6"/>
      <c r="AA18" s="7"/>
      <c r="AB18" s="7"/>
      <c r="AC18" s="1623"/>
      <c r="AD18" s="1624"/>
    </row>
    <row r="19" spans="2:30" s="1" customFormat="1" ht="15.75" customHeight="1" x14ac:dyDescent="0.2">
      <c r="B19" s="1618"/>
      <c r="C19" s="1568"/>
      <c r="D19" s="1568"/>
      <c r="E19" s="1568"/>
      <c r="F19" s="1619"/>
      <c r="G19" s="582"/>
      <c r="H19" s="1" t="s">
        <v>833</v>
      </c>
      <c r="Z19" s="1116"/>
      <c r="AA19" s="769" t="s">
        <v>1117</v>
      </c>
      <c r="AB19" s="769" t="s">
        <v>441</v>
      </c>
      <c r="AC19" s="769" t="s">
        <v>721</v>
      </c>
      <c r="AD19" s="583"/>
    </row>
    <row r="20" spans="2:30" s="1" customFormat="1" ht="18.75" customHeight="1" x14ac:dyDescent="0.2">
      <c r="B20" s="1618"/>
      <c r="C20" s="1568"/>
      <c r="D20" s="1568"/>
      <c r="E20" s="1568"/>
      <c r="F20" s="1619"/>
      <c r="G20" s="582"/>
      <c r="I20" s="891" t="s">
        <v>103</v>
      </c>
      <c r="J20" s="1608" t="s">
        <v>834</v>
      </c>
      <c r="K20" s="1609"/>
      <c r="L20" s="1609"/>
      <c r="M20" s="1609"/>
      <c r="N20" s="1609"/>
      <c r="O20" s="1609"/>
      <c r="P20" s="1609"/>
      <c r="Q20" s="1609"/>
      <c r="R20" s="1609"/>
      <c r="S20" s="1609"/>
      <c r="T20" s="1609"/>
      <c r="U20" s="10"/>
      <c r="V20" s="1625"/>
      <c r="W20" s="1626"/>
      <c r="X20" s="11" t="s">
        <v>89</v>
      </c>
      <c r="Z20" s="579"/>
      <c r="AA20" s="773"/>
      <c r="AB20" s="12"/>
      <c r="AC20" s="773"/>
      <c r="AD20" s="583"/>
    </row>
    <row r="21" spans="2:30" s="1" customFormat="1" ht="18.75" customHeight="1" x14ac:dyDescent="0.2">
      <c r="B21" s="1618"/>
      <c r="C21" s="1568"/>
      <c r="D21" s="1568"/>
      <c r="E21" s="1568"/>
      <c r="F21" s="1619"/>
      <c r="G21" s="582"/>
      <c r="I21" s="891" t="s">
        <v>104</v>
      </c>
      <c r="J21" s="839" t="s">
        <v>835</v>
      </c>
      <c r="K21" s="10"/>
      <c r="L21" s="10"/>
      <c r="M21" s="10"/>
      <c r="N21" s="10"/>
      <c r="O21" s="10"/>
      <c r="P21" s="10"/>
      <c r="Q21" s="10"/>
      <c r="R21" s="10"/>
      <c r="S21" s="10"/>
      <c r="T21" s="10"/>
      <c r="U21" s="11"/>
      <c r="V21" s="1627"/>
      <c r="W21" s="1628"/>
      <c r="X21" s="593" t="s">
        <v>89</v>
      </c>
      <c r="Y21" s="877"/>
      <c r="Z21" s="579"/>
      <c r="AA21" s="760" t="s">
        <v>116</v>
      </c>
      <c r="AB21" s="760" t="s">
        <v>441</v>
      </c>
      <c r="AC21" s="760" t="s">
        <v>116</v>
      </c>
      <c r="AD21" s="583"/>
    </row>
    <row r="22" spans="2:30" s="1" customFormat="1" x14ac:dyDescent="0.2">
      <c r="B22" s="1618"/>
      <c r="C22" s="1568"/>
      <c r="D22" s="1568"/>
      <c r="E22" s="1568"/>
      <c r="F22" s="1619"/>
      <c r="G22" s="582"/>
      <c r="H22" s="1" t="s">
        <v>836</v>
      </c>
      <c r="Z22" s="582"/>
      <c r="AC22" s="2"/>
      <c r="AD22" s="583"/>
    </row>
    <row r="23" spans="2:30" s="1" customFormat="1" ht="15.75" customHeight="1" x14ac:dyDescent="0.2">
      <c r="B23" s="1618"/>
      <c r="C23" s="1568"/>
      <c r="D23" s="1568"/>
      <c r="E23" s="1568"/>
      <c r="F23" s="1619"/>
      <c r="G23" s="582"/>
      <c r="H23" s="1" t="s">
        <v>837</v>
      </c>
      <c r="T23" s="877"/>
      <c r="V23" s="877"/>
      <c r="Z23" s="579"/>
      <c r="AA23" s="2"/>
      <c r="AB23" s="2"/>
      <c r="AC23" s="2"/>
      <c r="AD23" s="583"/>
    </row>
    <row r="24" spans="2:30" s="1" customFormat="1" ht="30" customHeight="1" x14ac:dyDescent="0.2">
      <c r="B24" s="1618"/>
      <c r="C24" s="1568"/>
      <c r="D24" s="1568"/>
      <c r="E24" s="1568"/>
      <c r="F24" s="1619"/>
      <c r="G24" s="582"/>
      <c r="I24" s="891" t="s">
        <v>120</v>
      </c>
      <c r="J24" s="1608" t="s">
        <v>838</v>
      </c>
      <c r="K24" s="1609"/>
      <c r="L24" s="1609"/>
      <c r="M24" s="1609"/>
      <c r="N24" s="1609"/>
      <c r="O24" s="1609"/>
      <c r="P24" s="1609"/>
      <c r="Q24" s="1609"/>
      <c r="R24" s="1609"/>
      <c r="S24" s="1609"/>
      <c r="T24" s="1609"/>
      <c r="U24" s="1629"/>
      <c r="V24" s="1625"/>
      <c r="W24" s="1626"/>
      <c r="X24" s="11" t="s">
        <v>89</v>
      </c>
      <c r="Y24" s="877"/>
      <c r="Z24" s="579"/>
      <c r="AA24" s="760" t="s">
        <v>116</v>
      </c>
      <c r="AB24" s="760" t="s">
        <v>441</v>
      </c>
      <c r="AC24" s="760" t="s">
        <v>116</v>
      </c>
      <c r="AD24" s="583"/>
    </row>
    <row r="25" spans="2:30" s="1" customFormat="1" ht="6" customHeight="1" x14ac:dyDescent="0.2">
      <c r="B25" s="1620"/>
      <c r="C25" s="1621"/>
      <c r="D25" s="1621"/>
      <c r="E25" s="1621"/>
      <c r="F25" s="1622"/>
      <c r="G25" s="591"/>
      <c r="H25" s="8"/>
      <c r="I25" s="8"/>
      <c r="J25" s="8"/>
      <c r="K25" s="8"/>
      <c r="L25" s="8"/>
      <c r="M25" s="8"/>
      <c r="N25" s="8"/>
      <c r="O25" s="8"/>
      <c r="P25" s="8"/>
      <c r="Q25" s="8"/>
      <c r="R25" s="8"/>
      <c r="S25" s="8"/>
      <c r="T25" s="894"/>
      <c r="U25" s="894"/>
      <c r="V25" s="8"/>
      <c r="W25" s="8"/>
      <c r="X25" s="8"/>
      <c r="Y25" s="8"/>
      <c r="Z25" s="591"/>
      <c r="AA25" s="8"/>
      <c r="AB25" s="8"/>
      <c r="AC25" s="594"/>
      <c r="AD25" s="592"/>
    </row>
    <row r="26" spans="2:30" s="1" customFormat="1" ht="9.75" customHeight="1" x14ac:dyDescent="0.2">
      <c r="B26" s="870"/>
      <c r="C26" s="870"/>
      <c r="D26" s="870"/>
      <c r="E26" s="870"/>
      <c r="F26" s="870"/>
      <c r="T26" s="877"/>
      <c r="U26" s="877"/>
    </row>
    <row r="27" spans="2:30" s="1" customFormat="1" x14ac:dyDescent="0.2">
      <c r="B27" s="1" t="s">
        <v>839</v>
      </c>
      <c r="C27" s="870"/>
      <c r="D27" s="870"/>
      <c r="E27" s="870"/>
      <c r="F27" s="870"/>
      <c r="T27" s="877"/>
      <c r="U27" s="877"/>
    </row>
    <row r="28" spans="2:30" s="1" customFormat="1" ht="6.75" customHeight="1" x14ac:dyDescent="0.2">
      <c r="B28" s="870"/>
      <c r="C28" s="870"/>
      <c r="D28" s="870"/>
      <c r="E28" s="870"/>
      <c r="F28" s="870"/>
      <c r="T28" s="877"/>
      <c r="U28" s="877"/>
    </row>
    <row r="29" spans="2:30" s="1" customFormat="1" ht="4.5" customHeight="1" x14ac:dyDescent="0.2">
      <c r="B29" s="1431" t="s">
        <v>832</v>
      </c>
      <c r="C29" s="1432"/>
      <c r="D29" s="1432"/>
      <c r="E29" s="1432"/>
      <c r="F29" s="1450"/>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18"/>
      <c r="C30" s="1568"/>
      <c r="D30" s="1568"/>
      <c r="E30" s="1568"/>
      <c r="F30" s="1619"/>
      <c r="G30" s="582"/>
      <c r="H30" s="1" t="s">
        <v>840</v>
      </c>
      <c r="Z30" s="582"/>
      <c r="AA30" s="769" t="s">
        <v>1117</v>
      </c>
      <c r="AB30" s="769" t="s">
        <v>441</v>
      </c>
      <c r="AC30" s="769" t="s">
        <v>721</v>
      </c>
      <c r="AD30" s="890"/>
    </row>
    <row r="31" spans="2:30" s="1" customFormat="1" ht="18.75" customHeight="1" x14ac:dyDescent="0.2">
      <c r="B31" s="1618"/>
      <c r="C31" s="1568"/>
      <c r="D31" s="1568"/>
      <c r="E31" s="1568"/>
      <c r="F31" s="1619"/>
      <c r="G31" s="582"/>
      <c r="I31" s="891" t="s">
        <v>103</v>
      </c>
      <c r="J31" s="1608" t="s">
        <v>834</v>
      </c>
      <c r="K31" s="1609"/>
      <c r="L31" s="1609"/>
      <c r="M31" s="1609"/>
      <c r="N31" s="1609"/>
      <c r="O31" s="1609"/>
      <c r="P31" s="1609"/>
      <c r="Q31" s="1609"/>
      <c r="R31" s="1609"/>
      <c r="S31" s="1609"/>
      <c r="T31" s="1609"/>
      <c r="U31" s="11"/>
      <c r="V31" s="1625"/>
      <c r="W31" s="1626"/>
      <c r="X31" s="11" t="s">
        <v>89</v>
      </c>
      <c r="Z31" s="582"/>
      <c r="AA31" s="773"/>
      <c r="AB31" s="12"/>
      <c r="AC31" s="773"/>
      <c r="AD31" s="583"/>
    </row>
    <row r="32" spans="2:30" s="1" customFormat="1" ht="18.75" customHeight="1" x14ac:dyDescent="0.2">
      <c r="B32" s="1618"/>
      <c r="C32" s="1568"/>
      <c r="D32" s="1568"/>
      <c r="E32" s="1568"/>
      <c r="F32" s="1619"/>
      <c r="G32" s="582"/>
      <c r="I32" s="892" t="s">
        <v>104</v>
      </c>
      <c r="J32" s="1117" t="s">
        <v>835</v>
      </c>
      <c r="K32" s="8"/>
      <c r="L32" s="8"/>
      <c r="M32" s="8"/>
      <c r="N32" s="8"/>
      <c r="O32" s="8"/>
      <c r="P32" s="8"/>
      <c r="Q32" s="8"/>
      <c r="R32" s="8"/>
      <c r="S32" s="8"/>
      <c r="T32" s="8"/>
      <c r="U32" s="593"/>
      <c r="V32" s="1627"/>
      <c r="W32" s="1628"/>
      <c r="X32" s="593" t="s">
        <v>89</v>
      </c>
      <c r="Y32" s="877"/>
      <c r="Z32" s="579"/>
      <c r="AA32" s="760" t="s">
        <v>116</v>
      </c>
      <c r="AB32" s="760" t="s">
        <v>441</v>
      </c>
      <c r="AC32" s="760" t="s">
        <v>116</v>
      </c>
      <c r="AD32" s="583"/>
    </row>
    <row r="33" spans="2:30" s="1" customFormat="1" ht="6" customHeight="1" x14ac:dyDescent="0.2">
      <c r="B33" s="1620"/>
      <c r="C33" s="1621"/>
      <c r="D33" s="1621"/>
      <c r="E33" s="1621"/>
      <c r="F33" s="1622"/>
      <c r="G33" s="591"/>
      <c r="H33" s="8"/>
      <c r="I33" s="8"/>
      <c r="J33" s="8"/>
      <c r="K33" s="8"/>
      <c r="L33" s="8"/>
      <c r="M33" s="8"/>
      <c r="N33" s="8"/>
      <c r="O33" s="8"/>
      <c r="P33" s="8"/>
      <c r="Q33" s="8"/>
      <c r="R33" s="8"/>
      <c r="S33" s="8"/>
      <c r="T33" s="894"/>
      <c r="U33" s="894"/>
      <c r="V33" s="8"/>
      <c r="W33" s="8"/>
      <c r="X33" s="8"/>
      <c r="Y33" s="8"/>
      <c r="Z33" s="591"/>
      <c r="AA33" s="8"/>
      <c r="AB33" s="8"/>
      <c r="AC33" s="594"/>
      <c r="AD33" s="592"/>
    </row>
    <row r="34" spans="2:30" s="1" customFormat="1" ht="9.75" customHeight="1" x14ac:dyDescent="0.2">
      <c r="B34" s="870"/>
      <c r="C34" s="870"/>
      <c r="D34" s="870"/>
      <c r="E34" s="870"/>
      <c r="F34" s="870"/>
      <c r="T34" s="877"/>
      <c r="U34" s="877"/>
    </row>
    <row r="35" spans="2:30" s="1" customFormat="1" ht="13.5" customHeight="1" x14ac:dyDescent="0.2">
      <c r="B35" s="1" t="s">
        <v>841</v>
      </c>
      <c r="C35" s="870"/>
      <c r="D35" s="870"/>
      <c r="E35" s="870"/>
      <c r="F35" s="870"/>
      <c r="T35" s="877"/>
      <c r="U35" s="877"/>
    </row>
    <row r="36" spans="2:30" s="1" customFormat="1" ht="6.75" customHeight="1" x14ac:dyDescent="0.2">
      <c r="B36" s="870"/>
      <c r="C36" s="870"/>
      <c r="D36" s="870"/>
      <c r="E36" s="870"/>
      <c r="F36" s="870"/>
      <c r="T36" s="877"/>
      <c r="U36" s="877"/>
    </row>
    <row r="37" spans="2:30" s="1" customFormat="1" ht="4.5" customHeight="1" x14ac:dyDescent="0.2">
      <c r="B37" s="1431" t="s">
        <v>832</v>
      </c>
      <c r="C37" s="1432"/>
      <c r="D37" s="1432"/>
      <c r="E37" s="1432"/>
      <c r="F37" s="1450"/>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20"/>
      <c r="C38" s="1621"/>
      <c r="D38" s="1621"/>
      <c r="E38" s="1621"/>
      <c r="F38" s="1622"/>
      <c r="G38" s="582"/>
      <c r="H38" s="1" t="s">
        <v>842</v>
      </c>
      <c r="I38" s="8"/>
      <c r="J38" s="8"/>
      <c r="K38" s="8"/>
      <c r="L38" s="8"/>
      <c r="M38" s="8"/>
      <c r="N38" s="8"/>
      <c r="O38" s="8"/>
      <c r="P38" s="8"/>
      <c r="Q38" s="8"/>
      <c r="R38" s="8"/>
      <c r="S38" s="8"/>
      <c r="T38" s="8"/>
      <c r="U38" s="8"/>
      <c r="V38" s="8"/>
      <c r="W38" s="8"/>
      <c r="X38" s="8"/>
      <c r="Z38" s="582"/>
      <c r="AA38" s="769" t="s">
        <v>1117</v>
      </c>
      <c r="AB38" s="769" t="s">
        <v>441</v>
      </c>
      <c r="AC38" s="769" t="s">
        <v>721</v>
      </c>
      <c r="AD38" s="890"/>
    </row>
    <row r="39" spans="2:30" s="1" customFormat="1" ht="18.75" customHeight="1" x14ac:dyDescent="0.2">
      <c r="B39" s="1618"/>
      <c r="C39" s="1432"/>
      <c r="D39" s="1568"/>
      <c r="E39" s="1568"/>
      <c r="F39" s="1619"/>
      <c r="G39" s="582"/>
      <c r="I39" s="892" t="s">
        <v>103</v>
      </c>
      <c r="J39" s="1630" t="s">
        <v>834</v>
      </c>
      <c r="K39" s="1631"/>
      <c r="L39" s="1631"/>
      <c r="M39" s="1631"/>
      <c r="N39" s="1631"/>
      <c r="O39" s="1631"/>
      <c r="P39" s="1631"/>
      <c r="Q39" s="1631"/>
      <c r="R39" s="1631"/>
      <c r="S39" s="1631"/>
      <c r="T39" s="1631"/>
      <c r="U39" s="593"/>
      <c r="V39" s="1632"/>
      <c r="W39" s="1627"/>
      <c r="X39" s="593" t="s">
        <v>89</v>
      </c>
      <c r="Z39" s="582"/>
      <c r="AA39" s="773"/>
      <c r="AB39" s="12"/>
      <c r="AC39" s="773"/>
      <c r="AD39" s="583"/>
    </row>
    <row r="40" spans="2:30" s="1" customFormat="1" ht="18.75" customHeight="1" x14ac:dyDescent="0.2">
      <c r="B40" s="1618"/>
      <c r="C40" s="1568"/>
      <c r="D40" s="1568"/>
      <c r="E40" s="1568"/>
      <c r="F40" s="1619"/>
      <c r="G40" s="582"/>
      <c r="I40" s="892" t="s">
        <v>104</v>
      </c>
      <c r="J40" s="1117" t="s">
        <v>835</v>
      </c>
      <c r="K40" s="8"/>
      <c r="L40" s="8"/>
      <c r="M40" s="8"/>
      <c r="N40" s="8"/>
      <c r="O40" s="8"/>
      <c r="P40" s="8"/>
      <c r="Q40" s="8"/>
      <c r="R40" s="8"/>
      <c r="S40" s="8"/>
      <c r="T40" s="8"/>
      <c r="U40" s="593"/>
      <c r="V40" s="1633"/>
      <c r="W40" s="1625"/>
      <c r="X40" s="593" t="s">
        <v>89</v>
      </c>
      <c r="Y40" s="877"/>
      <c r="Z40" s="579"/>
      <c r="AA40" s="760" t="s">
        <v>116</v>
      </c>
      <c r="AB40" s="760" t="s">
        <v>441</v>
      </c>
      <c r="AC40" s="760" t="s">
        <v>116</v>
      </c>
      <c r="AD40" s="583"/>
    </row>
    <row r="41" spans="2:30" s="1" customFormat="1" ht="6" customHeight="1" x14ac:dyDescent="0.2">
      <c r="B41" s="1620"/>
      <c r="C41" s="1621"/>
      <c r="D41" s="1621"/>
      <c r="E41" s="1621"/>
      <c r="F41" s="1622"/>
      <c r="G41" s="591"/>
      <c r="H41" s="8"/>
      <c r="I41" s="8"/>
      <c r="J41" s="8"/>
      <c r="K41" s="8"/>
      <c r="L41" s="8"/>
      <c r="M41" s="8"/>
      <c r="N41" s="8"/>
      <c r="O41" s="8"/>
      <c r="P41" s="8"/>
      <c r="Q41" s="8"/>
      <c r="R41" s="8"/>
      <c r="S41" s="8"/>
      <c r="T41" s="894"/>
      <c r="U41" s="894"/>
      <c r="V41" s="8"/>
      <c r="W41" s="8"/>
      <c r="X41" s="8"/>
      <c r="Y41" s="8"/>
      <c r="Z41" s="591"/>
      <c r="AA41" s="8"/>
      <c r="AB41" s="8"/>
      <c r="AC41" s="594"/>
      <c r="AD41" s="592"/>
    </row>
    <row r="42" spans="2:30" s="1" customFormat="1" ht="4.5" customHeight="1" x14ac:dyDescent="0.2">
      <c r="B42" s="1431" t="s">
        <v>843</v>
      </c>
      <c r="C42" s="1432"/>
      <c r="D42" s="1432"/>
      <c r="E42" s="1432"/>
      <c r="F42" s="1450"/>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18"/>
      <c r="C43" s="1568"/>
      <c r="D43" s="1568"/>
      <c r="E43" s="1568"/>
      <c r="F43" s="1619"/>
      <c r="G43" s="582"/>
      <c r="H43" s="1" t="s">
        <v>844</v>
      </c>
      <c r="Z43" s="582"/>
      <c r="AA43" s="769" t="s">
        <v>1117</v>
      </c>
      <c r="AB43" s="769" t="s">
        <v>441</v>
      </c>
      <c r="AC43" s="769" t="s">
        <v>721</v>
      </c>
      <c r="AD43" s="890"/>
    </row>
    <row r="44" spans="2:30" s="1" customFormat="1" ht="30" customHeight="1" x14ac:dyDescent="0.2">
      <c r="B44" s="1618"/>
      <c r="C44" s="1568"/>
      <c r="D44" s="1568"/>
      <c r="E44" s="1568"/>
      <c r="F44" s="1619"/>
      <c r="G44" s="582"/>
      <c r="I44" s="891" t="s">
        <v>103</v>
      </c>
      <c r="J44" s="1606" t="s">
        <v>845</v>
      </c>
      <c r="K44" s="1613"/>
      <c r="L44" s="1613"/>
      <c r="M44" s="1613"/>
      <c r="N44" s="1613"/>
      <c r="O44" s="1613"/>
      <c r="P44" s="1613"/>
      <c r="Q44" s="1613"/>
      <c r="R44" s="1613"/>
      <c r="S44" s="1613"/>
      <c r="T44" s="1613"/>
      <c r="U44" s="1614"/>
      <c r="V44" s="1633"/>
      <c r="W44" s="1625"/>
      <c r="X44" s="11" t="s">
        <v>89</v>
      </c>
      <c r="Z44" s="582"/>
      <c r="AA44" s="773"/>
      <c r="AB44" s="12"/>
      <c r="AC44" s="773"/>
      <c r="AD44" s="583"/>
    </row>
    <row r="45" spans="2:30" s="1" customFormat="1" ht="33" customHeight="1" x14ac:dyDescent="0.2">
      <c r="B45" s="1618"/>
      <c r="C45" s="1568"/>
      <c r="D45" s="1568"/>
      <c r="E45" s="1568"/>
      <c r="F45" s="1619"/>
      <c r="G45" s="582"/>
      <c r="I45" s="891" t="s">
        <v>104</v>
      </c>
      <c r="J45" s="1606" t="s">
        <v>846</v>
      </c>
      <c r="K45" s="1613"/>
      <c r="L45" s="1613"/>
      <c r="M45" s="1613"/>
      <c r="N45" s="1613"/>
      <c r="O45" s="1613"/>
      <c r="P45" s="1613"/>
      <c r="Q45" s="1613"/>
      <c r="R45" s="1613"/>
      <c r="S45" s="1613"/>
      <c r="T45" s="1613"/>
      <c r="U45" s="1614"/>
      <c r="V45" s="1633"/>
      <c r="W45" s="1625"/>
      <c r="X45" s="593" t="s">
        <v>89</v>
      </c>
      <c r="Y45" s="877"/>
      <c r="Z45" s="579"/>
      <c r="AA45" s="760" t="s">
        <v>116</v>
      </c>
      <c r="AB45" s="760" t="s">
        <v>441</v>
      </c>
      <c r="AC45" s="760" t="s">
        <v>116</v>
      </c>
      <c r="AD45" s="583"/>
    </row>
    <row r="46" spans="2:30" s="1" customFormat="1" ht="6" customHeight="1" x14ac:dyDescent="0.2">
      <c r="B46" s="1620"/>
      <c r="C46" s="1621"/>
      <c r="D46" s="1621"/>
      <c r="E46" s="1621"/>
      <c r="F46" s="1622"/>
      <c r="G46" s="591"/>
      <c r="H46" s="8"/>
      <c r="I46" s="8"/>
      <c r="J46" s="8"/>
      <c r="K46" s="8"/>
      <c r="L46" s="8"/>
      <c r="M46" s="8"/>
      <c r="N46" s="8"/>
      <c r="O46" s="8"/>
      <c r="P46" s="8"/>
      <c r="Q46" s="8"/>
      <c r="R46" s="8"/>
      <c r="S46" s="8"/>
      <c r="T46" s="894"/>
      <c r="U46" s="894"/>
      <c r="V46" s="8"/>
      <c r="W46" s="8"/>
      <c r="X46" s="8"/>
      <c r="Y46" s="8"/>
      <c r="Z46" s="591"/>
      <c r="AA46" s="8"/>
      <c r="AB46" s="8"/>
      <c r="AC46" s="594"/>
      <c r="AD46" s="592"/>
    </row>
    <row r="47" spans="2:30" s="1" customFormat="1" ht="6" customHeight="1" x14ac:dyDescent="0.2">
      <c r="B47" s="870"/>
      <c r="C47" s="870"/>
      <c r="D47" s="870"/>
      <c r="E47" s="870"/>
      <c r="F47" s="870"/>
      <c r="T47" s="877"/>
      <c r="U47" s="877"/>
    </row>
    <row r="48" spans="2:30" s="1" customFormat="1" ht="13.5" customHeight="1" x14ac:dyDescent="0.2">
      <c r="B48" s="1615" t="s">
        <v>531</v>
      </c>
      <c r="C48" s="1616"/>
      <c r="D48" s="878" t="s">
        <v>1731</v>
      </c>
      <c r="E48" s="878"/>
      <c r="F48" s="878"/>
      <c r="G48" s="878"/>
      <c r="H48" s="878"/>
      <c r="I48" s="878"/>
      <c r="J48" s="878"/>
      <c r="K48" s="878"/>
      <c r="L48" s="878"/>
      <c r="M48" s="878"/>
      <c r="N48" s="878"/>
      <c r="O48" s="878"/>
      <c r="P48" s="878"/>
      <c r="Q48" s="878"/>
      <c r="R48" s="878"/>
      <c r="S48" s="878"/>
      <c r="T48" s="878"/>
      <c r="U48" s="878"/>
      <c r="V48" s="878"/>
      <c r="W48" s="878"/>
      <c r="X48" s="878"/>
      <c r="Y48" s="878"/>
      <c r="Z48" s="878"/>
      <c r="AA48" s="878"/>
      <c r="AB48" s="878"/>
      <c r="AC48" s="878"/>
      <c r="AD48" s="878"/>
    </row>
    <row r="49" spans="2:30" s="1" customFormat="1" ht="29.25" customHeight="1" x14ac:dyDescent="0.2">
      <c r="B49" s="1615"/>
      <c r="C49" s="1616"/>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562195-C78A-4C1A-A427-F4BBBFA01B2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AB40-C864-4E01-BD5B-7748598F8A63}">
  <sheetPr>
    <tabColor rgb="FFFFFF00"/>
  </sheetPr>
  <dimension ref="B1:AE123"/>
  <sheetViews>
    <sheetView view="pageBreakPreview" zoomScale="70" zoomScaleNormal="100" zoomScaleSheetLayoutView="70" workbookViewId="0">
      <selection activeCell="T33" sqref="T33"/>
    </sheetView>
  </sheetViews>
  <sheetFormatPr defaultColWidth="3.44140625" defaultRowHeight="13.2" x14ac:dyDescent="0.2"/>
  <cols>
    <col min="1" max="1" width="1.21875" style="3" customWidth="1"/>
    <col min="2" max="2" width="3.109375" style="598"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x14ac:dyDescent="0.2"/>
    <row r="2" spans="2:31" s="1" customFormat="1" x14ac:dyDescent="0.2">
      <c r="B2" s="1" t="s">
        <v>1717</v>
      </c>
    </row>
    <row r="3" spans="2:31" s="1" customFormat="1" x14ac:dyDescent="0.2">
      <c r="V3" s="45" t="s">
        <v>643</v>
      </c>
      <c r="W3" s="1456"/>
      <c r="X3" s="1456"/>
      <c r="Y3" s="45" t="s">
        <v>34</v>
      </c>
      <c r="Z3" s="1456"/>
      <c r="AA3" s="1456"/>
      <c r="AB3" s="45" t="s">
        <v>383</v>
      </c>
      <c r="AC3" s="1456"/>
      <c r="AD3" s="1456"/>
      <c r="AE3" s="45" t="s">
        <v>167</v>
      </c>
    </row>
    <row r="4" spans="2:31" s="1" customFormat="1" x14ac:dyDescent="0.2">
      <c r="AE4" s="45"/>
    </row>
    <row r="5" spans="2:31" s="1" customFormat="1" x14ac:dyDescent="0.2">
      <c r="B5" s="1456" t="s">
        <v>826</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row>
    <row r="6" spans="2:31" s="1" customFormat="1" ht="26.25" customHeight="1" x14ac:dyDescent="0.2">
      <c r="B6" s="1568" t="s">
        <v>1718</v>
      </c>
      <c r="C6" s="1568"/>
      <c r="D6" s="1568"/>
      <c r="E6" s="1568"/>
      <c r="F6" s="1568"/>
      <c r="G6" s="1568"/>
      <c r="H6" s="1568"/>
      <c r="I6" s="1568"/>
      <c r="J6" s="1568"/>
      <c r="K6" s="1568"/>
      <c r="L6" s="1568"/>
      <c r="M6" s="1568"/>
      <c r="N6" s="1568"/>
      <c r="O6" s="1568"/>
      <c r="P6" s="1568"/>
      <c r="Q6" s="1568"/>
      <c r="R6" s="1568"/>
      <c r="S6" s="1568"/>
      <c r="T6" s="1568"/>
      <c r="U6" s="1568"/>
      <c r="V6" s="1568"/>
      <c r="W6" s="1568"/>
      <c r="X6" s="1568"/>
      <c r="Y6" s="1568"/>
      <c r="Z6" s="1568"/>
      <c r="AA6" s="1568"/>
      <c r="AB6" s="1568"/>
      <c r="AC6" s="1568"/>
      <c r="AD6" s="1568"/>
      <c r="AE6" s="1568"/>
    </row>
    <row r="7" spans="2:31" s="1" customFormat="1" x14ac:dyDescent="0.2"/>
    <row r="8" spans="2:31" s="1" customFormat="1" ht="23.25" customHeight="1" x14ac:dyDescent="0.2">
      <c r="B8" s="1575" t="s">
        <v>274</v>
      </c>
      <c r="C8" s="1575"/>
      <c r="D8" s="1575"/>
      <c r="E8" s="1575"/>
      <c r="F8" s="1549"/>
      <c r="G8" s="1576"/>
      <c r="H8" s="1577"/>
      <c r="I8" s="1577"/>
      <c r="J8" s="1577"/>
      <c r="K8" s="1577"/>
      <c r="L8" s="1577"/>
      <c r="M8" s="1577"/>
      <c r="N8" s="1577"/>
      <c r="O8" s="1577"/>
      <c r="P8" s="1577"/>
      <c r="Q8" s="1577"/>
      <c r="R8" s="1577"/>
      <c r="S8" s="1577"/>
      <c r="T8" s="1577"/>
      <c r="U8" s="1577"/>
      <c r="V8" s="1577"/>
      <c r="W8" s="1577"/>
      <c r="X8" s="1577"/>
      <c r="Y8" s="1577"/>
      <c r="Z8" s="1577"/>
      <c r="AA8" s="1577"/>
      <c r="AB8" s="1577"/>
      <c r="AC8" s="1577"/>
      <c r="AD8" s="1577"/>
      <c r="AE8" s="1578"/>
    </row>
    <row r="9" spans="2:31" ht="23.25" customHeight="1" x14ac:dyDescent="0.2">
      <c r="B9" s="1549" t="s">
        <v>93</v>
      </c>
      <c r="C9" s="1550"/>
      <c r="D9" s="1550"/>
      <c r="E9" s="1550"/>
      <c r="F9" s="1551"/>
      <c r="G9" s="758" t="s">
        <v>116</v>
      </c>
      <c r="H9" s="759" t="s">
        <v>1174</v>
      </c>
      <c r="I9" s="759"/>
      <c r="J9" s="759"/>
      <c r="K9" s="759"/>
      <c r="L9" s="786" t="s">
        <v>116</v>
      </c>
      <c r="M9" s="759" t="s">
        <v>1175</v>
      </c>
      <c r="N9" s="759"/>
      <c r="O9" s="759"/>
      <c r="P9" s="759"/>
      <c r="Q9" s="786" t="s">
        <v>116</v>
      </c>
      <c r="R9" s="759" t="s">
        <v>1176</v>
      </c>
      <c r="S9" s="842"/>
      <c r="T9" s="842"/>
      <c r="U9" s="842"/>
      <c r="V9" s="842"/>
      <c r="W9" s="842"/>
      <c r="X9" s="842"/>
      <c r="Y9" s="842"/>
      <c r="Z9" s="842"/>
      <c r="AA9" s="842"/>
      <c r="AB9" s="842"/>
      <c r="AC9" s="842"/>
      <c r="AD9" s="842"/>
      <c r="AE9" s="843"/>
    </row>
    <row r="10" spans="2:31" ht="23.25" customHeight="1" x14ac:dyDescent="0.2">
      <c r="B10" s="1557" t="s">
        <v>828</v>
      </c>
      <c r="C10" s="1558"/>
      <c r="D10" s="1558"/>
      <c r="E10" s="1558"/>
      <c r="F10" s="1559"/>
      <c r="G10" s="760" t="s">
        <v>116</v>
      </c>
      <c r="H10" s="1" t="s">
        <v>1719</v>
      </c>
      <c r="I10" s="2"/>
      <c r="J10" s="2"/>
      <c r="K10" s="2"/>
      <c r="L10" s="2"/>
      <c r="M10" s="2"/>
      <c r="N10" s="2"/>
      <c r="O10" s="2"/>
      <c r="P10" s="2"/>
      <c r="Q10" s="2"/>
      <c r="R10" s="760" t="s">
        <v>116</v>
      </c>
      <c r="S10" s="847" t="s">
        <v>1720</v>
      </c>
      <c r="T10" s="847"/>
      <c r="U10" s="847"/>
      <c r="V10" s="760" t="s">
        <v>116</v>
      </c>
      <c r="W10" s="847" t="s">
        <v>1721</v>
      </c>
      <c r="X10" s="847"/>
      <c r="Y10" s="847"/>
      <c r="Z10" s="760" t="s">
        <v>116</v>
      </c>
      <c r="AA10" s="847" t="s">
        <v>1722</v>
      </c>
      <c r="AB10" s="847"/>
      <c r="AC10" s="847"/>
      <c r="AD10" s="847"/>
      <c r="AE10" s="848"/>
    </row>
    <row r="11" spans="2:31" ht="23.25" customHeight="1" x14ac:dyDescent="0.2">
      <c r="B11" s="1579"/>
      <c r="C11" s="1329"/>
      <c r="D11" s="1329"/>
      <c r="E11" s="1329"/>
      <c r="F11" s="1580"/>
      <c r="G11" s="760" t="s">
        <v>116</v>
      </c>
      <c r="H11" s="1" t="s">
        <v>1723</v>
      </c>
      <c r="I11" s="2"/>
      <c r="J11" s="2"/>
      <c r="K11" s="2"/>
      <c r="L11" s="2"/>
      <c r="M11" s="2"/>
      <c r="N11" s="2"/>
      <c r="O11" s="2"/>
      <c r="P11" s="2"/>
      <c r="Q11" s="2"/>
      <c r="R11" s="760" t="s">
        <v>116</v>
      </c>
      <c r="S11" s="1" t="s">
        <v>1724</v>
      </c>
      <c r="T11" s="847"/>
      <c r="U11" s="847"/>
      <c r="V11" s="847"/>
      <c r="W11" s="847"/>
      <c r="X11" s="847"/>
      <c r="Y11" s="847"/>
      <c r="Z11" s="847"/>
      <c r="AA11" s="847"/>
      <c r="AB11" s="847"/>
      <c r="AC11" s="847"/>
      <c r="AD11" s="847"/>
      <c r="AE11" s="848"/>
    </row>
    <row r="12" spans="2:31" ht="23.25" customHeight="1" x14ac:dyDescent="0.2">
      <c r="B12" s="1579"/>
      <c r="C12" s="1329"/>
      <c r="D12" s="1329"/>
      <c r="E12" s="1329"/>
      <c r="F12" s="1580"/>
      <c r="G12" s="760" t="s">
        <v>116</v>
      </c>
      <c r="H12" s="1" t="s">
        <v>1725</v>
      </c>
      <c r="I12" s="2"/>
      <c r="J12" s="2"/>
      <c r="K12" s="2"/>
      <c r="L12" s="2"/>
      <c r="M12" s="2"/>
      <c r="N12" s="2"/>
      <c r="O12" s="2"/>
      <c r="P12" s="2"/>
      <c r="Q12" s="2"/>
      <c r="R12" s="760" t="s">
        <v>116</v>
      </c>
      <c r="S12" s="1" t="s">
        <v>1726</v>
      </c>
      <c r="T12" s="847"/>
      <c r="U12" s="847"/>
      <c r="V12" s="847"/>
      <c r="W12" s="847"/>
      <c r="X12" s="847"/>
      <c r="Y12" s="847"/>
      <c r="Z12" s="847"/>
      <c r="AA12" s="847"/>
      <c r="AB12" s="847"/>
      <c r="AC12" s="847"/>
      <c r="AD12" s="847"/>
      <c r="AE12" s="848"/>
    </row>
    <row r="13" spans="2:31" ht="23.25" customHeight="1" x14ac:dyDescent="0.2">
      <c r="B13" s="1560"/>
      <c r="C13" s="1561"/>
      <c r="D13" s="1561"/>
      <c r="E13" s="1561"/>
      <c r="F13" s="1562"/>
      <c r="G13" s="760" t="s">
        <v>116</v>
      </c>
      <c r="H13" s="1" t="s">
        <v>1632</v>
      </c>
      <c r="I13" s="889"/>
      <c r="J13" s="2"/>
      <c r="K13" s="2"/>
      <c r="L13" s="2"/>
      <c r="M13" s="2"/>
      <c r="N13" s="2"/>
      <c r="O13" s="2"/>
      <c r="P13" s="2"/>
      <c r="Q13" s="2"/>
      <c r="R13" s="2"/>
      <c r="S13" s="1"/>
      <c r="T13" s="847"/>
      <c r="U13" s="847"/>
      <c r="V13" s="847"/>
      <c r="W13" s="847"/>
      <c r="X13" s="847"/>
      <c r="Y13" s="847"/>
      <c r="Z13" s="847"/>
      <c r="AA13" s="847"/>
      <c r="AB13" s="847"/>
      <c r="AC13" s="847"/>
      <c r="AD13" s="847"/>
      <c r="AE13" s="848"/>
    </row>
    <row r="14" spans="2:31" ht="23.25" customHeight="1" x14ac:dyDescent="0.2">
      <c r="B14" s="1557" t="s">
        <v>829</v>
      </c>
      <c r="C14" s="1558"/>
      <c r="D14" s="1558"/>
      <c r="E14" s="1558"/>
      <c r="F14" s="1559"/>
      <c r="G14" s="761" t="s">
        <v>116</v>
      </c>
      <c r="H14" s="7" t="s">
        <v>1727</v>
      </c>
      <c r="I14" s="22"/>
      <c r="J14" s="22"/>
      <c r="K14" s="22"/>
      <c r="L14" s="22"/>
      <c r="M14" s="22"/>
      <c r="N14" s="22"/>
      <c r="O14" s="22"/>
      <c r="P14" s="22"/>
      <c r="Q14" s="22"/>
      <c r="R14" s="22"/>
      <c r="S14" s="844" t="s">
        <v>116</v>
      </c>
      <c r="T14" s="7" t="s">
        <v>1728</v>
      </c>
      <c r="U14" s="845"/>
      <c r="V14" s="845"/>
      <c r="W14" s="845"/>
      <c r="X14" s="845"/>
      <c r="Y14" s="845"/>
      <c r="Z14" s="845"/>
      <c r="AA14" s="845"/>
      <c r="AB14" s="845"/>
      <c r="AC14" s="845"/>
      <c r="AD14" s="845"/>
      <c r="AE14" s="846"/>
    </row>
    <row r="15" spans="2:31" ht="23.25" customHeight="1" x14ac:dyDescent="0.2">
      <c r="B15" s="1560"/>
      <c r="C15" s="1561"/>
      <c r="D15" s="1561"/>
      <c r="E15" s="1561"/>
      <c r="F15" s="1562"/>
      <c r="G15" s="765" t="s">
        <v>116</v>
      </c>
      <c r="H15" s="8" t="s">
        <v>1729</v>
      </c>
      <c r="I15" s="594"/>
      <c r="J15" s="594"/>
      <c r="K15" s="594"/>
      <c r="L15" s="594"/>
      <c r="M15" s="594"/>
      <c r="N15" s="594"/>
      <c r="O15" s="594"/>
      <c r="P15" s="594"/>
      <c r="Q15" s="594"/>
      <c r="R15" s="594"/>
      <c r="S15" s="850"/>
      <c r="T15" s="850"/>
      <c r="U15" s="850"/>
      <c r="V15" s="850"/>
      <c r="W15" s="850"/>
      <c r="X15" s="850"/>
      <c r="Y15" s="850"/>
      <c r="Z15" s="850"/>
      <c r="AA15" s="850"/>
      <c r="AB15" s="850"/>
      <c r="AC15" s="850"/>
      <c r="AD15" s="850"/>
      <c r="AE15" s="851"/>
    </row>
    <row r="16" spans="2:31" s="1" customFormat="1" x14ac:dyDescent="0.2"/>
    <row r="17" spans="2:31" s="1" customFormat="1" x14ac:dyDescent="0.2">
      <c r="B17" s="1" t="s">
        <v>830</v>
      </c>
    </row>
    <row r="18" spans="2:31" s="1" customFormat="1" x14ac:dyDescent="0.2">
      <c r="B18" s="1" t="s">
        <v>831</v>
      </c>
      <c r="AD18" s="2"/>
      <c r="AE18" s="2"/>
    </row>
    <row r="19" spans="2:31" s="1" customFormat="1" ht="6" customHeight="1" x14ac:dyDescent="0.2"/>
    <row r="20" spans="2:31" s="1" customFormat="1" ht="6" customHeight="1" x14ac:dyDescent="0.2">
      <c r="B20" s="1431" t="s">
        <v>832</v>
      </c>
      <c r="C20" s="1432"/>
      <c r="D20" s="1432"/>
      <c r="E20" s="1432"/>
      <c r="F20" s="1450"/>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18"/>
      <c r="C21" s="1568"/>
      <c r="D21" s="1568"/>
      <c r="E21" s="1568"/>
      <c r="F21" s="1619"/>
      <c r="G21" s="582"/>
      <c r="H21" s="1" t="s">
        <v>847</v>
      </c>
      <c r="AA21" s="582"/>
      <c r="AB21" s="769" t="s">
        <v>1117</v>
      </c>
      <c r="AC21" s="769" t="s">
        <v>441</v>
      </c>
      <c r="AD21" s="769" t="s">
        <v>721</v>
      </c>
      <c r="AE21" s="890"/>
    </row>
    <row r="22" spans="2:31" s="1" customFormat="1" ht="15.75" customHeight="1" x14ac:dyDescent="0.2">
      <c r="B22" s="1618"/>
      <c r="C22" s="1568"/>
      <c r="D22" s="1568"/>
      <c r="E22" s="1568"/>
      <c r="F22" s="1619"/>
      <c r="G22" s="582"/>
      <c r="I22" s="891" t="s">
        <v>103</v>
      </c>
      <c r="J22" s="1608" t="s">
        <v>834</v>
      </c>
      <c r="K22" s="1609"/>
      <c r="L22" s="1609"/>
      <c r="M22" s="1609"/>
      <c r="N22" s="1609"/>
      <c r="O22" s="1609"/>
      <c r="P22" s="1609"/>
      <c r="Q22" s="1609"/>
      <c r="R22" s="1609"/>
      <c r="S22" s="1609"/>
      <c r="T22" s="1609"/>
      <c r="U22" s="1609"/>
      <c r="V22" s="1338"/>
      <c r="W22" s="1339"/>
      <c r="X22" s="11" t="s">
        <v>89</v>
      </c>
      <c r="AA22" s="582"/>
      <c r="AB22" s="773"/>
      <c r="AC22" s="12"/>
      <c r="AD22" s="773"/>
      <c r="AE22" s="583"/>
    </row>
    <row r="23" spans="2:31" s="1" customFormat="1" ht="15.75" customHeight="1" x14ac:dyDescent="0.2">
      <c r="B23" s="1618"/>
      <c r="C23" s="1568"/>
      <c r="D23" s="1568"/>
      <c r="E23" s="1568"/>
      <c r="F23" s="1619"/>
      <c r="G23" s="582"/>
      <c r="I23" s="892" t="s">
        <v>104</v>
      </c>
      <c r="J23" s="893" t="s">
        <v>835</v>
      </c>
      <c r="K23" s="8"/>
      <c r="L23" s="8"/>
      <c r="M23" s="8"/>
      <c r="N23" s="8"/>
      <c r="O23" s="8"/>
      <c r="P23" s="8"/>
      <c r="Q23" s="8"/>
      <c r="R23" s="8"/>
      <c r="S23" s="8"/>
      <c r="T23" s="8"/>
      <c r="U23" s="8"/>
      <c r="V23" s="1335"/>
      <c r="W23" s="1336"/>
      <c r="X23" s="593" t="s">
        <v>89</v>
      </c>
      <c r="Z23" s="877"/>
      <c r="AA23" s="579"/>
      <c r="AB23" s="760" t="s">
        <v>116</v>
      </c>
      <c r="AC23" s="760" t="s">
        <v>441</v>
      </c>
      <c r="AD23" s="760" t="s">
        <v>116</v>
      </c>
      <c r="AE23" s="583"/>
    </row>
    <row r="24" spans="2:31" s="1" customFormat="1" x14ac:dyDescent="0.2">
      <c r="B24" s="1618"/>
      <c r="C24" s="1568"/>
      <c r="D24" s="1568"/>
      <c r="E24" s="1568"/>
      <c r="F24" s="1619"/>
      <c r="G24" s="582"/>
      <c r="H24" s="1" t="s">
        <v>836</v>
      </c>
      <c r="AA24" s="582"/>
      <c r="AD24" s="2"/>
      <c r="AE24" s="583"/>
    </row>
    <row r="25" spans="2:31" s="1" customFormat="1" x14ac:dyDescent="0.2">
      <c r="B25" s="1618"/>
      <c r="C25" s="1568"/>
      <c r="D25" s="1568"/>
      <c r="E25" s="1568"/>
      <c r="F25" s="1619"/>
      <c r="G25" s="582"/>
      <c r="H25" s="1" t="s">
        <v>848</v>
      </c>
      <c r="U25" s="877"/>
      <c r="V25" s="877"/>
      <c r="AA25" s="582"/>
      <c r="AD25" s="2"/>
      <c r="AE25" s="583"/>
    </row>
    <row r="26" spans="2:31" s="1" customFormat="1" ht="29.25" customHeight="1" x14ac:dyDescent="0.2">
      <c r="B26" s="1618"/>
      <c r="C26" s="1568"/>
      <c r="D26" s="1568"/>
      <c r="E26" s="1568"/>
      <c r="F26" s="1619"/>
      <c r="G26" s="582"/>
      <c r="I26" s="891" t="s">
        <v>120</v>
      </c>
      <c r="J26" s="1609" t="s">
        <v>838</v>
      </c>
      <c r="K26" s="1609"/>
      <c r="L26" s="1609"/>
      <c r="M26" s="1609"/>
      <c r="N26" s="1609"/>
      <c r="O26" s="1609"/>
      <c r="P26" s="1609"/>
      <c r="Q26" s="1609"/>
      <c r="R26" s="1609"/>
      <c r="S26" s="1609"/>
      <c r="T26" s="1609"/>
      <c r="U26" s="1609"/>
      <c r="V26" s="1338"/>
      <c r="W26" s="1339"/>
      <c r="X26" s="11" t="s">
        <v>89</v>
      </c>
      <c r="Z26" s="877"/>
      <c r="AA26" s="579"/>
      <c r="AB26" s="760" t="s">
        <v>116</v>
      </c>
      <c r="AC26" s="760" t="s">
        <v>441</v>
      </c>
      <c r="AD26" s="760" t="s">
        <v>116</v>
      </c>
      <c r="AE26" s="583"/>
    </row>
    <row r="27" spans="2:31" s="1" customFormat="1" ht="6" customHeight="1" x14ac:dyDescent="0.2">
      <c r="B27" s="1620"/>
      <c r="C27" s="1621"/>
      <c r="D27" s="1621"/>
      <c r="E27" s="1621"/>
      <c r="F27" s="1622"/>
      <c r="G27" s="591"/>
      <c r="H27" s="8"/>
      <c r="I27" s="8"/>
      <c r="J27" s="8"/>
      <c r="K27" s="8"/>
      <c r="L27" s="8"/>
      <c r="M27" s="8"/>
      <c r="N27" s="8"/>
      <c r="O27" s="8"/>
      <c r="P27" s="8"/>
      <c r="Q27" s="8"/>
      <c r="R27" s="8"/>
      <c r="S27" s="8"/>
      <c r="T27" s="8"/>
      <c r="U27" s="894"/>
      <c r="V27" s="894"/>
      <c r="W27" s="8"/>
      <c r="X27" s="8"/>
      <c r="Y27" s="8"/>
      <c r="Z27" s="8"/>
      <c r="AA27" s="591"/>
      <c r="AB27" s="8"/>
      <c r="AC27" s="8"/>
      <c r="AD27" s="594"/>
      <c r="AE27" s="592"/>
    </row>
    <row r="28" spans="2:31" s="1" customFormat="1" ht="6" customHeight="1" x14ac:dyDescent="0.2">
      <c r="B28" s="567"/>
      <c r="C28" s="568"/>
      <c r="D28" s="568"/>
      <c r="E28" s="568"/>
      <c r="F28" s="569"/>
      <c r="G28" s="6"/>
      <c r="H28" s="7"/>
      <c r="I28" s="7"/>
      <c r="J28" s="7"/>
      <c r="K28" s="7"/>
      <c r="L28" s="7"/>
      <c r="M28" s="7"/>
      <c r="N28" s="7"/>
      <c r="O28" s="7"/>
      <c r="P28" s="7"/>
      <c r="Q28" s="7"/>
      <c r="R28" s="7"/>
      <c r="S28" s="7"/>
      <c r="T28" s="7"/>
      <c r="U28" s="895"/>
      <c r="V28" s="895"/>
      <c r="W28" s="7"/>
      <c r="X28" s="7"/>
      <c r="Y28" s="7"/>
      <c r="Z28" s="7"/>
      <c r="AA28" s="7"/>
      <c r="AB28" s="7"/>
      <c r="AC28" s="7"/>
      <c r="AD28" s="22"/>
      <c r="AE28" s="23"/>
    </row>
    <row r="29" spans="2:31" s="1" customFormat="1" x14ac:dyDescent="0.2">
      <c r="B29" s="1618" t="s">
        <v>849</v>
      </c>
      <c r="C29" s="1568"/>
      <c r="D29" s="1568"/>
      <c r="E29" s="1568"/>
      <c r="F29" s="1619"/>
      <c r="G29" s="896" t="s">
        <v>1730</v>
      </c>
      <c r="I29" s="897"/>
      <c r="J29" s="897"/>
      <c r="K29" s="897"/>
      <c r="L29" s="897"/>
      <c r="M29" s="897"/>
      <c r="N29" s="897"/>
      <c r="O29" s="897"/>
      <c r="P29" s="897"/>
      <c r="Q29" s="897"/>
      <c r="R29" s="897"/>
      <c r="S29" s="897"/>
      <c r="T29" s="897"/>
      <c r="U29" s="897"/>
      <c r="V29" s="897"/>
      <c r="W29" s="897"/>
      <c r="X29" s="897"/>
      <c r="Y29" s="897"/>
      <c r="Z29" s="897"/>
      <c r="AA29" s="897"/>
      <c r="AB29" s="897"/>
      <c r="AC29" s="897"/>
      <c r="AD29" s="2"/>
      <c r="AE29" s="583"/>
    </row>
    <row r="30" spans="2:31" s="1" customFormat="1" ht="54" customHeight="1" x14ac:dyDescent="0.2">
      <c r="B30" s="1618"/>
      <c r="C30" s="1568"/>
      <c r="D30" s="1568"/>
      <c r="E30" s="1568"/>
      <c r="F30" s="1619"/>
      <c r="G30" s="1635"/>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7"/>
    </row>
    <row r="31" spans="2:31" s="1" customFormat="1" ht="6" customHeight="1" x14ac:dyDescent="0.2">
      <c r="B31" s="898"/>
      <c r="C31" s="859"/>
      <c r="D31" s="859"/>
      <c r="E31" s="859"/>
      <c r="F31" s="899"/>
      <c r="G31" s="591"/>
      <c r="H31" s="8"/>
      <c r="I31" s="8"/>
      <c r="J31" s="8"/>
      <c r="K31" s="8"/>
      <c r="L31" s="8"/>
      <c r="M31" s="8"/>
      <c r="N31" s="8"/>
      <c r="O31" s="8"/>
      <c r="P31" s="8"/>
      <c r="Q31" s="8"/>
      <c r="R31" s="8"/>
      <c r="S31" s="8"/>
      <c r="T31" s="8"/>
      <c r="U31" s="894"/>
      <c r="V31" s="894"/>
      <c r="W31" s="8"/>
      <c r="X31" s="8"/>
      <c r="Y31" s="8"/>
      <c r="Z31" s="8"/>
      <c r="AA31" s="8"/>
      <c r="AB31" s="8"/>
      <c r="AC31" s="8"/>
      <c r="AD31" s="594"/>
      <c r="AE31" s="592"/>
    </row>
    <row r="32" spans="2:31" s="1" customFormat="1" ht="9.75" customHeight="1" x14ac:dyDescent="0.2">
      <c r="B32" s="870"/>
      <c r="C32" s="870"/>
      <c r="D32" s="870"/>
      <c r="E32" s="870"/>
      <c r="F32" s="870"/>
      <c r="U32" s="877"/>
      <c r="V32" s="877"/>
    </row>
    <row r="33" spans="2:31" s="1" customFormat="1" x14ac:dyDescent="0.2">
      <c r="B33" s="1" t="s">
        <v>839</v>
      </c>
      <c r="C33" s="870"/>
      <c r="D33" s="870"/>
      <c r="E33" s="870"/>
      <c r="F33" s="870"/>
      <c r="U33" s="877"/>
      <c r="V33" s="877"/>
    </row>
    <row r="34" spans="2:31" s="1" customFormat="1" ht="6.75" customHeight="1" x14ac:dyDescent="0.2">
      <c r="B34" s="870"/>
      <c r="C34" s="870"/>
      <c r="D34" s="870"/>
      <c r="E34" s="870"/>
      <c r="F34" s="870"/>
      <c r="U34" s="877"/>
      <c r="V34" s="877"/>
    </row>
    <row r="35" spans="2:31" s="1" customFormat="1" ht="4.5" customHeight="1" x14ac:dyDescent="0.2">
      <c r="B35" s="1431" t="s">
        <v>832</v>
      </c>
      <c r="C35" s="1432"/>
      <c r="D35" s="1432"/>
      <c r="E35" s="1432"/>
      <c r="F35" s="1450"/>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18"/>
      <c r="C36" s="1568"/>
      <c r="D36" s="1568"/>
      <c r="E36" s="1568"/>
      <c r="F36" s="1619"/>
      <c r="H36" s="1" t="s">
        <v>850</v>
      </c>
      <c r="AA36" s="582"/>
      <c r="AB36" s="769" t="s">
        <v>1117</v>
      </c>
      <c r="AC36" s="769" t="s">
        <v>441</v>
      </c>
      <c r="AD36" s="769" t="s">
        <v>721</v>
      </c>
      <c r="AE36" s="890"/>
    </row>
    <row r="37" spans="2:31" s="1" customFormat="1" ht="15.75" customHeight="1" x14ac:dyDescent="0.2">
      <c r="B37" s="1618"/>
      <c r="C37" s="1568"/>
      <c r="D37" s="1568"/>
      <c r="E37" s="1568"/>
      <c r="F37" s="1619"/>
      <c r="I37" s="900" t="s">
        <v>103</v>
      </c>
      <c r="J37" s="1608" t="s">
        <v>834</v>
      </c>
      <c r="K37" s="1609"/>
      <c r="L37" s="1609"/>
      <c r="M37" s="1609"/>
      <c r="N37" s="1609"/>
      <c r="O37" s="1609"/>
      <c r="P37" s="1609"/>
      <c r="Q37" s="1609"/>
      <c r="R37" s="1609"/>
      <c r="S37" s="1609"/>
      <c r="T37" s="1609"/>
      <c r="U37" s="1609"/>
      <c r="V37" s="1338"/>
      <c r="W37" s="1339"/>
      <c r="X37" s="11" t="s">
        <v>89</v>
      </c>
      <c r="AA37" s="582"/>
      <c r="AB37" s="773"/>
      <c r="AC37" s="12"/>
      <c r="AD37" s="773"/>
      <c r="AE37" s="583"/>
    </row>
    <row r="38" spans="2:31" s="1" customFormat="1" ht="15.75" customHeight="1" x14ac:dyDescent="0.2">
      <c r="B38" s="1620"/>
      <c r="C38" s="1621"/>
      <c r="D38" s="1621"/>
      <c r="E38" s="1621"/>
      <c r="F38" s="1622"/>
      <c r="I38" s="891" t="s">
        <v>104</v>
      </c>
      <c r="J38" s="893" t="s">
        <v>835</v>
      </c>
      <c r="K38" s="8"/>
      <c r="L38" s="8"/>
      <c r="M38" s="8"/>
      <c r="N38" s="8"/>
      <c r="O38" s="8"/>
      <c r="P38" s="8"/>
      <c r="Q38" s="8"/>
      <c r="R38" s="8"/>
      <c r="S38" s="8"/>
      <c r="T38" s="8"/>
      <c r="U38" s="8"/>
      <c r="V38" s="1335"/>
      <c r="W38" s="1336"/>
      <c r="X38" s="8" t="s">
        <v>89</v>
      </c>
      <c r="Y38" s="582"/>
      <c r="Z38" s="877"/>
      <c r="AA38" s="579"/>
      <c r="AB38" s="760" t="s">
        <v>116</v>
      </c>
      <c r="AC38" s="760" t="s">
        <v>441</v>
      </c>
      <c r="AD38" s="760" t="s">
        <v>116</v>
      </c>
      <c r="AE38" s="583"/>
    </row>
    <row r="39" spans="2:31" s="1" customFormat="1" ht="6" customHeight="1" x14ac:dyDescent="0.2">
      <c r="B39" s="1620"/>
      <c r="C39" s="1353"/>
      <c r="D39" s="1621"/>
      <c r="E39" s="1621"/>
      <c r="F39" s="1622"/>
      <c r="G39" s="8"/>
      <c r="H39" s="8"/>
      <c r="I39" s="8"/>
      <c r="J39" s="8"/>
      <c r="K39" s="8"/>
      <c r="L39" s="8"/>
      <c r="M39" s="8"/>
      <c r="N39" s="8"/>
      <c r="O39" s="8"/>
      <c r="P39" s="8"/>
      <c r="Q39" s="8"/>
      <c r="R39" s="8"/>
      <c r="S39" s="8"/>
      <c r="T39" s="8"/>
      <c r="U39" s="894"/>
      <c r="V39" s="901"/>
      <c r="W39" s="564"/>
      <c r="X39" s="8"/>
      <c r="Y39" s="8"/>
      <c r="Z39" s="8"/>
      <c r="AA39" s="591"/>
      <c r="AB39" s="8"/>
      <c r="AC39" s="8"/>
      <c r="AD39" s="594"/>
      <c r="AE39" s="592"/>
    </row>
    <row r="40" spans="2:31" s="1" customFormat="1" ht="9.75" customHeight="1" x14ac:dyDescent="0.2">
      <c r="B40" s="870"/>
      <c r="C40" s="870"/>
      <c r="D40" s="870"/>
      <c r="E40" s="870"/>
      <c r="F40" s="870"/>
      <c r="U40" s="877"/>
      <c r="V40" s="902"/>
      <c r="W40" s="12"/>
    </row>
    <row r="41" spans="2:31" s="1" customFormat="1" ht="13.5" customHeight="1" x14ac:dyDescent="0.2">
      <c r="B41" s="1" t="s">
        <v>851</v>
      </c>
      <c r="C41" s="870"/>
      <c r="D41" s="870"/>
      <c r="E41" s="870"/>
      <c r="F41" s="870"/>
      <c r="U41" s="877"/>
      <c r="V41" s="902"/>
      <c r="W41" s="12"/>
    </row>
    <row r="42" spans="2:31" s="1" customFormat="1" x14ac:dyDescent="0.2">
      <c r="B42" s="801" t="s">
        <v>852</v>
      </c>
      <c r="C42" s="870"/>
      <c r="D42" s="870"/>
      <c r="E42" s="870"/>
      <c r="F42" s="870"/>
      <c r="U42" s="877"/>
      <c r="V42" s="902"/>
      <c r="W42" s="12"/>
    </row>
    <row r="43" spans="2:31" s="1" customFormat="1" ht="4.5" customHeight="1" x14ac:dyDescent="0.2">
      <c r="B43" s="1431" t="s">
        <v>832</v>
      </c>
      <c r="C43" s="1432"/>
      <c r="D43" s="1432"/>
      <c r="E43" s="1432"/>
      <c r="F43" s="1450"/>
      <c r="G43" s="6"/>
      <c r="H43" s="7"/>
      <c r="I43" s="7"/>
      <c r="J43" s="7"/>
      <c r="K43" s="7"/>
      <c r="L43" s="7"/>
      <c r="M43" s="7"/>
      <c r="N43" s="7"/>
      <c r="O43" s="7"/>
      <c r="P43" s="7"/>
      <c r="Q43" s="7"/>
      <c r="R43" s="7"/>
      <c r="S43" s="7"/>
      <c r="T43" s="7"/>
      <c r="U43" s="7"/>
      <c r="V43" s="562"/>
      <c r="W43" s="562"/>
      <c r="X43" s="7"/>
      <c r="Y43" s="7"/>
      <c r="Z43" s="7"/>
      <c r="AA43" s="6"/>
      <c r="AB43" s="7"/>
      <c r="AC43" s="7"/>
      <c r="AD43" s="22"/>
      <c r="AE43" s="23"/>
    </row>
    <row r="44" spans="2:31" s="1" customFormat="1" ht="13.5" customHeight="1" x14ac:dyDescent="0.2">
      <c r="B44" s="1618"/>
      <c r="C44" s="1568"/>
      <c r="D44" s="1568"/>
      <c r="E44" s="1568"/>
      <c r="F44" s="1619"/>
      <c r="G44" s="582"/>
      <c r="H44" s="1" t="s">
        <v>840</v>
      </c>
      <c r="V44" s="12"/>
      <c r="W44" s="12"/>
      <c r="AA44" s="582"/>
      <c r="AB44" s="769" t="s">
        <v>1117</v>
      </c>
      <c r="AC44" s="769" t="s">
        <v>441</v>
      </c>
      <c r="AD44" s="769" t="s">
        <v>721</v>
      </c>
      <c r="AE44" s="890"/>
    </row>
    <row r="45" spans="2:31" s="1" customFormat="1" ht="15.75" customHeight="1" x14ac:dyDescent="0.2">
      <c r="B45" s="1618"/>
      <c r="C45" s="1568"/>
      <c r="D45" s="1568"/>
      <c r="E45" s="1568"/>
      <c r="F45" s="1619"/>
      <c r="G45" s="582"/>
      <c r="I45" s="891" t="s">
        <v>103</v>
      </c>
      <c r="J45" s="1608" t="s">
        <v>834</v>
      </c>
      <c r="K45" s="1609"/>
      <c r="L45" s="1609"/>
      <c r="M45" s="1609"/>
      <c r="N45" s="1609"/>
      <c r="O45" s="1609"/>
      <c r="P45" s="1609"/>
      <c r="Q45" s="1609"/>
      <c r="R45" s="1609"/>
      <c r="S45" s="1609"/>
      <c r="T45" s="1609"/>
      <c r="U45" s="1609"/>
      <c r="V45" s="1338"/>
      <c r="W45" s="1339"/>
      <c r="X45" s="11" t="s">
        <v>89</v>
      </c>
      <c r="AA45" s="582"/>
      <c r="AB45" s="773"/>
      <c r="AC45" s="12"/>
      <c r="AD45" s="773"/>
      <c r="AE45" s="583"/>
    </row>
    <row r="46" spans="2:31" s="1" customFormat="1" ht="15.75" customHeight="1" x14ac:dyDescent="0.2">
      <c r="B46" s="1618"/>
      <c r="C46" s="1568"/>
      <c r="D46" s="1568"/>
      <c r="E46" s="1568"/>
      <c r="F46" s="1619"/>
      <c r="G46" s="582"/>
      <c r="I46" s="892" t="s">
        <v>104</v>
      </c>
      <c r="J46" s="893" t="s">
        <v>835</v>
      </c>
      <c r="K46" s="8"/>
      <c r="L46" s="8"/>
      <c r="M46" s="8"/>
      <c r="N46" s="8"/>
      <c r="O46" s="8"/>
      <c r="P46" s="8"/>
      <c r="Q46" s="8"/>
      <c r="R46" s="8"/>
      <c r="S46" s="8"/>
      <c r="T46" s="8"/>
      <c r="U46" s="8"/>
      <c r="V46" s="1335"/>
      <c r="W46" s="1336"/>
      <c r="X46" s="593" t="s">
        <v>89</v>
      </c>
      <c r="Z46" s="877"/>
      <c r="AA46" s="579"/>
      <c r="AB46" s="760" t="s">
        <v>116</v>
      </c>
      <c r="AC46" s="760" t="s">
        <v>441</v>
      </c>
      <c r="AD46" s="760" t="s">
        <v>116</v>
      </c>
      <c r="AE46" s="583"/>
    </row>
    <row r="47" spans="2:31" s="1" customFormat="1" ht="6" customHeight="1" x14ac:dyDescent="0.2">
      <c r="B47" s="1620"/>
      <c r="C47" s="1621"/>
      <c r="D47" s="1621"/>
      <c r="E47" s="1621"/>
      <c r="F47" s="1622"/>
      <c r="G47" s="591"/>
      <c r="H47" s="8"/>
      <c r="I47" s="8"/>
      <c r="J47" s="8"/>
      <c r="K47" s="8"/>
      <c r="L47" s="8"/>
      <c r="M47" s="8"/>
      <c r="N47" s="8"/>
      <c r="O47" s="8"/>
      <c r="P47" s="8"/>
      <c r="Q47" s="8"/>
      <c r="R47" s="8"/>
      <c r="S47" s="8"/>
      <c r="T47" s="8"/>
      <c r="U47" s="894"/>
      <c r="V47" s="901"/>
      <c r="W47" s="564"/>
      <c r="X47" s="8"/>
      <c r="Y47" s="8"/>
      <c r="Z47" s="8"/>
      <c r="AA47" s="591"/>
      <c r="AB47" s="8"/>
      <c r="AC47" s="8"/>
      <c r="AD47" s="594"/>
      <c r="AE47" s="592"/>
    </row>
    <row r="48" spans="2:31" s="1" customFormat="1" ht="4.5" customHeight="1" x14ac:dyDescent="0.2">
      <c r="B48" s="1431" t="s">
        <v>853</v>
      </c>
      <c r="C48" s="1432"/>
      <c r="D48" s="1432"/>
      <c r="E48" s="1432"/>
      <c r="F48" s="1450"/>
      <c r="G48" s="6"/>
      <c r="H48" s="7"/>
      <c r="I48" s="7"/>
      <c r="J48" s="7"/>
      <c r="K48" s="7"/>
      <c r="L48" s="7"/>
      <c r="M48" s="7"/>
      <c r="N48" s="7"/>
      <c r="O48" s="7"/>
      <c r="P48" s="7"/>
      <c r="Q48" s="7"/>
      <c r="R48" s="7"/>
      <c r="S48" s="7"/>
      <c r="T48" s="7"/>
      <c r="U48" s="7"/>
      <c r="V48" s="562"/>
      <c r="W48" s="562"/>
      <c r="X48" s="7"/>
      <c r="Y48" s="7"/>
      <c r="Z48" s="7"/>
      <c r="AA48" s="6"/>
      <c r="AB48" s="7"/>
      <c r="AC48" s="7"/>
      <c r="AD48" s="22"/>
      <c r="AE48" s="23"/>
    </row>
    <row r="49" spans="2:31" s="1" customFormat="1" ht="13.5" customHeight="1" x14ac:dyDescent="0.2">
      <c r="B49" s="1618"/>
      <c r="C49" s="1568"/>
      <c r="D49" s="1568"/>
      <c r="E49" s="1568"/>
      <c r="F49" s="1619"/>
      <c r="G49" s="582"/>
      <c r="H49" s="1" t="s">
        <v>854</v>
      </c>
      <c r="V49" s="12"/>
      <c r="W49" s="12"/>
      <c r="AA49" s="582"/>
      <c r="AB49" s="769" t="s">
        <v>1117</v>
      </c>
      <c r="AC49" s="769" t="s">
        <v>441</v>
      </c>
      <c r="AD49" s="769" t="s">
        <v>721</v>
      </c>
      <c r="AE49" s="890"/>
    </row>
    <row r="50" spans="2:31" s="1" customFormat="1" x14ac:dyDescent="0.2">
      <c r="B50" s="1618"/>
      <c r="C50" s="1568"/>
      <c r="D50" s="1568"/>
      <c r="E50" s="1568"/>
      <c r="F50" s="1619"/>
      <c r="G50" s="582"/>
      <c r="I50" s="891" t="s">
        <v>103</v>
      </c>
      <c r="J50" s="1606" t="s">
        <v>855</v>
      </c>
      <c r="K50" s="1613"/>
      <c r="L50" s="1613"/>
      <c r="M50" s="1613"/>
      <c r="N50" s="1613"/>
      <c r="O50" s="1613"/>
      <c r="P50" s="1613"/>
      <c r="Q50" s="1613"/>
      <c r="R50" s="1613"/>
      <c r="S50" s="1613"/>
      <c r="T50" s="1613"/>
      <c r="U50" s="1613"/>
      <c r="V50" s="1554"/>
      <c r="W50" s="1338"/>
      <c r="X50" s="11" t="s">
        <v>89</v>
      </c>
      <c r="AA50" s="582"/>
      <c r="AB50" s="773"/>
      <c r="AC50" s="12"/>
      <c r="AD50" s="773"/>
      <c r="AE50" s="583"/>
    </row>
    <row r="51" spans="2:31" s="1" customFormat="1" ht="14.25" customHeight="1" x14ac:dyDescent="0.2">
      <c r="B51" s="1618"/>
      <c r="C51" s="1568"/>
      <c r="D51" s="1568"/>
      <c r="E51" s="1568"/>
      <c r="F51" s="1619"/>
      <c r="G51" s="582"/>
      <c r="I51" s="892" t="s">
        <v>104</v>
      </c>
      <c r="J51" s="1608" t="s">
        <v>856</v>
      </c>
      <c r="K51" s="1609"/>
      <c r="L51" s="1609"/>
      <c r="M51" s="1609"/>
      <c r="N51" s="1609"/>
      <c r="O51" s="1609"/>
      <c r="P51" s="1609"/>
      <c r="Q51" s="1609"/>
      <c r="R51" s="1609"/>
      <c r="S51" s="1609"/>
      <c r="T51" s="1609"/>
      <c r="U51" s="1609"/>
      <c r="V51" s="1554"/>
      <c r="W51" s="1338"/>
      <c r="X51" s="593" t="s">
        <v>89</v>
      </c>
      <c r="Z51" s="877"/>
      <c r="AA51" s="579"/>
      <c r="AB51" s="760" t="s">
        <v>116</v>
      </c>
      <c r="AC51" s="760" t="s">
        <v>441</v>
      </c>
      <c r="AD51" s="760" t="s">
        <v>116</v>
      </c>
      <c r="AE51" s="583"/>
    </row>
    <row r="52" spans="2:31" s="1" customFormat="1" ht="6" customHeight="1" x14ac:dyDescent="0.2">
      <c r="B52" s="1620"/>
      <c r="C52" s="1621"/>
      <c r="D52" s="1621"/>
      <c r="E52" s="1621"/>
      <c r="F52" s="1622"/>
      <c r="G52" s="591"/>
      <c r="H52" s="8"/>
      <c r="I52" s="8"/>
      <c r="J52" s="8"/>
      <c r="K52" s="8"/>
      <c r="L52" s="8"/>
      <c r="M52" s="8"/>
      <c r="N52" s="8"/>
      <c r="O52" s="8"/>
      <c r="P52" s="8"/>
      <c r="Q52" s="8"/>
      <c r="R52" s="8"/>
      <c r="S52" s="8"/>
      <c r="T52" s="8"/>
      <c r="U52" s="894"/>
      <c r="V52" s="901"/>
      <c r="W52" s="564"/>
      <c r="X52" s="8"/>
      <c r="Y52" s="8"/>
      <c r="Z52" s="8"/>
      <c r="AA52" s="591"/>
      <c r="AB52" s="8"/>
      <c r="AC52" s="8"/>
      <c r="AD52" s="594"/>
      <c r="AE52" s="592"/>
    </row>
    <row r="53" spans="2:31" s="1" customFormat="1" ht="4.5" customHeight="1" x14ac:dyDescent="0.2">
      <c r="B53" s="1431" t="s">
        <v>843</v>
      </c>
      <c r="C53" s="1432"/>
      <c r="D53" s="1432"/>
      <c r="E53" s="1432"/>
      <c r="F53" s="1450"/>
      <c r="G53" s="6"/>
      <c r="H53" s="7"/>
      <c r="I53" s="7"/>
      <c r="J53" s="7"/>
      <c r="K53" s="7"/>
      <c r="L53" s="7"/>
      <c r="M53" s="7"/>
      <c r="N53" s="7"/>
      <c r="O53" s="7"/>
      <c r="P53" s="7"/>
      <c r="Q53" s="7"/>
      <c r="R53" s="7"/>
      <c r="S53" s="7"/>
      <c r="T53" s="7"/>
      <c r="U53" s="7"/>
      <c r="V53" s="562"/>
      <c r="W53" s="562"/>
      <c r="X53" s="7"/>
      <c r="Y53" s="7"/>
      <c r="Z53" s="7"/>
      <c r="AA53" s="6"/>
      <c r="AB53" s="7"/>
      <c r="AC53" s="7"/>
      <c r="AD53" s="22"/>
      <c r="AE53" s="23"/>
    </row>
    <row r="54" spans="2:31" s="1" customFormat="1" ht="13.5" customHeight="1" x14ac:dyDescent="0.2">
      <c r="B54" s="1618"/>
      <c r="C54" s="1568"/>
      <c r="D54" s="1568"/>
      <c r="E54" s="1568"/>
      <c r="F54" s="1619"/>
      <c r="G54" s="582"/>
      <c r="H54" s="1" t="s">
        <v>844</v>
      </c>
      <c r="V54" s="12"/>
      <c r="W54" s="12"/>
      <c r="AA54" s="582"/>
      <c r="AB54" s="769" t="s">
        <v>1117</v>
      </c>
      <c r="AC54" s="769" t="s">
        <v>441</v>
      </c>
      <c r="AD54" s="769" t="s">
        <v>721</v>
      </c>
      <c r="AE54" s="890"/>
    </row>
    <row r="55" spans="2:31" s="1" customFormat="1" ht="30" customHeight="1" x14ac:dyDescent="0.2">
      <c r="B55" s="1618"/>
      <c r="C55" s="1568"/>
      <c r="D55" s="1568"/>
      <c r="E55" s="1568"/>
      <c r="F55" s="1619"/>
      <c r="G55" s="582"/>
      <c r="I55" s="891" t="s">
        <v>103</v>
      </c>
      <c r="J55" s="1606" t="s">
        <v>857</v>
      </c>
      <c r="K55" s="1613"/>
      <c r="L55" s="1613"/>
      <c r="M55" s="1613"/>
      <c r="N55" s="1613"/>
      <c r="O55" s="1613"/>
      <c r="P55" s="1613"/>
      <c r="Q55" s="1613"/>
      <c r="R55" s="1613"/>
      <c r="S55" s="1613"/>
      <c r="T55" s="1613"/>
      <c r="U55" s="1613"/>
      <c r="V55" s="1554"/>
      <c r="W55" s="1338"/>
      <c r="X55" s="11" t="s">
        <v>89</v>
      </c>
      <c r="AA55" s="582"/>
      <c r="AD55" s="2"/>
      <c r="AE55" s="583"/>
    </row>
    <row r="56" spans="2:31" s="1" customFormat="1" ht="33" customHeight="1" x14ac:dyDescent="0.2">
      <c r="B56" s="1618"/>
      <c r="C56" s="1568"/>
      <c r="D56" s="1568"/>
      <c r="E56" s="1568"/>
      <c r="F56" s="1619"/>
      <c r="G56" s="582"/>
      <c r="I56" s="892" t="s">
        <v>104</v>
      </c>
      <c r="J56" s="1608" t="s">
        <v>858</v>
      </c>
      <c r="K56" s="1609"/>
      <c r="L56" s="1609"/>
      <c r="M56" s="1609"/>
      <c r="N56" s="1609"/>
      <c r="O56" s="1609"/>
      <c r="P56" s="1609"/>
      <c r="Q56" s="1609"/>
      <c r="R56" s="1609"/>
      <c r="S56" s="1609"/>
      <c r="T56" s="1609"/>
      <c r="U56" s="1609"/>
      <c r="V56" s="1554"/>
      <c r="W56" s="1338"/>
      <c r="X56" s="593" t="s">
        <v>89</v>
      </c>
      <c r="Z56" s="877"/>
      <c r="AA56" s="579"/>
      <c r="AB56" s="760" t="s">
        <v>116</v>
      </c>
      <c r="AC56" s="760" t="s">
        <v>441</v>
      </c>
      <c r="AD56" s="760" t="s">
        <v>116</v>
      </c>
      <c r="AE56" s="583"/>
    </row>
    <row r="57" spans="2:31" s="1" customFormat="1" ht="6" customHeight="1" x14ac:dyDescent="0.2">
      <c r="B57" s="1620"/>
      <c r="C57" s="1621"/>
      <c r="D57" s="1621"/>
      <c r="E57" s="1621"/>
      <c r="F57" s="1622"/>
      <c r="G57" s="591"/>
      <c r="H57" s="8"/>
      <c r="I57" s="8"/>
      <c r="J57" s="8"/>
      <c r="K57" s="8"/>
      <c r="L57" s="8"/>
      <c r="M57" s="8"/>
      <c r="N57" s="8"/>
      <c r="O57" s="8"/>
      <c r="P57" s="8"/>
      <c r="Q57" s="8"/>
      <c r="R57" s="8"/>
      <c r="S57" s="8"/>
      <c r="T57" s="8"/>
      <c r="U57" s="894"/>
      <c r="V57" s="894"/>
      <c r="W57" s="8"/>
      <c r="X57" s="8"/>
      <c r="Y57" s="8"/>
      <c r="Z57" s="8"/>
      <c r="AA57" s="591"/>
      <c r="AB57" s="8"/>
      <c r="AC57" s="8"/>
      <c r="AD57" s="594"/>
      <c r="AE57" s="592"/>
    </row>
    <row r="58" spans="2:31" s="1" customFormat="1" ht="6" customHeight="1" x14ac:dyDescent="0.2">
      <c r="B58" s="870"/>
      <c r="C58" s="870"/>
      <c r="D58" s="870"/>
      <c r="E58" s="870"/>
      <c r="F58" s="870"/>
      <c r="U58" s="877"/>
      <c r="V58" s="877"/>
    </row>
    <row r="59" spans="2:31" s="1" customFormat="1" ht="13.5" customHeight="1" x14ac:dyDescent="0.2">
      <c r="B59" s="1615" t="s">
        <v>859</v>
      </c>
      <c r="C59" s="1616"/>
      <c r="D59" s="878" t="s">
        <v>1731</v>
      </c>
      <c r="E59" s="878"/>
      <c r="F59" s="878"/>
      <c r="G59" s="878"/>
      <c r="H59" s="878"/>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row>
    <row r="60" spans="2:31" s="1" customFormat="1" ht="37.5" customHeight="1" x14ac:dyDescent="0.2">
      <c r="B60" s="1615" t="s">
        <v>860</v>
      </c>
      <c r="C60" s="1616"/>
      <c r="D60" s="1634" t="s">
        <v>861</v>
      </c>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4A9741-4C46-4F07-A935-432AEBBE2A34}">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D308C-3C48-4455-9E38-9D79110D36AC}">
  <sheetPr>
    <tabColor rgb="FFFFFF00"/>
    <pageSetUpPr fitToPage="1"/>
  </sheetPr>
  <dimension ref="A1:AG123"/>
  <sheetViews>
    <sheetView view="pageBreakPreview" zoomScale="70" zoomScaleNormal="100" zoomScaleSheetLayoutView="70" workbookViewId="0"/>
  </sheetViews>
  <sheetFormatPr defaultColWidth="3.44140625" defaultRowHeight="13.2" x14ac:dyDescent="0.2"/>
  <cols>
    <col min="1" max="1" width="1.21875" style="3" customWidth="1"/>
    <col min="2" max="2" width="3" style="59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 customFormat="1" x14ac:dyDescent="0.2">
      <c r="A1" s="1084"/>
    </row>
    <row r="2" spans="1:30" s="1" customFormat="1" x14ac:dyDescent="0.2">
      <c r="B2" s="1" t="s">
        <v>1969</v>
      </c>
    </row>
    <row r="3" spans="1:30" s="1" customFormat="1" x14ac:dyDescent="0.2">
      <c r="X3" s="45" t="s">
        <v>643</v>
      </c>
      <c r="Y3" s="12"/>
      <c r="Z3" s="12" t="s">
        <v>34</v>
      </c>
      <c r="AA3" s="12"/>
      <c r="AB3" s="12" t="s">
        <v>383</v>
      </c>
      <c r="AC3" s="12"/>
      <c r="AD3" s="12" t="s">
        <v>167</v>
      </c>
    </row>
    <row r="4" spans="1:30" s="1" customFormat="1" x14ac:dyDescent="0.2">
      <c r="AD4" s="45"/>
    </row>
    <row r="5" spans="1:30" s="1" customFormat="1" ht="27.75" customHeight="1" x14ac:dyDescent="0.2">
      <c r="B5" s="1568" t="s">
        <v>1970</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row>
    <row r="6" spans="1:30" s="1" customFormat="1" x14ac:dyDescent="0.2"/>
    <row r="7" spans="1:30" s="1" customFormat="1" ht="39.75" customHeight="1" x14ac:dyDescent="0.2">
      <c r="B7" s="1554" t="s">
        <v>274</v>
      </c>
      <c r="C7" s="1554"/>
      <c r="D7" s="1554"/>
      <c r="E7" s="1554"/>
      <c r="F7" s="1554"/>
      <c r="G7" s="1549"/>
      <c r="H7" s="1550"/>
      <c r="I7" s="1550"/>
      <c r="J7" s="1550"/>
      <c r="K7" s="1550"/>
      <c r="L7" s="1550"/>
      <c r="M7" s="1550"/>
      <c r="N7" s="1550"/>
      <c r="O7" s="1550"/>
      <c r="P7" s="1550"/>
      <c r="Q7" s="1550"/>
      <c r="R7" s="1550"/>
      <c r="S7" s="1550"/>
      <c r="T7" s="1550"/>
      <c r="U7" s="1550"/>
      <c r="V7" s="1550"/>
      <c r="W7" s="1550"/>
      <c r="X7" s="1550"/>
      <c r="Y7" s="1550"/>
      <c r="Z7" s="1550"/>
      <c r="AA7" s="1550"/>
      <c r="AB7" s="1550"/>
      <c r="AC7" s="1550"/>
      <c r="AD7" s="1551"/>
    </row>
    <row r="8" spans="1:30" ht="39.75" customHeight="1" x14ac:dyDescent="0.2">
      <c r="B8" s="1338" t="s">
        <v>93</v>
      </c>
      <c r="C8" s="1339"/>
      <c r="D8" s="1339"/>
      <c r="E8" s="1339"/>
      <c r="F8" s="1340"/>
      <c r="G8" s="799"/>
      <c r="H8" s="786" t="s">
        <v>116</v>
      </c>
      <c r="I8" s="759" t="s">
        <v>1174</v>
      </c>
      <c r="J8" s="759"/>
      <c r="K8" s="759"/>
      <c r="L8" s="759"/>
      <c r="M8" s="760" t="s">
        <v>116</v>
      </c>
      <c r="N8" s="759" t="s">
        <v>1175</v>
      </c>
      <c r="O8" s="759"/>
      <c r="P8" s="759"/>
      <c r="Q8" s="759"/>
      <c r="R8" s="760" t="s">
        <v>116</v>
      </c>
      <c r="S8" s="759" t="s">
        <v>1176</v>
      </c>
      <c r="T8" s="759"/>
      <c r="U8" s="759"/>
      <c r="V8" s="759"/>
      <c r="W8" s="759"/>
      <c r="X8" s="759"/>
      <c r="Y8" s="759"/>
      <c r="Z8" s="759"/>
      <c r="AA8" s="759"/>
      <c r="AB8" s="759"/>
      <c r="AC8" s="759"/>
      <c r="AD8" s="785"/>
    </row>
    <row r="9" spans="1:30" ht="39.75" customHeight="1" x14ac:dyDescent="0.2">
      <c r="B9" s="1338" t="s">
        <v>173</v>
      </c>
      <c r="C9" s="1339"/>
      <c r="D9" s="1339"/>
      <c r="E9" s="1339"/>
      <c r="F9" s="1339"/>
      <c r="G9" s="799"/>
      <c r="H9" s="786" t="s">
        <v>116</v>
      </c>
      <c r="I9" s="759" t="s">
        <v>1971</v>
      </c>
      <c r="J9" s="759"/>
      <c r="K9" s="759"/>
      <c r="L9" s="759"/>
      <c r="M9" s="759"/>
      <c r="N9" s="759"/>
      <c r="O9" s="759"/>
      <c r="P9" s="759"/>
      <c r="Q9" s="759"/>
      <c r="R9" s="759"/>
      <c r="S9" s="759"/>
      <c r="T9" s="759"/>
      <c r="U9" s="759"/>
      <c r="V9" s="759"/>
      <c r="W9" s="759"/>
      <c r="X9" s="759"/>
      <c r="Y9" s="759"/>
      <c r="Z9" s="759"/>
      <c r="AA9" s="759"/>
      <c r="AB9" s="759"/>
      <c r="AC9" s="759"/>
      <c r="AD9" s="785"/>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582"/>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88"/>
    </row>
    <row r="13" spans="1:30" s="1" customFormat="1" ht="32.25" customHeight="1" x14ac:dyDescent="0.2">
      <c r="B13" s="596"/>
      <c r="C13" s="1638" t="s">
        <v>646</v>
      </c>
      <c r="D13" s="1574"/>
      <c r="E13" s="1574"/>
      <c r="F13" s="1639"/>
      <c r="H13" s="767" t="s">
        <v>103</v>
      </c>
      <c r="I13" s="1640" t="s">
        <v>1972</v>
      </c>
      <c r="J13" s="1641"/>
      <c r="K13" s="1641"/>
      <c r="L13" s="1641"/>
      <c r="M13" s="1641"/>
      <c r="N13" s="1641"/>
      <c r="O13" s="1641"/>
      <c r="P13" s="1641"/>
      <c r="Q13" s="1641"/>
      <c r="R13" s="1641"/>
      <c r="S13" s="1338"/>
      <c r="T13" s="1339"/>
      <c r="U13" s="575" t="s">
        <v>89</v>
      </c>
      <c r="V13" s="12"/>
      <c r="W13" s="12"/>
      <c r="X13" s="12"/>
      <c r="Y13" s="12"/>
      <c r="AA13" s="582"/>
      <c r="AC13" s="588"/>
      <c r="AD13" s="588"/>
    </row>
    <row r="14" spans="1:30" s="1" customFormat="1" ht="32.25" customHeight="1" x14ac:dyDescent="0.2">
      <c r="B14" s="596"/>
      <c r="C14" s="596"/>
      <c r="D14" s="577"/>
      <c r="E14" s="577"/>
      <c r="F14" s="578"/>
      <c r="H14" s="767" t="s">
        <v>104</v>
      </c>
      <c r="I14" s="1640" t="s">
        <v>1973</v>
      </c>
      <c r="J14" s="1641"/>
      <c r="K14" s="1641"/>
      <c r="L14" s="1641"/>
      <c r="M14" s="1641"/>
      <c r="N14" s="1641"/>
      <c r="O14" s="1641"/>
      <c r="P14" s="1641"/>
      <c r="Q14" s="1641"/>
      <c r="R14" s="1641"/>
      <c r="S14" s="1338"/>
      <c r="T14" s="1339"/>
      <c r="U14" s="575" t="s">
        <v>89</v>
      </c>
      <c r="V14" s="12"/>
      <c r="W14" s="12"/>
      <c r="X14" s="12"/>
      <c r="Y14" s="12"/>
      <c r="AA14" s="768" t="s">
        <v>1117</v>
      </c>
      <c r="AB14" s="769" t="s">
        <v>441</v>
      </c>
      <c r="AC14" s="770" t="s">
        <v>721</v>
      </c>
      <c r="AD14" s="588"/>
    </row>
    <row r="15" spans="1:30" s="1" customFormat="1" ht="32.25" customHeight="1" x14ac:dyDescent="0.2">
      <c r="B15" s="582"/>
      <c r="C15" s="582"/>
      <c r="F15" s="588"/>
      <c r="H15" s="767" t="s">
        <v>120</v>
      </c>
      <c r="I15" s="1642" t="s">
        <v>647</v>
      </c>
      <c r="J15" s="1643"/>
      <c r="K15" s="1643"/>
      <c r="L15" s="1643"/>
      <c r="M15" s="1643"/>
      <c r="N15" s="1643"/>
      <c r="O15" s="1643"/>
      <c r="P15" s="1643"/>
      <c r="Q15" s="1643"/>
      <c r="R15" s="1644"/>
      <c r="S15" s="1338"/>
      <c r="T15" s="1339"/>
      <c r="U15" s="575" t="s">
        <v>60</v>
      </c>
      <c r="V15" s="1" t="s">
        <v>279</v>
      </c>
      <c r="W15" s="1645" t="s">
        <v>1974</v>
      </c>
      <c r="X15" s="1645"/>
      <c r="Y15" s="1645"/>
      <c r="Z15" s="21"/>
      <c r="AA15" s="763" t="s">
        <v>116</v>
      </c>
      <c r="AB15" s="760" t="s">
        <v>441</v>
      </c>
      <c r="AC15" s="771" t="s">
        <v>116</v>
      </c>
      <c r="AD15" s="797"/>
    </row>
    <row r="16" spans="1:30" s="1" customFormat="1" x14ac:dyDescent="0.2">
      <c r="B16" s="582"/>
      <c r="C16" s="591"/>
      <c r="D16" s="8"/>
      <c r="E16" s="8"/>
      <c r="F16" s="593"/>
      <c r="G16" s="8"/>
      <c r="H16" s="8"/>
      <c r="I16" s="8"/>
      <c r="J16" s="8"/>
      <c r="K16" s="8"/>
      <c r="L16" s="8"/>
      <c r="M16" s="8"/>
      <c r="N16" s="8"/>
      <c r="O16" s="8"/>
      <c r="P16" s="8"/>
      <c r="Q16" s="8"/>
      <c r="R16" s="8"/>
      <c r="S16" s="8"/>
      <c r="T16" s="8"/>
      <c r="U16" s="8"/>
      <c r="V16" s="8"/>
      <c r="W16" s="8"/>
      <c r="X16" s="8"/>
      <c r="Y16" s="8"/>
      <c r="Z16" s="8"/>
      <c r="AA16" s="591"/>
      <c r="AB16" s="8"/>
      <c r="AC16" s="593"/>
      <c r="AD16" s="588"/>
    </row>
    <row r="17" spans="2:30" s="1" customFormat="1" ht="10.5" customHeight="1" x14ac:dyDescent="0.2">
      <c r="B17" s="582"/>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88"/>
    </row>
    <row r="18" spans="2:30" s="1" customFormat="1" ht="27" customHeight="1" x14ac:dyDescent="0.2">
      <c r="B18" s="596"/>
      <c r="C18" s="1638" t="s">
        <v>648</v>
      </c>
      <c r="D18" s="1574"/>
      <c r="E18" s="1574"/>
      <c r="F18" s="1639"/>
      <c r="H18" s="767" t="s">
        <v>103</v>
      </c>
      <c r="I18" s="1640" t="s">
        <v>649</v>
      </c>
      <c r="J18" s="1641"/>
      <c r="K18" s="1641"/>
      <c r="L18" s="1641"/>
      <c r="M18" s="1641"/>
      <c r="N18" s="1641"/>
      <c r="O18" s="1641"/>
      <c r="P18" s="1641"/>
      <c r="Q18" s="1641"/>
      <c r="R18" s="1641"/>
      <c r="S18" s="1338"/>
      <c r="T18" s="1339"/>
      <c r="U18" s="575" t="s">
        <v>30</v>
      </c>
      <c r="V18" s="12"/>
      <c r="W18" s="12"/>
      <c r="X18" s="12"/>
      <c r="Y18" s="12"/>
      <c r="AA18" s="582"/>
      <c r="AC18" s="588"/>
      <c r="AD18" s="588"/>
    </row>
    <row r="19" spans="2:30" s="1" customFormat="1" ht="27" customHeight="1" x14ac:dyDescent="0.2">
      <c r="B19" s="596"/>
      <c r="C19" s="1638"/>
      <c r="D19" s="1574"/>
      <c r="E19" s="1574"/>
      <c r="F19" s="1639"/>
      <c r="H19" s="767" t="s">
        <v>104</v>
      </c>
      <c r="I19" s="1640" t="s">
        <v>650</v>
      </c>
      <c r="J19" s="1641"/>
      <c r="K19" s="1641"/>
      <c r="L19" s="1641"/>
      <c r="M19" s="1641"/>
      <c r="N19" s="1641"/>
      <c r="O19" s="1641"/>
      <c r="P19" s="1641"/>
      <c r="Q19" s="1641"/>
      <c r="R19" s="1641"/>
      <c r="S19" s="1338"/>
      <c r="T19" s="1339"/>
      <c r="U19" s="575" t="s">
        <v>89</v>
      </c>
      <c r="V19" s="12"/>
      <c r="W19" s="12"/>
      <c r="X19" s="12"/>
      <c r="Y19" s="12"/>
      <c r="AA19" s="582"/>
      <c r="AC19" s="588"/>
      <c r="AD19" s="588"/>
    </row>
    <row r="20" spans="2:30" s="1" customFormat="1" ht="27" customHeight="1" x14ac:dyDescent="0.2">
      <c r="B20" s="596"/>
      <c r="C20" s="596"/>
      <c r="D20" s="577"/>
      <c r="E20" s="577"/>
      <c r="F20" s="578"/>
      <c r="H20" s="767" t="s">
        <v>120</v>
      </c>
      <c r="I20" s="1640" t="s">
        <v>868</v>
      </c>
      <c r="J20" s="1641"/>
      <c r="K20" s="1641"/>
      <c r="L20" s="1641"/>
      <c r="M20" s="1641"/>
      <c r="N20" s="1641"/>
      <c r="O20" s="1641"/>
      <c r="P20" s="1641"/>
      <c r="Q20" s="1641"/>
      <c r="R20" s="1641"/>
      <c r="S20" s="1338"/>
      <c r="T20" s="1339"/>
      <c r="U20" s="575" t="s">
        <v>89</v>
      </c>
      <c r="V20" s="12"/>
      <c r="W20" s="12"/>
      <c r="X20" s="12"/>
      <c r="Y20" s="12"/>
      <c r="AA20" s="768" t="s">
        <v>1117</v>
      </c>
      <c r="AB20" s="769" t="s">
        <v>441</v>
      </c>
      <c r="AC20" s="770" t="s">
        <v>721</v>
      </c>
      <c r="AD20" s="588"/>
    </row>
    <row r="21" spans="2:30" s="1" customFormat="1" ht="27" customHeight="1" x14ac:dyDescent="0.2">
      <c r="B21" s="582"/>
      <c r="C21" s="582"/>
      <c r="F21" s="588"/>
      <c r="H21" s="767" t="s">
        <v>121</v>
      </c>
      <c r="I21" s="1642" t="s">
        <v>651</v>
      </c>
      <c r="J21" s="1643"/>
      <c r="K21" s="1643"/>
      <c r="L21" s="1643"/>
      <c r="M21" s="1643"/>
      <c r="N21" s="1643"/>
      <c r="O21" s="1643"/>
      <c r="P21" s="1643"/>
      <c r="Q21" s="1643"/>
      <c r="R21" s="1644"/>
      <c r="S21" s="1338"/>
      <c r="T21" s="1339"/>
      <c r="U21" s="575" t="s">
        <v>60</v>
      </c>
      <c r="V21" s="1" t="s">
        <v>279</v>
      </c>
      <c r="W21" s="1645" t="s">
        <v>1975</v>
      </c>
      <c r="X21" s="1645"/>
      <c r="Y21" s="1645"/>
      <c r="Z21" s="21"/>
      <c r="AA21" s="763" t="s">
        <v>116</v>
      </c>
      <c r="AB21" s="760" t="s">
        <v>441</v>
      </c>
      <c r="AC21" s="771" t="s">
        <v>116</v>
      </c>
      <c r="AD21" s="797"/>
    </row>
    <row r="22" spans="2:30" s="1" customFormat="1" x14ac:dyDescent="0.2">
      <c r="B22" s="582"/>
      <c r="C22" s="591"/>
      <c r="D22" s="8"/>
      <c r="E22" s="8"/>
      <c r="F22" s="593"/>
      <c r="G22" s="8"/>
      <c r="H22" s="8"/>
      <c r="I22" s="8"/>
      <c r="J22" s="8"/>
      <c r="K22" s="8"/>
      <c r="L22" s="8"/>
      <c r="M22" s="8"/>
      <c r="N22" s="8"/>
      <c r="O22" s="8"/>
      <c r="P22" s="8"/>
      <c r="Q22" s="8"/>
      <c r="R22" s="8"/>
      <c r="S22" s="8"/>
      <c r="T22" s="8"/>
      <c r="U22" s="8"/>
      <c r="V22" s="8"/>
      <c r="W22" s="8"/>
      <c r="X22" s="8"/>
      <c r="Y22" s="8"/>
      <c r="Z22" s="8"/>
      <c r="AA22" s="591"/>
      <c r="AB22" s="8"/>
      <c r="AC22" s="593"/>
      <c r="AD22" s="588"/>
    </row>
    <row r="23" spans="2:30" s="1" customFormat="1" x14ac:dyDescent="0.2">
      <c r="B23" s="591"/>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593"/>
    </row>
    <row r="24" spans="2:30" s="1" customFormat="1" ht="7.5" customHeight="1" x14ac:dyDescent="0.2">
      <c r="B24" s="1463"/>
      <c r="C24" s="1463"/>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row>
    <row r="25" spans="2:30" s="1" customFormat="1" ht="89.25" customHeight="1" x14ac:dyDescent="0.2">
      <c r="B25" s="1473" t="s">
        <v>869</v>
      </c>
      <c r="C25" s="1473"/>
      <c r="D25" s="1370" t="s">
        <v>1976</v>
      </c>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21"/>
    </row>
    <row r="26" spans="2:30" s="1" customFormat="1" ht="43.5" customHeight="1" x14ac:dyDescent="0.2">
      <c r="B26" s="1329" t="s">
        <v>870</v>
      </c>
      <c r="C26" s="1329"/>
      <c r="D26" s="1463" t="s">
        <v>1977</v>
      </c>
      <c r="E26" s="1463"/>
      <c r="F26" s="1463"/>
      <c r="G26" s="1463"/>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577"/>
    </row>
    <row r="27" spans="2:30" s="1" customFormat="1" ht="50.25" customHeight="1" x14ac:dyDescent="0.2">
      <c r="B27" s="1463" t="s">
        <v>1978</v>
      </c>
      <c r="C27" s="1463"/>
      <c r="D27" s="1463"/>
      <c r="E27" s="1463"/>
      <c r="F27" s="1463"/>
      <c r="G27" s="1463"/>
      <c r="H27" s="1463"/>
      <c r="I27" s="1463"/>
      <c r="J27" s="1463"/>
      <c r="K27" s="1463"/>
      <c r="L27" s="1463"/>
      <c r="M27" s="1463"/>
      <c r="N27" s="1463"/>
      <c r="O27" s="1463"/>
      <c r="P27" s="1463"/>
      <c r="Q27" s="1463"/>
      <c r="R27" s="1463"/>
      <c r="S27" s="1463"/>
      <c r="T27" s="1463"/>
      <c r="U27" s="1463"/>
      <c r="V27" s="1463"/>
      <c r="W27" s="1463"/>
      <c r="X27" s="1463"/>
      <c r="Y27" s="1463"/>
      <c r="Z27" s="1463"/>
      <c r="AA27" s="1463"/>
      <c r="AB27" s="1463"/>
      <c r="AC27" s="1463"/>
      <c r="AD27" s="1463"/>
    </row>
    <row r="28" spans="2:30" s="1" customFormat="1" x14ac:dyDescent="0.2">
      <c r="B28" s="1463"/>
      <c r="C28" s="1463"/>
      <c r="D28" s="1463"/>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9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59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59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59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59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59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D663320D-7849-4671-AF95-03B0AD476343}">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A1A1-D392-479F-BD16-D9256E8A0979}">
  <sheetPr>
    <tabColor rgb="FFFFFF00"/>
    <pageSetUpPr fitToPage="1"/>
  </sheetPr>
  <dimension ref="B2:AD123"/>
  <sheetViews>
    <sheetView view="pageBreakPreview" zoomScale="70" zoomScaleNormal="100" zoomScaleSheetLayoutView="70"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256" width="4" style="1"/>
    <col min="257" max="257" width="1.44140625" style="1" customWidth="1"/>
    <col min="258" max="258" width="3.109375" style="1" customWidth="1"/>
    <col min="259" max="259" width="1.109375" style="1" customWidth="1"/>
    <col min="260" max="275" width="4" style="1"/>
    <col min="276" max="276" width="3.109375" style="1" customWidth="1"/>
    <col min="277" max="277" width="2.33203125" style="1" customWidth="1"/>
    <col min="278" max="278" width="4" style="1"/>
    <col min="279" max="279" width="2.21875" style="1" customWidth="1"/>
    <col min="280" max="280" width="4" style="1"/>
    <col min="281" max="281" width="2.33203125" style="1" customWidth="1"/>
    <col min="282" max="282" width="1.44140625" style="1" customWidth="1"/>
    <col min="283" max="285" width="4" style="1"/>
    <col min="286" max="286" width="6.6640625" style="1" bestFit="1" customWidth="1"/>
    <col min="287" max="512" width="4" style="1"/>
    <col min="513" max="513" width="1.44140625" style="1" customWidth="1"/>
    <col min="514" max="514" width="3.109375" style="1" customWidth="1"/>
    <col min="515" max="515" width="1.109375" style="1" customWidth="1"/>
    <col min="516" max="531" width="4" style="1"/>
    <col min="532" max="532" width="3.109375" style="1" customWidth="1"/>
    <col min="533" max="533" width="2.33203125" style="1" customWidth="1"/>
    <col min="534" max="534" width="4" style="1"/>
    <col min="535" max="535" width="2.21875" style="1" customWidth="1"/>
    <col min="536" max="536" width="4" style="1"/>
    <col min="537" max="537" width="2.33203125" style="1" customWidth="1"/>
    <col min="538" max="538" width="1.44140625" style="1" customWidth="1"/>
    <col min="539" max="541" width="4" style="1"/>
    <col min="542" max="542" width="6.6640625" style="1" bestFit="1" customWidth="1"/>
    <col min="543" max="768" width="4" style="1"/>
    <col min="769" max="769" width="1.44140625" style="1" customWidth="1"/>
    <col min="770" max="770" width="3.109375" style="1" customWidth="1"/>
    <col min="771" max="771" width="1.109375" style="1" customWidth="1"/>
    <col min="772" max="787" width="4" style="1"/>
    <col min="788" max="788" width="3.109375" style="1" customWidth="1"/>
    <col min="789" max="789" width="2.33203125" style="1" customWidth="1"/>
    <col min="790" max="790" width="4" style="1"/>
    <col min="791" max="791" width="2.21875" style="1" customWidth="1"/>
    <col min="792" max="792" width="4" style="1"/>
    <col min="793" max="793" width="2.33203125" style="1" customWidth="1"/>
    <col min="794" max="794" width="1.44140625" style="1" customWidth="1"/>
    <col min="795" max="797" width="4" style="1"/>
    <col min="798" max="798" width="6.6640625" style="1" bestFit="1" customWidth="1"/>
    <col min="799" max="1024" width="4" style="1"/>
    <col min="1025" max="1025" width="1.44140625" style="1" customWidth="1"/>
    <col min="1026" max="1026" width="3.109375" style="1" customWidth="1"/>
    <col min="1027" max="1027" width="1.109375" style="1" customWidth="1"/>
    <col min="1028" max="1043" width="4" style="1"/>
    <col min="1044" max="1044" width="3.109375" style="1" customWidth="1"/>
    <col min="1045" max="1045" width="2.33203125" style="1" customWidth="1"/>
    <col min="1046" max="1046" width="4" style="1"/>
    <col min="1047" max="1047" width="2.21875" style="1" customWidth="1"/>
    <col min="1048" max="1048" width="4" style="1"/>
    <col min="1049" max="1049" width="2.33203125" style="1" customWidth="1"/>
    <col min="1050" max="1050" width="1.44140625" style="1" customWidth="1"/>
    <col min="1051" max="1053" width="4" style="1"/>
    <col min="1054" max="1054" width="6.6640625" style="1" bestFit="1" customWidth="1"/>
    <col min="1055" max="1280" width="4" style="1"/>
    <col min="1281" max="1281" width="1.44140625" style="1" customWidth="1"/>
    <col min="1282" max="1282" width="3.109375" style="1" customWidth="1"/>
    <col min="1283" max="1283" width="1.109375" style="1" customWidth="1"/>
    <col min="1284" max="1299" width="4" style="1"/>
    <col min="1300" max="1300" width="3.109375" style="1" customWidth="1"/>
    <col min="1301" max="1301" width="2.33203125" style="1" customWidth="1"/>
    <col min="1302" max="1302" width="4" style="1"/>
    <col min="1303" max="1303" width="2.21875" style="1" customWidth="1"/>
    <col min="1304" max="1304" width="4" style="1"/>
    <col min="1305" max="1305" width="2.33203125" style="1" customWidth="1"/>
    <col min="1306" max="1306" width="1.44140625" style="1" customWidth="1"/>
    <col min="1307" max="1309" width="4" style="1"/>
    <col min="1310" max="1310" width="6.6640625" style="1" bestFit="1" customWidth="1"/>
    <col min="1311" max="1536" width="4" style="1"/>
    <col min="1537" max="1537" width="1.44140625" style="1" customWidth="1"/>
    <col min="1538" max="1538" width="3.109375" style="1" customWidth="1"/>
    <col min="1539" max="1539" width="1.109375" style="1" customWidth="1"/>
    <col min="1540" max="1555" width="4" style="1"/>
    <col min="1556" max="1556" width="3.109375" style="1" customWidth="1"/>
    <col min="1557" max="1557" width="2.33203125" style="1" customWidth="1"/>
    <col min="1558" max="1558" width="4" style="1"/>
    <col min="1559" max="1559" width="2.21875" style="1" customWidth="1"/>
    <col min="1560" max="1560" width="4" style="1"/>
    <col min="1561" max="1561" width="2.33203125" style="1" customWidth="1"/>
    <col min="1562" max="1562" width="1.44140625" style="1" customWidth="1"/>
    <col min="1563" max="1565" width="4" style="1"/>
    <col min="1566" max="1566" width="6.6640625" style="1" bestFit="1" customWidth="1"/>
    <col min="1567" max="1792" width="4" style="1"/>
    <col min="1793" max="1793" width="1.44140625" style="1" customWidth="1"/>
    <col min="1794" max="1794" width="3.109375" style="1" customWidth="1"/>
    <col min="1795" max="1795" width="1.109375" style="1" customWidth="1"/>
    <col min="1796" max="1811" width="4" style="1"/>
    <col min="1812" max="1812" width="3.109375" style="1" customWidth="1"/>
    <col min="1813" max="1813" width="2.33203125" style="1" customWidth="1"/>
    <col min="1814" max="1814" width="4" style="1"/>
    <col min="1815" max="1815" width="2.21875" style="1" customWidth="1"/>
    <col min="1816" max="1816" width="4" style="1"/>
    <col min="1817" max="1817" width="2.33203125" style="1" customWidth="1"/>
    <col min="1818" max="1818" width="1.44140625" style="1" customWidth="1"/>
    <col min="1819" max="1821" width="4" style="1"/>
    <col min="1822" max="1822" width="6.6640625" style="1" bestFit="1" customWidth="1"/>
    <col min="1823" max="2048" width="4" style="1"/>
    <col min="2049" max="2049" width="1.44140625" style="1" customWidth="1"/>
    <col min="2050" max="2050" width="3.109375" style="1" customWidth="1"/>
    <col min="2051" max="2051" width="1.109375" style="1" customWidth="1"/>
    <col min="2052" max="2067" width="4" style="1"/>
    <col min="2068" max="2068" width="3.109375" style="1" customWidth="1"/>
    <col min="2069" max="2069" width="2.33203125" style="1" customWidth="1"/>
    <col min="2070" max="2070" width="4" style="1"/>
    <col min="2071" max="2071" width="2.21875" style="1" customWidth="1"/>
    <col min="2072" max="2072" width="4" style="1"/>
    <col min="2073" max="2073" width="2.33203125" style="1" customWidth="1"/>
    <col min="2074" max="2074" width="1.44140625" style="1" customWidth="1"/>
    <col min="2075" max="2077" width="4" style="1"/>
    <col min="2078" max="2078" width="6.6640625" style="1" bestFit="1" customWidth="1"/>
    <col min="2079" max="2304" width="4" style="1"/>
    <col min="2305" max="2305" width="1.44140625" style="1" customWidth="1"/>
    <col min="2306" max="2306" width="3.109375" style="1" customWidth="1"/>
    <col min="2307" max="2307" width="1.109375" style="1" customWidth="1"/>
    <col min="2308" max="2323" width="4" style="1"/>
    <col min="2324" max="2324" width="3.109375" style="1" customWidth="1"/>
    <col min="2325" max="2325" width="2.33203125" style="1" customWidth="1"/>
    <col min="2326" max="2326" width="4" style="1"/>
    <col min="2327" max="2327" width="2.21875" style="1" customWidth="1"/>
    <col min="2328" max="2328" width="4" style="1"/>
    <col min="2329" max="2329" width="2.33203125" style="1" customWidth="1"/>
    <col min="2330" max="2330" width="1.44140625" style="1" customWidth="1"/>
    <col min="2331" max="2333" width="4" style="1"/>
    <col min="2334" max="2334" width="6.6640625" style="1" bestFit="1" customWidth="1"/>
    <col min="2335" max="2560" width="4" style="1"/>
    <col min="2561" max="2561" width="1.44140625" style="1" customWidth="1"/>
    <col min="2562" max="2562" width="3.109375" style="1" customWidth="1"/>
    <col min="2563" max="2563" width="1.109375" style="1" customWidth="1"/>
    <col min="2564" max="2579" width="4" style="1"/>
    <col min="2580" max="2580" width="3.109375" style="1" customWidth="1"/>
    <col min="2581" max="2581" width="2.33203125" style="1" customWidth="1"/>
    <col min="2582" max="2582" width="4" style="1"/>
    <col min="2583" max="2583" width="2.21875" style="1" customWidth="1"/>
    <col min="2584" max="2584" width="4" style="1"/>
    <col min="2585" max="2585" width="2.33203125" style="1" customWidth="1"/>
    <col min="2586" max="2586" width="1.44140625" style="1" customWidth="1"/>
    <col min="2587" max="2589" width="4" style="1"/>
    <col min="2590" max="2590" width="6.6640625" style="1" bestFit="1" customWidth="1"/>
    <col min="2591" max="2816" width="4" style="1"/>
    <col min="2817" max="2817" width="1.44140625" style="1" customWidth="1"/>
    <col min="2818" max="2818" width="3.109375" style="1" customWidth="1"/>
    <col min="2819" max="2819" width="1.109375" style="1" customWidth="1"/>
    <col min="2820" max="2835" width="4" style="1"/>
    <col min="2836" max="2836" width="3.109375" style="1" customWidth="1"/>
    <col min="2837" max="2837" width="2.33203125" style="1" customWidth="1"/>
    <col min="2838" max="2838" width="4" style="1"/>
    <col min="2839" max="2839" width="2.21875" style="1" customWidth="1"/>
    <col min="2840" max="2840" width="4" style="1"/>
    <col min="2841" max="2841" width="2.33203125" style="1" customWidth="1"/>
    <col min="2842" max="2842" width="1.44140625" style="1" customWidth="1"/>
    <col min="2843" max="2845" width="4" style="1"/>
    <col min="2846" max="2846" width="6.6640625" style="1" bestFit="1" customWidth="1"/>
    <col min="2847" max="3072" width="4" style="1"/>
    <col min="3073" max="3073" width="1.44140625" style="1" customWidth="1"/>
    <col min="3074" max="3074" width="3.109375" style="1" customWidth="1"/>
    <col min="3075" max="3075" width="1.109375" style="1" customWidth="1"/>
    <col min="3076" max="3091" width="4" style="1"/>
    <col min="3092" max="3092" width="3.109375" style="1" customWidth="1"/>
    <col min="3093" max="3093" width="2.33203125" style="1" customWidth="1"/>
    <col min="3094" max="3094" width="4" style="1"/>
    <col min="3095" max="3095" width="2.21875" style="1" customWidth="1"/>
    <col min="3096" max="3096" width="4" style="1"/>
    <col min="3097" max="3097" width="2.33203125" style="1" customWidth="1"/>
    <col min="3098" max="3098" width="1.44140625" style="1" customWidth="1"/>
    <col min="3099" max="3101" width="4" style="1"/>
    <col min="3102" max="3102" width="6.6640625" style="1" bestFit="1" customWidth="1"/>
    <col min="3103" max="3328" width="4" style="1"/>
    <col min="3329" max="3329" width="1.44140625" style="1" customWidth="1"/>
    <col min="3330" max="3330" width="3.109375" style="1" customWidth="1"/>
    <col min="3331" max="3331" width="1.109375" style="1" customWidth="1"/>
    <col min="3332" max="3347" width="4" style="1"/>
    <col min="3348" max="3348" width="3.109375" style="1" customWidth="1"/>
    <col min="3349" max="3349" width="2.33203125" style="1" customWidth="1"/>
    <col min="3350" max="3350" width="4" style="1"/>
    <col min="3351" max="3351" width="2.21875" style="1" customWidth="1"/>
    <col min="3352" max="3352" width="4" style="1"/>
    <col min="3353" max="3353" width="2.33203125" style="1" customWidth="1"/>
    <col min="3354" max="3354" width="1.44140625" style="1" customWidth="1"/>
    <col min="3355" max="3357" width="4" style="1"/>
    <col min="3358" max="3358" width="6.6640625" style="1" bestFit="1" customWidth="1"/>
    <col min="3359" max="3584" width="4" style="1"/>
    <col min="3585" max="3585" width="1.44140625" style="1" customWidth="1"/>
    <col min="3586" max="3586" width="3.109375" style="1" customWidth="1"/>
    <col min="3587" max="3587" width="1.109375" style="1" customWidth="1"/>
    <col min="3588" max="3603" width="4" style="1"/>
    <col min="3604" max="3604" width="3.109375" style="1" customWidth="1"/>
    <col min="3605" max="3605" width="2.33203125" style="1" customWidth="1"/>
    <col min="3606" max="3606" width="4" style="1"/>
    <col min="3607" max="3607" width="2.21875" style="1" customWidth="1"/>
    <col min="3608" max="3608" width="4" style="1"/>
    <col min="3609" max="3609" width="2.33203125" style="1" customWidth="1"/>
    <col min="3610" max="3610" width="1.44140625" style="1" customWidth="1"/>
    <col min="3611" max="3613" width="4" style="1"/>
    <col min="3614" max="3614" width="6.6640625" style="1" bestFit="1" customWidth="1"/>
    <col min="3615" max="3840" width="4" style="1"/>
    <col min="3841" max="3841" width="1.44140625" style="1" customWidth="1"/>
    <col min="3842" max="3842" width="3.109375" style="1" customWidth="1"/>
    <col min="3843" max="3843" width="1.109375" style="1" customWidth="1"/>
    <col min="3844" max="3859" width="4" style="1"/>
    <col min="3860" max="3860" width="3.109375" style="1" customWidth="1"/>
    <col min="3861" max="3861" width="2.33203125" style="1" customWidth="1"/>
    <col min="3862" max="3862" width="4" style="1"/>
    <col min="3863" max="3863" width="2.21875" style="1" customWidth="1"/>
    <col min="3864" max="3864" width="4" style="1"/>
    <col min="3865" max="3865" width="2.33203125" style="1" customWidth="1"/>
    <col min="3866" max="3866" width="1.44140625" style="1" customWidth="1"/>
    <col min="3867" max="3869" width="4" style="1"/>
    <col min="3870" max="3870" width="6.6640625" style="1" bestFit="1" customWidth="1"/>
    <col min="3871" max="4096" width="4" style="1"/>
    <col min="4097" max="4097" width="1.44140625" style="1" customWidth="1"/>
    <col min="4098" max="4098" width="3.109375" style="1" customWidth="1"/>
    <col min="4099" max="4099" width="1.109375" style="1" customWidth="1"/>
    <col min="4100" max="4115" width="4" style="1"/>
    <col min="4116" max="4116" width="3.109375" style="1" customWidth="1"/>
    <col min="4117" max="4117" width="2.33203125" style="1" customWidth="1"/>
    <col min="4118" max="4118" width="4" style="1"/>
    <col min="4119" max="4119" width="2.21875" style="1" customWidth="1"/>
    <col min="4120" max="4120" width="4" style="1"/>
    <col min="4121" max="4121" width="2.33203125" style="1" customWidth="1"/>
    <col min="4122" max="4122" width="1.44140625" style="1" customWidth="1"/>
    <col min="4123" max="4125" width="4" style="1"/>
    <col min="4126" max="4126" width="6.6640625" style="1" bestFit="1" customWidth="1"/>
    <col min="4127" max="4352" width="4" style="1"/>
    <col min="4353" max="4353" width="1.44140625" style="1" customWidth="1"/>
    <col min="4354" max="4354" width="3.109375" style="1" customWidth="1"/>
    <col min="4355" max="4355" width="1.109375" style="1" customWidth="1"/>
    <col min="4356" max="4371" width="4" style="1"/>
    <col min="4372" max="4372" width="3.109375" style="1" customWidth="1"/>
    <col min="4373" max="4373" width="2.33203125" style="1" customWidth="1"/>
    <col min="4374" max="4374" width="4" style="1"/>
    <col min="4375" max="4375" width="2.21875" style="1" customWidth="1"/>
    <col min="4376" max="4376" width="4" style="1"/>
    <col min="4377" max="4377" width="2.33203125" style="1" customWidth="1"/>
    <col min="4378" max="4378" width="1.44140625" style="1" customWidth="1"/>
    <col min="4379" max="4381" width="4" style="1"/>
    <col min="4382" max="4382" width="6.6640625" style="1" bestFit="1" customWidth="1"/>
    <col min="4383" max="4608" width="4" style="1"/>
    <col min="4609" max="4609" width="1.44140625" style="1" customWidth="1"/>
    <col min="4610" max="4610" width="3.109375" style="1" customWidth="1"/>
    <col min="4611" max="4611" width="1.109375" style="1" customWidth="1"/>
    <col min="4612" max="4627" width="4" style="1"/>
    <col min="4628" max="4628" width="3.109375" style="1" customWidth="1"/>
    <col min="4629" max="4629" width="2.33203125" style="1" customWidth="1"/>
    <col min="4630" max="4630" width="4" style="1"/>
    <col min="4631" max="4631" width="2.21875" style="1" customWidth="1"/>
    <col min="4632" max="4632" width="4" style="1"/>
    <col min="4633" max="4633" width="2.33203125" style="1" customWidth="1"/>
    <col min="4634" max="4634" width="1.44140625" style="1" customWidth="1"/>
    <col min="4635" max="4637" width="4" style="1"/>
    <col min="4638" max="4638" width="6.6640625" style="1" bestFit="1" customWidth="1"/>
    <col min="4639" max="4864" width="4" style="1"/>
    <col min="4865" max="4865" width="1.44140625" style="1" customWidth="1"/>
    <col min="4866" max="4866" width="3.109375" style="1" customWidth="1"/>
    <col min="4867" max="4867" width="1.109375" style="1" customWidth="1"/>
    <col min="4868" max="4883" width="4" style="1"/>
    <col min="4884" max="4884" width="3.109375" style="1" customWidth="1"/>
    <col min="4885" max="4885" width="2.33203125" style="1" customWidth="1"/>
    <col min="4886" max="4886" width="4" style="1"/>
    <col min="4887" max="4887" width="2.21875" style="1" customWidth="1"/>
    <col min="4888" max="4888" width="4" style="1"/>
    <col min="4889" max="4889" width="2.33203125" style="1" customWidth="1"/>
    <col min="4890" max="4890" width="1.44140625" style="1" customWidth="1"/>
    <col min="4891" max="4893" width="4" style="1"/>
    <col min="4894" max="4894" width="6.6640625" style="1" bestFit="1" customWidth="1"/>
    <col min="4895" max="5120" width="4" style="1"/>
    <col min="5121" max="5121" width="1.44140625" style="1" customWidth="1"/>
    <col min="5122" max="5122" width="3.109375" style="1" customWidth="1"/>
    <col min="5123" max="5123" width="1.109375" style="1" customWidth="1"/>
    <col min="5124" max="5139" width="4" style="1"/>
    <col min="5140" max="5140" width="3.109375" style="1" customWidth="1"/>
    <col min="5141" max="5141" width="2.33203125" style="1" customWidth="1"/>
    <col min="5142" max="5142" width="4" style="1"/>
    <col min="5143" max="5143" width="2.21875" style="1" customWidth="1"/>
    <col min="5144" max="5144" width="4" style="1"/>
    <col min="5145" max="5145" width="2.33203125" style="1" customWidth="1"/>
    <col min="5146" max="5146" width="1.44140625" style="1" customWidth="1"/>
    <col min="5147" max="5149" width="4" style="1"/>
    <col min="5150" max="5150" width="6.6640625" style="1" bestFit="1" customWidth="1"/>
    <col min="5151" max="5376" width="4" style="1"/>
    <col min="5377" max="5377" width="1.44140625" style="1" customWidth="1"/>
    <col min="5378" max="5378" width="3.109375" style="1" customWidth="1"/>
    <col min="5379" max="5379" width="1.109375" style="1" customWidth="1"/>
    <col min="5380" max="5395" width="4" style="1"/>
    <col min="5396" max="5396" width="3.109375" style="1" customWidth="1"/>
    <col min="5397" max="5397" width="2.33203125" style="1" customWidth="1"/>
    <col min="5398" max="5398" width="4" style="1"/>
    <col min="5399" max="5399" width="2.21875" style="1" customWidth="1"/>
    <col min="5400" max="5400" width="4" style="1"/>
    <col min="5401" max="5401" width="2.33203125" style="1" customWidth="1"/>
    <col min="5402" max="5402" width="1.44140625" style="1" customWidth="1"/>
    <col min="5403" max="5405" width="4" style="1"/>
    <col min="5406" max="5406" width="6.6640625" style="1" bestFit="1" customWidth="1"/>
    <col min="5407" max="5632" width="4" style="1"/>
    <col min="5633" max="5633" width="1.44140625" style="1" customWidth="1"/>
    <col min="5634" max="5634" width="3.109375" style="1" customWidth="1"/>
    <col min="5635" max="5635" width="1.109375" style="1" customWidth="1"/>
    <col min="5636" max="5651" width="4" style="1"/>
    <col min="5652" max="5652" width="3.109375" style="1" customWidth="1"/>
    <col min="5653" max="5653" width="2.33203125" style="1" customWidth="1"/>
    <col min="5654" max="5654" width="4" style="1"/>
    <col min="5655" max="5655" width="2.21875" style="1" customWidth="1"/>
    <col min="5656" max="5656" width="4" style="1"/>
    <col min="5657" max="5657" width="2.33203125" style="1" customWidth="1"/>
    <col min="5658" max="5658" width="1.44140625" style="1" customWidth="1"/>
    <col min="5659" max="5661" width="4" style="1"/>
    <col min="5662" max="5662" width="6.6640625" style="1" bestFit="1" customWidth="1"/>
    <col min="5663" max="5888" width="4" style="1"/>
    <col min="5889" max="5889" width="1.44140625" style="1" customWidth="1"/>
    <col min="5890" max="5890" width="3.109375" style="1" customWidth="1"/>
    <col min="5891" max="5891" width="1.109375" style="1" customWidth="1"/>
    <col min="5892" max="5907" width="4" style="1"/>
    <col min="5908" max="5908" width="3.109375" style="1" customWidth="1"/>
    <col min="5909" max="5909" width="2.33203125" style="1" customWidth="1"/>
    <col min="5910" max="5910" width="4" style="1"/>
    <col min="5911" max="5911" width="2.21875" style="1" customWidth="1"/>
    <col min="5912" max="5912" width="4" style="1"/>
    <col min="5913" max="5913" width="2.33203125" style="1" customWidth="1"/>
    <col min="5914" max="5914" width="1.44140625" style="1" customWidth="1"/>
    <col min="5915" max="5917" width="4" style="1"/>
    <col min="5918" max="5918" width="6.6640625" style="1" bestFit="1" customWidth="1"/>
    <col min="5919" max="6144" width="4" style="1"/>
    <col min="6145" max="6145" width="1.44140625" style="1" customWidth="1"/>
    <col min="6146" max="6146" width="3.109375" style="1" customWidth="1"/>
    <col min="6147" max="6147" width="1.109375" style="1" customWidth="1"/>
    <col min="6148" max="6163" width="4" style="1"/>
    <col min="6164" max="6164" width="3.109375" style="1" customWidth="1"/>
    <col min="6165" max="6165" width="2.33203125" style="1" customWidth="1"/>
    <col min="6166" max="6166" width="4" style="1"/>
    <col min="6167" max="6167" width="2.21875" style="1" customWidth="1"/>
    <col min="6168" max="6168" width="4" style="1"/>
    <col min="6169" max="6169" width="2.33203125" style="1" customWidth="1"/>
    <col min="6170" max="6170" width="1.44140625" style="1" customWidth="1"/>
    <col min="6171" max="6173" width="4" style="1"/>
    <col min="6174" max="6174" width="6.6640625" style="1" bestFit="1" customWidth="1"/>
    <col min="6175" max="6400" width="4" style="1"/>
    <col min="6401" max="6401" width="1.44140625" style="1" customWidth="1"/>
    <col min="6402" max="6402" width="3.109375" style="1" customWidth="1"/>
    <col min="6403" max="6403" width="1.109375" style="1" customWidth="1"/>
    <col min="6404" max="6419" width="4" style="1"/>
    <col min="6420" max="6420" width="3.109375" style="1" customWidth="1"/>
    <col min="6421" max="6421" width="2.33203125" style="1" customWidth="1"/>
    <col min="6422" max="6422" width="4" style="1"/>
    <col min="6423" max="6423" width="2.21875" style="1" customWidth="1"/>
    <col min="6424" max="6424" width="4" style="1"/>
    <col min="6425" max="6425" width="2.33203125" style="1" customWidth="1"/>
    <col min="6426" max="6426" width="1.44140625" style="1" customWidth="1"/>
    <col min="6427" max="6429" width="4" style="1"/>
    <col min="6430" max="6430" width="6.6640625" style="1" bestFit="1" customWidth="1"/>
    <col min="6431" max="6656" width="4" style="1"/>
    <col min="6657" max="6657" width="1.44140625" style="1" customWidth="1"/>
    <col min="6658" max="6658" width="3.109375" style="1" customWidth="1"/>
    <col min="6659" max="6659" width="1.109375" style="1" customWidth="1"/>
    <col min="6660" max="6675" width="4" style="1"/>
    <col min="6676" max="6676" width="3.109375" style="1" customWidth="1"/>
    <col min="6677" max="6677" width="2.33203125" style="1" customWidth="1"/>
    <col min="6678" max="6678" width="4" style="1"/>
    <col min="6679" max="6679" width="2.21875" style="1" customWidth="1"/>
    <col min="6680" max="6680" width="4" style="1"/>
    <col min="6681" max="6681" width="2.33203125" style="1" customWidth="1"/>
    <col min="6682" max="6682" width="1.44140625" style="1" customWidth="1"/>
    <col min="6683" max="6685" width="4" style="1"/>
    <col min="6686" max="6686" width="6.6640625" style="1" bestFit="1" customWidth="1"/>
    <col min="6687" max="6912" width="4" style="1"/>
    <col min="6913" max="6913" width="1.44140625" style="1" customWidth="1"/>
    <col min="6914" max="6914" width="3.109375" style="1" customWidth="1"/>
    <col min="6915" max="6915" width="1.109375" style="1" customWidth="1"/>
    <col min="6916" max="6931" width="4" style="1"/>
    <col min="6932" max="6932" width="3.109375" style="1" customWidth="1"/>
    <col min="6933" max="6933" width="2.33203125" style="1" customWidth="1"/>
    <col min="6934" max="6934" width="4" style="1"/>
    <col min="6935" max="6935" width="2.21875" style="1" customWidth="1"/>
    <col min="6936" max="6936" width="4" style="1"/>
    <col min="6937" max="6937" width="2.33203125" style="1" customWidth="1"/>
    <col min="6938" max="6938" width="1.44140625" style="1" customWidth="1"/>
    <col min="6939" max="6941" width="4" style="1"/>
    <col min="6942" max="6942" width="6.6640625" style="1" bestFit="1" customWidth="1"/>
    <col min="6943" max="7168" width="4" style="1"/>
    <col min="7169" max="7169" width="1.44140625" style="1" customWidth="1"/>
    <col min="7170" max="7170" width="3.109375" style="1" customWidth="1"/>
    <col min="7171" max="7171" width="1.109375" style="1" customWidth="1"/>
    <col min="7172" max="7187" width="4" style="1"/>
    <col min="7188" max="7188" width="3.109375" style="1" customWidth="1"/>
    <col min="7189" max="7189" width="2.33203125" style="1" customWidth="1"/>
    <col min="7190" max="7190" width="4" style="1"/>
    <col min="7191" max="7191" width="2.21875" style="1" customWidth="1"/>
    <col min="7192" max="7192" width="4" style="1"/>
    <col min="7193" max="7193" width="2.33203125" style="1" customWidth="1"/>
    <col min="7194" max="7194" width="1.44140625" style="1" customWidth="1"/>
    <col min="7195" max="7197" width="4" style="1"/>
    <col min="7198" max="7198" width="6.6640625" style="1" bestFit="1" customWidth="1"/>
    <col min="7199" max="7424" width="4" style="1"/>
    <col min="7425" max="7425" width="1.44140625" style="1" customWidth="1"/>
    <col min="7426" max="7426" width="3.109375" style="1" customWidth="1"/>
    <col min="7427" max="7427" width="1.109375" style="1" customWidth="1"/>
    <col min="7428" max="7443" width="4" style="1"/>
    <col min="7444" max="7444" width="3.109375" style="1" customWidth="1"/>
    <col min="7445" max="7445" width="2.33203125" style="1" customWidth="1"/>
    <col min="7446" max="7446" width="4" style="1"/>
    <col min="7447" max="7447" width="2.21875" style="1" customWidth="1"/>
    <col min="7448" max="7448" width="4" style="1"/>
    <col min="7449" max="7449" width="2.33203125" style="1" customWidth="1"/>
    <col min="7450" max="7450" width="1.44140625" style="1" customWidth="1"/>
    <col min="7451" max="7453" width="4" style="1"/>
    <col min="7454" max="7454" width="6.6640625" style="1" bestFit="1" customWidth="1"/>
    <col min="7455" max="7680" width="4" style="1"/>
    <col min="7681" max="7681" width="1.44140625" style="1" customWidth="1"/>
    <col min="7682" max="7682" width="3.109375" style="1" customWidth="1"/>
    <col min="7683" max="7683" width="1.109375" style="1" customWidth="1"/>
    <col min="7684" max="7699" width="4" style="1"/>
    <col min="7700" max="7700" width="3.109375" style="1" customWidth="1"/>
    <col min="7701" max="7701" width="2.33203125" style="1" customWidth="1"/>
    <col min="7702" max="7702" width="4" style="1"/>
    <col min="7703" max="7703" width="2.21875" style="1" customWidth="1"/>
    <col min="7704" max="7704" width="4" style="1"/>
    <col min="7705" max="7705" width="2.33203125" style="1" customWidth="1"/>
    <col min="7706" max="7706" width="1.44140625" style="1" customWidth="1"/>
    <col min="7707" max="7709" width="4" style="1"/>
    <col min="7710" max="7710" width="6.6640625" style="1" bestFit="1" customWidth="1"/>
    <col min="7711" max="7936" width="4" style="1"/>
    <col min="7937" max="7937" width="1.44140625" style="1" customWidth="1"/>
    <col min="7938" max="7938" width="3.109375" style="1" customWidth="1"/>
    <col min="7939" max="7939" width="1.109375" style="1" customWidth="1"/>
    <col min="7940" max="7955" width="4" style="1"/>
    <col min="7956" max="7956" width="3.109375" style="1" customWidth="1"/>
    <col min="7957" max="7957" width="2.33203125" style="1" customWidth="1"/>
    <col min="7958" max="7958" width="4" style="1"/>
    <col min="7959" max="7959" width="2.21875" style="1" customWidth="1"/>
    <col min="7960" max="7960" width="4" style="1"/>
    <col min="7961" max="7961" width="2.33203125" style="1" customWidth="1"/>
    <col min="7962" max="7962" width="1.44140625" style="1" customWidth="1"/>
    <col min="7963" max="7965" width="4" style="1"/>
    <col min="7966" max="7966" width="6.6640625" style="1" bestFit="1" customWidth="1"/>
    <col min="7967" max="8192" width="4" style="1"/>
    <col min="8193" max="8193" width="1.44140625" style="1" customWidth="1"/>
    <col min="8194" max="8194" width="3.109375" style="1" customWidth="1"/>
    <col min="8195" max="8195" width="1.109375" style="1" customWidth="1"/>
    <col min="8196" max="8211" width="4" style="1"/>
    <col min="8212" max="8212" width="3.109375" style="1" customWidth="1"/>
    <col min="8213" max="8213" width="2.33203125" style="1" customWidth="1"/>
    <col min="8214" max="8214" width="4" style="1"/>
    <col min="8215" max="8215" width="2.21875" style="1" customWidth="1"/>
    <col min="8216" max="8216" width="4" style="1"/>
    <col min="8217" max="8217" width="2.33203125" style="1" customWidth="1"/>
    <col min="8218" max="8218" width="1.44140625" style="1" customWidth="1"/>
    <col min="8219" max="8221" width="4" style="1"/>
    <col min="8222" max="8222" width="6.6640625" style="1" bestFit="1" customWidth="1"/>
    <col min="8223" max="8448" width="4" style="1"/>
    <col min="8449" max="8449" width="1.44140625" style="1" customWidth="1"/>
    <col min="8450" max="8450" width="3.109375" style="1" customWidth="1"/>
    <col min="8451" max="8451" width="1.109375" style="1" customWidth="1"/>
    <col min="8452" max="8467" width="4" style="1"/>
    <col min="8468" max="8468" width="3.109375" style="1" customWidth="1"/>
    <col min="8469" max="8469" width="2.33203125" style="1" customWidth="1"/>
    <col min="8470" max="8470" width="4" style="1"/>
    <col min="8471" max="8471" width="2.21875" style="1" customWidth="1"/>
    <col min="8472" max="8472" width="4" style="1"/>
    <col min="8473" max="8473" width="2.33203125" style="1" customWidth="1"/>
    <col min="8474" max="8474" width="1.44140625" style="1" customWidth="1"/>
    <col min="8475" max="8477" width="4" style="1"/>
    <col min="8478" max="8478" width="6.6640625" style="1" bestFit="1" customWidth="1"/>
    <col min="8479" max="8704" width="4" style="1"/>
    <col min="8705" max="8705" width="1.44140625" style="1" customWidth="1"/>
    <col min="8706" max="8706" width="3.109375" style="1" customWidth="1"/>
    <col min="8707" max="8707" width="1.109375" style="1" customWidth="1"/>
    <col min="8708" max="8723" width="4" style="1"/>
    <col min="8724" max="8724" width="3.109375" style="1" customWidth="1"/>
    <col min="8725" max="8725" width="2.33203125" style="1" customWidth="1"/>
    <col min="8726" max="8726" width="4" style="1"/>
    <col min="8727" max="8727" width="2.21875" style="1" customWidth="1"/>
    <col min="8728" max="8728" width="4" style="1"/>
    <col min="8729" max="8729" width="2.33203125" style="1" customWidth="1"/>
    <col min="8730" max="8730" width="1.44140625" style="1" customWidth="1"/>
    <col min="8731" max="8733" width="4" style="1"/>
    <col min="8734" max="8734" width="6.6640625" style="1" bestFit="1" customWidth="1"/>
    <col min="8735" max="8960" width="4" style="1"/>
    <col min="8961" max="8961" width="1.44140625" style="1" customWidth="1"/>
    <col min="8962" max="8962" width="3.109375" style="1" customWidth="1"/>
    <col min="8963" max="8963" width="1.109375" style="1" customWidth="1"/>
    <col min="8964" max="8979" width="4" style="1"/>
    <col min="8980" max="8980" width="3.109375" style="1" customWidth="1"/>
    <col min="8981" max="8981" width="2.33203125" style="1" customWidth="1"/>
    <col min="8982" max="8982" width="4" style="1"/>
    <col min="8983" max="8983" width="2.21875" style="1" customWidth="1"/>
    <col min="8984" max="8984" width="4" style="1"/>
    <col min="8985" max="8985" width="2.33203125" style="1" customWidth="1"/>
    <col min="8986" max="8986" width="1.44140625" style="1" customWidth="1"/>
    <col min="8987" max="8989" width="4" style="1"/>
    <col min="8990" max="8990" width="6.6640625" style="1" bestFit="1" customWidth="1"/>
    <col min="8991" max="9216" width="4" style="1"/>
    <col min="9217" max="9217" width="1.44140625" style="1" customWidth="1"/>
    <col min="9218" max="9218" width="3.109375" style="1" customWidth="1"/>
    <col min="9219" max="9219" width="1.109375" style="1" customWidth="1"/>
    <col min="9220" max="9235" width="4" style="1"/>
    <col min="9236" max="9236" width="3.109375" style="1" customWidth="1"/>
    <col min="9237" max="9237" width="2.33203125" style="1" customWidth="1"/>
    <col min="9238" max="9238" width="4" style="1"/>
    <col min="9239" max="9239" width="2.21875" style="1" customWidth="1"/>
    <col min="9240" max="9240" width="4" style="1"/>
    <col min="9241" max="9241" width="2.33203125" style="1" customWidth="1"/>
    <col min="9242" max="9242" width="1.44140625" style="1" customWidth="1"/>
    <col min="9243" max="9245" width="4" style="1"/>
    <col min="9246" max="9246" width="6.6640625" style="1" bestFit="1" customWidth="1"/>
    <col min="9247" max="9472" width="4" style="1"/>
    <col min="9473" max="9473" width="1.44140625" style="1" customWidth="1"/>
    <col min="9474" max="9474" width="3.109375" style="1" customWidth="1"/>
    <col min="9475" max="9475" width="1.109375" style="1" customWidth="1"/>
    <col min="9476" max="9491" width="4" style="1"/>
    <col min="9492" max="9492" width="3.109375" style="1" customWidth="1"/>
    <col min="9493" max="9493" width="2.33203125" style="1" customWidth="1"/>
    <col min="9494" max="9494" width="4" style="1"/>
    <col min="9495" max="9495" width="2.21875" style="1" customWidth="1"/>
    <col min="9496" max="9496" width="4" style="1"/>
    <col min="9497" max="9497" width="2.33203125" style="1" customWidth="1"/>
    <col min="9498" max="9498" width="1.44140625" style="1" customWidth="1"/>
    <col min="9499" max="9501" width="4" style="1"/>
    <col min="9502" max="9502" width="6.6640625" style="1" bestFit="1" customWidth="1"/>
    <col min="9503" max="9728" width="4" style="1"/>
    <col min="9729" max="9729" width="1.44140625" style="1" customWidth="1"/>
    <col min="9730" max="9730" width="3.109375" style="1" customWidth="1"/>
    <col min="9731" max="9731" width="1.109375" style="1" customWidth="1"/>
    <col min="9732" max="9747" width="4" style="1"/>
    <col min="9748" max="9748" width="3.109375" style="1" customWidth="1"/>
    <col min="9749" max="9749" width="2.33203125" style="1" customWidth="1"/>
    <col min="9750" max="9750" width="4" style="1"/>
    <col min="9751" max="9751" width="2.21875" style="1" customWidth="1"/>
    <col min="9752" max="9752" width="4" style="1"/>
    <col min="9753" max="9753" width="2.33203125" style="1" customWidth="1"/>
    <col min="9754" max="9754" width="1.44140625" style="1" customWidth="1"/>
    <col min="9755" max="9757" width="4" style="1"/>
    <col min="9758" max="9758" width="6.6640625" style="1" bestFit="1" customWidth="1"/>
    <col min="9759" max="9984" width="4" style="1"/>
    <col min="9985" max="9985" width="1.44140625" style="1" customWidth="1"/>
    <col min="9986" max="9986" width="3.109375" style="1" customWidth="1"/>
    <col min="9987" max="9987" width="1.109375" style="1" customWidth="1"/>
    <col min="9988" max="10003" width="4" style="1"/>
    <col min="10004" max="10004" width="3.109375" style="1" customWidth="1"/>
    <col min="10005" max="10005" width="2.33203125" style="1" customWidth="1"/>
    <col min="10006" max="10006" width="4" style="1"/>
    <col min="10007" max="10007" width="2.21875" style="1" customWidth="1"/>
    <col min="10008" max="10008" width="4" style="1"/>
    <col min="10009" max="10009" width="2.33203125" style="1" customWidth="1"/>
    <col min="10010" max="10010" width="1.44140625" style="1" customWidth="1"/>
    <col min="10011" max="10013" width="4" style="1"/>
    <col min="10014" max="10014" width="6.6640625" style="1" bestFit="1" customWidth="1"/>
    <col min="10015" max="10240" width="4" style="1"/>
    <col min="10241" max="10241" width="1.44140625" style="1" customWidth="1"/>
    <col min="10242" max="10242" width="3.109375" style="1" customWidth="1"/>
    <col min="10243" max="10243" width="1.109375" style="1" customWidth="1"/>
    <col min="10244" max="10259" width="4" style="1"/>
    <col min="10260" max="10260" width="3.109375" style="1" customWidth="1"/>
    <col min="10261" max="10261" width="2.33203125" style="1" customWidth="1"/>
    <col min="10262" max="10262" width="4" style="1"/>
    <col min="10263" max="10263" width="2.21875" style="1" customWidth="1"/>
    <col min="10264" max="10264" width="4" style="1"/>
    <col min="10265" max="10265" width="2.33203125" style="1" customWidth="1"/>
    <col min="10266" max="10266" width="1.44140625" style="1" customWidth="1"/>
    <col min="10267" max="10269" width="4" style="1"/>
    <col min="10270" max="10270" width="6.6640625" style="1" bestFit="1" customWidth="1"/>
    <col min="10271" max="10496" width="4" style="1"/>
    <col min="10497" max="10497" width="1.44140625" style="1" customWidth="1"/>
    <col min="10498" max="10498" width="3.109375" style="1" customWidth="1"/>
    <col min="10499" max="10499" width="1.109375" style="1" customWidth="1"/>
    <col min="10500" max="10515" width="4" style="1"/>
    <col min="10516" max="10516" width="3.109375" style="1" customWidth="1"/>
    <col min="10517" max="10517" width="2.33203125" style="1" customWidth="1"/>
    <col min="10518" max="10518" width="4" style="1"/>
    <col min="10519" max="10519" width="2.21875" style="1" customWidth="1"/>
    <col min="10520" max="10520" width="4" style="1"/>
    <col min="10521" max="10521" width="2.33203125" style="1" customWidth="1"/>
    <col min="10522" max="10522" width="1.44140625" style="1" customWidth="1"/>
    <col min="10523" max="10525" width="4" style="1"/>
    <col min="10526" max="10526" width="6.6640625" style="1" bestFit="1" customWidth="1"/>
    <col min="10527" max="10752" width="4" style="1"/>
    <col min="10753" max="10753" width="1.44140625" style="1" customWidth="1"/>
    <col min="10754" max="10754" width="3.109375" style="1" customWidth="1"/>
    <col min="10755" max="10755" width="1.109375" style="1" customWidth="1"/>
    <col min="10756" max="10771" width="4" style="1"/>
    <col min="10772" max="10772" width="3.109375" style="1" customWidth="1"/>
    <col min="10773" max="10773" width="2.33203125" style="1" customWidth="1"/>
    <col min="10774" max="10774" width="4" style="1"/>
    <col min="10775" max="10775" width="2.21875" style="1" customWidth="1"/>
    <col min="10776" max="10776" width="4" style="1"/>
    <col min="10777" max="10777" width="2.33203125" style="1" customWidth="1"/>
    <col min="10778" max="10778" width="1.44140625" style="1" customWidth="1"/>
    <col min="10779" max="10781" width="4" style="1"/>
    <col min="10782" max="10782" width="6.6640625" style="1" bestFit="1" customWidth="1"/>
    <col min="10783" max="11008" width="4" style="1"/>
    <col min="11009" max="11009" width="1.44140625" style="1" customWidth="1"/>
    <col min="11010" max="11010" width="3.109375" style="1" customWidth="1"/>
    <col min="11011" max="11011" width="1.109375" style="1" customWidth="1"/>
    <col min="11012" max="11027" width="4" style="1"/>
    <col min="11028" max="11028" width="3.109375" style="1" customWidth="1"/>
    <col min="11029" max="11029" width="2.33203125" style="1" customWidth="1"/>
    <col min="11030" max="11030" width="4" style="1"/>
    <col min="11031" max="11031" width="2.21875" style="1" customWidth="1"/>
    <col min="11032" max="11032" width="4" style="1"/>
    <col min="11033" max="11033" width="2.33203125" style="1" customWidth="1"/>
    <col min="11034" max="11034" width="1.44140625" style="1" customWidth="1"/>
    <col min="11035" max="11037" width="4" style="1"/>
    <col min="11038" max="11038" width="6.6640625" style="1" bestFit="1" customWidth="1"/>
    <col min="11039" max="11264" width="4" style="1"/>
    <col min="11265" max="11265" width="1.44140625" style="1" customWidth="1"/>
    <col min="11266" max="11266" width="3.109375" style="1" customWidth="1"/>
    <col min="11267" max="11267" width="1.109375" style="1" customWidth="1"/>
    <col min="11268" max="11283" width="4" style="1"/>
    <col min="11284" max="11284" width="3.109375" style="1" customWidth="1"/>
    <col min="11285" max="11285" width="2.33203125" style="1" customWidth="1"/>
    <col min="11286" max="11286" width="4" style="1"/>
    <col min="11287" max="11287" width="2.21875" style="1" customWidth="1"/>
    <col min="11288" max="11288" width="4" style="1"/>
    <col min="11289" max="11289" width="2.33203125" style="1" customWidth="1"/>
    <col min="11290" max="11290" width="1.44140625" style="1" customWidth="1"/>
    <col min="11291" max="11293" width="4" style="1"/>
    <col min="11294" max="11294" width="6.6640625" style="1" bestFit="1" customWidth="1"/>
    <col min="11295" max="11520" width="4" style="1"/>
    <col min="11521" max="11521" width="1.44140625" style="1" customWidth="1"/>
    <col min="11522" max="11522" width="3.109375" style="1" customWidth="1"/>
    <col min="11523" max="11523" width="1.109375" style="1" customWidth="1"/>
    <col min="11524" max="11539" width="4" style="1"/>
    <col min="11540" max="11540" width="3.109375" style="1" customWidth="1"/>
    <col min="11541" max="11541" width="2.33203125" style="1" customWidth="1"/>
    <col min="11542" max="11542" width="4" style="1"/>
    <col min="11543" max="11543" width="2.21875" style="1" customWidth="1"/>
    <col min="11544" max="11544" width="4" style="1"/>
    <col min="11545" max="11545" width="2.33203125" style="1" customWidth="1"/>
    <col min="11546" max="11546" width="1.44140625" style="1" customWidth="1"/>
    <col min="11547" max="11549" width="4" style="1"/>
    <col min="11550" max="11550" width="6.6640625" style="1" bestFit="1" customWidth="1"/>
    <col min="11551" max="11776" width="4" style="1"/>
    <col min="11777" max="11777" width="1.44140625" style="1" customWidth="1"/>
    <col min="11778" max="11778" width="3.109375" style="1" customWidth="1"/>
    <col min="11779" max="11779" width="1.109375" style="1" customWidth="1"/>
    <col min="11780" max="11795" width="4" style="1"/>
    <col min="11796" max="11796" width="3.109375" style="1" customWidth="1"/>
    <col min="11797" max="11797" width="2.33203125" style="1" customWidth="1"/>
    <col min="11798" max="11798" width="4" style="1"/>
    <col min="11799" max="11799" width="2.21875" style="1" customWidth="1"/>
    <col min="11800" max="11800" width="4" style="1"/>
    <col min="11801" max="11801" width="2.33203125" style="1" customWidth="1"/>
    <col min="11802" max="11802" width="1.44140625" style="1" customWidth="1"/>
    <col min="11803" max="11805" width="4" style="1"/>
    <col min="11806" max="11806" width="6.6640625" style="1" bestFit="1" customWidth="1"/>
    <col min="11807" max="12032" width="4" style="1"/>
    <col min="12033" max="12033" width="1.44140625" style="1" customWidth="1"/>
    <col min="12034" max="12034" width="3.109375" style="1" customWidth="1"/>
    <col min="12035" max="12035" width="1.109375" style="1" customWidth="1"/>
    <col min="12036" max="12051" width="4" style="1"/>
    <col min="12052" max="12052" width="3.109375" style="1" customWidth="1"/>
    <col min="12053" max="12053" width="2.33203125" style="1" customWidth="1"/>
    <col min="12054" max="12054" width="4" style="1"/>
    <col min="12055" max="12055" width="2.21875" style="1" customWidth="1"/>
    <col min="12056" max="12056" width="4" style="1"/>
    <col min="12057" max="12057" width="2.33203125" style="1" customWidth="1"/>
    <col min="12058" max="12058" width="1.44140625" style="1" customWidth="1"/>
    <col min="12059" max="12061" width="4" style="1"/>
    <col min="12062" max="12062" width="6.6640625" style="1" bestFit="1" customWidth="1"/>
    <col min="12063" max="12288" width="4" style="1"/>
    <col min="12289" max="12289" width="1.44140625" style="1" customWidth="1"/>
    <col min="12290" max="12290" width="3.109375" style="1" customWidth="1"/>
    <col min="12291" max="12291" width="1.109375" style="1" customWidth="1"/>
    <col min="12292" max="12307" width="4" style="1"/>
    <col min="12308" max="12308" width="3.109375" style="1" customWidth="1"/>
    <col min="12309" max="12309" width="2.33203125" style="1" customWidth="1"/>
    <col min="12310" max="12310" width="4" style="1"/>
    <col min="12311" max="12311" width="2.21875" style="1" customWidth="1"/>
    <col min="12312" max="12312" width="4" style="1"/>
    <col min="12313" max="12313" width="2.33203125" style="1" customWidth="1"/>
    <col min="12314" max="12314" width="1.44140625" style="1" customWidth="1"/>
    <col min="12315" max="12317" width="4" style="1"/>
    <col min="12318" max="12318" width="6.6640625" style="1" bestFit="1" customWidth="1"/>
    <col min="12319" max="12544" width="4" style="1"/>
    <col min="12545" max="12545" width="1.44140625" style="1" customWidth="1"/>
    <col min="12546" max="12546" width="3.109375" style="1" customWidth="1"/>
    <col min="12547" max="12547" width="1.109375" style="1" customWidth="1"/>
    <col min="12548" max="12563" width="4" style="1"/>
    <col min="12564" max="12564" width="3.109375" style="1" customWidth="1"/>
    <col min="12565" max="12565" width="2.33203125" style="1" customWidth="1"/>
    <col min="12566" max="12566" width="4" style="1"/>
    <col min="12567" max="12567" width="2.21875" style="1" customWidth="1"/>
    <col min="12568" max="12568" width="4" style="1"/>
    <col min="12569" max="12569" width="2.33203125" style="1" customWidth="1"/>
    <col min="12570" max="12570" width="1.44140625" style="1" customWidth="1"/>
    <col min="12571" max="12573" width="4" style="1"/>
    <col min="12574" max="12574" width="6.6640625" style="1" bestFit="1" customWidth="1"/>
    <col min="12575" max="12800" width="4" style="1"/>
    <col min="12801" max="12801" width="1.44140625" style="1" customWidth="1"/>
    <col min="12802" max="12802" width="3.109375" style="1" customWidth="1"/>
    <col min="12803" max="12803" width="1.109375" style="1" customWidth="1"/>
    <col min="12804" max="12819" width="4" style="1"/>
    <col min="12820" max="12820" width="3.109375" style="1" customWidth="1"/>
    <col min="12821" max="12821" width="2.33203125" style="1" customWidth="1"/>
    <col min="12822" max="12822" width="4" style="1"/>
    <col min="12823" max="12823" width="2.21875" style="1" customWidth="1"/>
    <col min="12824" max="12824" width="4" style="1"/>
    <col min="12825" max="12825" width="2.33203125" style="1" customWidth="1"/>
    <col min="12826" max="12826" width="1.44140625" style="1" customWidth="1"/>
    <col min="12827" max="12829" width="4" style="1"/>
    <col min="12830" max="12830" width="6.6640625" style="1" bestFit="1" customWidth="1"/>
    <col min="12831" max="13056" width="4" style="1"/>
    <col min="13057" max="13057" width="1.44140625" style="1" customWidth="1"/>
    <col min="13058" max="13058" width="3.109375" style="1" customWidth="1"/>
    <col min="13059" max="13059" width="1.109375" style="1" customWidth="1"/>
    <col min="13060" max="13075" width="4" style="1"/>
    <col min="13076" max="13076" width="3.109375" style="1" customWidth="1"/>
    <col min="13077" max="13077" width="2.33203125" style="1" customWidth="1"/>
    <col min="13078" max="13078" width="4" style="1"/>
    <col min="13079" max="13079" width="2.21875" style="1" customWidth="1"/>
    <col min="13080" max="13080" width="4" style="1"/>
    <col min="13081" max="13081" width="2.33203125" style="1" customWidth="1"/>
    <col min="13082" max="13082" width="1.44140625" style="1" customWidth="1"/>
    <col min="13083" max="13085" width="4" style="1"/>
    <col min="13086" max="13086" width="6.6640625" style="1" bestFit="1" customWidth="1"/>
    <col min="13087" max="13312" width="4" style="1"/>
    <col min="13313" max="13313" width="1.44140625" style="1" customWidth="1"/>
    <col min="13314" max="13314" width="3.109375" style="1" customWidth="1"/>
    <col min="13315" max="13315" width="1.109375" style="1" customWidth="1"/>
    <col min="13316" max="13331" width="4" style="1"/>
    <col min="13332" max="13332" width="3.109375" style="1" customWidth="1"/>
    <col min="13333" max="13333" width="2.33203125" style="1" customWidth="1"/>
    <col min="13334" max="13334" width="4" style="1"/>
    <col min="13335" max="13335" width="2.21875" style="1" customWidth="1"/>
    <col min="13336" max="13336" width="4" style="1"/>
    <col min="13337" max="13337" width="2.33203125" style="1" customWidth="1"/>
    <col min="13338" max="13338" width="1.44140625" style="1" customWidth="1"/>
    <col min="13339" max="13341" width="4" style="1"/>
    <col min="13342" max="13342" width="6.6640625" style="1" bestFit="1" customWidth="1"/>
    <col min="13343" max="13568" width="4" style="1"/>
    <col min="13569" max="13569" width="1.44140625" style="1" customWidth="1"/>
    <col min="13570" max="13570" width="3.109375" style="1" customWidth="1"/>
    <col min="13571" max="13571" width="1.109375" style="1" customWidth="1"/>
    <col min="13572" max="13587" width="4" style="1"/>
    <col min="13588" max="13588" width="3.109375" style="1" customWidth="1"/>
    <col min="13589" max="13589" width="2.33203125" style="1" customWidth="1"/>
    <col min="13590" max="13590" width="4" style="1"/>
    <col min="13591" max="13591" width="2.21875" style="1" customWidth="1"/>
    <col min="13592" max="13592" width="4" style="1"/>
    <col min="13593" max="13593" width="2.33203125" style="1" customWidth="1"/>
    <col min="13594" max="13594" width="1.44140625" style="1" customWidth="1"/>
    <col min="13595" max="13597" width="4" style="1"/>
    <col min="13598" max="13598" width="6.6640625" style="1" bestFit="1" customWidth="1"/>
    <col min="13599" max="13824" width="4" style="1"/>
    <col min="13825" max="13825" width="1.44140625" style="1" customWidth="1"/>
    <col min="13826" max="13826" width="3.109375" style="1" customWidth="1"/>
    <col min="13827" max="13827" width="1.109375" style="1" customWidth="1"/>
    <col min="13828" max="13843" width="4" style="1"/>
    <col min="13844" max="13844" width="3.109375" style="1" customWidth="1"/>
    <col min="13845" max="13845" width="2.33203125" style="1" customWidth="1"/>
    <col min="13846" max="13846" width="4" style="1"/>
    <col min="13847" max="13847" width="2.21875" style="1" customWidth="1"/>
    <col min="13848" max="13848" width="4" style="1"/>
    <col min="13849" max="13849" width="2.33203125" style="1" customWidth="1"/>
    <col min="13850" max="13850" width="1.44140625" style="1" customWidth="1"/>
    <col min="13851" max="13853" width="4" style="1"/>
    <col min="13854" max="13854" width="6.6640625" style="1" bestFit="1" customWidth="1"/>
    <col min="13855" max="14080" width="4" style="1"/>
    <col min="14081" max="14081" width="1.44140625" style="1" customWidth="1"/>
    <col min="14082" max="14082" width="3.109375" style="1" customWidth="1"/>
    <col min="14083" max="14083" width="1.109375" style="1" customWidth="1"/>
    <col min="14084" max="14099" width="4" style="1"/>
    <col min="14100" max="14100" width="3.109375" style="1" customWidth="1"/>
    <col min="14101" max="14101" width="2.33203125" style="1" customWidth="1"/>
    <col min="14102" max="14102" width="4" style="1"/>
    <col min="14103" max="14103" width="2.21875" style="1" customWidth="1"/>
    <col min="14104" max="14104" width="4" style="1"/>
    <col min="14105" max="14105" width="2.33203125" style="1" customWidth="1"/>
    <col min="14106" max="14106" width="1.44140625" style="1" customWidth="1"/>
    <col min="14107" max="14109" width="4" style="1"/>
    <col min="14110" max="14110" width="6.6640625" style="1" bestFit="1" customWidth="1"/>
    <col min="14111" max="14336" width="4" style="1"/>
    <col min="14337" max="14337" width="1.44140625" style="1" customWidth="1"/>
    <col min="14338" max="14338" width="3.109375" style="1" customWidth="1"/>
    <col min="14339" max="14339" width="1.109375" style="1" customWidth="1"/>
    <col min="14340" max="14355" width="4" style="1"/>
    <col min="14356" max="14356" width="3.109375" style="1" customWidth="1"/>
    <col min="14357" max="14357" width="2.33203125" style="1" customWidth="1"/>
    <col min="14358" max="14358" width="4" style="1"/>
    <col min="14359" max="14359" width="2.21875" style="1" customWidth="1"/>
    <col min="14360" max="14360" width="4" style="1"/>
    <col min="14361" max="14361" width="2.33203125" style="1" customWidth="1"/>
    <col min="14362" max="14362" width="1.44140625" style="1" customWidth="1"/>
    <col min="14363" max="14365" width="4" style="1"/>
    <col min="14366" max="14366" width="6.6640625" style="1" bestFit="1" customWidth="1"/>
    <col min="14367" max="14592" width="4" style="1"/>
    <col min="14593" max="14593" width="1.44140625" style="1" customWidth="1"/>
    <col min="14594" max="14594" width="3.109375" style="1" customWidth="1"/>
    <col min="14595" max="14595" width="1.109375" style="1" customWidth="1"/>
    <col min="14596" max="14611" width="4" style="1"/>
    <col min="14612" max="14612" width="3.109375" style="1" customWidth="1"/>
    <col min="14613" max="14613" width="2.33203125" style="1" customWidth="1"/>
    <col min="14614" max="14614" width="4" style="1"/>
    <col min="14615" max="14615" width="2.21875" style="1" customWidth="1"/>
    <col min="14616" max="14616" width="4" style="1"/>
    <col min="14617" max="14617" width="2.33203125" style="1" customWidth="1"/>
    <col min="14618" max="14618" width="1.44140625" style="1" customWidth="1"/>
    <col min="14619" max="14621" width="4" style="1"/>
    <col min="14622" max="14622" width="6.6640625" style="1" bestFit="1" customWidth="1"/>
    <col min="14623" max="14848" width="4" style="1"/>
    <col min="14849" max="14849" width="1.44140625" style="1" customWidth="1"/>
    <col min="14850" max="14850" width="3.109375" style="1" customWidth="1"/>
    <col min="14851" max="14851" width="1.109375" style="1" customWidth="1"/>
    <col min="14852" max="14867" width="4" style="1"/>
    <col min="14868" max="14868" width="3.109375" style="1" customWidth="1"/>
    <col min="14869" max="14869" width="2.33203125" style="1" customWidth="1"/>
    <col min="14870" max="14870" width="4" style="1"/>
    <col min="14871" max="14871" width="2.21875" style="1" customWidth="1"/>
    <col min="14872" max="14872" width="4" style="1"/>
    <col min="14873" max="14873" width="2.33203125" style="1" customWidth="1"/>
    <col min="14874" max="14874" width="1.44140625" style="1" customWidth="1"/>
    <col min="14875" max="14877" width="4" style="1"/>
    <col min="14878" max="14878" width="6.6640625" style="1" bestFit="1" customWidth="1"/>
    <col min="14879" max="15104" width="4" style="1"/>
    <col min="15105" max="15105" width="1.44140625" style="1" customWidth="1"/>
    <col min="15106" max="15106" width="3.109375" style="1" customWidth="1"/>
    <col min="15107" max="15107" width="1.109375" style="1" customWidth="1"/>
    <col min="15108" max="15123" width="4" style="1"/>
    <col min="15124" max="15124" width="3.109375" style="1" customWidth="1"/>
    <col min="15125" max="15125" width="2.33203125" style="1" customWidth="1"/>
    <col min="15126" max="15126" width="4" style="1"/>
    <col min="15127" max="15127" width="2.21875" style="1" customWidth="1"/>
    <col min="15128" max="15128" width="4" style="1"/>
    <col min="15129" max="15129" width="2.33203125" style="1" customWidth="1"/>
    <col min="15130" max="15130" width="1.44140625" style="1" customWidth="1"/>
    <col min="15131" max="15133" width="4" style="1"/>
    <col min="15134" max="15134" width="6.6640625" style="1" bestFit="1" customWidth="1"/>
    <col min="15135" max="15360" width="4" style="1"/>
    <col min="15361" max="15361" width="1.44140625" style="1" customWidth="1"/>
    <col min="15362" max="15362" width="3.109375" style="1" customWidth="1"/>
    <col min="15363" max="15363" width="1.109375" style="1" customWidth="1"/>
    <col min="15364" max="15379" width="4" style="1"/>
    <col min="15380" max="15380" width="3.109375" style="1" customWidth="1"/>
    <col min="15381" max="15381" width="2.33203125" style="1" customWidth="1"/>
    <col min="15382" max="15382" width="4" style="1"/>
    <col min="15383" max="15383" width="2.21875" style="1" customWidth="1"/>
    <col min="15384" max="15384" width="4" style="1"/>
    <col min="15385" max="15385" width="2.33203125" style="1" customWidth="1"/>
    <col min="15386" max="15386" width="1.44140625" style="1" customWidth="1"/>
    <col min="15387" max="15389" width="4" style="1"/>
    <col min="15390" max="15390" width="6.6640625" style="1" bestFit="1" customWidth="1"/>
    <col min="15391" max="15616" width="4" style="1"/>
    <col min="15617" max="15617" width="1.44140625" style="1" customWidth="1"/>
    <col min="15618" max="15618" width="3.109375" style="1" customWidth="1"/>
    <col min="15619" max="15619" width="1.109375" style="1" customWidth="1"/>
    <col min="15620" max="15635" width="4" style="1"/>
    <col min="15636" max="15636" width="3.109375" style="1" customWidth="1"/>
    <col min="15637" max="15637" width="2.33203125" style="1" customWidth="1"/>
    <col min="15638" max="15638" width="4" style="1"/>
    <col min="15639" max="15639" width="2.21875" style="1" customWidth="1"/>
    <col min="15640" max="15640" width="4" style="1"/>
    <col min="15641" max="15641" width="2.33203125" style="1" customWidth="1"/>
    <col min="15642" max="15642" width="1.44140625" style="1" customWidth="1"/>
    <col min="15643" max="15645" width="4" style="1"/>
    <col min="15646" max="15646" width="6.6640625" style="1" bestFit="1" customWidth="1"/>
    <col min="15647" max="15872" width="4" style="1"/>
    <col min="15873" max="15873" width="1.44140625" style="1" customWidth="1"/>
    <col min="15874" max="15874" width="3.109375" style="1" customWidth="1"/>
    <col min="15875" max="15875" width="1.109375" style="1" customWidth="1"/>
    <col min="15876" max="15891" width="4" style="1"/>
    <col min="15892" max="15892" width="3.109375" style="1" customWidth="1"/>
    <col min="15893" max="15893" width="2.33203125" style="1" customWidth="1"/>
    <col min="15894" max="15894" width="4" style="1"/>
    <col min="15895" max="15895" width="2.21875" style="1" customWidth="1"/>
    <col min="15896" max="15896" width="4" style="1"/>
    <col min="15897" max="15897" width="2.33203125" style="1" customWidth="1"/>
    <col min="15898" max="15898" width="1.44140625" style="1" customWidth="1"/>
    <col min="15899" max="15901" width="4" style="1"/>
    <col min="15902" max="15902" width="6.6640625" style="1" bestFit="1" customWidth="1"/>
    <col min="15903" max="16128" width="4" style="1"/>
    <col min="16129" max="16129" width="1.44140625" style="1" customWidth="1"/>
    <col min="16130" max="16130" width="3.109375" style="1" customWidth="1"/>
    <col min="16131" max="16131" width="1.109375" style="1" customWidth="1"/>
    <col min="16132" max="16147" width="4" style="1"/>
    <col min="16148" max="16148" width="3.109375" style="1" customWidth="1"/>
    <col min="16149" max="16149" width="2.33203125" style="1" customWidth="1"/>
    <col min="16150" max="16150" width="4" style="1"/>
    <col min="16151" max="16151" width="2.21875" style="1" customWidth="1"/>
    <col min="16152" max="16152" width="4" style="1"/>
    <col min="16153" max="16153" width="2.33203125" style="1" customWidth="1"/>
    <col min="16154" max="16154" width="1.44140625" style="1" customWidth="1"/>
    <col min="16155" max="16157" width="4" style="1"/>
    <col min="16158" max="16158" width="6.6640625" style="1" bestFit="1" customWidth="1"/>
    <col min="16159" max="16384" width="4" style="1"/>
  </cols>
  <sheetData>
    <row r="2" spans="2:30" x14ac:dyDescent="0.2">
      <c r="B2" s="1" t="s">
        <v>1901</v>
      </c>
      <c r="C2"/>
      <c r="D2"/>
      <c r="E2"/>
      <c r="F2"/>
      <c r="G2"/>
      <c r="H2"/>
      <c r="I2"/>
      <c r="J2"/>
      <c r="K2"/>
      <c r="L2"/>
      <c r="M2"/>
      <c r="N2"/>
      <c r="O2"/>
      <c r="P2"/>
      <c r="Q2"/>
      <c r="R2"/>
      <c r="S2"/>
      <c r="T2"/>
      <c r="U2"/>
      <c r="V2"/>
      <c r="W2"/>
      <c r="X2"/>
      <c r="Y2"/>
    </row>
    <row r="4" spans="2:30" ht="34.5" customHeight="1" x14ac:dyDescent="0.2">
      <c r="B4" s="1648" t="s">
        <v>1106</v>
      </c>
      <c r="C4" s="1456"/>
      <c r="D4" s="1456"/>
      <c r="E4" s="1456"/>
      <c r="F4" s="1456"/>
      <c r="G4" s="1456"/>
      <c r="H4" s="1456"/>
      <c r="I4" s="1456"/>
      <c r="J4" s="1456"/>
      <c r="K4" s="1456"/>
      <c r="L4" s="1456"/>
      <c r="M4" s="1456"/>
      <c r="N4" s="1456"/>
      <c r="O4" s="1456"/>
      <c r="P4" s="1456"/>
      <c r="Q4" s="1456"/>
      <c r="R4" s="1456"/>
      <c r="S4" s="1456"/>
      <c r="T4" s="1456"/>
      <c r="U4" s="1456"/>
      <c r="V4" s="1456"/>
      <c r="W4" s="1456"/>
      <c r="X4" s="1456"/>
      <c r="Y4" s="1456"/>
    </row>
    <row r="5" spans="2:30" ht="13.5" customHeight="1" x14ac:dyDescent="0.2"/>
    <row r="6" spans="2:30" ht="24" customHeight="1" x14ac:dyDescent="0.2">
      <c r="B6" s="1554" t="s">
        <v>1173</v>
      </c>
      <c r="C6" s="1554"/>
      <c r="D6" s="1554"/>
      <c r="E6" s="1554"/>
      <c r="F6" s="1554"/>
      <c r="G6" s="1549"/>
      <c r="H6" s="1550"/>
      <c r="I6" s="1550"/>
      <c r="J6" s="1550"/>
      <c r="K6" s="1550"/>
      <c r="L6" s="1550"/>
      <c r="M6" s="1550"/>
      <c r="N6" s="1550"/>
      <c r="O6" s="1550"/>
      <c r="P6" s="1550"/>
      <c r="Q6" s="1550"/>
      <c r="R6" s="1550"/>
      <c r="S6" s="1550"/>
      <c r="T6" s="1550"/>
      <c r="U6" s="1550"/>
      <c r="V6" s="1550"/>
      <c r="W6" s="1550"/>
      <c r="X6" s="1550"/>
      <c r="Y6" s="1551"/>
    </row>
    <row r="7" spans="2:30" ht="24" customHeight="1" x14ac:dyDescent="0.2">
      <c r="B7" s="1554" t="s">
        <v>1109</v>
      </c>
      <c r="C7" s="1554"/>
      <c r="D7" s="1554"/>
      <c r="E7" s="1554"/>
      <c r="F7" s="1554"/>
      <c r="G7" s="574" t="s">
        <v>116</v>
      </c>
      <c r="H7" s="759" t="s">
        <v>1174</v>
      </c>
      <c r="I7" s="759"/>
      <c r="J7" s="759"/>
      <c r="K7" s="759"/>
      <c r="L7" s="574" t="s">
        <v>116</v>
      </c>
      <c r="M7" s="759" t="s">
        <v>1175</v>
      </c>
      <c r="N7" s="759"/>
      <c r="O7" s="759"/>
      <c r="P7" s="759"/>
      <c r="Q7" s="574" t="s">
        <v>116</v>
      </c>
      <c r="R7" s="759" t="s">
        <v>1176</v>
      </c>
      <c r="S7" s="759"/>
      <c r="T7" s="759"/>
      <c r="U7" s="759"/>
      <c r="V7" s="759"/>
      <c r="W7" s="10"/>
      <c r="X7" s="10"/>
      <c r="Y7" s="11"/>
    </row>
    <row r="8" spans="2:30" ht="22.2" customHeight="1" x14ac:dyDescent="0.2">
      <c r="B8" s="1332" t="s">
        <v>1177</v>
      </c>
      <c r="C8" s="1333"/>
      <c r="D8" s="1333"/>
      <c r="E8" s="1333"/>
      <c r="F8" s="1334"/>
      <c r="G8" s="561" t="s">
        <v>116</v>
      </c>
      <c r="H8" s="7" t="s">
        <v>1178</v>
      </c>
      <c r="I8" s="1089"/>
      <c r="J8" s="1089"/>
      <c r="K8" s="1089"/>
      <c r="L8" s="1089"/>
      <c r="M8" s="1089"/>
      <c r="N8" s="1089"/>
      <c r="O8" s="1089"/>
      <c r="P8" s="1089"/>
      <c r="Q8" s="1089"/>
      <c r="R8" s="1089"/>
      <c r="S8" s="1089"/>
      <c r="T8" s="1089"/>
      <c r="U8" s="1089"/>
      <c r="V8" s="1089"/>
      <c r="W8" s="1089"/>
      <c r="X8" s="1089"/>
      <c r="Y8" s="1090"/>
    </row>
    <row r="9" spans="2:30" ht="22.2" customHeight="1" x14ac:dyDescent="0.2">
      <c r="B9" s="1555"/>
      <c r="C9" s="1456"/>
      <c r="D9" s="1456"/>
      <c r="E9" s="1456"/>
      <c r="F9" s="1556"/>
      <c r="G9" s="576" t="s">
        <v>116</v>
      </c>
      <c r="H9" s="1" t="s">
        <v>1179</v>
      </c>
      <c r="I9" s="21"/>
      <c r="J9" s="21"/>
      <c r="K9" s="21"/>
      <c r="L9" s="21"/>
      <c r="M9" s="21"/>
      <c r="N9" s="21"/>
      <c r="O9" s="21"/>
      <c r="P9" s="21"/>
      <c r="Q9" s="21"/>
      <c r="R9" s="21"/>
      <c r="S9" s="21"/>
      <c r="T9" s="21"/>
      <c r="U9" s="21"/>
      <c r="V9" s="21"/>
      <c r="W9" s="21"/>
      <c r="X9" s="21"/>
      <c r="Y9" s="571"/>
    </row>
    <row r="10" spans="2:30" ht="22.2" customHeight="1" x14ac:dyDescent="0.2">
      <c r="B10" s="1335"/>
      <c r="C10" s="1336"/>
      <c r="D10" s="1336"/>
      <c r="E10" s="1336"/>
      <c r="F10" s="1337"/>
      <c r="G10" s="563" t="s">
        <v>116</v>
      </c>
      <c r="H10" s="8" t="s">
        <v>1180</v>
      </c>
      <c r="I10" s="572"/>
      <c r="J10" s="572"/>
      <c r="K10" s="572"/>
      <c r="L10" s="572"/>
      <c r="M10" s="572"/>
      <c r="N10" s="572"/>
      <c r="O10" s="572"/>
      <c r="P10" s="572"/>
      <c r="Q10" s="572"/>
      <c r="R10" s="572"/>
      <c r="S10" s="572"/>
      <c r="T10" s="572"/>
      <c r="U10" s="572"/>
      <c r="V10" s="572"/>
      <c r="W10" s="572"/>
      <c r="X10" s="572"/>
      <c r="Y10" s="1091"/>
    </row>
    <row r="11" spans="2:30" ht="13.5" customHeight="1" x14ac:dyDescent="0.2">
      <c r="AD11" s="1095"/>
    </row>
    <row r="12" spans="2:30" ht="13.2"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1096" t="s">
        <v>1181</v>
      </c>
      <c r="C13" s="1097"/>
      <c r="T13" s="588"/>
      <c r="V13" s="769" t="s">
        <v>1117</v>
      </c>
      <c r="W13" s="769" t="s">
        <v>441</v>
      </c>
      <c r="X13" s="769" t="s">
        <v>721</v>
      </c>
      <c r="Y13" s="588"/>
      <c r="Z13"/>
      <c r="AA13"/>
    </row>
    <row r="14" spans="2:30" ht="17.100000000000001" customHeight="1" x14ac:dyDescent="0.2">
      <c r="B14" s="582"/>
      <c r="T14" s="588"/>
      <c r="Y14" s="588"/>
      <c r="Z14"/>
      <c r="AA14"/>
    </row>
    <row r="15" spans="2:30" ht="49.5" customHeight="1" x14ac:dyDescent="0.2">
      <c r="B15" s="582"/>
      <c r="C15" s="1646" t="s">
        <v>1182</v>
      </c>
      <c r="D15" s="1647"/>
      <c r="E15" s="1647"/>
      <c r="F15" s="891" t="s">
        <v>103</v>
      </c>
      <c r="G15" s="1430" t="s">
        <v>1183</v>
      </c>
      <c r="H15" s="1430"/>
      <c r="I15" s="1430"/>
      <c r="J15" s="1430"/>
      <c r="K15" s="1430"/>
      <c r="L15" s="1430"/>
      <c r="M15" s="1430"/>
      <c r="N15" s="1430"/>
      <c r="O15" s="1430"/>
      <c r="P15" s="1430"/>
      <c r="Q15" s="1430"/>
      <c r="R15" s="1430"/>
      <c r="S15" s="1430"/>
      <c r="T15" s="588"/>
      <c r="V15" s="12" t="s">
        <v>116</v>
      </c>
      <c r="W15" s="12" t="s">
        <v>441</v>
      </c>
      <c r="X15" s="12" t="s">
        <v>116</v>
      </c>
      <c r="Y15" s="588"/>
      <c r="Z15"/>
      <c r="AA15"/>
    </row>
    <row r="16" spans="2:30" ht="69" customHeight="1" x14ac:dyDescent="0.2">
      <c r="B16" s="582"/>
      <c r="C16" s="1647"/>
      <c r="D16" s="1647"/>
      <c r="E16" s="1647"/>
      <c r="F16" s="891" t="s">
        <v>104</v>
      </c>
      <c r="G16" s="1430" t="s">
        <v>1184</v>
      </c>
      <c r="H16" s="1430"/>
      <c r="I16" s="1430"/>
      <c r="J16" s="1430"/>
      <c r="K16" s="1430"/>
      <c r="L16" s="1430"/>
      <c r="M16" s="1430"/>
      <c r="N16" s="1430"/>
      <c r="O16" s="1430"/>
      <c r="P16" s="1430"/>
      <c r="Q16" s="1430"/>
      <c r="R16" s="1430"/>
      <c r="S16" s="1430"/>
      <c r="T16" s="588"/>
      <c r="V16" s="12" t="s">
        <v>116</v>
      </c>
      <c r="W16" s="12" t="s">
        <v>441</v>
      </c>
      <c r="X16" s="12" t="s">
        <v>116</v>
      </c>
      <c r="Y16" s="588"/>
      <c r="Z16"/>
      <c r="AA16"/>
    </row>
    <row r="17" spans="2:27" ht="40.200000000000003" customHeight="1" x14ac:dyDescent="0.2">
      <c r="B17" s="582"/>
      <c r="C17" s="1647"/>
      <c r="D17" s="1647"/>
      <c r="E17" s="1647"/>
      <c r="F17" s="891" t="s">
        <v>120</v>
      </c>
      <c r="G17" s="1430" t="s">
        <v>1185</v>
      </c>
      <c r="H17" s="1430"/>
      <c r="I17" s="1430"/>
      <c r="J17" s="1430"/>
      <c r="K17" s="1430"/>
      <c r="L17" s="1430"/>
      <c r="M17" s="1430"/>
      <c r="N17" s="1430"/>
      <c r="O17" s="1430"/>
      <c r="P17" s="1430"/>
      <c r="Q17" s="1430"/>
      <c r="R17" s="1430"/>
      <c r="S17" s="1430"/>
      <c r="T17" s="588"/>
      <c r="V17" s="12" t="s">
        <v>116</v>
      </c>
      <c r="W17" s="12" t="s">
        <v>441</v>
      </c>
      <c r="X17" s="12" t="s">
        <v>116</v>
      </c>
      <c r="Y17" s="588"/>
      <c r="Z17"/>
      <c r="AA17"/>
    </row>
    <row r="18" spans="2:27" ht="22.2" customHeight="1" x14ac:dyDescent="0.2">
      <c r="B18" s="582"/>
      <c r="C18" s="1647"/>
      <c r="D18" s="1647"/>
      <c r="E18" s="1647"/>
      <c r="F18" s="891" t="s">
        <v>121</v>
      </c>
      <c r="G18" s="1430" t="s">
        <v>1186</v>
      </c>
      <c r="H18" s="1430"/>
      <c r="I18" s="1430"/>
      <c r="J18" s="1430"/>
      <c r="K18" s="1430"/>
      <c r="L18" s="1430"/>
      <c r="M18" s="1430"/>
      <c r="N18" s="1430"/>
      <c r="O18" s="1430"/>
      <c r="P18" s="1430"/>
      <c r="Q18" s="1430"/>
      <c r="R18" s="1430"/>
      <c r="S18" s="1430"/>
      <c r="T18" s="588"/>
      <c r="V18" s="12" t="s">
        <v>116</v>
      </c>
      <c r="W18" s="12" t="s">
        <v>441</v>
      </c>
      <c r="X18" s="12" t="s">
        <v>116</v>
      </c>
      <c r="Y18" s="588"/>
      <c r="Z18"/>
      <c r="AA18"/>
    </row>
    <row r="19" spans="2:27" ht="17.7" customHeight="1" x14ac:dyDescent="0.2">
      <c r="B19" s="582"/>
      <c r="C19" s="773"/>
      <c r="D19" s="773"/>
      <c r="E19" s="773"/>
      <c r="F19" s="12"/>
      <c r="G19" s="21"/>
      <c r="H19" s="21"/>
      <c r="I19" s="21"/>
      <c r="J19" s="21"/>
      <c r="K19" s="21"/>
      <c r="L19" s="21"/>
      <c r="M19" s="21"/>
      <c r="N19" s="21"/>
      <c r="O19" s="21"/>
      <c r="P19" s="21"/>
      <c r="Q19" s="21"/>
      <c r="R19" s="21"/>
      <c r="S19" s="21"/>
      <c r="T19" s="588"/>
      <c r="Y19" s="588"/>
      <c r="Z19"/>
      <c r="AA19"/>
    </row>
    <row r="20" spans="2:27" ht="69" customHeight="1" x14ac:dyDescent="0.2">
      <c r="B20" s="582"/>
      <c r="C20" s="1658" t="s">
        <v>1187</v>
      </c>
      <c r="D20" s="1659"/>
      <c r="E20" s="1659"/>
      <c r="F20" s="891" t="s">
        <v>103</v>
      </c>
      <c r="G20" s="1430" t="s">
        <v>1188</v>
      </c>
      <c r="H20" s="1430"/>
      <c r="I20" s="1430"/>
      <c r="J20" s="1430"/>
      <c r="K20" s="1430"/>
      <c r="L20" s="1430"/>
      <c r="M20" s="1430"/>
      <c r="N20" s="1430"/>
      <c r="O20" s="1430"/>
      <c r="P20" s="1430"/>
      <c r="Q20" s="1430"/>
      <c r="R20" s="1430"/>
      <c r="S20" s="1430"/>
      <c r="T20" s="588"/>
      <c r="V20" s="12" t="s">
        <v>116</v>
      </c>
      <c r="W20" s="12" t="s">
        <v>441</v>
      </c>
      <c r="X20" s="12" t="s">
        <v>116</v>
      </c>
      <c r="Y20" s="588"/>
      <c r="Z20"/>
      <c r="AA20"/>
    </row>
    <row r="21" spans="2:27" ht="69" customHeight="1" x14ac:dyDescent="0.2">
      <c r="B21" s="582"/>
      <c r="C21" s="1659"/>
      <c r="D21" s="1659"/>
      <c r="E21" s="1659"/>
      <c r="F21" s="891" t="s">
        <v>104</v>
      </c>
      <c r="G21" s="1430" t="s">
        <v>1189</v>
      </c>
      <c r="H21" s="1430"/>
      <c r="I21" s="1430"/>
      <c r="J21" s="1430"/>
      <c r="K21" s="1430"/>
      <c r="L21" s="1430"/>
      <c r="M21" s="1430"/>
      <c r="N21" s="1430"/>
      <c r="O21" s="1430"/>
      <c r="P21" s="1430"/>
      <c r="Q21" s="1430"/>
      <c r="R21" s="1430"/>
      <c r="S21" s="1430"/>
      <c r="T21" s="588"/>
      <c r="V21" s="12" t="s">
        <v>116</v>
      </c>
      <c r="W21" s="12" t="s">
        <v>441</v>
      </c>
      <c r="X21" s="12" t="s">
        <v>116</v>
      </c>
      <c r="Y21" s="588"/>
      <c r="Z21"/>
      <c r="AA21"/>
    </row>
    <row r="22" spans="2:27" ht="49.5" customHeight="1" x14ac:dyDescent="0.2">
      <c r="B22" s="582"/>
      <c r="C22" s="1659"/>
      <c r="D22" s="1659"/>
      <c r="E22" s="1659"/>
      <c r="F22" s="891" t="s">
        <v>120</v>
      </c>
      <c r="G22" s="1430" t="s">
        <v>1190</v>
      </c>
      <c r="H22" s="1430"/>
      <c r="I22" s="1430"/>
      <c r="J22" s="1430"/>
      <c r="K22" s="1430"/>
      <c r="L22" s="1430"/>
      <c r="M22" s="1430"/>
      <c r="N22" s="1430"/>
      <c r="O22" s="1430"/>
      <c r="P22" s="1430"/>
      <c r="Q22" s="1430"/>
      <c r="R22" s="1430"/>
      <c r="S22" s="1430"/>
      <c r="T22" s="588"/>
      <c r="V22" s="12" t="s">
        <v>116</v>
      </c>
      <c r="W22" s="12" t="s">
        <v>441</v>
      </c>
      <c r="X22" s="12" t="s">
        <v>116</v>
      </c>
      <c r="Y22" s="588"/>
      <c r="Z22"/>
      <c r="AA22"/>
    </row>
    <row r="23" spans="2:27" ht="22.2" customHeight="1" x14ac:dyDescent="0.2">
      <c r="B23" s="582"/>
      <c r="C23" s="1659"/>
      <c r="D23" s="1659"/>
      <c r="E23" s="1659"/>
      <c r="F23" s="891" t="s">
        <v>121</v>
      </c>
      <c r="G23" s="1430" t="s">
        <v>1191</v>
      </c>
      <c r="H23" s="1430"/>
      <c r="I23" s="1430"/>
      <c r="J23" s="1430"/>
      <c r="K23" s="1430"/>
      <c r="L23" s="1430"/>
      <c r="M23" s="1430"/>
      <c r="N23" s="1430"/>
      <c r="O23" s="1430"/>
      <c r="P23" s="1430"/>
      <c r="Q23" s="1430"/>
      <c r="R23" s="1430"/>
      <c r="S23" s="1430"/>
      <c r="T23" s="588"/>
      <c r="V23" s="12" t="s">
        <v>116</v>
      </c>
      <c r="W23" s="12" t="s">
        <v>441</v>
      </c>
      <c r="X23" s="12" t="s">
        <v>116</v>
      </c>
      <c r="Y23" s="588"/>
      <c r="Z23"/>
      <c r="AA23"/>
    </row>
    <row r="24" spans="2:27" ht="17.7" customHeight="1" x14ac:dyDescent="0.2">
      <c r="B24" s="582"/>
      <c r="C24" s="773"/>
      <c r="D24" s="773"/>
      <c r="E24" s="773"/>
      <c r="F24" s="12"/>
      <c r="G24" s="21"/>
      <c r="H24" s="21"/>
      <c r="I24" s="21"/>
      <c r="J24" s="21"/>
      <c r="K24" s="21"/>
      <c r="L24" s="21"/>
      <c r="M24" s="21"/>
      <c r="N24" s="21"/>
      <c r="O24" s="21"/>
      <c r="P24" s="21"/>
      <c r="Q24" s="21"/>
      <c r="R24" s="21"/>
      <c r="S24" s="21"/>
      <c r="T24" s="588"/>
      <c r="Y24" s="588"/>
      <c r="Z24"/>
      <c r="AA24"/>
    </row>
    <row r="25" spans="2:27" ht="69" customHeight="1" x14ac:dyDescent="0.2">
      <c r="B25" s="582"/>
      <c r="C25" s="1649" t="s">
        <v>1192</v>
      </c>
      <c r="D25" s="1650"/>
      <c r="E25" s="1651"/>
      <c r="F25" s="891" t="s">
        <v>103</v>
      </c>
      <c r="G25" s="1430" t="s">
        <v>1193</v>
      </c>
      <c r="H25" s="1430"/>
      <c r="I25" s="1430"/>
      <c r="J25" s="1430"/>
      <c r="K25" s="1430"/>
      <c r="L25" s="1430"/>
      <c r="M25" s="1430"/>
      <c r="N25" s="1430"/>
      <c r="O25" s="1430"/>
      <c r="P25" s="1430"/>
      <c r="Q25" s="1430"/>
      <c r="R25" s="1430"/>
      <c r="S25" s="1430"/>
      <c r="T25" s="588"/>
      <c r="V25" s="12" t="s">
        <v>116</v>
      </c>
      <c r="W25" s="12" t="s">
        <v>441</v>
      </c>
      <c r="X25" s="12" t="s">
        <v>116</v>
      </c>
      <c r="Y25" s="588"/>
      <c r="Z25"/>
      <c r="AA25"/>
    </row>
    <row r="26" spans="2:27" ht="69" customHeight="1" x14ac:dyDescent="0.2">
      <c r="B26" s="582"/>
      <c r="C26" s="1652"/>
      <c r="D26" s="1653"/>
      <c r="E26" s="1654"/>
      <c r="F26" s="891" t="s">
        <v>104</v>
      </c>
      <c r="G26" s="1430" t="s">
        <v>1194</v>
      </c>
      <c r="H26" s="1430"/>
      <c r="I26" s="1430"/>
      <c r="J26" s="1430"/>
      <c r="K26" s="1430"/>
      <c r="L26" s="1430"/>
      <c r="M26" s="1430"/>
      <c r="N26" s="1430"/>
      <c r="O26" s="1430"/>
      <c r="P26" s="1430"/>
      <c r="Q26" s="1430"/>
      <c r="R26" s="1430"/>
      <c r="S26" s="1430"/>
      <c r="T26" s="588"/>
      <c r="V26" s="12" t="s">
        <v>116</v>
      </c>
      <c r="W26" s="12" t="s">
        <v>441</v>
      </c>
      <c r="X26" s="12" t="s">
        <v>116</v>
      </c>
      <c r="Y26" s="588"/>
      <c r="Z26"/>
      <c r="AA26"/>
    </row>
    <row r="27" spans="2:27" ht="49.5" customHeight="1" x14ac:dyDescent="0.2">
      <c r="B27" s="582"/>
      <c r="C27" s="1655"/>
      <c r="D27" s="1656"/>
      <c r="E27" s="1657"/>
      <c r="F27" s="891" t="s">
        <v>120</v>
      </c>
      <c r="G27" s="1430" t="s">
        <v>1195</v>
      </c>
      <c r="H27" s="1430"/>
      <c r="I27" s="1430"/>
      <c r="J27" s="1430"/>
      <c r="K27" s="1430"/>
      <c r="L27" s="1430"/>
      <c r="M27" s="1430"/>
      <c r="N27" s="1430"/>
      <c r="O27" s="1430"/>
      <c r="P27" s="1430"/>
      <c r="Q27" s="1430"/>
      <c r="R27" s="1430"/>
      <c r="S27" s="1430"/>
      <c r="T27" s="588"/>
      <c r="V27" s="12" t="s">
        <v>116</v>
      </c>
      <c r="W27" s="12" t="s">
        <v>441</v>
      </c>
      <c r="X27" s="12" t="s">
        <v>116</v>
      </c>
      <c r="Y27" s="588"/>
      <c r="Z27"/>
      <c r="AA27"/>
    </row>
    <row r="28" spans="2:27" ht="13.2" customHeight="1" x14ac:dyDescent="0.2">
      <c r="B28" s="591"/>
      <c r="C28" s="8"/>
      <c r="D28" s="8"/>
      <c r="E28" s="8"/>
      <c r="F28" s="8"/>
      <c r="G28" s="8"/>
      <c r="H28" s="8"/>
      <c r="I28" s="8"/>
      <c r="J28" s="8"/>
      <c r="K28" s="8"/>
      <c r="L28" s="8"/>
      <c r="M28" s="8"/>
      <c r="N28" s="8"/>
      <c r="O28" s="8"/>
      <c r="P28" s="8"/>
      <c r="Q28" s="8"/>
      <c r="R28" s="8"/>
      <c r="S28" s="8"/>
      <c r="T28" s="593"/>
      <c r="U28" s="8"/>
      <c r="V28" s="8"/>
      <c r="W28" s="8"/>
      <c r="X28" s="8"/>
      <c r="Y28" s="593"/>
    </row>
    <row r="30" spans="2:27" x14ac:dyDescent="0.2">
      <c r="B30" s="1" t="s">
        <v>1196</v>
      </c>
    </row>
    <row r="31" spans="2:27" x14ac:dyDescent="0.2">
      <c r="B31" s="1" t="s">
        <v>1197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printOptions horizontalCentered="1"/>
  <pageMargins left="0.70866141732283472" right="0.39370078740157483" top="0.51181102362204722"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8C41C4-01E6-4EE3-9FC8-0DC7E2BEED07}">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E1A6-ACAC-40C4-A3FF-52C23F88AFE1}">
  <sheetPr>
    <tabColor rgb="FFFFFF00"/>
    <pageSetUpPr fitToPage="1"/>
  </sheetPr>
  <dimension ref="A1:W123"/>
  <sheetViews>
    <sheetView view="pageBreakPreview" zoomScaleNormal="100" zoomScaleSheetLayoutView="100" workbookViewId="0"/>
  </sheetViews>
  <sheetFormatPr defaultColWidth="9" defaultRowHeight="13.2" x14ac:dyDescent="0.2"/>
  <cols>
    <col min="1" max="1" width="2.109375" style="1099" customWidth="1"/>
    <col min="2" max="23" width="3.6640625" style="1099" customWidth="1"/>
    <col min="24" max="24" width="2.109375" style="1099" customWidth="1"/>
    <col min="25" max="37" width="5.6640625" style="1099" customWidth="1"/>
    <col min="38" max="256" width="9" style="1099"/>
    <col min="257" max="257" width="2.109375" style="1099" customWidth="1"/>
    <col min="258" max="279" width="3.6640625" style="1099" customWidth="1"/>
    <col min="280" max="280" width="2.109375" style="1099" customWidth="1"/>
    <col min="281" max="293" width="5.6640625" style="1099" customWidth="1"/>
    <col min="294" max="512" width="9" style="1099"/>
    <col min="513" max="513" width="2.109375" style="1099" customWidth="1"/>
    <col min="514" max="535" width="3.6640625" style="1099" customWidth="1"/>
    <col min="536" max="536" width="2.109375" style="1099" customWidth="1"/>
    <col min="537" max="549" width="5.6640625" style="1099" customWidth="1"/>
    <col min="550" max="768" width="9" style="1099"/>
    <col min="769" max="769" width="2.109375" style="1099" customWidth="1"/>
    <col min="770" max="791" width="3.6640625" style="1099" customWidth="1"/>
    <col min="792" max="792" width="2.109375" style="1099" customWidth="1"/>
    <col min="793" max="805" width="5.6640625" style="1099" customWidth="1"/>
    <col min="806" max="1024" width="9" style="1099"/>
    <col min="1025" max="1025" width="2.109375" style="1099" customWidth="1"/>
    <col min="1026" max="1047" width="3.6640625" style="1099" customWidth="1"/>
    <col min="1048" max="1048" width="2.109375" style="1099" customWidth="1"/>
    <col min="1049" max="1061" width="5.6640625" style="1099" customWidth="1"/>
    <col min="1062" max="1280" width="9" style="1099"/>
    <col min="1281" max="1281" width="2.109375" style="1099" customWidth="1"/>
    <col min="1282" max="1303" width="3.6640625" style="1099" customWidth="1"/>
    <col min="1304" max="1304" width="2.109375" style="1099" customWidth="1"/>
    <col min="1305" max="1317" width="5.6640625" style="1099" customWidth="1"/>
    <col min="1318" max="1536" width="9" style="1099"/>
    <col min="1537" max="1537" width="2.109375" style="1099" customWidth="1"/>
    <col min="1538" max="1559" width="3.6640625" style="1099" customWidth="1"/>
    <col min="1560" max="1560" width="2.109375" style="1099" customWidth="1"/>
    <col min="1561" max="1573" width="5.6640625" style="1099" customWidth="1"/>
    <col min="1574" max="1792" width="9" style="1099"/>
    <col min="1793" max="1793" width="2.109375" style="1099" customWidth="1"/>
    <col min="1794" max="1815" width="3.6640625" style="1099" customWidth="1"/>
    <col min="1816" max="1816" width="2.109375" style="1099" customWidth="1"/>
    <col min="1817" max="1829" width="5.6640625" style="1099" customWidth="1"/>
    <col min="1830" max="2048" width="9" style="1099"/>
    <col min="2049" max="2049" width="2.109375" style="1099" customWidth="1"/>
    <col min="2050" max="2071" width="3.6640625" style="1099" customWidth="1"/>
    <col min="2072" max="2072" width="2.109375" style="1099" customWidth="1"/>
    <col min="2073" max="2085" width="5.6640625" style="1099" customWidth="1"/>
    <col min="2086" max="2304" width="9" style="1099"/>
    <col min="2305" max="2305" width="2.109375" style="1099" customWidth="1"/>
    <col min="2306" max="2327" width="3.6640625" style="1099" customWidth="1"/>
    <col min="2328" max="2328" width="2.109375" style="1099" customWidth="1"/>
    <col min="2329" max="2341" width="5.6640625" style="1099" customWidth="1"/>
    <col min="2342" max="2560" width="9" style="1099"/>
    <col min="2561" max="2561" width="2.109375" style="1099" customWidth="1"/>
    <col min="2562" max="2583" width="3.6640625" style="1099" customWidth="1"/>
    <col min="2584" max="2584" width="2.109375" style="1099" customWidth="1"/>
    <col min="2585" max="2597" width="5.6640625" style="1099" customWidth="1"/>
    <col min="2598" max="2816" width="9" style="1099"/>
    <col min="2817" max="2817" width="2.109375" style="1099" customWidth="1"/>
    <col min="2818" max="2839" width="3.6640625" style="1099" customWidth="1"/>
    <col min="2840" max="2840" width="2.109375" style="1099" customWidth="1"/>
    <col min="2841" max="2853" width="5.6640625" style="1099" customWidth="1"/>
    <col min="2854" max="3072" width="9" style="1099"/>
    <col min="3073" max="3073" width="2.109375" style="1099" customWidth="1"/>
    <col min="3074" max="3095" width="3.6640625" style="1099" customWidth="1"/>
    <col min="3096" max="3096" width="2.109375" style="1099" customWidth="1"/>
    <col min="3097" max="3109" width="5.6640625" style="1099" customWidth="1"/>
    <col min="3110" max="3328" width="9" style="1099"/>
    <col min="3329" max="3329" width="2.109375" style="1099" customWidth="1"/>
    <col min="3330" max="3351" width="3.6640625" style="1099" customWidth="1"/>
    <col min="3352" max="3352" width="2.109375" style="1099" customWidth="1"/>
    <col min="3353" max="3365" width="5.6640625" style="1099" customWidth="1"/>
    <col min="3366" max="3584" width="9" style="1099"/>
    <col min="3585" max="3585" width="2.109375" style="1099" customWidth="1"/>
    <col min="3586" max="3607" width="3.6640625" style="1099" customWidth="1"/>
    <col min="3608" max="3608" width="2.109375" style="1099" customWidth="1"/>
    <col min="3609" max="3621" width="5.6640625" style="1099" customWidth="1"/>
    <col min="3622" max="3840" width="9" style="1099"/>
    <col min="3841" max="3841" width="2.109375" style="1099" customWidth="1"/>
    <col min="3842" max="3863" width="3.6640625" style="1099" customWidth="1"/>
    <col min="3864" max="3864" width="2.109375" style="1099" customWidth="1"/>
    <col min="3865" max="3877" width="5.6640625" style="1099" customWidth="1"/>
    <col min="3878" max="4096" width="9" style="1099"/>
    <col min="4097" max="4097" width="2.109375" style="1099" customWidth="1"/>
    <col min="4098" max="4119" width="3.6640625" style="1099" customWidth="1"/>
    <col min="4120" max="4120" width="2.109375" style="1099" customWidth="1"/>
    <col min="4121" max="4133" width="5.6640625" style="1099" customWidth="1"/>
    <col min="4134" max="4352" width="9" style="1099"/>
    <col min="4353" max="4353" width="2.109375" style="1099" customWidth="1"/>
    <col min="4354" max="4375" width="3.6640625" style="1099" customWidth="1"/>
    <col min="4376" max="4376" width="2.109375" style="1099" customWidth="1"/>
    <col min="4377" max="4389" width="5.6640625" style="1099" customWidth="1"/>
    <col min="4390" max="4608" width="9" style="1099"/>
    <col min="4609" max="4609" width="2.109375" style="1099" customWidth="1"/>
    <col min="4610" max="4631" width="3.6640625" style="1099" customWidth="1"/>
    <col min="4632" max="4632" width="2.109375" style="1099" customWidth="1"/>
    <col min="4633" max="4645" width="5.6640625" style="1099" customWidth="1"/>
    <col min="4646" max="4864" width="9" style="1099"/>
    <col min="4865" max="4865" width="2.109375" style="1099" customWidth="1"/>
    <col min="4866" max="4887" width="3.6640625" style="1099" customWidth="1"/>
    <col min="4888" max="4888" width="2.109375" style="1099" customWidth="1"/>
    <col min="4889" max="4901" width="5.6640625" style="1099" customWidth="1"/>
    <col min="4902" max="5120" width="9" style="1099"/>
    <col min="5121" max="5121" width="2.109375" style="1099" customWidth="1"/>
    <col min="5122" max="5143" width="3.6640625" style="1099" customWidth="1"/>
    <col min="5144" max="5144" width="2.109375" style="1099" customWidth="1"/>
    <col min="5145" max="5157" width="5.6640625" style="1099" customWidth="1"/>
    <col min="5158" max="5376" width="9" style="1099"/>
    <col min="5377" max="5377" width="2.109375" style="1099" customWidth="1"/>
    <col min="5378" max="5399" width="3.6640625" style="1099" customWidth="1"/>
    <col min="5400" max="5400" width="2.109375" style="1099" customWidth="1"/>
    <col min="5401" max="5413" width="5.6640625" style="1099" customWidth="1"/>
    <col min="5414" max="5632" width="9" style="1099"/>
    <col min="5633" max="5633" width="2.109375" style="1099" customWidth="1"/>
    <col min="5634" max="5655" width="3.6640625" style="1099" customWidth="1"/>
    <col min="5656" max="5656" width="2.109375" style="1099" customWidth="1"/>
    <col min="5657" max="5669" width="5.6640625" style="1099" customWidth="1"/>
    <col min="5670" max="5888" width="9" style="1099"/>
    <col min="5889" max="5889" width="2.109375" style="1099" customWidth="1"/>
    <col min="5890" max="5911" width="3.6640625" style="1099" customWidth="1"/>
    <col min="5912" max="5912" width="2.109375" style="1099" customWidth="1"/>
    <col min="5913" max="5925" width="5.6640625" style="1099" customWidth="1"/>
    <col min="5926" max="6144" width="9" style="1099"/>
    <col min="6145" max="6145" width="2.109375" style="1099" customWidth="1"/>
    <col min="6146" max="6167" width="3.6640625" style="1099" customWidth="1"/>
    <col min="6168" max="6168" width="2.109375" style="1099" customWidth="1"/>
    <col min="6169" max="6181" width="5.6640625" style="1099" customWidth="1"/>
    <col min="6182" max="6400" width="9" style="1099"/>
    <col min="6401" max="6401" width="2.109375" style="1099" customWidth="1"/>
    <col min="6402" max="6423" width="3.6640625" style="1099" customWidth="1"/>
    <col min="6424" max="6424" width="2.109375" style="1099" customWidth="1"/>
    <col min="6425" max="6437" width="5.6640625" style="1099" customWidth="1"/>
    <col min="6438" max="6656" width="9" style="1099"/>
    <col min="6657" max="6657" width="2.109375" style="1099" customWidth="1"/>
    <col min="6658" max="6679" width="3.6640625" style="1099" customWidth="1"/>
    <col min="6680" max="6680" width="2.109375" style="1099" customWidth="1"/>
    <col min="6681" max="6693" width="5.6640625" style="1099" customWidth="1"/>
    <col min="6694" max="6912" width="9" style="1099"/>
    <col min="6913" max="6913" width="2.109375" style="1099" customWidth="1"/>
    <col min="6914" max="6935" width="3.6640625" style="1099" customWidth="1"/>
    <col min="6936" max="6936" width="2.109375" style="1099" customWidth="1"/>
    <col min="6937" max="6949" width="5.6640625" style="1099" customWidth="1"/>
    <col min="6950" max="7168" width="9" style="1099"/>
    <col min="7169" max="7169" width="2.109375" style="1099" customWidth="1"/>
    <col min="7170" max="7191" width="3.6640625" style="1099" customWidth="1"/>
    <col min="7192" max="7192" width="2.109375" style="1099" customWidth="1"/>
    <col min="7193" max="7205" width="5.6640625" style="1099" customWidth="1"/>
    <col min="7206" max="7424" width="9" style="1099"/>
    <col min="7425" max="7425" width="2.109375" style="1099" customWidth="1"/>
    <col min="7426" max="7447" width="3.6640625" style="1099" customWidth="1"/>
    <col min="7448" max="7448" width="2.109375" style="1099" customWidth="1"/>
    <col min="7449" max="7461" width="5.6640625" style="1099" customWidth="1"/>
    <col min="7462" max="7680" width="9" style="1099"/>
    <col min="7681" max="7681" width="2.109375" style="1099" customWidth="1"/>
    <col min="7682" max="7703" width="3.6640625" style="1099" customWidth="1"/>
    <col min="7704" max="7704" width="2.109375" style="1099" customWidth="1"/>
    <col min="7705" max="7717" width="5.6640625" style="1099" customWidth="1"/>
    <col min="7718" max="7936" width="9" style="1099"/>
    <col min="7937" max="7937" width="2.109375" style="1099" customWidth="1"/>
    <col min="7938" max="7959" width="3.6640625" style="1099" customWidth="1"/>
    <col min="7960" max="7960" width="2.109375" style="1099" customWidth="1"/>
    <col min="7961" max="7973" width="5.6640625" style="1099" customWidth="1"/>
    <col min="7974" max="8192" width="9" style="1099"/>
    <col min="8193" max="8193" width="2.109375" style="1099" customWidth="1"/>
    <col min="8194" max="8215" width="3.6640625" style="1099" customWidth="1"/>
    <col min="8216" max="8216" width="2.109375" style="1099" customWidth="1"/>
    <col min="8217" max="8229" width="5.6640625" style="1099" customWidth="1"/>
    <col min="8230" max="8448" width="9" style="1099"/>
    <col min="8449" max="8449" width="2.109375" style="1099" customWidth="1"/>
    <col min="8450" max="8471" width="3.6640625" style="1099" customWidth="1"/>
    <col min="8472" max="8472" width="2.109375" style="1099" customWidth="1"/>
    <col min="8473" max="8485" width="5.6640625" style="1099" customWidth="1"/>
    <col min="8486" max="8704" width="9" style="1099"/>
    <col min="8705" max="8705" width="2.109375" style="1099" customWidth="1"/>
    <col min="8706" max="8727" width="3.6640625" style="1099" customWidth="1"/>
    <col min="8728" max="8728" width="2.109375" style="1099" customWidth="1"/>
    <col min="8729" max="8741" width="5.6640625" style="1099" customWidth="1"/>
    <col min="8742" max="8960" width="9" style="1099"/>
    <col min="8961" max="8961" width="2.109375" style="1099" customWidth="1"/>
    <col min="8962" max="8983" width="3.6640625" style="1099" customWidth="1"/>
    <col min="8984" max="8984" width="2.109375" style="1099" customWidth="1"/>
    <col min="8985" max="8997" width="5.6640625" style="1099" customWidth="1"/>
    <col min="8998" max="9216" width="9" style="1099"/>
    <col min="9217" max="9217" width="2.109375" style="1099" customWidth="1"/>
    <col min="9218" max="9239" width="3.6640625" style="1099" customWidth="1"/>
    <col min="9240" max="9240" width="2.109375" style="1099" customWidth="1"/>
    <col min="9241" max="9253" width="5.6640625" style="1099" customWidth="1"/>
    <col min="9254" max="9472" width="9" style="1099"/>
    <col min="9473" max="9473" width="2.109375" style="1099" customWidth="1"/>
    <col min="9474" max="9495" width="3.6640625" style="1099" customWidth="1"/>
    <col min="9496" max="9496" width="2.109375" style="1099" customWidth="1"/>
    <col min="9497" max="9509" width="5.6640625" style="1099" customWidth="1"/>
    <col min="9510" max="9728" width="9" style="1099"/>
    <col min="9729" max="9729" width="2.109375" style="1099" customWidth="1"/>
    <col min="9730" max="9751" width="3.6640625" style="1099" customWidth="1"/>
    <col min="9752" max="9752" width="2.109375" style="1099" customWidth="1"/>
    <col min="9753" max="9765" width="5.6640625" style="1099" customWidth="1"/>
    <col min="9766" max="9984" width="9" style="1099"/>
    <col min="9985" max="9985" width="2.109375" style="1099" customWidth="1"/>
    <col min="9986" max="10007" width="3.6640625" style="1099" customWidth="1"/>
    <col min="10008" max="10008" width="2.109375" style="1099" customWidth="1"/>
    <col min="10009" max="10021" width="5.6640625" style="1099" customWidth="1"/>
    <col min="10022" max="10240" width="9" style="1099"/>
    <col min="10241" max="10241" width="2.109375" style="1099" customWidth="1"/>
    <col min="10242" max="10263" width="3.6640625" style="1099" customWidth="1"/>
    <col min="10264" max="10264" width="2.109375" style="1099" customWidth="1"/>
    <col min="10265" max="10277" width="5.6640625" style="1099" customWidth="1"/>
    <col min="10278" max="10496" width="9" style="1099"/>
    <col min="10497" max="10497" width="2.109375" style="1099" customWidth="1"/>
    <col min="10498" max="10519" width="3.6640625" style="1099" customWidth="1"/>
    <col min="10520" max="10520" width="2.109375" style="1099" customWidth="1"/>
    <col min="10521" max="10533" width="5.6640625" style="1099" customWidth="1"/>
    <col min="10534" max="10752" width="9" style="1099"/>
    <col min="10753" max="10753" width="2.109375" style="1099" customWidth="1"/>
    <col min="10754" max="10775" width="3.6640625" style="1099" customWidth="1"/>
    <col min="10776" max="10776" width="2.109375" style="1099" customWidth="1"/>
    <col min="10777" max="10789" width="5.6640625" style="1099" customWidth="1"/>
    <col min="10790" max="11008" width="9" style="1099"/>
    <col min="11009" max="11009" width="2.109375" style="1099" customWidth="1"/>
    <col min="11010" max="11031" width="3.6640625" style="1099" customWidth="1"/>
    <col min="11032" max="11032" width="2.109375" style="1099" customWidth="1"/>
    <col min="11033" max="11045" width="5.6640625" style="1099" customWidth="1"/>
    <col min="11046" max="11264" width="9" style="1099"/>
    <col min="11265" max="11265" width="2.109375" style="1099" customWidth="1"/>
    <col min="11266" max="11287" width="3.6640625" style="1099" customWidth="1"/>
    <col min="11288" max="11288" width="2.109375" style="1099" customWidth="1"/>
    <col min="11289" max="11301" width="5.6640625" style="1099" customWidth="1"/>
    <col min="11302" max="11520" width="9" style="1099"/>
    <col min="11521" max="11521" width="2.109375" style="1099" customWidth="1"/>
    <col min="11522" max="11543" width="3.6640625" style="1099" customWidth="1"/>
    <col min="11544" max="11544" width="2.109375" style="1099" customWidth="1"/>
    <col min="11545" max="11557" width="5.6640625" style="1099" customWidth="1"/>
    <col min="11558" max="11776" width="9" style="1099"/>
    <col min="11777" max="11777" width="2.109375" style="1099" customWidth="1"/>
    <col min="11778" max="11799" width="3.6640625" style="1099" customWidth="1"/>
    <col min="11800" max="11800" width="2.109375" style="1099" customWidth="1"/>
    <col min="11801" max="11813" width="5.6640625" style="1099" customWidth="1"/>
    <col min="11814" max="12032" width="9" style="1099"/>
    <col min="12033" max="12033" width="2.109375" style="1099" customWidth="1"/>
    <col min="12034" max="12055" width="3.6640625" style="1099" customWidth="1"/>
    <col min="12056" max="12056" width="2.109375" style="1099" customWidth="1"/>
    <col min="12057" max="12069" width="5.6640625" style="1099" customWidth="1"/>
    <col min="12070" max="12288" width="9" style="1099"/>
    <col min="12289" max="12289" width="2.109375" style="1099" customWidth="1"/>
    <col min="12290" max="12311" width="3.6640625" style="1099" customWidth="1"/>
    <col min="12312" max="12312" width="2.109375" style="1099" customWidth="1"/>
    <col min="12313" max="12325" width="5.6640625" style="1099" customWidth="1"/>
    <col min="12326" max="12544" width="9" style="1099"/>
    <col min="12545" max="12545" width="2.109375" style="1099" customWidth="1"/>
    <col min="12546" max="12567" width="3.6640625" style="1099" customWidth="1"/>
    <col min="12568" max="12568" width="2.109375" style="1099" customWidth="1"/>
    <col min="12569" max="12581" width="5.6640625" style="1099" customWidth="1"/>
    <col min="12582" max="12800" width="9" style="1099"/>
    <col min="12801" max="12801" width="2.109375" style="1099" customWidth="1"/>
    <col min="12802" max="12823" width="3.6640625" style="1099" customWidth="1"/>
    <col min="12824" max="12824" width="2.109375" style="1099" customWidth="1"/>
    <col min="12825" max="12837" width="5.6640625" style="1099" customWidth="1"/>
    <col min="12838" max="13056" width="9" style="1099"/>
    <col min="13057" max="13057" width="2.109375" style="1099" customWidth="1"/>
    <col min="13058" max="13079" width="3.6640625" style="1099" customWidth="1"/>
    <col min="13080" max="13080" width="2.109375" style="1099" customWidth="1"/>
    <col min="13081" max="13093" width="5.6640625" style="1099" customWidth="1"/>
    <col min="13094" max="13312" width="9" style="1099"/>
    <col min="13313" max="13313" width="2.109375" style="1099" customWidth="1"/>
    <col min="13314" max="13335" width="3.6640625" style="1099" customWidth="1"/>
    <col min="13336" max="13336" width="2.109375" style="1099" customWidth="1"/>
    <col min="13337" max="13349" width="5.6640625" style="1099" customWidth="1"/>
    <col min="13350" max="13568" width="9" style="1099"/>
    <col min="13569" max="13569" width="2.109375" style="1099" customWidth="1"/>
    <col min="13570" max="13591" width="3.6640625" style="1099" customWidth="1"/>
    <col min="13592" max="13592" width="2.109375" style="1099" customWidth="1"/>
    <col min="13593" max="13605" width="5.6640625" style="1099" customWidth="1"/>
    <col min="13606" max="13824" width="9" style="1099"/>
    <col min="13825" max="13825" width="2.109375" style="1099" customWidth="1"/>
    <col min="13826" max="13847" width="3.6640625" style="1099" customWidth="1"/>
    <col min="13848" max="13848" width="2.109375" style="1099" customWidth="1"/>
    <col min="13849" max="13861" width="5.6640625" style="1099" customWidth="1"/>
    <col min="13862" max="14080" width="9" style="1099"/>
    <col min="14081" max="14081" width="2.109375" style="1099" customWidth="1"/>
    <col min="14082" max="14103" width="3.6640625" style="1099" customWidth="1"/>
    <col min="14104" max="14104" width="2.109375" style="1099" customWidth="1"/>
    <col min="14105" max="14117" width="5.6640625" style="1099" customWidth="1"/>
    <col min="14118" max="14336" width="9" style="1099"/>
    <col min="14337" max="14337" width="2.109375" style="1099" customWidth="1"/>
    <col min="14338" max="14359" width="3.6640625" style="1099" customWidth="1"/>
    <col min="14360" max="14360" width="2.109375" style="1099" customWidth="1"/>
    <col min="14361" max="14373" width="5.6640625" style="1099" customWidth="1"/>
    <col min="14374" max="14592" width="9" style="1099"/>
    <col min="14593" max="14593" width="2.109375" style="1099" customWidth="1"/>
    <col min="14594" max="14615" width="3.6640625" style="1099" customWidth="1"/>
    <col min="14616" max="14616" width="2.109375" style="1099" customWidth="1"/>
    <col min="14617" max="14629" width="5.6640625" style="1099" customWidth="1"/>
    <col min="14630" max="14848" width="9" style="1099"/>
    <col min="14849" max="14849" width="2.109375" style="1099" customWidth="1"/>
    <col min="14850" max="14871" width="3.6640625" style="1099" customWidth="1"/>
    <col min="14872" max="14872" width="2.109375" style="1099" customWidth="1"/>
    <col min="14873" max="14885" width="5.6640625" style="1099" customWidth="1"/>
    <col min="14886" max="15104" width="9" style="1099"/>
    <col min="15105" max="15105" width="2.109375" style="1099" customWidth="1"/>
    <col min="15106" max="15127" width="3.6640625" style="1099" customWidth="1"/>
    <col min="15128" max="15128" width="2.109375" style="1099" customWidth="1"/>
    <col min="15129" max="15141" width="5.6640625" style="1099" customWidth="1"/>
    <col min="15142" max="15360" width="9" style="1099"/>
    <col min="15361" max="15361" width="2.109375" style="1099" customWidth="1"/>
    <col min="15362" max="15383" width="3.6640625" style="1099" customWidth="1"/>
    <col min="15384" max="15384" width="2.109375" style="1099" customWidth="1"/>
    <col min="15385" max="15397" width="5.6640625" style="1099" customWidth="1"/>
    <col min="15398" max="15616" width="9" style="1099"/>
    <col min="15617" max="15617" width="2.109375" style="1099" customWidth="1"/>
    <col min="15618" max="15639" width="3.6640625" style="1099" customWidth="1"/>
    <col min="15640" max="15640" width="2.109375" style="1099" customWidth="1"/>
    <col min="15641" max="15653" width="5.6640625" style="1099" customWidth="1"/>
    <col min="15654" max="15872" width="9" style="1099"/>
    <col min="15873" max="15873" width="2.109375" style="1099" customWidth="1"/>
    <col min="15874" max="15895" width="3.6640625" style="1099" customWidth="1"/>
    <col min="15896" max="15896" width="2.109375" style="1099" customWidth="1"/>
    <col min="15897" max="15909" width="5.6640625" style="1099" customWidth="1"/>
    <col min="15910" max="16128" width="9" style="1099"/>
    <col min="16129" max="16129" width="2.109375" style="1099" customWidth="1"/>
    <col min="16130" max="16151" width="3.6640625" style="1099" customWidth="1"/>
    <col min="16152" max="16152" width="2.109375" style="1099" customWidth="1"/>
    <col min="16153" max="16165" width="5.6640625" style="1099" customWidth="1"/>
    <col min="16166" max="16384" width="9" style="1099"/>
  </cols>
  <sheetData>
    <row r="1" spans="2:23" x14ac:dyDescent="0.2">
      <c r="B1" s="1098" t="s">
        <v>1902</v>
      </c>
      <c r="C1" s="1098"/>
      <c r="D1" s="1098"/>
      <c r="M1" s="1100"/>
      <c r="N1" s="1101"/>
      <c r="O1" s="1101"/>
      <c r="P1" s="1101"/>
      <c r="Q1" s="1100" t="s">
        <v>643</v>
      </c>
      <c r="R1" s="1102"/>
      <c r="S1" s="1101" t="s">
        <v>34</v>
      </c>
      <c r="T1" s="1102"/>
      <c r="U1" s="1101" t="s">
        <v>383</v>
      </c>
      <c r="V1" s="1102"/>
      <c r="W1" s="1101" t="s">
        <v>167</v>
      </c>
    </row>
    <row r="2" spans="2:23" ht="5.0999999999999996" customHeight="1" x14ac:dyDescent="0.2">
      <c r="M2" s="1100"/>
      <c r="N2" s="1101"/>
      <c r="O2" s="1101"/>
      <c r="P2" s="1101"/>
      <c r="Q2" s="1100"/>
      <c r="R2" s="1101"/>
      <c r="S2" s="1101"/>
      <c r="T2" s="1101"/>
      <c r="U2" s="1101"/>
      <c r="V2" s="1101"/>
      <c r="W2" s="1101"/>
    </row>
    <row r="3" spans="2:23" x14ac:dyDescent="0.2">
      <c r="B3" s="1660" t="s">
        <v>1107</v>
      </c>
      <c r="C3" s="1660"/>
      <c r="D3" s="1660"/>
      <c r="E3" s="1660"/>
      <c r="F3" s="1660"/>
      <c r="G3" s="1660"/>
      <c r="H3" s="1660"/>
      <c r="I3" s="1660"/>
      <c r="J3" s="1660"/>
      <c r="K3" s="1660"/>
      <c r="L3" s="1660"/>
      <c r="M3" s="1660"/>
      <c r="N3" s="1660"/>
      <c r="O3" s="1660"/>
      <c r="P3" s="1660"/>
      <c r="Q3" s="1660"/>
      <c r="R3" s="1660"/>
      <c r="S3" s="1660"/>
      <c r="T3" s="1660"/>
      <c r="U3" s="1660"/>
      <c r="V3" s="1660"/>
      <c r="W3" s="1660"/>
    </row>
    <row r="4" spans="2:23" ht="5.0999999999999996" customHeight="1" x14ac:dyDescent="0.2">
      <c r="B4" s="1101"/>
      <c r="C4" s="1101"/>
      <c r="D4" s="1101"/>
      <c r="E4" s="1101"/>
      <c r="F4" s="1101"/>
      <c r="G4" s="1101"/>
      <c r="H4" s="1101"/>
      <c r="I4" s="1101"/>
      <c r="J4" s="1101"/>
      <c r="K4" s="1101"/>
      <c r="L4" s="1101"/>
      <c r="M4" s="1101"/>
      <c r="N4" s="1101"/>
      <c r="O4" s="1101"/>
      <c r="P4" s="1101"/>
      <c r="Q4" s="1101"/>
      <c r="R4" s="1101"/>
      <c r="S4" s="1101"/>
      <c r="T4" s="1101"/>
      <c r="U4" s="1101"/>
      <c r="V4" s="1101"/>
      <c r="W4" s="1101"/>
    </row>
    <row r="5" spans="2:23" x14ac:dyDescent="0.2">
      <c r="B5" s="1101"/>
      <c r="C5" s="1101"/>
      <c r="D5" s="1101"/>
      <c r="E5" s="1101"/>
      <c r="F5" s="1101"/>
      <c r="G5" s="1101"/>
      <c r="H5" s="1101"/>
      <c r="I5" s="1101"/>
      <c r="J5" s="1101"/>
      <c r="K5" s="1101"/>
      <c r="L5" s="1101"/>
      <c r="M5" s="1101"/>
      <c r="N5" s="1101"/>
      <c r="O5" s="1101"/>
      <c r="P5" s="1100" t="s">
        <v>92</v>
      </c>
      <c r="Q5" s="1661"/>
      <c r="R5" s="1661"/>
      <c r="S5" s="1661"/>
      <c r="T5" s="1661"/>
      <c r="U5" s="1661"/>
      <c r="V5" s="1661"/>
      <c r="W5" s="1661"/>
    </row>
    <row r="6" spans="2:23" x14ac:dyDescent="0.2">
      <c r="B6" s="1101"/>
      <c r="C6" s="1101"/>
      <c r="D6" s="1101"/>
      <c r="E6" s="1101"/>
      <c r="F6" s="1101"/>
      <c r="G6" s="1101"/>
      <c r="H6" s="1101"/>
      <c r="I6" s="1101"/>
      <c r="J6" s="1101"/>
      <c r="K6" s="1101"/>
      <c r="L6" s="1101"/>
      <c r="M6" s="1101"/>
      <c r="N6" s="1101"/>
      <c r="O6" s="1101"/>
      <c r="P6" s="1100" t="s">
        <v>1496</v>
      </c>
      <c r="Q6" s="1662"/>
      <c r="R6" s="1662"/>
      <c r="S6" s="1662"/>
      <c r="T6" s="1662"/>
      <c r="U6" s="1662"/>
      <c r="V6" s="1662"/>
      <c r="W6" s="1662"/>
    </row>
    <row r="7" spans="2:23" ht="10.5" customHeight="1" x14ac:dyDescent="0.2">
      <c r="B7" s="1101"/>
      <c r="C7" s="1101"/>
      <c r="D7" s="1101"/>
      <c r="E7" s="1101"/>
      <c r="F7" s="1101"/>
      <c r="G7" s="1101"/>
      <c r="H7" s="1101"/>
      <c r="I7" s="1101"/>
      <c r="J7" s="1101"/>
      <c r="K7" s="1101"/>
      <c r="L7" s="1101"/>
      <c r="M7" s="1101"/>
      <c r="N7" s="1101"/>
      <c r="O7" s="1101"/>
      <c r="P7" s="1101"/>
      <c r="Q7" s="1101"/>
      <c r="R7" s="1101"/>
      <c r="S7" s="1101"/>
      <c r="T7" s="1101"/>
      <c r="U7" s="1101"/>
      <c r="V7" s="1101"/>
      <c r="W7" s="1101"/>
    </row>
    <row r="8" spans="2:23" x14ac:dyDescent="0.2">
      <c r="B8" s="1099" t="s">
        <v>1903</v>
      </c>
    </row>
    <row r="9" spans="2:23" x14ac:dyDescent="0.2">
      <c r="C9" s="1102" t="s">
        <v>116</v>
      </c>
      <c r="D9" s="1099" t="s">
        <v>1904</v>
      </c>
      <c r="J9" s="1102" t="s">
        <v>116</v>
      </c>
      <c r="K9" s="1099" t="s">
        <v>1905</v>
      </c>
    </row>
    <row r="10" spans="2:23" ht="10.5" customHeight="1" x14ac:dyDescent="0.2"/>
    <row r="11" spans="2:23" x14ac:dyDescent="0.2">
      <c r="B11" s="1099" t="s">
        <v>1906</v>
      </c>
    </row>
    <row r="12" spans="2:23" x14ac:dyDescent="0.2">
      <c r="C12" s="1102" t="s">
        <v>116</v>
      </c>
      <c r="D12" s="1099" t="s">
        <v>1907</v>
      </c>
    </row>
    <row r="13" spans="2:23" x14ac:dyDescent="0.2">
      <c r="C13" s="1102" t="s">
        <v>116</v>
      </c>
      <c r="D13" s="1099" t="s">
        <v>1908</v>
      </c>
    </row>
    <row r="14" spans="2:23" ht="10.5" customHeight="1" x14ac:dyDescent="0.2"/>
    <row r="15" spans="2:23" x14ac:dyDescent="0.2">
      <c r="B15" s="1099" t="s">
        <v>1198</v>
      </c>
    </row>
    <row r="16" spans="2:23" ht="60" customHeight="1" x14ac:dyDescent="0.2">
      <c r="B16" s="1663"/>
      <c r="C16" s="1663"/>
      <c r="D16" s="1663"/>
      <c r="E16" s="1663"/>
      <c r="F16" s="1664" t="s">
        <v>1909</v>
      </c>
      <c r="G16" s="1665"/>
      <c r="H16" s="1665"/>
      <c r="I16" s="1665"/>
      <c r="J16" s="1665"/>
      <c r="K16" s="1665"/>
      <c r="L16" s="1666"/>
      <c r="M16" s="1667" t="s">
        <v>1910</v>
      </c>
      <c r="N16" s="1667"/>
      <c r="O16" s="1667"/>
      <c r="P16" s="1667"/>
      <c r="Q16" s="1667"/>
      <c r="R16" s="1667"/>
      <c r="S16" s="1667"/>
    </row>
    <row r="17" spans="2:23" x14ac:dyDescent="0.2">
      <c r="B17" s="1668">
        <v>4</v>
      </c>
      <c r="C17" s="1669"/>
      <c r="D17" s="1669" t="s">
        <v>922</v>
      </c>
      <c r="E17" s="1670"/>
      <c r="F17" s="1671"/>
      <c r="G17" s="1672"/>
      <c r="H17" s="1672"/>
      <c r="I17" s="1672"/>
      <c r="J17" s="1672"/>
      <c r="K17" s="1672"/>
      <c r="L17" s="1103" t="s">
        <v>89</v>
      </c>
      <c r="M17" s="1671"/>
      <c r="N17" s="1672"/>
      <c r="O17" s="1672"/>
      <c r="P17" s="1672"/>
      <c r="Q17" s="1672"/>
      <c r="R17" s="1672"/>
      <c r="S17" s="1103" t="s">
        <v>89</v>
      </c>
    </row>
    <row r="18" spans="2:23" x14ac:dyDescent="0.2">
      <c r="B18" s="1668">
        <v>5</v>
      </c>
      <c r="C18" s="1669"/>
      <c r="D18" s="1669" t="s">
        <v>922</v>
      </c>
      <c r="E18" s="1670"/>
      <c r="F18" s="1671"/>
      <c r="G18" s="1672"/>
      <c r="H18" s="1672"/>
      <c r="I18" s="1672"/>
      <c r="J18" s="1672"/>
      <c r="K18" s="1672"/>
      <c r="L18" s="1103" t="s">
        <v>89</v>
      </c>
      <c r="M18" s="1671"/>
      <c r="N18" s="1672"/>
      <c r="O18" s="1672"/>
      <c r="P18" s="1672"/>
      <c r="Q18" s="1672"/>
      <c r="R18" s="1672"/>
      <c r="S18" s="1103" t="s">
        <v>89</v>
      </c>
    </row>
    <row r="19" spans="2:23" x14ac:dyDescent="0.2">
      <c r="B19" s="1668">
        <v>6</v>
      </c>
      <c r="C19" s="1669"/>
      <c r="D19" s="1669" t="s">
        <v>922</v>
      </c>
      <c r="E19" s="1670"/>
      <c r="F19" s="1671"/>
      <c r="G19" s="1672"/>
      <c r="H19" s="1672"/>
      <c r="I19" s="1672"/>
      <c r="J19" s="1672"/>
      <c r="K19" s="1672"/>
      <c r="L19" s="1103" t="s">
        <v>89</v>
      </c>
      <c r="M19" s="1671"/>
      <c r="N19" s="1672"/>
      <c r="O19" s="1672"/>
      <c r="P19" s="1672"/>
      <c r="Q19" s="1672"/>
      <c r="R19" s="1672"/>
      <c r="S19" s="1103" t="s">
        <v>89</v>
      </c>
    </row>
    <row r="20" spans="2:23" x14ac:dyDescent="0.2">
      <c r="B20" s="1668">
        <v>7</v>
      </c>
      <c r="C20" s="1669"/>
      <c r="D20" s="1669" t="s">
        <v>922</v>
      </c>
      <c r="E20" s="1670"/>
      <c r="F20" s="1671"/>
      <c r="G20" s="1672"/>
      <c r="H20" s="1672"/>
      <c r="I20" s="1672"/>
      <c r="J20" s="1672"/>
      <c r="K20" s="1672"/>
      <c r="L20" s="1103" t="s">
        <v>89</v>
      </c>
      <c r="M20" s="1671"/>
      <c r="N20" s="1672"/>
      <c r="O20" s="1672"/>
      <c r="P20" s="1672"/>
      <c r="Q20" s="1672"/>
      <c r="R20" s="1672"/>
      <c r="S20" s="1103" t="s">
        <v>89</v>
      </c>
    </row>
    <row r="21" spans="2:23" x14ac:dyDescent="0.2">
      <c r="B21" s="1668">
        <v>8</v>
      </c>
      <c r="C21" s="1669"/>
      <c r="D21" s="1669" t="s">
        <v>922</v>
      </c>
      <c r="E21" s="1670"/>
      <c r="F21" s="1671"/>
      <c r="G21" s="1672"/>
      <c r="H21" s="1672"/>
      <c r="I21" s="1672"/>
      <c r="J21" s="1672"/>
      <c r="K21" s="1672"/>
      <c r="L21" s="1103" t="s">
        <v>89</v>
      </c>
      <c r="M21" s="1671"/>
      <c r="N21" s="1672"/>
      <c r="O21" s="1672"/>
      <c r="P21" s="1672"/>
      <c r="Q21" s="1672"/>
      <c r="R21" s="1672"/>
      <c r="S21" s="1103" t="s">
        <v>89</v>
      </c>
    </row>
    <row r="22" spans="2:23" x14ac:dyDescent="0.2">
      <c r="B22" s="1668">
        <v>9</v>
      </c>
      <c r="C22" s="1669"/>
      <c r="D22" s="1669" t="s">
        <v>922</v>
      </c>
      <c r="E22" s="1670"/>
      <c r="F22" s="1671"/>
      <c r="G22" s="1672"/>
      <c r="H22" s="1672"/>
      <c r="I22" s="1672"/>
      <c r="J22" s="1672"/>
      <c r="K22" s="1672"/>
      <c r="L22" s="1103" t="s">
        <v>89</v>
      </c>
      <c r="M22" s="1671"/>
      <c r="N22" s="1672"/>
      <c r="O22" s="1672"/>
      <c r="P22" s="1672"/>
      <c r="Q22" s="1672"/>
      <c r="R22" s="1672"/>
      <c r="S22" s="1103" t="s">
        <v>89</v>
      </c>
    </row>
    <row r="23" spans="2:23" x14ac:dyDescent="0.2">
      <c r="B23" s="1668">
        <v>10</v>
      </c>
      <c r="C23" s="1669"/>
      <c r="D23" s="1669" t="s">
        <v>922</v>
      </c>
      <c r="E23" s="1670"/>
      <c r="F23" s="1671"/>
      <c r="G23" s="1672"/>
      <c r="H23" s="1672"/>
      <c r="I23" s="1672"/>
      <c r="J23" s="1672"/>
      <c r="K23" s="1672"/>
      <c r="L23" s="1103" t="s">
        <v>89</v>
      </c>
      <c r="M23" s="1671"/>
      <c r="N23" s="1672"/>
      <c r="O23" s="1672"/>
      <c r="P23" s="1672"/>
      <c r="Q23" s="1672"/>
      <c r="R23" s="1672"/>
      <c r="S23" s="1103" t="s">
        <v>89</v>
      </c>
    </row>
    <row r="24" spans="2:23" x14ac:dyDescent="0.2">
      <c r="B24" s="1668">
        <v>11</v>
      </c>
      <c r="C24" s="1669"/>
      <c r="D24" s="1669" t="s">
        <v>922</v>
      </c>
      <c r="E24" s="1670"/>
      <c r="F24" s="1671"/>
      <c r="G24" s="1672"/>
      <c r="H24" s="1672"/>
      <c r="I24" s="1672"/>
      <c r="J24" s="1672"/>
      <c r="K24" s="1672"/>
      <c r="L24" s="1103" t="s">
        <v>89</v>
      </c>
      <c r="M24" s="1671"/>
      <c r="N24" s="1672"/>
      <c r="O24" s="1672"/>
      <c r="P24" s="1672"/>
      <c r="Q24" s="1672"/>
      <c r="R24" s="1672"/>
      <c r="S24" s="1103" t="s">
        <v>89</v>
      </c>
    </row>
    <row r="25" spans="2:23" x14ac:dyDescent="0.2">
      <c r="B25" s="1668">
        <v>12</v>
      </c>
      <c r="C25" s="1669"/>
      <c r="D25" s="1669" t="s">
        <v>922</v>
      </c>
      <c r="E25" s="1670"/>
      <c r="F25" s="1671"/>
      <c r="G25" s="1672"/>
      <c r="H25" s="1672"/>
      <c r="I25" s="1672"/>
      <c r="J25" s="1672"/>
      <c r="K25" s="1672"/>
      <c r="L25" s="1103" t="s">
        <v>89</v>
      </c>
      <c r="M25" s="1671"/>
      <c r="N25" s="1672"/>
      <c r="O25" s="1672"/>
      <c r="P25" s="1672"/>
      <c r="Q25" s="1672"/>
      <c r="R25" s="1672"/>
      <c r="S25" s="1103" t="s">
        <v>89</v>
      </c>
      <c r="U25" s="1663" t="s">
        <v>1911</v>
      </c>
      <c r="V25" s="1663"/>
      <c r="W25" s="1663"/>
    </row>
    <row r="26" spans="2:23" x14ac:dyDescent="0.2">
      <c r="B26" s="1668">
        <v>1</v>
      </c>
      <c r="C26" s="1669"/>
      <c r="D26" s="1669" t="s">
        <v>922</v>
      </c>
      <c r="E26" s="1670"/>
      <c r="F26" s="1671"/>
      <c r="G26" s="1672"/>
      <c r="H26" s="1672"/>
      <c r="I26" s="1672"/>
      <c r="J26" s="1672"/>
      <c r="K26" s="1672"/>
      <c r="L26" s="1103" t="s">
        <v>89</v>
      </c>
      <c r="M26" s="1671"/>
      <c r="N26" s="1672"/>
      <c r="O26" s="1672"/>
      <c r="P26" s="1672"/>
      <c r="Q26" s="1672"/>
      <c r="R26" s="1672"/>
      <c r="S26" s="1103" t="s">
        <v>89</v>
      </c>
      <c r="U26" s="1673"/>
      <c r="V26" s="1673"/>
      <c r="W26" s="1673"/>
    </row>
    <row r="27" spans="2:23" x14ac:dyDescent="0.2">
      <c r="B27" s="1668">
        <v>2</v>
      </c>
      <c r="C27" s="1669"/>
      <c r="D27" s="1669" t="s">
        <v>922</v>
      </c>
      <c r="E27" s="1670"/>
      <c r="F27" s="1671"/>
      <c r="G27" s="1672"/>
      <c r="H27" s="1672"/>
      <c r="I27" s="1672"/>
      <c r="J27" s="1672"/>
      <c r="K27" s="1672"/>
      <c r="L27" s="1103" t="s">
        <v>89</v>
      </c>
      <c r="M27" s="1671"/>
      <c r="N27" s="1672"/>
      <c r="O27" s="1672"/>
      <c r="P27" s="1672"/>
      <c r="Q27" s="1672"/>
      <c r="R27" s="1672"/>
      <c r="S27" s="1103" t="s">
        <v>89</v>
      </c>
    </row>
    <row r="28" spans="2:23" x14ac:dyDescent="0.2">
      <c r="B28" s="1663" t="s">
        <v>375</v>
      </c>
      <c r="C28" s="1663"/>
      <c r="D28" s="1663"/>
      <c r="E28" s="1663"/>
      <c r="F28" s="1668" t="str">
        <f>IF(SUM(F17:K27)=0,"",SUM(F17:K27))</f>
        <v/>
      </c>
      <c r="G28" s="1669"/>
      <c r="H28" s="1669"/>
      <c r="I28" s="1669"/>
      <c r="J28" s="1669"/>
      <c r="K28" s="1669"/>
      <c r="L28" s="1103" t="s">
        <v>89</v>
      </c>
      <c r="M28" s="1668" t="str">
        <f>IF(SUM(M17:R27)=0,"",SUM(M17:R27))</f>
        <v/>
      </c>
      <c r="N28" s="1669"/>
      <c r="O28" s="1669"/>
      <c r="P28" s="1669"/>
      <c r="Q28" s="1669"/>
      <c r="R28" s="1669"/>
      <c r="S28" s="1103" t="s">
        <v>89</v>
      </c>
      <c r="U28" s="1663" t="s">
        <v>1912</v>
      </c>
      <c r="V28" s="1663"/>
      <c r="W28" s="1663"/>
    </row>
    <row r="29" spans="2:23" ht="40.200000000000003" customHeight="1" x14ac:dyDescent="0.2">
      <c r="B29" s="1667" t="s">
        <v>1913</v>
      </c>
      <c r="C29" s="1663"/>
      <c r="D29" s="1663"/>
      <c r="E29" s="1663"/>
      <c r="F29" s="1674" t="str">
        <f>IF(F28="","",F28/U26)</f>
        <v/>
      </c>
      <c r="G29" s="1675"/>
      <c r="H29" s="1675"/>
      <c r="I29" s="1675"/>
      <c r="J29" s="1675"/>
      <c r="K29" s="1675"/>
      <c r="L29" s="1103" t="s">
        <v>89</v>
      </c>
      <c r="M29" s="1674" t="str">
        <f>IF(M28="","",M28/U26)</f>
        <v/>
      </c>
      <c r="N29" s="1675"/>
      <c r="O29" s="1675"/>
      <c r="P29" s="1675"/>
      <c r="Q29" s="1675"/>
      <c r="R29" s="1675"/>
      <c r="S29" s="1103" t="s">
        <v>89</v>
      </c>
      <c r="U29" s="1676" t="str">
        <f>IF(F29="","",ROUNDDOWN(M29/F29,3))</f>
        <v/>
      </c>
      <c r="V29" s="1677"/>
      <c r="W29" s="1678"/>
    </row>
    <row r="31" spans="2:23" x14ac:dyDescent="0.2">
      <c r="B31" s="1099" t="s">
        <v>1199</v>
      </c>
    </row>
    <row r="32" spans="2:23" ht="60" customHeight="1" x14ac:dyDescent="0.2">
      <c r="B32" s="1663"/>
      <c r="C32" s="1663"/>
      <c r="D32" s="1663"/>
      <c r="E32" s="1663"/>
      <c r="F32" s="1664" t="s">
        <v>1909</v>
      </c>
      <c r="G32" s="1665"/>
      <c r="H32" s="1665"/>
      <c r="I32" s="1665"/>
      <c r="J32" s="1665"/>
      <c r="K32" s="1665"/>
      <c r="L32" s="1666"/>
      <c r="M32" s="1667" t="s">
        <v>1910</v>
      </c>
      <c r="N32" s="1667"/>
      <c r="O32" s="1667"/>
      <c r="P32" s="1667"/>
      <c r="Q32" s="1667"/>
      <c r="R32" s="1667"/>
      <c r="S32" s="1667"/>
    </row>
    <row r="33" spans="1:23" x14ac:dyDescent="0.2">
      <c r="B33" s="1671"/>
      <c r="C33" s="1672"/>
      <c r="D33" s="1672"/>
      <c r="E33" s="1104" t="s">
        <v>922</v>
      </c>
      <c r="F33" s="1671"/>
      <c r="G33" s="1672"/>
      <c r="H33" s="1672"/>
      <c r="I33" s="1672"/>
      <c r="J33" s="1672"/>
      <c r="K33" s="1672"/>
      <c r="L33" s="1103" t="s">
        <v>89</v>
      </c>
      <c r="M33" s="1671"/>
      <c r="N33" s="1672"/>
      <c r="O33" s="1672"/>
      <c r="P33" s="1672"/>
      <c r="Q33" s="1672"/>
      <c r="R33" s="1672"/>
      <c r="S33" s="1103" t="s">
        <v>89</v>
      </c>
    </row>
    <row r="34" spans="1:23" x14ac:dyDescent="0.2">
      <c r="B34" s="1671"/>
      <c r="C34" s="1672"/>
      <c r="D34" s="1672"/>
      <c r="E34" s="1104" t="s">
        <v>922</v>
      </c>
      <c r="F34" s="1671"/>
      <c r="G34" s="1672"/>
      <c r="H34" s="1672"/>
      <c r="I34" s="1672"/>
      <c r="J34" s="1672"/>
      <c r="K34" s="1672"/>
      <c r="L34" s="1103" t="s">
        <v>89</v>
      </c>
      <c r="M34" s="1671"/>
      <c r="N34" s="1672"/>
      <c r="O34" s="1672"/>
      <c r="P34" s="1672"/>
      <c r="Q34" s="1672"/>
      <c r="R34" s="1672"/>
      <c r="S34" s="1103" t="s">
        <v>89</v>
      </c>
    </row>
    <row r="35" spans="1:23" x14ac:dyDescent="0.2">
      <c r="B35" s="1671"/>
      <c r="C35" s="1672"/>
      <c r="D35" s="1672"/>
      <c r="E35" s="1104" t="s">
        <v>110</v>
      </c>
      <c r="F35" s="1671"/>
      <c r="G35" s="1672"/>
      <c r="H35" s="1672"/>
      <c r="I35" s="1672"/>
      <c r="J35" s="1672"/>
      <c r="K35" s="1672"/>
      <c r="L35" s="1103" t="s">
        <v>89</v>
      </c>
      <c r="M35" s="1671"/>
      <c r="N35" s="1672"/>
      <c r="O35" s="1672"/>
      <c r="P35" s="1672"/>
      <c r="Q35" s="1672"/>
      <c r="R35" s="1672"/>
      <c r="S35" s="1103" t="s">
        <v>89</v>
      </c>
    </row>
    <row r="36" spans="1:23" x14ac:dyDescent="0.2">
      <c r="B36" s="1663" t="s">
        <v>375</v>
      </c>
      <c r="C36" s="1663"/>
      <c r="D36" s="1663"/>
      <c r="E36" s="1663"/>
      <c r="F36" s="1668" t="str">
        <f>IF(SUM(F33:K35)=0,"",SUM(F33:K35))</f>
        <v/>
      </c>
      <c r="G36" s="1669"/>
      <c r="H36" s="1669"/>
      <c r="I36" s="1669"/>
      <c r="J36" s="1669"/>
      <c r="K36" s="1669"/>
      <c r="L36" s="1103" t="s">
        <v>89</v>
      </c>
      <c r="M36" s="1668" t="str">
        <f>IF(SUM(M33:R35)=0,"",SUM(M33:R35))</f>
        <v/>
      </c>
      <c r="N36" s="1669"/>
      <c r="O36" s="1669"/>
      <c r="P36" s="1669"/>
      <c r="Q36" s="1669"/>
      <c r="R36" s="1669"/>
      <c r="S36" s="1103" t="s">
        <v>89</v>
      </c>
      <c r="U36" s="1663" t="s">
        <v>1912</v>
      </c>
      <c r="V36" s="1663"/>
      <c r="W36" s="1663"/>
    </row>
    <row r="37" spans="1:23" ht="40.200000000000003" customHeight="1" x14ac:dyDescent="0.2">
      <c r="B37" s="1667" t="s">
        <v>1913</v>
      </c>
      <c r="C37" s="1663"/>
      <c r="D37" s="1663"/>
      <c r="E37" s="1663"/>
      <c r="F37" s="1674" t="str">
        <f>IF(F36="","",F36/3)</f>
        <v/>
      </c>
      <c r="G37" s="1675"/>
      <c r="H37" s="1675"/>
      <c r="I37" s="1675"/>
      <c r="J37" s="1675"/>
      <c r="K37" s="1675"/>
      <c r="L37" s="1103" t="s">
        <v>89</v>
      </c>
      <c r="M37" s="1674" t="str">
        <f>IF(M36="","",M36/3)</f>
        <v/>
      </c>
      <c r="N37" s="1675"/>
      <c r="O37" s="1675"/>
      <c r="P37" s="1675"/>
      <c r="Q37" s="1675"/>
      <c r="R37" s="1675"/>
      <c r="S37" s="1103" t="s">
        <v>89</v>
      </c>
      <c r="U37" s="1676" t="str">
        <f>IF(F37="","",ROUNDDOWN(M37/F37,3))</f>
        <v/>
      </c>
      <c r="V37" s="1677"/>
      <c r="W37" s="1678"/>
    </row>
    <row r="38" spans="1:23" ht="5.0999999999999996" customHeight="1" x14ac:dyDescent="0.2">
      <c r="A38" s="1105"/>
      <c r="B38" s="1106"/>
      <c r="C38" s="1107"/>
      <c r="D38" s="1107"/>
      <c r="E38" s="1107"/>
      <c r="F38" s="1108"/>
      <c r="G38" s="1108"/>
      <c r="H38" s="1108"/>
      <c r="I38" s="1108"/>
      <c r="J38" s="1108"/>
      <c r="K38" s="1108"/>
      <c r="L38" s="1107"/>
      <c r="M38" s="1108"/>
      <c r="N38" s="1108"/>
      <c r="O38" s="1108"/>
      <c r="P38" s="1108"/>
      <c r="Q38" s="1108"/>
      <c r="R38" s="1108"/>
      <c r="S38" s="1107"/>
      <c r="T38" s="1105"/>
      <c r="U38" s="1109"/>
      <c r="V38" s="1109"/>
      <c r="W38" s="1109"/>
    </row>
    <row r="39" spans="1:23" x14ac:dyDescent="0.2">
      <c r="B39" s="1099" t="s">
        <v>531</v>
      </c>
      <c r="C39" s="1110"/>
    </row>
    <row r="40" spans="1:23" x14ac:dyDescent="0.2">
      <c r="B40" s="1679" t="s">
        <v>1914</v>
      </c>
      <c r="C40" s="1679"/>
      <c r="D40" s="1679"/>
      <c r="E40" s="1679"/>
      <c r="F40" s="1679"/>
      <c r="G40" s="1679"/>
      <c r="H40" s="1679"/>
      <c r="I40" s="1679"/>
      <c r="J40" s="1679"/>
      <c r="K40" s="1679"/>
      <c r="L40" s="1679"/>
      <c r="M40" s="1679"/>
      <c r="N40" s="1679"/>
      <c r="O40" s="1679"/>
      <c r="P40" s="1679"/>
      <c r="Q40" s="1679"/>
      <c r="R40" s="1679"/>
      <c r="S40" s="1679"/>
      <c r="T40" s="1679"/>
      <c r="U40" s="1679"/>
      <c r="V40" s="1679"/>
      <c r="W40" s="1679"/>
    </row>
    <row r="41" spans="1:23" x14ac:dyDescent="0.2">
      <c r="B41" s="1679" t="s">
        <v>1915</v>
      </c>
      <c r="C41" s="1679"/>
      <c r="D41" s="1679"/>
      <c r="E41" s="1679"/>
      <c r="F41" s="1679"/>
      <c r="G41" s="1679"/>
      <c r="H41" s="1679"/>
      <c r="I41" s="1679"/>
      <c r="J41" s="1679"/>
      <c r="K41" s="1679"/>
      <c r="L41" s="1679"/>
      <c r="M41" s="1679"/>
      <c r="N41" s="1679"/>
      <c r="O41" s="1679"/>
      <c r="P41" s="1679"/>
      <c r="Q41" s="1679"/>
      <c r="R41" s="1679"/>
      <c r="S41" s="1679"/>
      <c r="T41" s="1679"/>
      <c r="U41" s="1679"/>
      <c r="V41" s="1679"/>
      <c r="W41" s="1679"/>
    </row>
    <row r="42" spans="1:23" x14ac:dyDescent="0.2">
      <c r="B42" s="1679" t="s">
        <v>1916</v>
      </c>
      <c r="C42" s="1679"/>
      <c r="D42" s="1679"/>
      <c r="E42" s="1679"/>
      <c r="F42" s="1679"/>
      <c r="G42" s="1679"/>
      <c r="H42" s="1679"/>
      <c r="I42" s="1679"/>
      <c r="J42" s="1679"/>
      <c r="K42" s="1679"/>
      <c r="L42" s="1679"/>
      <c r="M42" s="1679"/>
      <c r="N42" s="1679"/>
      <c r="O42" s="1679"/>
      <c r="P42" s="1679"/>
      <c r="Q42" s="1679"/>
      <c r="R42" s="1679"/>
      <c r="S42" s="1679"/>
      <c r="T42" s="1679"/>
      <c r="U42" s="1679"/>
      <c r="V42" s="1679"/>
      <c r="W42" s="1679"/>
    </row>
    <row r="43" spans="1:23" x14ac:dyDescent="0.2">
      <c r="B43" s="1679" t="s">
        <v>1917</v>
      </c>
      <c r="C43" s="1679"/>
      <c r="D43" s="1679"/>
      <c r="E43" s="1679"/>
      <c r="F43" s="1679"/>
      <c r="G43" s="1679"/>
      <c r="H43" s="1679"/>
      <c r="I43" s="1679"/>
      <c r="J43" s="1679"/>
      <c r="K43" s="1679"/>
      <c r="L43" s="1679"/>
      <c r="M43" s="1679"/>
      <c r="N43" s="1679"/>
      <c r="O43" s="1679"/>
      <c r="P43" s="1679"/>
      <c r="Q43" s="1679"/>
      <c r="R43" s="1679"/>
      <c r="S43" s="1679"/>
      <c r="T43" s="1679"/>
      <c r="U43" s="1679"/>
      <c r="V43" s="1679"/>
      <c r="W43" s="1679"/>
    </row>
    <row r="44" spans="1:23" x14ac:dyDescent="0.2">
      <c r="B44" s="1679" t="s">
        <v>1918</v>
      </c>
      <c r="C44" s="1679"/>
      <c r="D44" s="1679"/>
      <c r="E44" s="1679"/>
      <c r="F44" s="1679"/>
      <c r="G44" s="1679"/>
      <c r="H44" s="1679"/>
      <c r="I44" s="1679"/>
      <c r="J44" s="1679"/>
      <c r="K44" s="1679"/>
      <c r="L44" s="1679"/>
      <c r="M44" s="1679"/>
      <c r="N44" s="1679"/>
      <c r="O44" s="1679"/>
      <c r="P44" s="1679"/>
      <c r="Q44" s="1679"/>
      <c r="R44" s="1679"/>
      <c r="S44" s="1679"/>
      <c r="T44" s="1679"/>
      <c r="U44" s="1679"/>
      <c r="V44" s="1679"/>
      <c r="W44" s="1679"/>
    </row>
    <row r="45" spans="1:23" x14ac:dyDescent="0.2">
      <c r="B45" s="1679" t="s">
        <v>1919</v>
      </c>
      <c r="C45" s="1679"/>
      <c r="D45" s="1679"/>
      <c r="E45" s="1679"/>
      <c r="F45" s="1679"/>
      <c r="G45" s="1679"/>
      <c r="H45" s="1679"/>
      <c r="I45" s="1679"/>
      <c r="J45" s="1679"/>
      <c r="K45" s="1679"/>
      <c r="L45" s="1679"/>
      <c r="M45" s="1679"/>
      <c r="N45" s="1679"/>
      <c r="O45" s="1679"/>
      <c r="P45" s="1679"/>
      <c r="Q45" s="1679"/>
      <c r="R45" s="1679"/>
      <c r="S45" s="1679"/>
      <c r="T45" s="1679"/>
      <c r="U45" s="1679"/>
      <c r="V45" s="1679"/>
      <c r="W45" s="1679"/>
    </row>
    <row r="46" spans="1:23" x14ac:dyDescent="0.2">
      <c r="B46" s="1679" t="s">
        <v>1920</v>
      </c>
      <c r="C46" s="1679"/>
      <c r="D46" s="1679"/>
      <c r="E46" s="1679"/>
      <c r="F46" s="1679"/>
      <c r="G46" s="1679"/>
      <c r="H46" s="1679"/>
      <c r="I46" s="1679"/>
      <c r="J46" s="1679"/>
      <c r="K46" s="1679"/>
      <c r="L46" s="1679"/>
      <c r="M46" s="1679"/>
      <c r="N46" s="1679"/>
      <c r="O46" s="1679"/>
      <c r="P46" s="1679"/>
      <c r="Q46" s="1679"/>
      <c r="R46" s="1679"/>
      <c r="S46" s="1679"/>
      <c r="T46" s="1679"/>
      <c r="U46" s="1679"/>
      <c r="V46" s="1679"/>
      <c r="W46" s="1679"/>
    </row>
    <row r="47" spans="1:23" x14ac:dyDescent="0.2">
      <c r="B47" s="1679" t="s">
        <v>1921</v>
      </c>
      <c r="C47" s="1679"/>
      <c r="D47" s="1679"/>
      <c r="E47" s="1679"/>
      <c r="F47" s="1679"/>
      <c r="G47" s="1679"/>
      <c r="H47" s="1679"/>
      <c r="I47" s="1679"/>
      <c r="J47" s="1679"/>
      <c r="K47" s="1679"/>
      <c r="L47" s="1679"/>
      <c r="M47" s="1679"/>
      <c r="N47" s="1679"/>
      <c r="O47" s="1679"/>
      <c r="P47" s="1679"/>
      <c r="Q47" s="1679"/>
      <c r="R47" s="1679"/>
      <c r="S47" s="1679"/>
      <c r="T47" s="1679"/>
      <c r="U47" s="1679"/>
      <c r="V47" s="1679"/>
      <c r="W47" s="1679"/>
    </row>
    <row r="48" spans="1:23" x14ac:dyDescent="0.2">
      <c r="B48" s="1679"/>
      <c r="C48" s="1679"/>
      <c r="D48" s="1679"/>
      <c r="E48" s="1679"/>
      <c r="F48" s="1679"/>
      <c r="G48" s="1679"/>
      <c r="H48" s="1679"/>
      <c r="I48" s="1679"/>
      <c r="J48" s="1679"/>
      <c r="K48" s="1679"/>
      <c r="L48" s="1679"/>
      <c r="M48" s="1679"/>
      <c r="N48" s="1679"/>
      <c r="O48" s="1679"/>
      <c r="P48" s="1679"/>
      <c r="Q48" s="1679"/>
      <c r="R48" s="1679"/>
      <c r="S48" s="1679"/>
      <c r="T48" s="1679"/>
      <c r="U48" s="1679"/>
      <c r="V48" s="1679"/>
      <c r="W48" s="1679"/>
    </row>
    <row r="49" spans="2:23" x14ac:dyDescent="0.2">
      <c r="B49" s="1679"/>
      <c r="C49" s="1679"/>
      <c r="D49" s="1679"/>
      <c r="E49" s="1679"/>
      <c r="F49" s="1679"/>
      <c r="G49" s="1679"/>
      <c r="H49" s="1679"/>
      <c r="I49" s="1679"/>
      <c r="J49" s="1679"/>
      <c r="K49" s="1679"/>
      <c r="L49" s="1679"/>
      <c r="M49" s="1679"/>
      <c r="N49" s="1679"/>
      <c r="O49" s="1679"/>
      <c r="P49" s="1679"/>
      <c r="Q49" s="1679"/>
      <c r="R49" s="1679"/>
      <c r="S49" s="1679"/>
      <c r="T49" s="1679"/>
      <c r="U49" s="1679"/>
      <c r="V49" s="1679"/>
      <c r="W49" s="1679"/>
    </row>
    <row r="122" spans="3:7" x14ac:dyDescent="0.2">
      <c r="C122" s="1105"/>
      <c r="D122" s="1105"/>
      <c r="E122" s="1105"/>
      <c r="F122" s="1105"/>
      <c r="G122" s="1105"/>
    </row>
    <row r="123" spans="3:7" x14ac:dyDescent="0.2">
      <c r="C123" s="111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E5E96171-3151-4CAE-B92D-7715087FF88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6F9B8-C69F-4AAA-AE14-6872D9E0FB79}">
  <sheetPr>
    <tabColor rgb="FFFFFF00"/>
    <pageSetUpPr fitToPage="1"/>
  </sheetPr>
  <dimension ref="A1:AK78"/>
  <sheetViews>
    <sheetView view="pageBreakPreview" zoomScale="70" zoomScaleNormal="100" zoomScaleSheetLayoutView="70" workbookViewId="0">
      <selection activeCell="B70" sqref="B70:AA70"/>
    </sheetView>
  </sheetViews>
  <sheetFormatPr defaultColWidth="3.44140625" defaultRowHeight="13.2" x14ac:dyDescent="0.2"/>
  <cols>
    <col min="1" max="1" width="3.44140625" style="3"/>
    <col min="2" max="2" width="3" style="598"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x14ac:dyDescent="0.2"/>
    <row r="2" spans="2:27" s="1" customFormat="1" x14ac:dyDescent="0.2">
      <c r="B2" s="1" t="s">
        <v>1661</v>
      </c>
      <c r="AA2" s="45" t="s">
        <v>862</v>
      </c>
    </row>
    <row r="3" spans="2:27" s="1" customFormat="1" ht="8.25" customHeight="1" x14ac:dyDescent="0.2"/>
    <row r="4" spans="2:27" s="1" customFormat="1" x14ac:dyDescent="0.2">
      <c r="B4" s="1456" t="s">
        <v>1662</v>
      </c>
      <c r="C4" s="1456"/>
      <c r="D4" s="1456"/>
      <c r="E4" s="1456"/>
      <c r="F4" s="1456"/>
      <c r="G4" s="1456"/>
      <c r="H4" s="1456"/>
      <c r="I4" s="1456"/>
      <c r="J4" s="1456"/>
      <c r="K4" s="1456"/>
      <c r="L4" s="1456"/>
      <c r="M4" s="1456"/>
      <c r="N4" s="1456"/>
      <c r="O4" s="1456"/>
      <c r="P4" s="1456"/>
      <c r="Q4" s="1456"/>
      <c r="R4" s="1456"/>
      <c r="S4" s="1456"/>
      <c r="T4" s="1456"/>
      <c r="U4" s="1456"/>
      <c r="V4" s="1456"/>
      <c r="W4" s="1456"/>
      <c r="X4" s="1456"/>
      <c r="Y4" s="1456"/>
      <c r="Z4" s="1456"/>
      <c r="AA4" s="1456"/>
    </row>
    <row r="5" spans="2:27" s="1" customFormat="1" ht="6.75" customHeight="1" x14ac:dyDescent="0.2"/>
    <row r="6" spans="2:27" s="1" customFormat="1" ht="18.600000000000001" customHeight="1" x14ac:dyDescent="0.2">
      <c r="B6" s="1554" t="s">
        <v>1496</v>
      </c>
      <c r="C6" s="1554"/>
      <c r="D6" s="1554"/>
      <c r="E6" s="1554"/>
      <c r="F6" s="1554"/>
      <c r="G6" s="1338"/>
      <c r="H6" s="1339"/>
      <c r="I6" s="1339"/>
      <c r="J6" s="1339"/>
      <c r="K6" s="1339"/>
      <c r="L6" s="1339"/>
      <c r="M6" s="1339"/>
      <c r="N6" s="1339"/>
      <c r="O6" s="1339"/>
      <c r="P6" s="1339"/>
      <c r="Q6" s="1339"/>
      <c r="R6" s="1339"/>
      <c r="S6" s="1339"/>
      <c r="T6" s="1339"/>
      <c r="U6" s="1339"/>
      <c r="V6" s="1339"/>
      <c r="W6" s="1339"/>
      <c r="X6" s="1339"/>
      <c r="Y6" s="1339"/>
      <c r="Z6" s="1339"/>
      <c r="AA6" s="1340"/>
    </row>
    <row r="7" spans="2:27" s="1" customFormat="1" ht="19.5" customHeight="1" x14ac:dyDescent="0.2">
      <c r="B7" s="1554" t="s">
        <v>1108</v>
      </c>
      <c r="C7" s="1554"/>
      <c r="D7" s="1554"/>
      <c r="E7" s="1554"/>
      <c r="F7" s="1554"/>
      <c r="G7" s="1338"/>
      <c r="H7" s="1339"/>
      <c r="I7" s="1339"/>
      <c r="J7" s="1339"/>
      <c r="K7" s="1339"/>
      <c r="L7" s="1339"/>
      <c r="M7" s="1339"/>
      <c r="N7" s="1339"/>
      <c r="O7" s="1339"/>
      <c r="P7" s="1339"/>
      <c r="Q7" s="1339"/>
      <c r="R7" s="1339"/>
      <c r="S7" s="1339"/>
      <c r="T7" s="1339"/>
      <c r="U7" s="1339"/>
      <c r="V7" s="1339"/>
      <c r="W7" s="1339"/>
      <c r="X7" s="1339"/>
      <c r="Y7" s="1339"/>
      <c r="Z7" s="1339"/>
      <c r="AA7" s="1340"/>
    </row>
    <row r="8" spans="2:27" s="1" customFormat="1" ht="19.5" customHeight="1" x14ac:dyDescent="0.2">
      <c r="B8" s="1338" t="s">
        <v>1663</v>
      </c>
      <c r="C8" s="1339"/>
      <c r="D8" s="1339"/>
      <c r="E8" s="1339"/>
      <c r="F8" s="1340"/>
      <c r="G8" s="1557" t="s">
        <v>645</v>
      </c>
      <c r="H8" s="1558"/>
      <c r="I8" s="1558"/>
      <c r="J8" s="1558"/>
      <c r="K8" s="1558"/>
      <c r="L8" s="1558"/>
      <c r="M8" s="1558"/>
      <c r="N8" s="1558"/>
      <c r="O8" s="1558"/>
      <c r="P8" s="1558"/>
      <c r="Q8" s="1558"/>
      <c r="R8" s="1558"/>
      <c r="S8" s="1558"/>
      <c r="T8" s="1558"/>
      <c r="U8" s="1558"/>
      <c r="V8" s="1558"/>
      <c r="W8" s="1558"/>
      <c r="X8" s="1558"/>
      <c r="Y8" s="1558"/>
      <c r="Z8" s="1558"/>
      <c r="AA8" s="1559"/>
    </row>
    <row r="9" spans="2:27" ht="20.100000000000001" customHeight="1" x14ac:dyDescent="0.2">
      <c r="B9" s="1332" t="s">
        <v>1664</v>
      </c>
      <c r="C9" s="1333"/>
      <c r="D9" s="1333"/>
      <c r="E9" s="1333"/>
      <c r="F9" s="1333"/>
      <c r="G9" s="1681" t="s">
        <v>1665</v>
      </c>
      <c r="H9" s="1681"/>
      <c r="I9" s="1681"/>
      <c r="J9" s="1681"/>
      <c r="K9" s="1681"/>
      <c r="L9" s="1681"/>
      <c r="M9" s="1681"/>
      <c r="N9" s="1681" t="s">
        <v>1666</v>
      </c>
      <c r="O9" s="1681"/>
      <c r="P9" s="1681"/>
      <c r="Q9" s="1681"/>
      <c r="R9" s="1681"/>
      <c r="S9" s="1681"/>
      <c r="T9" s="1681"/>
      <c r="U9" s="1681" t="s">
        <v>1667</v>
      </c>
      <c r="V9" s="1681"/>
      <c r="W9" s="1681"/>
      <c r="X9" s="1681"/>
      <c r="Y9" s="1681"/>
      <c r="Z9" s="1681"/>
      <c r="AA9" s="1681"/>
    </row>
    <row r="10" spans="2:27" ht="20.100000000000001" customHeight="1" x14ac:dyDescent="0.2">
      <c r="B10" s="1555"/>
      <c r="C10" s="1456"/>
      <c r="D10" s="1456"/>
      <c r="E10" s="1456"/>
      <c r="F10" s="1456"/>
      <c r="G10" s="1681" t="s">
        <v>1668</v>
      </c>
      <c r="H10" s="1681"/>
      <c r="I10" s="1681"/>
      <c r="J10" s="1681"/>
      <c r="K10" s="1681"/>
      <c r="L10" s="1681"/>
      <c r="M10" s="1681"/>
      <c r="N10" s="1681" t="s">
        <v>1669</v>
      </c>
      <c r="O10" s="1681"/>
      <c r="P10" s="1681"/>
      <c r="Q10" s="1681"/>
      <c r="R10" s="1681"/>
      <c r="S10" s="1681"/>
      <c r="T10" s="1681"/>
      <c r="U10" s="1681" t="s">
        <v>1670</v>
      </c>
      <c r="V10" s="1681"/>
      <c r="W10" s="1681"/>
      <c r="X10" s="1681"/>
      <c r="Y10" s="1681"/>
      <c r="Z10" s="1681"/>
      <c r="AA10" s="1681"/>
    </row>
    <row r="11" spans="2:27" ht="20.100000000000001" customHeight="1" x14ac:dyDescent="0.2">
      <c r="B11" s="1555"/>
      <c r="C11" s="1456"/>
      <c r="D11" s="1456"/>
      <c r="E11" s="1456"/>
      <c r="F11" s="1456"/>
      <c r="G11" s="1681" t="s">
        <v>1671</v>
      </c>
      <c r="H11" s="1681"/>
      <c r="I11" s="1681"/>
      <c r="J11" s="1681"/>
      <c r="K11" s="1681"/>
      <c r="L11" s="1681"/>
      <c r="M11" s="1681"/>
      <c r="N11" s="1681" t="s">
        <v>1672</v>
      </c>
      <c r="O11" s="1681"/>
      <c r="P11" s="1681"/>
      <c r="Q11" s="1681"/>
      <c r="R11" s="1681"/>
      <c r="S11" s="1681"/>
      <c r="T11" s="1681"/>
      <c r="U11" s="1681" t="s">
        <v>1673</v>
      </c>
      <c r="V11" s="1681"/>
      <c r="W11" s="1681"/>
      <c r="X11" s="1681"/>
      <c r="Y11" s="1681"/>
      <c r="Z11" s="1681"/>
      <c r="AA11" s="1681"/>
    </row>
    <row r="12" spans="2:27" ht="20.100000000000001" customHeight="1" x14ac:dyDescent="0.2">
      <c r="B12" s="1555"/>
      <c r="C12" s="1456"/>
      <c r="D12" s="1456"/>
      <c r="E12" s="1456"/>
      <c r="F12" s="1456"/>
      <c r="G12" s="1681" t="s">
        <v>1674</v>
      </c>
      <c r="H12" s="1681"/>
      <c r="I12" s="1681"/>
      <c r="J12" s="1681"/>
      <c r="K12" s="1681"/>
      <c r="L12" s="1681"/>
      <c r="M12" s="1681"/>
      <c r="N12" s="1681" t="s">
        <v>1675</v>
      </c>
      <c r="O12" s="1681"/>
      <c r="P12" s="1681"/>
      <c r="Q12" s="1681"/>
      <c r="R12" s="1681"/>
      <c r="S12" s="1681"/>
      <c r="T12" s="1681"/>
      <c r="U12" s="1682" t="s">
        <v>1676</v>
      </c>
      <c r="V12" s="1682"/>
      <c r="W12" s="1682"/>
      <c r="X12" s="1682"/>
      <c r="Y12" s="1682"/>
      <c r="Z12" s="1682"/>
      <c r="AA12" s="1682"/>
    </row>
    <row r="13" spans="2:27" ht="20.100000000000001" customHeight="1" x14ac:dyDescent="0.2">
      <c r="B13" s="1555"/>
      <c r="C13" s="1456"/>
      <c r="D13" s="1456"/>
      <c r="E13" s="1456"/>
      <c r="F13" s="1456"/>
      <c r="G13" s="1681" t="s">
        <v>1677</v>
      </c>
      <c r="H13" s="1681"/>
      <c r="I13" s="1681"/>
      <c r="J13" s="1681"/>
      <c r="K13" s="1681"/>
      <c r="L13" s="1681"/>
      <c r="M13" s="1681"/>
      <c r="N13" s="1681" t="s">
        <v>1678</v>
      </c>
      <c r="O13" s="1681"/>
      <c r="P13" s="1681"/>
      <c r="Q13" s="1681"/>
      <c r="R13" s="1681"/>
      <c r="S13" s="1681"/>
      <c r="T13" s="1681"/>
      <c r="U13" s="1682" t="s">
        <v>1679</v>
      </c>
      <c r="V13" s="1682"/>
      <c r="W13" s="1682"/>
      <c r="X13" s="1682"/>
      <c r="Y13" s="1682"/>
      <c r="Z13" s="1682"/>
      <c r="AA13" s="1682"/>
    </row>
    <row r="14" spans="2:27" ht="20.100000000000001" customHeight="1" x14ac:dyDescent="0.2">
      <c r="B14" s="1335"/>
      <c r="C14" s="1336"/>
      <c r="D14" s="1336"/>
      <c r="E14" s="1336"/>
      <c r="F14" s="1336"/>
      <c r="G14" s="1681" t="s">
        <v>1680</v>
      </c>
      <c r="H14" s="1681"/>
      <c r="I14" s="1681"/>
      <c r="J14" s="1681"/>
      <c r="K14" s="1681"/>
      <c r="L14" s="1681"/>
      <c r="M14" s="1681"/>
      <c r="N14" s="1681"/>
      <c r="O14" s="1681"/>
      <c r="P14" s="1681"/>
      <c r="Q14" s="1681"/>
      <c r="R14" s="1681"/>
      <c r="S14" s="1681"/>
      <c r="T14" s="1681"/>
      <c r="U14" s="1682"/>
      <c r="V14" s="1682"/>
      <c r="W14" s="1682"/>
      <c r="X14" s="1682"/>
      <c r="Y14" s="1682"/>
      <c r="Z14" s="1682"/>
      <c r="AA14" s="1682"/>
    </row>
    <row r="15" spans="2:27" ht="20.25" customHeight="1" x14ac:dyDescent="0.2">
      <c r="B15" s="1338" t="s">
        <v>1681</v>
      </c>
      <c r="C15" s="1339"/>
      <c r="D15" s="1339"/>
      <c r="E15" s="1339"/>
      <c r="F15" s="1340"/>
      <c r="G15" s="1560" t="s">
        <v>1682</v>
      </c>
      <c r="H15" s="1561"/>
      <c r="I15" s="1561"/>
      <c r="J15" s="1561"/>
      <c r="K15" s="1561"/>
      <c r="L15" s="1561"/>
      <c r="M15" s="1561"/>
      <c r="N15" s="1561"/>
      <c r="O15" s="1561"/>
      <c r="P15" s="1561"/>
      <c r="Q15" s="1561"/>
      <c r="R15" s="1561"/>
      <c r="S15" s="1561"/>
      <c r="T15" s="1561"/>
      <c r="U15" s="1561"/>
      <c r="V15" s="1561"/>
      <c r="W15" s="1561"/>
      <c r="X15" s="1561"/>
      <c r="Y15" s="1561"/>
      <c r="Z15" s="1561"/>
      <c r="AA15" s="1562"/>
    </row>
    <row r="16" spans="2:27" s="1" customFormat="1" ht="9" customHeight="1" x14ac:dyDescent="0.2"/>
    <row r="17" spans="2:27" s="1" customFormat="1" ht="17.25" customHeight="1" x14ac:dyDescent="0.2">
      <c r="B17" s="1" t="s">
        <v>1683</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582"/>
      <c r="C19" s="1" t="s">
        <v>1684</v>
      </c>
      <c r="D19" s="12"/>
      <c r="E19" s="12"/>
      <c r="F19" s="12"/>
      <c r="G19" s="12"/>
      <c r="H19" s="12"/>
      <c r="I19" s="12"/>
      <c r="J19" s="12"/>
      <c r="K19" s="12"/>
      <c r="L19" s="12"/>
      <c r="M19" s="12"/>
      <c r="N19" s="12"/>
      <c r="O19" s="12"/>
      <c r="Y19" s="1680" t="s">
        <v>94</v>
      </c>
      <c r="Z19" s="1680"/>
      <c r="AA19" s="588"/>
    </row>
    <row r="20" spans="2:27" s="1" customFormat="1" x14ac:dyDescent="0.2">
      <c r="B20" s="582"/>
      <c r="D20" s="12"/>
      <c r="E20" s="12"/>
      <c r="F20" s="12"/>
      <c r="G20" s="12"/>
      <c r="H20" s="12"/>
      <c r="I20" s="12"/>
      <c r="J20" s="12"/>
      <c r="K20" s="12"/>
      <c r="L20" s="12"/>
      <c r="M20" s="12"/>
      <c r="N20" s="12"/>
      <c r="O20" s="12"/>
      <c r="Y20" s="773"/>
      <c r="Z20" s="773"/>
      <c r="AA20" s="588"/>
    </row>
    <row r="21" spans="2:27" s="1" customFormat="1" x14ac:dyDescent="0.2">
      <c r="B21" s="582"/>
      <c r="C21" s="1" t="s">
        <v>1685</v>
      </c>
      <c r="D21" s="12"/>
      <c r="E21" s="12"/>
      <c r="F21" s="12"/>
      <c r="G21" s="12"/>
      <c r="H21" s="12"/>
      <c r="I21" s="12"/>
      <c r="J21" s="12"/>
      <c r="K21" s="12"/>
      <c r="L21" s="12"/>
      <c r="M21" s="12"/>
      <c r="N21" s="12"/>
      <c r="O21" s="12"/>
      <c r="Y21" s="773"/>
      <c r="Z21" s="773"/>
      <c r="AA21" s="588"/>
    </row>
    <row r="22" spans="2:27" s="1" customFormat="1" ht="19.5" customHeight="1" x14ac:dyDescent="0.2">
      <c r="B22" s="582"/>
      <c r="C22" s="1" t="s">
        <v>1686</v>
      </c>
      <c r="D22" s="12"/>
      <c r="E22" s="12"/>
      <c r="F22" s="12"/>
      <c r="G22" s="12"/>
      <c r="H22" s="12"/>
      <c r="I22" s="12"/>
      <c r="J22" s="12"/>
      <c r="K22" s="12"/>
      <c r="L22" s="12"/>
      <c r="M22" s="12"/>
      <c r="N22" s="12"/>
      <c r="O22" s="12"/>
      <c r="Y22" s="1680" t="s">
        <v>94</v>
      </c>
      <c r="Z22" s="1680"/>
      <c r="AA22" s="588"/>
    </row>
    <row r="23" spans="2:27" s="1" customFormat="1" ht="19.5" customHeight="1" x14ac:dyDescent="0.2">
      <c r="B23" s="582"/>
      <c r="C23" s="1" t="s">
        <v>1687</v>
      </c>
      <c r="D23" s="12"/>
      <c r="E23" s="12"/>
      <c r="F23" s="12"/>
      <c r="G23" s="12"/>
      <c r="H23" s="12"/>
      <c r="I23" s="12"/>
      <c r="J23" s="12"/>
      <c r="K23" s="12"/>
      <c r="L23" s="12"/>
      <c r="M23" s="12"/>
      <c r="N23" s="12"/>
      <c r="O23" s="12"/>
      <c r="Y23" s="1680" t="s">
        <v>94</v>
      </c>
      <c r="Z23" s="1680"/>
      <c r="AA23" s="588"/>
    </row>
    <row r="24" spans="2:27" s="1" customFormat="1" ht="19.5" customHeight="1" x14ac:dyDescent="0.2">
      <c r="B24" s="582"/>
      <c r="C24" s="1" t="s">
        <v>1688</v>
      </c>
      <c r="D24" s="12"/>
      <c r="E24" s="12"/>
      <c r="F24" s="12"/>
      <c r="G24" s="12"/>
      <c r="H24" s="12"/>
      <c r="I24" s="12"/>
      <c r="J24" s="12"/>
      <c r="K24" s="12"/>
      <c r="L24" s="12"/>
      <c r="M24" s="12"/>
      <c r="N24" s="12"/>
      <c r="O24" s="12"/>
      <c r="Y24" s="1680" t="s">
        <v>94</v>
      </c>
      <c r="Z24" s="1680"/>
      <c r="AA24" s="588"/>
    </row>
    <row r="25" spans="2:27" s="1" customFormat="1" ht="19.5" customHeight="1" x14ac:dyDescent="0.2">
      <c r="B25" s="582"/>
      <c r="D25" s="1329" t="s">
        <v>1689</v>
      </c>
      <c r="E25" s="1329"/>
      <c r="F25" s="1329"/>
      <c r="G25" s="1329"/>
      <c r="H25" s="1329"/>
      <c r="I25" s="1329"/>
      <c r="J25" s="1329"/>
      <c r="K25" s="12"/>
      <c r="L25" s="12"/>
      <c r="M25" s="12"/>
      <c r="N25" s="12"/>
      <c r="O25" s="12"/>
      <c r="Y25" s="773"/>
      <c r="Z25" s="773"/>
      <c r="AA25" s="588"/>
    </row>
    <row r="26" spans="2:27" s="1" customFormat="1" ht="25.2" customHeight="1" x14ac:dyDescent="0.2">
      <c r="B26" s="582"/>
      <c r="C26" s="1" t="s">
        <v>1690</v>
      </c>
      <c r="AA26" s="588"/>
    </row>
    <row r="27" spans="2:27" s="1" customFormat="1" ht="6.75" customHeight="1" x14ac:dyDescent="0.2">
      <c r="B27" s="582"/>
      <c r="AA27" s="588"/>
    </row>
    <row r="28" spans="2:27" s="1" customFormat="1" ht="23.25" customHeight="1" x14ac:dyDescent="0.2">
      <c r="B28" s="582" t="s">
        <v>133</v>
      </c>
      <c r="C28" s="1338" t="s">
        <v>1691</v>
      </c>
      <c r="D28" s="1339"/>
      <c r="E28" s="1339"/>
      <c r="F28" s="1339"/>
      <c r="G28" s="1339"/>
      <c r="H28" s="1340"/>
      <c r="I28" s="1626"/>
      <c r="J28" s="1626"/>
      <c r="K28" s="1626"/>
      <c r="L28" s="1626"/>
      <c r="M28" s="1626"/>
      <c r="N28" s="1626"/>
      <c r="O28" s="1626"/>
      <c r="P28" s="1626"/>
      <c r="Q28" s="1626"/>
      <c r="R28" s="1626"/>
      <c r="S28" s="1626"/>
      <c r="T28" s="1626"/>
      <c r="U28" s="1626"/>
      <c r="V28" s="1626"/>
      <c r="W28" s="1626"/>
      <c r="X28" s="1626"/>
      <c r="Y28" s="1626"/>
      <c r="Z28" s="1684"/>
      <c r="AA28" s="588"/>
    </row>
    <row r="29" spans="2:27" s="1" customFormat="1" ht="23.25" customHeight="1" x14ac:dyDescent="0.2">
      <c r="B29" s="582" t="s">
        <v>133</v>
      </c>
      <c r="C29" s="1338" t="s">
        <v>1692</v>
      </c>
      <c r="D29" s="1339"/>
      <c r="E29" s="1339"/>
      <c r="F29" s="1339"/>
      <c r="G29" s="1339"/>
      <c r="H29" s="1340"/>
      <c r="I29" s="1626"/>
      <c r="J29" s="1626"/>
      <c r="K29" s="1626"/>
      <c r="L29" s="1626"/>
      <c r="M29" s="1626"/>
      <c r="N29" s="1626"/>
      <c r="O29" s="1626"/>
      <c r="P29" s="1626"/>
      <c r="Q29" s="1626"/>
      <c r="R29" s="1626"/>
      <c r="S29" s="1626"/>
      <c r="T29" s="1626"/>
      <c r="U29" s="1626"/>
      <c r="V29" s="1626"/>
      <c r="W29" s="1626"/>
      <c r="X29" s="1626"/>
      <c r="Y29" s="1626"/>
      <c r="Z29" s="1684"/>
      <c r="AA29" s="588"/>
    </row>
    <row r="30" spans="2:27" s="1" customFormat="1" ht="23.25" customHeight="1" x14ac:dyDescent="0.2">
      <c r="B30" s="582" t="s">
        <v>133</v>
      </c>
      <c r="C30" s="1338" t="s">
        <v>1693</v>
      </c>
      <c r="D30" s="1339"/>
      <c r="E30" s="1339"/>
      <c r="F30" s="1339"/>
      <c r="G30" s="1339"/>
      <c r="H30" s="1340"/>
      <c r="I30" s="1626"/>
      <c r="J30" s="1626"/>
      <c r="K30" s="1626"/>
      <c r="L30" s="1626"/>
      <c r="M30" s="1626"/>
      <c r="N30" s="1626"/>
      <c r="O30" s="1626"/>
      <c r="P30" s="1626"/>
      <c r="Q30" s="1626"/>
      <c r="R30" s="1626"/>
      <c r="S30" s="1626"/>
      <c r="T30" s="1626"/>
      <c r="U30" s="1626"/>
      <c r="V30" s="1626"/>
      <c r="W30" s="1626"/>
      <c r="X30" s="1626"/>
      <c r="Y30" s="1626"/>
      <c r="Z30" s="1684"/>
      <c r="AA30" s="588"/>
    </row>
    <row r="31" spans="2:27" s="1" customFormat="1" ht="9" customHeight="1" x14ac:dyDescent="0.2">
      <c r="B31" s="582"/>
      <c r="C31" s="12"/>
      <c r="D31" s="12"/>
      <c r="E31" s="12"/>
      <c r="F31" s="12"/>
      <c r="G31" s="12"/>
      <c r="H31" s="12"/>
      <c r="I31" s="2"/>
      <c r="J31" s="2"/>
      <c r="K31" s="2"/>
      <c r="L31" s="2"/>
      <c r="M31" s="2"/>
      <c r="N31" s="2"/>
      <c r="O31" s="2"/>
      <c r="P31" s="2"/>
      <c r="Q31" s="2"/>
      <c r="R31" s="2"/>
      <c r="S31" s="2"/>
      <c r="T31" s="2"/>
      <c r="U31" s="2"/>
      <c r="V31" s="2"/>
      <c r="W31" s="2"/>
      <c r="X31" s="2"/>
      <c r="Y31" s="2"/>
      <c r="Z31" s="2"/>
      <c r="AA31" s="588"/>
    </row>
    <row r="32" spans="2:27" s="1" customFormat="1" ht="19.5" customHeight="1" x14ac:dyDescent="0.2">
      <c r="B32" s="582"/>
      <c r="C32" s="1" t="s">
        <v>1694</v>
      </c>
      <c r="D32" s="12"/>
      <c r="E32" s="12"/>
      <c r="F32" s="12"/>
      <c r="G32" s="12"/>
      <c r="H32" s="12"/>
      <c r="I32" s="12"/>
      <c r="J32" s="12"/>
      <c r="K32" s="12"/>
      <c r="L32" s="12"/>
      <c r="M32" s="12"/>
      <c r="N32" s="12"/>
      <c r="O32" s="12"/>
      <c r="Y32" s="1680" t="s">
        <v>94</v>
      </c>
      <c r="Z32" s="1680"/>
      <c r="AA32" s="588"/>
    </row>
    <row r="33" spans="1:37" s="1" customFormat="1" ht="12.75" customHeight="1" x14ac:dyDescent="0.2">
      <c r="B33" s="582"/>
      <c r="D33" s="12"/>
      <c r="E33" s="12"/>
      <c r="F33" s="12"/>
      <c r="G33" s="12"/>
      <c r="H33" s="12"/>
      <c r="I33" s="12"/>
      <c r="J33" s="12"/>
      <c r="K33" s="12"/>
      <c r="L33" s="12"/>
      <c r="M33" s="12"/>
      <c r="N33" s="12"/>
      <c r="O33" s="12"/>
      <c r="Y33" s="773"/>
      <c r="Z33" s="773"/>
      <c r="AA33" s="588"/>
    </row>
    <row r="34" spans="1:37" s="1" customFormat="1" ht="19.5" customHeight="1" x14ac:dyDescent="0.2">
      <c r="B34" s="582"/>
      <c r="C34" s="1683" t="s">
        <v>1695</v>
      </c>
      <c r="D34" s="1683"/>
      <c r="E34" s="1683"/>
      <c r="F34" s="1683"/>
      <c r="G34" s="1683"/>
      <c r="H34" s="1683"/>
      <c r="I34" s="1683"/>
      <c r="J34" s="1683"/>
      <c r="K34" s="1683"/>
      <c r="L34" s="1683"/>
      <c r="M34" s="1683"/>
      <c r="N34" s="1683"/>
      <c r="O34" s="1683"/>
      <c r="P34" s="1683"/>
      <c r="Q34" s="1683"/>
      <c r="R34" s="1683"/>
      <c r="S34" s="1683"/>
      <c r="T34" s="1683"/>
      <c r="U34" s="1683"/>
      <c r="V34" s="1683"/>
      <c r="W34" s="1683"/>
      <c r="X34" s="1683"/>
      <c r="Y34" s="1683"/>
      <c r="Z34" s="1683"/>
      <c r="AA34" s="588"/>
    </row>
    <row r="35" spans="1:37" s="1" customFormat="1" ht="19.5" customHeight="1" x14ac:dyDescent="0.2">
      <c r="B35" s="582"/>
      <c r="C35" s="1683" t="s">
        <v>1696</v>
      </c>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588"/>
    </row>
    <row r="36" spans="1:37" s="1" customFormat="1" ht="19.5" customHeight="1" x14ac:dyDescent="0.2">
      <c r="B36" s="582"/>
      <c r="C36" s="1329" t="s">
        <v>1697</v>
      </c>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588"/>
    </row>
    <row r="37" spans="1:37" s="2" customFormat="1" ht="12.75" customHeight="1" x14ac:dyDescent="0.2">
      <c r="A37" s="1"/>
      <c r="B37" s="582"/>
      <c r="C37" s="12"/>
      <c r="D37" s="12"/>
      <c r="E37" s="12"/>
      <c r="F37" s="12"/>
      <c r="G37" s="12"/>
      <c r="H37" s="12"/>
      <c r="I37" s="12"/>
      <c r="J37" s="12"/>
      <c r="K37" s="12"/>
      <c r="L37" s="12"/>
      <c r="M37" s="12"/>
      <c r="N37" s="12"/>
      <c r="O37" s="12"/>
      <c r="P37" s="1"/>
      <c r="Q37" s="1"/>
      <c r="R37" s="1"/>
      <c r="S37" s="1"/>
      <c r="T37" s="1"/>
      <c r="U37" s="1"/>
      <c r="V37" s="1"/>
      <c r="W37" s="1"/>
      <c r="X37" s="1"/>
      <c r="Y37" s="1"/>
      <c r="Z37" s="1"/>
      <c r="AA37" s="588"/>
      <c r="AB37" s="1"/>
      <c r="AC37" s="1"/>
      <c r="AD37" s="1"/>
      <c r="AE37" s="1"/>
      <c r="AF37" s="1"/>
      <c r="AG37" s="1"/>
      <c r="AH37" s="1"/>
      <c r="AI37" s="1"/>
      <c r="AJ37" s="1"/>
      <c r="AK37" s="1"/>
    </row>
    <row r="38" spans="1:37" s="2" customFormat="1" ht="18" customHeight="1" x14ac:dyDescent="0.2">
      <c r="A38" s="1"/>
      <c r="B38" s="582"/>
      <c r="C38" s="1"/>
      <c r="D38" s="1683" t="s">
        <v>1698</v>
      </c>
      <c r="E38" s="1683"/>
      <c r="F38" s="1683"/>
      <c r="G38" s="1683"/>
      <c r="H38" s="1683"/>
      <c r="I38" s="1683"/>
      <c r="J38" s="1683"/>
      <c r="K38" s="1683"/>
      <c r="L38" s="1683"/>
      <c r="M38" s="1683"/>
      <c r="N38" s="1683"/>
      <c r="O38" s="1683"/>
      <c r="P38" s="1683"/>
      <c r="Q38" s="1683"/>
      <c r="R38" s="1683"/>
      <c r="S38" s="1683"/>
      <c r="T38" s="1683"/>
      <c r="U38" s="1683"/>
      <c r="V38" s="1683"/>
      <c r="W38" s="1"/>
      <c r="X38" s="1"/>
      <c r="Y38" s="1680" t="s">
        <v>94</v>
      </c>
      <c r="Z38" s="1680"/>
      <c r="AA38" s="588"/>
      <c r="AB38" s="1"/>
      <c r="AC38" s="1"/>
      <c r="AD38" s="1"/>
      <c r="AE38" s="1"/>
      <c r="AF38" s="1"/>
      <c r="AG38" s="1"/>
      <c r="AH38" s="1"/>
      <c r="AI38" s="1"/>
      <c r="AJ38" s="1"/>
      <c r="AK38" s="1"/>
    </row>
    <row r="39" spans="1:37" s="2" customFormat="1" ht="37.5" customHeight="1" x14ac:dyDescent="0.2">
      <c r="B39" s="576"/>
      <c r="D39" s="1683" t="s">
        <v>1699</v>
      </c>
      <c r="E39" s="1683"/>
      <c r="F39" s="1683"/>
      <c r="G39" s="1683"/>
      <c r="H39" s="1683"/>
      <c r="I39" s="1683"/>
      <c r="J39" s="1683"/>
      <c r="K39" s="1683"/>
      <c r="L39" s="1683"/>
      <c r="M39" s="1683"/>
      <c r="N39" s="1683"/>
      <c r="O39" s="1683"/>
      <c r="P39" s="1683"/>
      <c r="Q39" s="1683"/>
      <c r="R39" s="1683"/>
      <c r="S39" s="1683"/>
      <c r="T39" s="1683"/>
      <c r="U39" s="1683"/>
      <c r="V39" s="1683"/>
      <c r="Y39" s="1680" t="s">
        <v>94</v>
      </c>
      <c r="Z39" s="1680"/>
      <c r="AA39" s="583"/>
    </row>
    <row r="40" spans="1:37" ht="19.5" customHeight="1" x14ac:dyDescent="0.2">
      <c r="A40" s="2"/>
      <c r="B40" s="576"/>
      <c r="C40" s="2"/>
      <c r="D40" s="1683" t="s">
        <v>1700</v>
      </c>
      <c r="E40" s="1683"/>
      <c r="F40" s="1683"/>
      <c r="G40" s="1683"/>
      <c r="H40" s="1683"/>
      <c r="I40" s="1683"/>
      <c r="J40" s="1683"/>
      <c r="K40" s="1683"/>
      <c r="L40" s="1683"/>
      <c r="M40" s="1683"/>
      <c r="N40" s="1683"/>
      <c r="O40" s="1683"/>
      <c r="P40" s="1683"/>
      <c r="Q40" s="1683"/>
      <c r="R40" s="1683"/>
      <c r="S40" s="1683"/>
      <c r="T40" s="1683"/>
      <c r="U40" s="1683"/>
      <c r="V40" s="1683"/>
      <c r="W40" s="2"/>
      <c r="X40" s="2"/>
      <c r="Y40" s="1680" t="s">
        <v>94</v>
      </c>
      <c r="Z40" s="1680"/>
      <c r="AA40" s="583"/>
      <c r="AB40" s="2"/>
      <c r="AC40" s="2"/>
      <c r="AD40" s="2"/>
      <c r="AE40" s="2"/>
      <c r="AF40" s="2"/>
      <c r="AG40" s="2"/>
      <c r="AH40" s="2"/>
      <c r="AI40" s="2"/>
      <c r="AJ40" s="2"/>
      <c r="AK40" s="2"/>
    </row>
    <row r="41" spans="1:37" s="1" customFormat="1" ht="19.5" customHeight="1" x14ac:dyDescent="0.2">
      <c r="A41" s="2"/>
      <c r="B41" s="576"/>
      <c r="C41" s="2"/>
      <c r="D41" s="1683" t="s">
        <v>1701</v>
      </c>
      <c r="E41" s="1683"/>
      <c r="F41" s="1683"/>
      <c r="G41" s="1683"/>
      <c r="H41" s="1683"/>
      <c r="I41" s="1683"/>
      <c r="J41" s="1683"/>
      <c r="K41" s="1683"/>
      <c r="L41" s="1683"/>
      <c r="M41" s="1683"/>
      <c r="N41" s="1683"/>
      <c r="O41" s="1683"/>
      <c r="P41" s="1683"/>
      <c r="Q41" s="1683"/>
      <c r="R41" s="1683"/>
      <c r="S41" s="1683"/>
      <c r="T41" s="1683"/>
      <c r="U41" s="1683"/>
      <c r="V41" s="1683"/>
      <c r="W41" s="2"/>
      <c r="X41" s="2"/>
      <c r="Y41" s="1680" t="s">
        <v>94</v>
      </c>
      <c r="Z41" s="1680"/>
      <c r="AA41" s="583"/>
      <c r="AB41" s="2"/>
      <c r="AC41" s="2"/>
      <c r="AD41" s="2"/>
      <c r="AE41" s="2"/>
      <c r="AF41" s="2"/>
      <c r="AG41" s="2"/>
      <c r="AH41" s="2"/>
      <c r="AI41" s="2"/>
      <c r="AJ41" s="2"/>
      <c r="AK41" s="2"/>
    </row>
    <row r="42" spans="1:37" s="1" customFormat="1" ht="16.5" customHeight="1" x14ac:dyDescent="0.2">
      <c r="A42" s="2"/>
      <c r="B42" s="576"/>
      <c r="C42" s="2"/>
      <c r="D42" s="1683" t="s">
        <v>1702</v>
      </c>
      <c r="E42" s="1683"/>
      <c r="F42" s="1683"/>
      <c r="G42" s="1683"/>
      <c r="H42" s="1683"/>
      <c r="I42" s="1683"/>
      <c r="J42" s="1683"/>
      <c r="K42" s="1683"/>
      <c r="L42" s="1683"/>
      <c r="M42" s="1683"/>
      <c r="N42" s="1683"/>
      <c r="O42" s="1683"/>
      <c r="P42" s="1683"/>
      <c r="Q42" s="1683"/>
      <c r="R42" s="1683"/>
      <c r="S42" s="1683"/>
      <c r="T42" s="1683"/>
      <c r="U42" s="1683"/>
      <c r="V42" s="1683"/>
      <c r="W42" s="2"/>
      <c r="X42" s="2"/>
      <c r="Y42" s="781"/>
      <c r="Z42" s="781"/>
      <c r="AA42" s="583"/>
      <c r="AB42" s="2"/>
      <c r="AC42" s="2"/>
      <c r="AD42" s="2"/>
      <c r="AE42" s="2"/>
      <c r="AF42" s="2"/>
      <c r="AG42" s="2"/>
      <c r="AH42" s="2"/>
      <c r="AI42" s="2"/>
      <c r="AJ42" s="2"/>
      <c r="AK42" s="2"/>
    </row>
    <row r="43" spans="1:37" s="1" customFormat="1" ht="8.25" customHeight="1" x14ac:dyDescent="0.2">
      <c r="A43" s="3"/>
      <c r="B43" s="56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1703</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582"/>
      <c r="C47" s="1" t="s">
        <v>1704</v>
      </c>
      <c r="D47" s="12"/>
      <c r="E47" s="12"/>
      <c r="F47" s="12"/>
      <c r="G47" s="12"/>
      <c r="H47" s="12"/>
      <c r="I47" s="12"/>
      <c r="J47" s="12"/>
      <c r="K47" s="12"/>
      <c r="L47" s="12"/>
      <c r="M47" s="12"/>
      <c r="N47" s="12"/>
      <c r="O47" s="12"/>
      <c r="Y47" s="773"/>
      <c r="Z47" s="773"/>
      <c r="AA47" s="588"/>
    </row>
    <row r="48" spans="1:37" s="1" customFormat="1" ht="19.5" customHeight="1" x14ac:dyDescent="0.2">
      <c r="B48" s="582"/>
      <c r="C48" s="1" t="s">
        <v>1705</v>
      </c>
      <c r="D48" s="12"/>
      <c r="E48" s="12"/>
      <c r="F48" s="12"/>
      <c r="G48" s="12"/>
      <c r="H48" s="12"/>
      <c r="I48" s="12"/>
      <c r="J48" s="12"/>
      <c r="K48" s="12"/>
      <c r="L48" s="12"/>
      <c r="M48" s="12"/>
      <c r="N48" s="12"/>
      <c r="O48" s="12"/>
      <c r="Y48" s="1680" t="s">
        <v>94</v>
      </c>
      <c r="Z48" s="1680"/>
      <c r="AA48" s="588"/>
    </row>
    <row r="49" spans="1:37" s="1" customFormat="1" ht="19.5" customHeight="1" x14ac:dyDescent="0.2">
      <c r="B49" s="582"/>
      <c r="D49" s="1625" t="s">
        <v>1706</v>
      </c>
      <c r="E49" s="1626"/>
      <c r="F49" s="1626"/>
      <c r="G49" s="1626"/>
      <c r="H49" s="1626"/>
      <c r="I49" s="1626"/>
      <c r="J49" s="1626"/>
      <c r="K49" s="1626"/>
      <c r="L49" s="1626"/>
      <c r="M49" s="1626"/>
      <c r="N49" s="1626"/>
      <c r="O49" s="1626"/>
      <c r="P49" s="1626"/>
      <c r="Q49" s="1626"/>
      <c r="R49" s="1685" t="s">
        <v>89</v>
      </c>
      <c r="S49" s="1686"/>
      <c r="T49" s="1686"/>
      <c r="U49" s="1686"/>
      <c r="V49" s="1687"/>
      <c r="AA49" s="588"/>
    </row>
    <row r="50" spans="1:37" s="1" customFormat="1" ht="19.5" customHeight="1" x14ac:dyDescent="0.2">
      <c r="B50" s="582"/>
      <c r="D50" s="1625" t="s">
        <v>1707</v>
      </c>
      <c r="E50" s="1626"/>
      <c r="F50" s="1626"/>
      <c r="G50" s="1626"/>
      <c r="H50" s="1626"/>
      <c r="I50" s="1626"/>
      <c r="J50" s="1626"/>
      <c r="K50" s="1626"/>
      <c r="L50" s="1626"/>
      <c r="M50" s="1626"/>
      <c r="N50" s="1626"/>
      <c r="O50" s="1626"/>
      <c r="P50" s="1626"/>
      <c r="Q50" s="1684"/>
      <c r="R50" s="1685" t="s">
        <v>89</v>
      </c>
      <c r="S50" s="1686"/>
      <c r="T50" s="1686"/>
      <c r="U50" s="1686"/>
      <c r="V50" s="1687"/>
      <c r="AA50" s="588"/>
    </row>
    <row r="51" spans="1:37" s="1" customFormat="1" ht="19.5" customHeight="1" x14ac:dyDescent="0.2">
      <c r="B51" s="582"/>
      <c r="C51" s="1" t="s">
        <v>1687</v>
      </c>
      <c r="D51" s="12"/>
      <c r="E51" s="12"/>
      <c r="F51" s="12"/>
      <c r="G51" s="12"/>
      <c r="H51" s="12"/>
      <c r="I51" s="12"/>
      <c r="J51" s="12"/>
      <c r="K51" s="12"/>
      <c r="L51" s="12"/>
      <c r="M51" s="12"/>
      <c r="N51" s="12"/>
      <c r="O51" s="12"/>
      <c r="Y51" s="1680" t="s">
        <v>94</v>
      </c>
      <c r="Z51" s="1680"/>
      <c r="AA51" s="588"/>
    </row>
    <row r="52" spans="1:37" s="1" customFormat="1" ht="19.5" customHeight="1" x14ac:dyDescent="0.2">
      <c r="B52" s="582"/>
      <c r="C52" s="1" t="s">
        <v>1688</v>
      </c>
      <c r="D52" s="12"/>
      <c r="E52" s="12"/>
      <c r="F52" s="12"/>
      <c r="G52" s="12"/>
      <c r="H52" s="12"/>
      <c r="I52" s="12"/>
      <c r="J52" s="12"/>
      <c r="K52" s="12"/>
      <c r="L52" s="12"/>
      <c r="M52" s="12"/>
      <c r="N52" s="12"/>
      <c r="O52" s="12"/>
      <c r="Y52" s="1680" t="s">
        <v>94</v>
      </c>
      <c r="Z52" s="1680"/>
      <c r="AA52" s="588"/>
    </row>
    <row r="53" spans="1:37" s="1" customFormat="1" ht="23.25" customHeight="1" x14ac:dyDescent="0.2">
      <c r="B53" s="582"/>
      <c r="D53" s="1329" t="s">
        <v>1689</v>
      </c>
      <c r="E53" s="1329"/>
      <c r="F53" s="1329"/>
      <c r="G53" s="1329"/>
      <c r="H53" s="1329"/>
      <c r="I53" s="1329"/>
      <c r="J53" s="1329"/>
      <c r="K53" s="12"/>
      <c r="L53" s="12"/>
      <c r="M53" s="12"/>
      <c r="N53" s="12"/>
      <c r="O53" s="12"/>
      <c r="Y53" s="773"/>
      <c r="Z53" s="773"/>
      <c r="AA53" s="588"/>
    </row>
    <row r="54" spans="1:37" s="1" customFormat="1" ht="23.25" customHeight="1" x14ac:dyDescent="0.2">
      <c r="B54" s="582"/>
      <c r="C54" s="1" t="s">
        <v>1690</v>
      </c>
      <c r="AA54" s="588"/>
    </row>
    <row r="55" spans="1:37" s="1" customFormat="1" ht="6.75" customHeight="1" x14ac:dyDescent="0.2">
      <c r="B55" s="582"/>
      <c r="AA55" s="588"/>
    </row>
    <row r="56" spans="1:37" s="1" customFormat="1" ht="19.5" customHeight="1" x14ac:dyDescent="0.2">
      <c r="B56" s="582" t="s">
        <v>133</v>
      </c>
      <c r="C56" s="1338" t="s">
        <v>1691</v>
      </c>
      <c r="D56" s="1339"/>
      <c r="E56" s="1339"/>
      <c r="F56" s="1339"/>
      <c r="G56" s="1339"/>
      <c r="H56" s="1340"/>
      <c r="I56" s="1626"/>
      <c r="J56" s="1626"/>
      <c r="K56" s="1626"/>
      <c r="L56" s="1626"/>
      <c r="M56" s="1626"/>
      <c r="N56" s="1626"/>
      <c r="O56" s="1626"/>
      <c r="P56" s="1626"/>
      <c r="Q56" s="1626"/>
      <c r="R56" s="1626"/>
      <c r="S56" s="1626"/>
      <c r="T56" s="1626"/>
      <c r="U56" s="1626"/>
      <c r="V56" s="1626"/>
      <c r="W56" s="1626"/>
      <c r="X56" s="1626"/>
      <c r="Y56" s="1626"/>
      <c r="Z56" s="1684"/>
      <c r="AA56" s="588"/>
    </row>
    <row r="57" spans="1:37" s="1" customFormat="1" ht="19.5" customHeight="1" x14ac:dyDescent="0.2">
      <c r="B57" s="582" t="s">
        <v>133</v>
      </c>
      <c r="C57" s="1338" t="s">
        <v>1692</v>
      </c>
      <c r="D57" s="1339"/>
      <c r="E57" s="1339"/>
      <c r="F57" s="1339"/>
      <c r="G57" s="1339"/>
      <c r="H57" s="1340"/>
      <c r="I57" s="1626"/>
      <c r="J57" s="1626"/>
      <c r="K57" s="1626"/>
      <c r="L57" s="1626"/>
      <c r="M57" s="1626"/>
      <c r="N57" s="1626"/>
      <c r="O57" s="1626"/>
      <c r="P57" s="1626"/>
      <c r="Q57" s="1626"/>
      <c r="R57" s="1626"/>
      <c r="S57" s="1626"/>
      <c r="T57" s="1626"/>
      <c r="U57" s="1626"/>
      <c r="V57" s="1626"/>
      <c r="W57" s="1626"/>
      <c r="X57" s="1626"/>
      <c r="Y57" s="1626"/>
      <c r="Z57" s="1684"/>
      <c r="AA57" s="588"/>
    </row>
    <row r="58" spans="1:37" s="1" customFormat="1" ht="19.5" customHeight="1" x14ac:dyDescent="0.2">
      <c r="B58" s="582" t="s">
        <v>133</v>
      </c>
      <c r="C58" s="1338" t="s">
        <v>1693</v>
      </c>
      <c r="D58" s="1339"/>
      <c r="E58" s="1339"/>
      <c r="F58" s="1339"/>
      <c r="G58" s="1339"/>
      <c r="H58" s="1340"/>
      <c r="I58" s="1626"/>
      <c r="J58" s="1626"/>
      <c r="K58" s="1626"/>
      <c r="L58" s="1626"/>
      <c r="M58" s="1626"/>
      <c r="N58" s="1626"/>
      <c r="O58" s="1626"/>
      <c r="P58" s="1626"/>
      <c r="Q58" s="1626"/>
      <c r="R58" s="1626"/>
      <c r="S58" s="1626"/>
      <c r="T58" s="1626"/>
      <c r="U58" s="1626"/>
      <c r="V58" s="1626"/>
      <c r="W58" s="1626"/>
      <c r="X58" s="1626"/>
      <c r="Y58" s="1626"/>
      <c r="Z58" s="1684"/>
      <c r="AA58" s="588"/>
    </row>
    <row r="59" spans="1:37" s="1" customFormat="1" ht="19.5" customHeight="1" x14ac:dyDescent="0.2">
      <c r="B59" s="582"/>
      <c r="C59" s="12"/>
      <c r="D59" s="12"/>
      <c r="E59" s="12"/>
      <c r="F59" s="12"/>
      <c r="G59" s="12"/>
      <c r="H59" s="12"/>
      <c r="I59" s="2"/>
      <c r="J59" s="2"/>
      <c r="K59" s="2"/>
      <c r="L59" s="2"/>
      <c r="M59" s="2"/>
      <c r="N59" s="2"/>
      <c r="O59" s="2"/>
      <c r="P59" s="2"/>
      <c r="Q59" s="2"/>
      <c r="R59" s="2"/>
      <c r="S59" s="2"/>
      <c r="T59" s="2"/>
      <c r="U59" s="2"/>
      <c r="V59" s="2"/>
      <c r="W59" s="2"/>
      <c r="X59" s="2"/>
      <c r="Y59" s="2"/>
      <c r="Z59" s="2"/>
      <c r="AA59" s="588"/>
    </row>
    <row r="60" spans="1:37" s="2" customFormat="1" ht="18" customHeight="1" x14ac:dyDescent="0.2">
      <c r="A60" s="1"/>
      <c r="B60" s="582"/>
      <c r="C60" s="1463" t="s">
        <v>1708</v>
      </c>
      <c r="D60" s="1463"/>
      <c r="E60" s="1463"/>
      <c r="F60" s="1463"/>
      <c r="G60" s="1463"/>
      <c r="H60" s="1463"/>
      <c r="I60" s="1463"/>
      <c r="J60" s="1463"/>
      <c r="K60" s="1463"/>
      <c r="L60" s="1463"/>
      <c r="M60" s="1463"/>
      <c r="N60" s="1463"/>
      <c r="O60" s="1463"/>
      <c r="P60" s="1463"/>
      <c r="Q60" s="1463"/>
      <c r="R60" s="1463"/>
      <c r="S60" s="1463"/>
      <c r="T60" s="1463"/>
      <c r="U60" s="1463"/>
      <c r="V60" s="1463"/>
      <c r="W60" s="1463"/>
      <c r="X60" s="1463"/>
      <c r="Y60" s="1463"/>
      <c r="Z60" s="1463"/>
      <c r="AA60" s="1466"/>
      <c r="AB60" s="1"/>
      <c r="AC60" s="1"/>
      <c r="AD60" s="1"/>
      <c r="AE60" s="1"/>
      <c r="AF60" s="1"/>
      <c r="AG60" s="1"/>
      <c r="AH60" s="1"/>
      <c r="AI60" s="1"/>
      <c r="AJ60" s="1"/>
      <c r="AK60" s="1"/>
    </row>
    <row r="61" spans="1:37" s="2" customFormat="1" ht="18" customHeight="1" x14ac:dyDescent="0.2">
      <c r="A61" s="1"/>
      <c r="B61" s="582"/>
      <c r="C61" s="12"/>
      <c r="D61" s="12"/>
      <c r="E61" s="12"/>
      <c r="F61" s="12"/>
      <c r="G61" s="12"/>
      <c r="H61" s="12"/>
      <c r="I61" s="12"/>
      <c r="J61" s="12"/>
      <c r="K61" s="12"/>
      <c r="L61" s="12"/>
      <c r="M61" s="12"/>
      <c r="N61" s="12"/>
      <c r="O61" s="12"/>
      <c r="P61" s="1"/>
      <c r="Q61" s="1"/>
      <c r="R61" s="1"/>
      <c r="S61" s="1"/>
      <c r="T61" s="1"/>
      <c r="U61" s="1"/>
      <c r="V61" s="1"/>
      <c r="W61" s="1"/>
      <c r="X61" s="1"/>
      <c r="Y61" s="1"/>
      <c r="Z61" s="1"/>
      <c r="AA61" s="588"/>
      <c r="AB61" s="1"/>
      <c r="AC61" s="1"/>
      <c r="AD61" s="1"/>
      <c r="AE61" s="1"/>
      <c r="AF61" s="1"/>
      <c r="AG61" s="1"/>
      <c r="AH61" s="1"/>
      <c r="AI61" s="1"/>
      <c r="AJ61" s="1"/>
      <c r="AK61" s="1"/>
    </row>
    <row r="62" spans="1:37" s="2" customFormat="1" ht="19.5" customHeight="1" x14ac:dyDescent="0.2">
      <c r="A62" s="1"/>
      <c r="B62" s="582"/>
      <c r="C62" s="1"/>
      <c r="D62" s="1683" t="s">
        <v>1709</v>
      </c>
      <c r="E62" s="1683"/>
      <c r="F62" s="1683"/>
      <c r="G62" s="1683"/>
      <c r="H62" s="1683"/>
      <c r="I62" s="1683"/>
      <c r="J62" s="1683"/>
      <c r="K62" s="1683"/>
      <c r="L62" s="1683"/>
      <c r="M62" s="1683"/>
      <c r="N62" s="1683"/>
      <c r="O62" s="1683"/>
      <c r="P62" s="1683"/>
      <c r="Q62" s="1683"/>
      <c r="R62" s="1683"/>
      <c r="S62" s="1683"/>
      <c r="T62" s="1683"/>
      <c r="U62" s="1683"/>
      <c r="V62" s="1683"/>
      <c r="W62" s="1"/>
      <c r="X62" s="1"/>
      <c r="Y62" s="1680" t="s">
        <v>94</v>
      </c>
      <c r="Z62" s="1680"/>
      <c r="AA62" s="588"/>
      <c r="AB62" s="1"/>
      <c r="AC62" s="1"/>
      <c r="AD62" s="1"/>
      <c r="AE62" s="1"/>
      <c r="AF62" s="1"/>
      <c r="AG62" s="1"/>
      <c r="AH62" s="1"/>
      <c r="AI62" s="1"/>
      <c r="AJ62" s="1"/>
      <c r="AK62" s="1"/>
    </row>
    <row r="63" spans="1:37" ht="19.5" customHeight="1" x14ac:dyDescent="0.2">
      <c r="A63" s="2"/>
      <c r="B63" s="576"/>
      <c r="C63" s="2"/>
      <c r="D63" s="1683" t="s">
        <v>1699</v>
      </c>
      <c r="E63" s="1683"/>
      <c r="F63" s="1683"/>
      <c r="G63" s="1683"/>
      <c r="H63" s="1683"/>
      <c r="I63" s="1683"/>
      <c r="J63" s="1683"/>
      <c r="K63" s="1683"/>
      <c r="L63" s="1683"/>
      <c r="M63" s="1683"/>
      <c r="N63" s="1683"/>
      <c r="O63" s="1683"/>
      <c r="P63" s="1683"/>
      <c r="Q63" s="1683"/>
      <c r="R63" s="1683"/>
      <c r="S63" s="1683"/>
      <c r="T63" s="1683"/>
      <c r="U63" s="1683"/>
      <c r="V63" s="1683"/>
      <c r="W63" s="2"/>
      <c r="X63" s="2"/>
      <c r="Y63" s="1680" t="s">
        <v>94</v>
      </c>
      <c r="Z63" s="1680"/>
      <c r="AA63" s="583"/>
      <c r="AB63" s="2"/>
      <c r="AC63" s="2"/>
      <c r="AD63" s="2"/>
      <c r="AE63" s="2"/>
      <c r="AF63" s="2"/>
      <c r="AG63" s="2"/>
      <c r="AH63" s="2"/>
      <c r="AI63" s="2"/>
      <c r="AJ63" s="2"/>
      <c r="AK63" s="2"/>
    </row>
    <row r="64" spans="1:37" ht="19.5" customHeight="1" x14ac:dyDescent="0.2">
      <c r="A64" s="2"/>
      <c r="B64" s="576"/>
      <c r="C64" s="2"/>
      <c r="D64" s="1683" t="s">
        <v>1700</v>
      </c>
      <c r="E64" s="1683"/>
      <c r="F64" s="1683"/>
      <c r="G64" s="1683"/>
      <c r="H64" s="1683"/>
      <c r="I64" s="1683"/>
      <c r="J64" s="1683"/>
      <c r="K64" s="1683"/>
      <c r="L64" s="1683"/>
      <c r="M64" s="1683"/>
      <c r="N64" s="1683"/>
      <c r="O64" s="1683"/>
      <c r="P64" s="1683"/>
      <c r="Q64" s="1683"/>
      <c r="R64" s="1683"/>
      <c r="S64" s="1683"/>
      <c r="T64" s="1683"/>
      <c r="U64" s="1683"/>
      <c r="V64" s="1683"/>
      <c r="W64" s="2"/>
      <c r="X64" s="2"/>
      <c r="Y64" s="1680" t="s">
        <v>94</v>
      </c>
      <c r="Z64" s="1680"/>
      <c r="AA64" s="583"/>
      <c r="AB64" s="2"/>
      <c r="AC64" s="2"/>
      <c r="AD64" s="2"/>
      <c r="AE64" s="2"/>
      <c r="AF64" s="2"/>
      <c r="AG64" s="2"/>
      <c r="AH64" s="2"/>
      <c r="AI64" s="2"/>
      <c r="AJ64" s="2"/>
      <c r="AK64" s="2"/>
    </row>
    <row r="65" spans="1:37" ht="19.5" customHeight="1" x14ac:dyDescent="0.2">
      <c r="A65" s="2"/>
      <c r="B65" s="576"/>
      <c r="C65" s="2"/>
      <c r="D65" s="1683" t="s">
        <v>1701</v>
      </c>
      <c r="E65" s="1683"/>
      <c r="F65" s="1683"/>
      <c r="G65" s="1683"/>
      <c r="H65" s="1683"/>
      <c r="I65" s="1683"/>
      <c r="J65" s="1683"/>
      <c r="K65" s="1683"/>
      <c r="L65" s="1683"/>
      <c r="M65" s="1683"/>
      <c r="N65" s="1683"/>
      <c r="O65" s="1683"/>
      <c r="P65" s="1683"/>
      <c r="Q65" s="1683"/>
      <c r="R65" s="1683"/>
      <c r="S65" s="1683"/>
      <c r="T65" s="1683"/>
      <c r="U65" s="1683"/>
      <c r="V65" s="1683"/>
      <c r="W65" s="2"/>
      <c r="X65" s="2"/>
      <c r="Y65" s="1680" t="s">
        <v>94</v>
      </c>
      <c r="Z65" s="1680"/>
      <c r="AA65" s="583"/>
      <c r="AB65" s="2"/>
      <c r="AC65" s="2"/>
      <c r="AD65" s="2"/>
      <c r="AE65" s="2"/>
      <c r="AF65" s="2"/>
      <c r="AG65" s="2"/>
      <c r="AH65" s="2"/>
      <c r="AI65" s="2"/>
      <c r="AJ65" s="2"/>
      <c r="AK65" s="2"/>
    </row>
    <row r="66" spans="1:37" s="2" customFormat="1" x14ac:dyDescent="0.2">
      <c r="B66" s="576"/>
      <c r="D66" s="1683" t="s">
        <v>1702</v>
      </c>
      <c r="E66" s="1683"/>
      <c r="F66" s="1683"/>
      <c r="G66" s="1683"/>
      <c r="H66" s="1683"/>
      <c r="I66" s="1683"/>
      <c r="J66" s="1683"/>
      <c r="K66" s="1683"/>
      <c r="L66" s="1683"/>
      <c r="M66" s="1683"/>
      <c r="N66" s="1683"/>
      <c r="O66" s="1683"/>
      <c r="P66" s="1683"/>
      <c r="Q66" s="1683"/>
      <c r="R66" s="1683"/>
      <c r="S66" s="1683"/>
      <c r="T66" s="1683"/>
      <c r="U66" s="1683"/>
      <c r="V66" s="1683"/>
      <c r="Y66" s="781"/>
      <c r="Z66" s="781"/>
      <c r="AA66" s="583"/>
    </row>
    <row r="67" spans="1:37" s="2" customFormat="1" x14ac:dyDescent="0.2">
      <c r="A67" s="3"/>
      <c r="B67" s="56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9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200000000000003" customHeight="1" x14ac:dyDescent="0.2">
      <c r="B69" s="1688" t="s">
        <v>1710</v>
      </c>
      <c r="C69" s="1688"/>
      <c r="D69" s="1688"/>
      <c r="E69" s="1688"/>
      <c r="F69" s="1688"/>
      <c r="G69" s="1688"/>
      <c r="H69" s="1688"/>
      <c r="I69" s="1688"/>
      <c r="J69" s="1688"/>
      <c r="K69" s="1688"/>
      <c r="L69" s="1688"/>
      <c r="M69" s="1688"/>
      <c r="N69" s="1688"/>
      <c r="O69" s="1688"/>
      <c r="P69" s="1688"/>
      <c r="Q69" s="1688"/>
      <c r="R69" s="1688"/>
      <c r="S69" s="1688"/>
      <c r="T69" s="1688"/>
      <c r="U69" s="1688"/>
      <c r="V69" s="1688"/>
      <c r="W69" s="1688"/>
      <c r="X69" s="1688"/>
      <c r="Y69" s="1688"/>
      <c r="Z69" s="1688"/>
      <c r="AA69" s="1688"/>
    </row>
    <row r="70" spans="1:37" x14ac:dyDescent="0.2">
      <c r="A70" s="2"/>
      <c r="B70" s="1688" t="s">
        <v>1711</v>
      </c>
      <c r="C70" s="1688"/>
      <c r="D70" s="1688"/>
      <c r="E70" s="1688"/>
      <c r="F70" s="1688"/>
      <c r="G70" s="1688"/>
      <c r="H70" s="1688"/>
      <c r="I70" s="1688"/>
      <c r="J70" s="1688"/>
      <c r="K70" s="1688"/>
      <c r="L70" s="1688"/>
      <c r="M70" s="1688"/>
      <c r="N70" s="1688"/>
      <c r="O70" s="1688"/>
      <c r="P70" s="1688"/>
      <c r="Q70" s="1688"/>
      <c r="R70" s="1688"/>
      <c r="S70" s="1688"/>
      <c r="T70" s="1688"/>
      <c r="U70" s="1688"/>
      <c r="V70" s="1688"/>
      <c r="W70" s="1688"/>
      <c r="X70" s="1688"/>
      <c r="Y70" s="1688"/>
      <c r="Z70" s="1688"/>
      <c r="AA70" s="1688"/>
      <c r="AB70" s="2"/>
      <c r="AC70" s="2"/>
      <c r="AD70" s="2"/>
      <c r="AE70" s="2"/>
      <c r="AF70" s="2"/>
      <c r="AG70" s="2"/>
      <c r="AH70" s="2"/>
      <c r="AI70" s="2"/>
      <c r="AJ70" s="2"/>
      <c r="AK70" s="2"/>
    </row>
    <row r="71" spans="1:37" ht="13.5" customHeight="1" x14ac:dyDescent="0.2">
      <c r="A71" s="2"/>
      <c r="B71" s="1688" t="s">
        <v>1712</v>
      </c>
      <c r="C71" s="1688"/>
      <c r="D71" s="1688"/>
      <c r="E71" s="1688"/>
      <c r="F71" s="1688"/>
      <c r="G71" s="1688"/>
      <c r="H71" s="1688"/>
      <c r="I71" s="1688"/>
      <c r="J71" s="1688"/>
      <c r="K71" s="1688"/>
      <c r="L71" s="1688"/>
      <c r="M71" s="1688"/>
      <c r="N71" s="1688"/>
      <c r="O71" s="1688"/>
      <c r="P71" s="1688"/>
      <c r="Q71" s="1688"/>
      <c r="R71" s="1688"/>
      <c r="S71" s="1688"/>
      <c r="T71" s="1688"/>
      <c r="U71" s="1688"/>
      <c r="V71" s="1688"/>
      <c r="W71" s="1688"/>
      <c r="X71" s="1688"/>
      <c r="Y71" s="1688"/>
      <c r="Z71" s="1688"/>
      <c r="AA71" s="1688"/>
      <c r="AB71" s="2"/>
      <c r="AC71" s="2"/>
      <c r="AD71" s="2"/>
      <c r="AE71" s="2"/>
      <c r="AF71" s="2"/>
      <c r="AG71" s="2"/>
      <c r="AH71" s="2"/>
      <c r="AI71" s="2"/>
      <c r="AJ71" s="2"/>
      <c r="AK71" s="2"/>
    </row>
    <row r="72" spans="1:37" x14ac:dyDescent="0.2">
      <c r="A72" s="2"/>
      <c r="B72" s="1688" t="s">
        <v>1713</v>
      </c>
      <c r="C72" s="1688"/>
      <c r="D72" s="1688"/>
      <c r="E72" s="1688"/>
      <c r="F72" s="1688"/>
      <c r="G72" s="1688"/>
      <c r="H72" s="1688"/>
      <c r="I72" s="1688"/>
      <c r="J72" s="1688"/>
      <c r="K72" s="1688"/>
      <c r="L72" s="1688"/>
      <c r="M72" s="1688"/>
      <c r="N72" s="1688"/>
      <c r="O72" s="1688"/>
      <c r="P72" s="1688"/>
      <c r="Q72" s="1688"/>
      <c r="R72" s="1688"/>
      <c r="S72" s="1688"/>
      <c r="T72" s="1688"/>
      <c r="U72" s="1688"/>
      <c r="V72" s="1688"/>
      <c r="W72" s="1688"/>
      <c r="X72" s="1688"/>
      <c r="Y72" s="1688"/>
      <c r="Z72" s="1688"/>
      <c r="AA72" s="1688"/>
      <c r="AB72" s="2"/>
      <c r="AC72" s="2"/>
      <c r="AD72" s="2"/>
      <c r="AE72" s="2"/>
      <c r="AF72" s="2"/>
      <c r="AG72" s="2"/>
      <c r="AH72" s="2"/>
      <c r="AI72" s="2"/>
      <c r="AJ72" s="2"/>
      <c r="AK72" s="2"/>
    </row>
    <row r="73" spans="1:37" x14ac:dyDescent="0.2">
      <c r="B73" s="1688" t="s">
        <v>1714</v>
      </c>
      <c r="C73" s="1688"/>
      <c r="D73" s="1688"/>
      <c r="E73" s="1688"/>
      <c r="F73" s="1688"/>
      <c r="G73" s="1688"/>
      <c r="H73" s="1688"/>
      <c r="I73" s="1688"/>
      <c r="J73" s="1688"/>
      <c r="K73" s="1688"/>
      <c r="L73" s="1688"/>
      <c r="M73" s="1688"/>
      <c r="N73" s="1688"/>
      <c r="O73" s="1688"/>
      <c r="P73" s="1688"/>
      <c r="Q73" s="1688"/>
      <c r="R73" s="1688"/>
      <c r="S73" s="1688"/>
      <c r="T73" s="1688"/>
      <c r="U73" s="1688"/>
      <c r="V73" s="1688"/>
      <c r="W73" s="1688"/>
      <c r="X73" s="1688"/>
      <c r="Y73" s="1688"/>
      <c r="Z73" s="1688"/>
      <c r="AA73" s="1688"/>
      <c r="AB73" s="885"/>
    </row>
    <row r="74" spans="1:37" x14ac:dyDescent="0.2">
      <c r="B74" s="1688" t="s">
        <v>1715</v>
      </c>
      <c r="C74" s="1688"/>
      <c r="D74" s="1688"/>
      <c r="E74" s="1688"/>
      <c r="F74" s="1688"/>
      <c r="G74" s="1688"/>
      <c r="H74" s="1688"/>
      <c r="I74" s="1688"/>
      <c r="J74" s="1688"/>
      <c r="K74" s="1688"/>
      <c r="L74" s="1688"/>
      <c r="M74" s="1688"/>
      <c r="N74" s="1688"/>
      <c r="O74" s="1688"/>
      <c r="P74" s="1688"/>
      <c r="Q74" s="1688"/>
      <c r="R74" s="1688"/>
      <c r="S74" s="1688"/>
      <c r="T74" s="1688"/>
      <c r="U74" s="1688"/>
      <c r="V74" s="1688"/>
      <c r="W74" s="1688"/>
      <c r="X74" s="1688"/>
      <c r="Y74" s="1688"/>
      <c r="Z74" s="1688"/>
      <c r="AA74" s="886"/>
      <c r="AB74" s="885"/>
    </row>
    <row r="75" spans="1:37" x14ac:dyDescent="0.2">
      <c r="B75" s="887"/>
      <c r="D75" s="888"/>
    </row>
    <row r="76" spans="1:37" x14ac:dyDescent="0.2">
      <c r="B76" s="887"/>
      <c r="D76" s="888"/>
    </row>
    <row r="77" spans="1:37" x14ac:dyDescent="0.2">
      <c r="B77" s="887"/>
      <c r="D77" s="888"/>
    </row>
    <row r="78" spans="1:37" x14ac:dyDescent="0.2">
      <c r="B78" s="887"/>
      <c r="D78" s="888"/>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rintOptions horizontalCentered="1"/>
  <pageMargins left="0.70866141732283472" right="0.39370078740157483" top="0.51181102362204722" bottom="0.35433070866141736" header="0.31496062992125984" footer="0.31496062992125984"/>
  <pageSetup paperSize="9" scale="64" orientation="portrait" r:id="rId1"/>
  <headerFooter>
    <oddFooter>&amp;C1－&amp;P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5FB6-21A5-4C55-BE95-6CCB5FE8300E}">
  <sheetPr>
    <tabColor rgb="FFFFFF00"/>
    <pageSetUpPr fitToPage="1"/>
  </sheetPr>
  <dimension ref="B1:AA63"/>
  <sheetViews>
    <sheetView view="pageBreakPreview" zoomScaleNormal="100" zoomScaleSheetLayoutView="100" workbookViewId="0">
      <selection activeCell="B4" sqref="B4:AA4"/>
    </sheetView>
  </sheetViews>
  <sheetFormatPr defaultColWidth="3.44140625" defaultRowHeight="13.2" x14ac:dyDescent="0.2"/>
  <cols>
    <col min="1" max="1" width="3.44140625" style="3" customWidth="1"/>
    <col min="2" max="2" width="3" style="598"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 customFormat="1" x14ac:dyDescent="0.2"/>
    <row r="2" spans="2:27" s="1" customFormat="1" x14ac:dyDescent="0.2">
      <c r="B2" s="1" t="s">
        <v>1854</v>
      </c>
      <c r="AA2" s="45" t="s">
        <v>862</v>
      </c>
    </row>
    <row r="3" spans="2:27" s="1" customFormat="1" ht="8.25" customHeight="1" x14ac:dyDescent="0.2"/>
    <row r="4" spans="2:27" s="1" customFormat="1" x14ac:dyDescent="0.2">
      <c r="B4" s="1456" t="s">
        <v>1855</v>
      </c>
      <c r="C4" s="1456"/>
      <c r="D4" s="1456"/>
      <c r="E4" s="1456"/>
      <c r="F4" s="1456"/>
      <c r="G4" s="1456"/>
      <c r="H4" s="1456"/>
      <c r="I4" s="1456"/>
      <c r="J4" s="1456"/>
      <c r="K4" s="1456"/>
      <c r="L4" s="1456"/>
      <c r="M4" s="1456"/>
      <c r="N4" s="1456"/>
      <c r="O4" s="1456"/>
      <c r="P4" s="1456"/>
      <c r="Q4" s="1456"/>
      <c r="R4" s="1456"/>
      <c r="S4" s="1456"/>
      <c r="T4" s="1456"/>
      <c r="U4" s="1456"/>
      <c r="V4" s="1456"/>
      <c r="W4" s="1456"/>
      <c r="X4" s="1456"/>
      <c r="Y4" s="1456"/>
      <c r="Z4" s="1456"/>
      <c r="AA4" s="1456"/>
    </row>
    <row r="5" spans="2:27" s="1" customFormat="1" ht="6.75" customHeight="1" x14ac:dyDescent="0.2"/>
    <row r="6" spans="2:27" s="1" customFormat="1" ht="19.5" customHeight="1" x14ac:dyDescent="0.2">
      <c r="B6" s="1554" t="s">
        <v>1108</v>
      </c>
      <c r="C6" s="1554"/>
      <c r="D6" s="1554"/>
      <c r="E6" s="1554"/>
      <c r="F6" s="1554"/>
      <c r="G6" s="1338"/>
      <c r="H6" s="1339"/>
      <c r="I6" s="1339"/>
      <c r="J6" s="1339"/>
      <c r="K6" s="1339"/>
      <c r="L6" s="1339"/>
      <c r="M6" s="1339"/>
      <c r="N6" s="1339"/>
      <c r="O6" s="1339"/>
      <c r="P6" s="1339"/>
      <c r="Q6" s="1339"/>
      <c r="R6" s="1339"/>
      <c r="S6" s="1339"/>
      <c r="T6" s="1339"/>
      <c r="U6" s="1339"/>
      <c r="V6" s="1339"/>
      <c r="W6" s="1339"/>
      <c r="X6" s="1339"/>
      <c r="Y6" s="1339"/>
      <c r="Z6" s="1339"/>
      <c r="AA6" s="1340"/>
    </row>
    <row r="7" spans="2:27" s="1" customFormat="1" ht="9" customHeight="1" x14ac:dyDescent="0.2"/>
    <row r="8" spans="2:27" s="1" customFormat="1" ht="6" customHeight="1" x14ac:dyDescent="0.2">
      <c r="B8" s="6"/>
      <c r="C8" s="7"/>
      <c r="D8" s="7"/>
      <c r="E8" s="7"/>
      <c r="F8" s="7"/>
      <c r="G8" s="7"/>
      <c r="H8" s="7"/>
      <c r="I8" s="7"/>
      <c r="J8" s="7"/>
      <c r="K8" s="7"/>
      <c r="L8" s="7"/>
      <c r="M8" s="7"/>
      <c r="N8" s="7"/>
      <c r="O8" s="7"/>
      <c r="P8" s="7"/>
      <c r="Q8" s="7"/>
      <c r="R8" s="7"/>
      <c r="S8" s="7"/>
      <c r="T8" s="7"/>
      <c r="U8" s="7"/>
      <c r="V8" s="7"/>
      <c r="W8" s="7"/>
      <c r="X8" s="7"/>
      <c r="Y8" s="7"/>
      <c r="Z8" s="7"/>
      <c r="AA8" s="4"/>
    </row>
    <row r="9" spans="2:27" s="1" customFormat="1" ht="21" customHeight="1" x14ac:dyDescent="0.2">
      <c r="B9" s="582"/>
      <c r="C9" s="1" t="s">
        <v>1856</v>
      </c>
      <c r="AA9" s="588"/>
    </row>
    <row r="10" spans="2:27" s="1" customFormat="1" ht="19.5" customHeight="1" x14ac:dyDescent="0.2">
      <c r="B10" s="582"/>
      <c r="C10" s="1554" t="s">
        <v>1857</v>
      </c>
      <c r="D10" s="1554"/>
      <c r="E10" s="1554"/>
      <c r="F10" s="1554"/>
      <c r="G10" s="1338" t="s">
        <v>1858</v>
      </c>
      <c r="H10" s="1339"/>
      <c r="I10" s="1339"/>
      <c r="J10" s="1339"/>
      <c r="K10" s="1340"/>
      <c r="M10" s="2"/>
      <c r="N10" s="2"/>
      <c r="O10" s="2"/>
      <c r="P10" s="2"/>
      <c r="Q10" s="2"/>
      <c r="R10" s="2"/>
      <c r="S10" s="2"/>
      <c r="T10" s="2"/>
      <c r="U10" s="2"/>
      <c r="Y10" s="781"/>
      <c r="Z10" s="781"/>
      <c r="AA10" s="588"/>
    </row>
    <row r="11" spans="2:27" s="1" customFormat="1" ht="6" customHeight="1" x14ac:dyDescent="0.2">
      <c r="B11" s="582"/>
      <c r="C11" s="12"/>
      <c r="D11" s="12"/>
      <c r="E11" s="12"/>
      <c r="F11" s="12"/>
      <c r="G11" s="12"/>
      <c r="H11" s="12"/>
      <c r="I11" s="12"/>
      <c r="J11" s="12"/>
      <c r="K11" s="12"/>
      <c r="M11" s="12"/>
      <c r="N11" s="12"/>
      <c r="O11" s="12"/>
      <c r="P11" s="12"/>
      <c r="Q11" s="12"/>
      <c r="R11" s="12"/>
      <c r="S11" s="12"/>
      <c r="T11" s="12"/>
      <c r="U11" s="12"/>
      <c r="Y11" s="781"/>
      <c r="Z11" s="781"/>
      <c r="AA11" s="588"/>
    </row>
    <row r="12" spans="2:27" s="1" customFormat="1" ht="18.75" customHeight="1" x14ac:dyDescent="0.2">
      <c r="B12" s="582"/>
      <c r="C12" s="1" t="s">
        <v>1859</v>
      </c>
      <c r="AA12" s="588"/>
    </row>
    <row r="13" spans="2:27" s="1" customFormat="1" ht="19.5" customHeight="1" x14ac:dyDescent="0.2">
      <c r="B13" s="582"/>
      <c r="C13" s="1554" t="s">
        <v>1860</v>
      </c>
      <c r="D13" s="1554"/>
      <c r="E13" s="1554"/>
      <c r="F13" s="1554"/>
      <c r="G13" s="1338" t="s">
        <v>1861</v>
      </c>
      <c r="H13" s="1339"/>
      <c r="I13" s="1339"/>
      <c r="J13" s="1339"/>
      <c r="K13" s="1340"/>
      <c r="M13" s="1554" t="s">
        <v>1862</v>
      </c>
      <c r="N13" s="1554"/>
      <c r="O13" s="1554"/>
      <c r="P13" s="1554"/>
      <c r="Q13" s="1338" t="s">
        <v>1861</v>
      </c>
      <c r="R13" s="1339"/>
      <c r="S13" s="1339"/>
      <c r="T13" s="1339"/>
      <c r="U13" s="1340"/>
      <c r="Y13" s="781"/>
      <c r="Z13" s="781"/>
      <c r="AA13" s="588"/>
    </row>
    <row r="14" spans="2:27" s="1" customFormat="1" ht="7.5" customHeight="1" x14ac:dyDescent="0.2">
      <c r="B14" s="582"/>
      <c r="C14" s="12"/>
      <c r="D14" s="12"/>
      <c r="E14" s="12"/>
      <c r="F14" s="12"/>
      <c r="G14" s="12"/>
      <c r="H14" s="12"/>
      <c r="I14" s="12"/>
      <c r="J14" s="12"/>
      <c r="K14" s="12"/>
      <c r="Y14" s="781"/>
      <c r="Z14" s="781"/>
      <c r="AA14" s="588"/>
    </row>
    <row r="15" spans="2:27" s="1" customFormat="1" ht="19.5" customHeight="1" x14ac:dyDescent="0.2">
      <c r="B15" s="582"/>
      <c r="C15" s="1" t="s">
        <v>1863</v>
      </c>
      <c r="D15" s="12"/>
      <c r="E15" s="12"/>
      <c r="F15" s="12"/>
      <c r="G15" s="12"/>
      <c r="H15" s="12"/>
      <c r="I15" s="12"/>
      <c r="J15" s="12"/>
      <c r="M15" s="12"/>
      <c r="N15" s="12"/>
      <c r="O15" s="12"/>
      <c r="Y15" s="781"/>
      <c r="Z15" s="781"/>
      <c r="AA15" s="588"/>
    </row>
    <row r="16" spans="2:27" s="1" customFormat="1" ht="19.5" customHeight="1" x14ac:dyDescent="0.2">
      <c r="B16" s="582"/>
      <c r="C16" s="1554" t="s">
        <v>1864</v>
      </c>
      <c r="D16" s="1554"/>
      <c r="E16" s="1554"/>
      <c r="F16" s="1554"/>
      <c r="G16" s="1554" t="s">
        <v>1865</v>
      </c>
      <c r="H16" s="1554"/>
      <c r="I16" s="1554"/>
      <c r="J16" s="1554"/>
      <c r="K16" s="1554"/>
      <c r="L16" s="1554" t="s">
        <v>1866</v>
      </c>
      <c r="M16" s="1554"/>
      <c r="N16" s="1554"/>
      <c r="O16" s="1554"/>
      <c r="P16" s="1554"/>
      <c r="Q16" s="1554" t="s">
        <v>1867</v>
      </c>
      <c r="R16" s="1554"/>
      <c r="S16" s="1554"/>
      <c r="T16" s="1554"/>
      <c r="U16" s="1554"/>
      <c r="V16" s="1554" t="s">
        <v>1868</v>
      </c>
      <c r="W16" s="1554"/>
      <c r="X16" s="1554"/>
      <c r="Y16" s="1554"/>
      <c r="Z16" s="1554"/>
      <c r="AA16" s="588"/>
    </row>
    <row r="17" spans="2:27" s="1" customFormat="1" ht="19.5" customHeight="1" x14ac:dyDescent="0.2">
      <c r="B17" s="582"/>
      <c r="C17" s="1338" t="s">
        <v>1869</v>
      </c>
      <c r="D17" s="1339"/>
      <c r="E17" s="1339"/>
      <c r="F17" s="1340"/>
      <c r="G17" s="1338"/>
      <c r="H17" s="1339"/>
      <c r="I17" s="1339"/>
      <c r="J17" s="1339"/>
      <c r="K17" s="1340"/>
      <c r="L17" s="1338"/>
      <c r="M17" s="1339"/>
      <c r="N17" s="1339"/>
      <c r="O17" s="1339"/>
      <c r="P17" s="1340"/>
      <c r="Q17" s="1338"/>
      <c r="R17" s="1339"/>
      <c r="S17" s="1339"/>
      <c r="T17" s="1339"/>
      <c r="U17" s="1340"/>
      <c r="V17" s="1338"/>
      <c r="W17" s="1339"/>
      <c r="X17" s="1339"/>
      <c r="Y17" s="1339"/>
      <c r="Z17" s="1340"/>
      <c r="AA17" s="588"/>
    </row>
    <row r="18" spans="2:27" s="1" customFormat="1" ht="4.5" customHeight="1" x14ac:dyDescent="0.2">
      <c r="B18" s="582"/>
      <c r="C18" s="12"/>
      <c r="D18" s="12"/>
      <c r="E18" s="12"/>
      <c r="F18" s="12"/>
      <c r="G18" s="12"/>
      <c r="H18" s="12"/>
      <c r="I18" s="12"/>
      <c r="J18" s="12"/>
      <c r="K18" s="12"/>
      <c r="L18" s="12"/>
      <c r="M18" s="12"/>
      <c r="N18" s="12"/>
      <c r="O18" s="12"/>
      <c r="P18" s="12"/>
      <c r="Q18" s="12"/>
      <c r="R18" s="12"/>
      <c r="S18" s="12"/>
      <c r="T18" s="12"/>
      <c r="U18" s="12"/>
      <c r="V18" s="12"/>
      <c r="W18" s="12"/>
      <c r="X18" s="12"/>
      <c r="Y18" s="12"/>
      <c r="Z18" s="12"/>
      <c r="AA18" s="588"/>
    </row>
    <row r="19" spans="2:27" s="1" customFormat="1" ht="19.5" customHeight="1" x14ac:dyDescent="0.2">
      <c r="B19" s="582"/>
      <c r="C19" s="1" t="s">
        <v>1870</v>
      </c>
      <c r="D19" s="12"/>
      <c r="E19" s="12"/>
      <c r="F19" s="12"/>
      <c r="G19" s="12"/>
      <c r="H19" s="12"/>
      <c r="I19" s="12"/>
      <c r="J19" s="12"/>
      <c r="M19" s="12"/>
      <c r="N19" s="12"/>
      <c r="O19" s="12"/>
      <c r="Y19" s="781"/>
      <c r="Z19" s="781"/>
      <c r="AA19" s="588"/>
    </row>
    <row r="20" spans="2:27" s="1" customFormat="1" ht="19.5" customHeight="1" x14ac:dyDescent="0.2">
      <c r="B20" s="582"/>
      <c r="C20" s="1554" t="s">
        <v>1864</v>
      </c>
      <c r="D20" s="1554"/>
      <c r="E20" s="1554"/>
      <c r="F20" s="1554"/>
      <c r="G20" s="1554" t="s">
        <v>1865</v>
      </c>
      <c r="H20" s="1554"/>
      <c r="I20" s="1554"/>
      <c r="J20" s="1554"/>
      <c r="K20" s="1554"/>
      <c r="L20" s="1554" t="s">
        <v>1866</v>
      </c>
      <c r="M20" s="1554"/>
      <c r="N20" s="1554"/>
      <c r="O20" s="1554"/>
      <c r="P20" s="1554"/>
      <c r="Q20" s="1554" t="s">
        <v>1867</v>
      </c>
      <c r="R20" s="1554"/>
      <c r="S20" s="1554"/>
      <c r="T20" s="1554"/>
      <c r="U20" s="1554"/>
      <c r="V20" s="1554" t="s">
        <v>1868</v>
      </c>
      <c r="W20" s="1554"/>
      <c r="X20" s="1554"/>
      <c r="Y20" s="1554"/>
      <c r="Z20" s="1554"/>
      <c r="AA20" s="588"/>
    </row>
    <row r="21" spans="2:27" s="1" customFormat="1" ht="19.5" customHeight="1" x14ac:dyDescent="0.2">
      <c r="B21" s="582"/>
      <c r="C21" s="1338" t="s">
        <v>1869</v>
      </c>
      <c r="D21" s="1339"/>
      <c r="E21" s="1339"/>
      <c r="F21" s="1340"/>
      <c r="G21" s="1338"/>
      <c r="H21" s="1339"/>
      <c r="I21" s="1339"/>
      <c r="J21" s="1339"/>
      <c r="K21" s="1340"/>
      <c r="L21" s="1338"/>
      <c r="M21" s="1339"/>
      <c r="N21" s="1339"/>
      <c r="O21" s="1339"/>
      <c r="P21" s="1340"/>
      <c r="Q21" s="1338"/>
      <c r="R21" s="1339"/>
      <c r="S21" s="1339"/>
      <c r="T21" s="1339"/>
      <c r="U21" s="1340"/>
      <c r="V21" s="1338"/>
      <c r="W21" s="1339"/>
      <c r="X21" s="1339"/>
      <c r="Y21" s="1339"/>
      <c r="Z21" s="1340"/>
      <c r="AA21" s="588"/>
    </row>
    <row r="22" spans="2:27" s="1" customFormat="1" ht="9.75" customHeight="1" x14ac:dyDescent="0.2">
      <c r="B22" s="582"/>
      <c r="C22" s="12"/>
      <c r="D22" s="12"/>
      <c r="E22" s="12"/>
      <c r="F22" s="12"/>
      <c r="G22" s="12"/>
      <c r="H22" s="12"/>
      <c r="I22" s="12"/>
      <c r="J22" s="12"/>
      <c r="K22" s="12"/>
      <c r="L22" s="12"/>
      <c r="M22" s="12"/>
      <c r="N22" s="12"/>
      <c r="O22" s="12"/>
      <c r="P22" s="12"/>
      <c r="Q22" s="12"/>
      <c r="R22" s="12"/>
      <c r="S22" s="12"/>
      <c r="T22" s="12"/>
      <c r="U22" s="12"/>
      <c r="V22" s="12"/>
      <c r="W22" s="12"/>
      <c r="X22" s="12"/>
      <c r="Y22" s="12"/>
      <c r="Z22" s="12"/>
      <c r="AA22" s="588"/>
    </row>
    <row r="23" spans="2:27" s="1" customFormat="1" ht="19.5" customHeight="1" x14ac:dyDescent="0.2">
      <c r="B23" s="582"/>
      <c r="C23" s="12"/>
      <c r="D23" s="8" t="s">
        <v>1871</v>
      </c>
      <c r="E23" s="564"/>
      <c r="F23" s="564"/>
      <c r="G23" s="564"/>
      <c r="H23" s="564"/>
      <c r="I23" s="564"/>
      <c r="J23" s="564"/>
      <c r="K23" s="564"/>
      <c r="L23" s="564"/>
      <c r="M23" s="564"/>
      <c r="N23" s="564"/>
      <c r="O23" s="564"/>
      <c r="P23" s="564"/>
      <c r="Q23" s="564"/>
      <c r="R23" s="564"/>
      <c r="S23" s="564"/>
      <c r="T23" s="564"/>
      <c r="U23" s="1093"/>
      <c r="V23" s="12"/>
      <c r="W23" s="12"/>
      <c r="X23" s="12"/>
      <c r="Y23" s="12"/>
      <c r="Z23" s="12"/>
      <c r="AA23" s="588"/>
    </row>
    <row r="24" spans="2:27" s="1" customFormat="1" ht="7.5" customHeight="1" x14ac:dyDescent="0.2">
      <c r="B24" s="582"/>
      <c r="C24" s="12"/>
      <c r="E24" s="12"/>
      <c r="F24" s="12"/>
      <c r="G24" s="12"/>
      <c r="H24" s="12"/>
      <c r="I24" s="12"/>
      <c r="J24" s="12"/>
      <c r="K24" s="12"/>
      <c r="L24" s="12"/>
      <c r="M24" s="12"/>
      <c r="N24" s="12"/>
      <c r="O24" s="12"/>
      <c r="P24" s="12"/>
      <c r="Q24" s="12"/>
      <c r="R24" s="12"/>
      <c r="S24" s="12"/>
      <c r="T24" s="12"/>
      <c r="U24" s="1094"/>
      <c r="V24" s="12"/>
      <c r="W24" s="12"/>
      <c r="X24" s="12"/>
      <c r="Y24" s="12"/>
      <c r="Z24" s="12"/>
      <c r="AA24" s="588"/>
    </row>
    <row r="25" spans="2:27" s="1" customFormat="1" ht="19.5" customHeight="1" x14ac:dyDescent="0.2">
      <c r="B25" s="582"/>
      <c r="C25" s="1" t="s">
        <v>1872</v>
      </c>
      <c r="D25" s="12"/>
      <c r="E25" s="12"/>
      <c r="F25" s="12"/>
      <c r="G25" s="12"/>
      <c r="H25" s="12"/>
      <c r="I25" s="12"/>
      <c r="J25" s="12"/>
      <c r="K25" s="12"/>
      <c r="L25" s="12"/>
      <c r="M25" s="12"/>
      <c r="N25" s="12"/>
      <c r="O25" s="12"/>
      <c r="Y25" s="781"/>
      <c r="Z25" s="781"/>
      <c r="AA25" s="588"/>
    </row>
    <row r="26" spans="2:27" s="1" customFormat="1" ht="19.5" customHeight="1" x14ac:dyDescent="0.2">
      <c r="B26" s="582"/>
      <c r="C26" s="1554" t="s">
        <v>1864</v>
      </c>
      <c r="D26" s="1554"/>
      <c r="E26" s="1554"/>
      <c r="F26" s="1554"/>
      <c r="G26" s="1554" t="s">
        <v>1873</v>
      </c>
      <c r="H26" s="1554"/>
      <c r="I26" s="1554"/>
      <c r="J26" s="1554"/>
      <c r="K26" s="1554"/>
      <c r="L26" s="1554" t="s">
        <v>1874</v>
      </c>
      <c r="M26" s="1554"/>
      <c r="N26" s="1554"/>
      <c r="O26" s="1554"/>
      <c r="P26" s="1554"/>
      <c r="Q26" s="1554" t="s">
        <v>1875</v>
      </c>
      <c r="R26" s="1554"/>
      <c r="S26" s="1554"/>
      <c r="T26" s="1554"/>
      <c r="U26" s="1554"/>
      <c r="V26" s="1554" t="s">
        <v>1876</v>
      </c>
      <c r="W26" s="1554"/>
      <c r="X26" s="1554"/>
      <c r="Y26" s="1554"/>
      <c r="Z26" s="1554"/>
      <c r="AA26" s="588"/>
    </row>
    <row r="27" spans="2:27" s="1" customFormat="1" ht="19.5" customHeight="1" x14ac:dyDescent="0.2">
      <c r="B27" s="582"/>
      <c r="C27" s="1338" t="s">
        <v>1869</v>
      </c>
      <c r="D27" s="1339"/>
      <c r="E27" s="1339"/>
      <c r="F27" s="1340"/>
      <c r="G27" s="1338"/>
      <c r="H27" s="1339"/>
      <c r="I27" s="1339"/>
      <c r="J27" s="1339"/>
      <c r="K27" s="1340"/>
      <c r="L27" s="1338"/>
      <c r="M27" s="1339"/>
      <c r="N27" s="1339"/>
      <c r="O27" s="1339"/>
      <c r="P27" s="1340"/>
      <c r="Q27" s="1338"/>
      <c r="R27" s="1339"/>
      <c r="S27" s="1339"/>
      <c r="T27" s="1339"/>
      <c r="U27" s="1340"/>
      <c r="V27" s="1338"/>
      <c r="W27" s="1339"/>
      <c r="X27" s="1339"/>
      <c r="Y27" s="1339"/>
      <c r="Z27" s="1340"/>
      <c r="AA27" s="588"/>
    </row>
    <row r="28" spans="2:27" s="1" customFormat="1" ht="6.75" customHeight="1" x14ac:dyDescent="0.2">
      <c r="B28" s="582"/>
      <c r="D28" s="12"/>
      <c r="E28" s="12"/>
      <c r="F28" s="12"/>
      <c r="G28" s="12"/>
      <c r="H28" s="12"/>
      <c r="I28" s="12"/>
      <c r="J28" s="12"/>
      <c r="K28" s="12"/>
      <c r="L28" s="12"/>
      <c r="M28" s="12"/>
      <c r="N28" s="12"/>
      <c r="O28" s="12"/>
      <c r="Y28" s="773"/>
      <c r="Z28" s="773"/>
      <c r="AA28" s="588"/>
    </row>
    <row r="29" spans="2:27" s="1" customFormat="1" ht="19.5" customHeight="1" x14ac:dyDescent="0.2">
      <c r="B29" s="582"/>
      <c r="C29" s="1" t="s">
        <v>1877</v>
      </c>
      <c r="D29" s="12"/>
      <c r="E29" s="12"/>
      <c r="F29" s="12"/>
      <c r="G29" s="12"/>
      <c r="H29" s="12"/>
      <c r="I29" s="12"/>
      <c r="J29" s="12"/>
      <c r="K29" s="12"/>
      <c r="L29" s="12"/>
      <c r="M29" s="12"/>
      <c r="N29" s="12"/>
      <c r="O29" s="12"/>
      <c r="Y29" s="781"/>
      <c r="Z29" s="781"/>
      <c r="AA29" s="588"/>
    </row>
    <row r="30" spans="2:27" s="1" customFormat="1" ht="19.5" customHeight="1" x14ac:dyDescent="0.2">
      <c r="B30" s="582"/>
      <c r="C30" s="1554" t="s">
        <v>1864</v>
      </c>
      <c r="D30" s="1554"/>
      <c r="E30" s="1554"/>
      <c r="F30" s="1554"/>
      <c r="G30" s="1554" t="s">
        <v>1873</v>
      </c>
      <c r="H30" s="1554"/>
      <c r="I30" s="1554"/>
      <c r="J30" s="1554"/>
      <c r="K30" s="1554"/>
      <c r="L30" s="1554" t="s">
        <v>1874</v>
      </c>
      <c r="M30" s="1554"/>
      <c r="N30" s="1554"/>
      <c r="O30" s="1554"/>
      <c r="P30" s="1554"/>
      <c r="Q30" s="1554" t="s">
        <v>1875</v>
      </c>
      <c r="R30" s="1554"/>
      <c r="S30" s="1554"/>
      <c r="T30" s="1554"/>
      <c r="U30" s="1554"/>
      <c r="V30" s="1554" t="s">
        <v>1876</v>
      </c>
      <c r="W30" s="1554"/>
      <c r="X30" s="1554"/>
      <c r="Y30" s="1554"/>
      <c r="Z30" s="1554"/>
      <c r="AA30" s="588"/>
    </row>
    <row r="31" spans="2:27" s="1" customFormat="1" ht="19.5" customHeight="1" x14ac:dyDescent="0.2">
      <c r="B31" s="582"/>
      <c r="C31" s="1338" t="s">
        <v>1869</v>
      </c>
      <c r="D31" s="1339"/>
      <c r="E31" s="1339"/>
      <c r="F31" s="1340"/>
      <c r="G31" s="1338"/>
      <c r="H31" s="1339"/>
      <c r="I31" s="1339"/>
      <c r="J31" s="1339"/>
      <c r="K31" s="1340"/>
      <c r="L31" s="1338"/>
      <c r="M31" s="1339"/>
      <c r="N31" s="1339"/>
      <c r="O31" s="1339"/>
      <c r="P31" s="1340"/>
      <c r="Q31" s="1338"/>
      <c r="R31" s="1339"/>
      <c r="S31" s="1339"/>
      <c r="T31" s="1339"/>
      <c r="U31" s="1340"/>
      <c r="V31" s="1338"/>
      <c r="W31" s="1339"/>
      <c r="X31" s="1339"/>
      <c r="Y31" s="1339"/>
      <c r="Z31" s="1340"/>
      <c r="AA31" s="588"/>
    </row>
    <row r="32" spans="2:27" s="1" customFormat="1" ht="6.75" customHeight="1" x14ac:dyDescent="0.2">
      <c r="B32" s="582"/>
      <c r="D32" s="12"/>
      <c r="E32" s="12"/>
      <c r="F32" s="12"/>
      <c r="G32" s="12"/>
      <c r="H32" s="12"/>
      <c r="I32" s="12"/>
      <c r="J32" s="12"/>
      <c r="K32" s="12"/>
      <c r="L32" s="12"/>
      <c r="M32" s="12"/>
      <c r="N32" s="12"/>
      <c r="O32" s="12"/>
      <c r="Y32" s="773"/>
      <c r="Z32" s="773"/>
      <c r="AA32" s="588"/>
    </row>
    <row r="33" spans="2:27" s="1" customFormat="1" ht="19.5" customHeight="1" x14ac:dyDescent="0.2">
      <c r="B33" s="582"/>
      <c r="C33" s="12"/>
      <c r="D33" s="8" t="s">
        <v>1871</v>
      </c>
      <c r="E33" s="564"/>
      <c r="F33" s="564"/>
      <c r="G33" s="564"/>
      <c r="H33" s="564"/>
      <c r="I33" s="564"/>
      <c r="J33" s="564"/>
      <c r="K33" s="564"/>
      <c r="L33" s="564"/>
      <c r="M33" s="564"/>
      <c r="N33" s="564"/>
      <c r="O33" s="564"/>
      <c r="P33" s="564"/>
      <c r="Q33" s="564"/>
      <c r="R33" s="564"/>
      <c r="S33" s="564"/>
      <c r="T33" s="564"/>
      <c r="U33" s="1093"/>
      <c r="V33" s="12"/>
      <c r="W33" s="12"/>
      <c r="X33" s="12"/>
      <c r="Y33" s="12"/>
      <c r="Z33" s="12"/>
      <c r="AA33" s="588"/>
    </row>
    <row r="34" spans="2:27" s="1" customFormat="1" ht="6" customHeight="1" x14ac:dyDescent="0.2">
      <c r="B34" s="582"/>
      <c r="C34" s="12"/>
      <c r="D34" s="12"/>
      <c r="E34" s="12"/>
      <c r="F34" s="12"/>
      <c r="G34" s="12"/>
      <c r="H34" s="12"/>
      <c r="I34" s="12"/>
      <c r="J34" s="12"/>
      <c r="K34" s="12"/>
      <c r="L34" s="2"/>
      <c r="M34" s="12"/>
      <c r="N34" s="12"/>
      <c r="O34" s="12"/>
      <c r="P34" s="12"/>
      <c r="Q34" s="12"/>
      <c r="R34" s="12"/>
      <c r="S34" s="12"/>
      <c r="T34" s="12"/>
      <c r="U34" s="12"/>
      <c r="V34" s="2"/>
      <c r="W34" s="2"/>
      <c r="X34" s="2"/>
      <c r="Y34" s="2"/>
      <c r="Z34" s="2"/>
      <c r="AA34" s="588"/>
    </row>
    <row r="35" spans="2:27" s="1" customFormat="1" ht="19.5" customHeight="1" x14ac:dyDescent="0.2">
      <c r="B35" s="582"/>
      <c r="C35" s="8" t="s">
        <v>1878</v>
      </c>
      <c r="D35" s="8"/>
      <c r="E35" s="564"/>
      <c r="F35" s="564"/>
      <c r="G35" s="564"/>
      <c r="H35" s="564"/>
      <c r="I35" s="564"/>
      <c r="J35" s="564"/>
      <c r="K35" s="564"/>
      <c r="L35" s="564"/>
      <c r="M35" s="564"/>
      <c r="N35" s="564"/>
      <c r="O35" s="564"/>
      <c r="P35" s="564"/>
      <c r="Q35" s="564"/>
      <c r="R35" s="564"/>
      <c r="S35" s="564"/>
      <c r="T35" s="564"/>
      <c r="U35" s="1093"/>
      <c r="V35" s="12"/>
      <c r="W35" s="12"/>
      <c r="X35" s="12"/>
      <c r="Y35" s="12"/>
      <c r="Z35" s="12"/>
      <c r="AA35" s="588"/>
    </row>
    <row r="36" spans="2:27" s="1" customFormat="1" ht="9" customHeight="1" x14ac:dyDescent="0.2">
      <c r="B36" s="582"/>
      <c r="D36" s="12"/>
      <c r="E36" s="12"/>
      <c r="F36" s="12"/>
      <c r="G36" s="12"/>
      <c r="H36" s="12"/>
      <c r="I36" s="12"/>
      <c r="J36" s="12"/>
      <c r="K36" s="12"/>
      <c r="L36" s="12"/>
      <c r="M36" s="12"/>
      <c r="N36" s="12"/>
      <c r="O36" s="12"/>
      <c r="Y36" s="773"/>
      <c r="Z36" s="773"/>
      <c r="AA36" s="588"/>
    </row>
    <row r="37" spans="2:27" s="1" customFormat="1" x14ac:dyDescent="0.2">
      <c r="B37" s="582"/>
      <c r="C37" s="1" t="s">
        <v>1879</v>
      </c>
      <c r="D37" s="12"/>
      <c r="E37" s="12"/>
      <c r="F37" s="12"/>
      <c r="G37" s="12"/>
      <c r="H37" s="12"/>
      <c r="I37" s="12"/>
      <c r="J37" s="12"/>
      <c r="K37" s="12"/>
      <c r="L37" s="12"/>
      <c r="M37" s="12"/>
      <c r="N37" s="12"/>
      <c r="O37" s="12"/>
      <c r="Y37" s="773"/>
      <c r="Z37" s="773"/>
      <c r="AA37" s="588"/>
    </row>
    <row r="38" spans="2:27" s="1" customFormat="1" ht="19.5" customHeight="1" x14ac:dyDescent="0.2">
      <c r="B38" s="582"/>
      <c r="C38" s="1554" t="s">
        <v>1880</v>
      </c>
      <c r="D38" s="1554"/>
      <c r="E38" s="1554"/>
      <c r="F38" s="1554"/>
      <c r="G38" s="1692" t="s">
        <v>1881</v>
      </c>
      <c r="H38" s="1693"/>
      <c r="I38" s="1693"/>
      <c r="J38" s="1693"/>
      <c r="K38" s="1694"/>
      <c r="L38" s="1692" t="s">
        <v>1882</v>
      </c>
      <c r="M38" s="1693"/>
      <c r="N38" s="1693"/>
      <c r="O38" s="1693"/>
      <c r="P38" s="1694"/>
      <c r="Q38" s="2"/>
      <c r="R38" s="2"/>
      <c r="S38" s="2"/>
      <c r="T38" s="2"/>
      <c r="U38" s="2"/>
      <c r="V38" s="2"/>
      <c r="W38" s="2"/>
      <c r="X38" s="2"/>
      <c r="Y38" s="2"/>
      <c r="Z38" s="2"/>
      <c r="AA38" s="588"/>
    </row>
    <row r="39" spans="2:27" s="1" customFormat="1" ht="19.5" customHeight="1" x14ac:dyDescent="0.2">
      <c r="B39" s="582"/>
      <c r="C39" s="1338" t="s">
        <v>1883</v>
      </c>
      <c r="D39" s="1339"/>
      <c r="E39" s="1339"/>
      <c r="F39" s="1340"/>
      <c r="G39" s="1338"/>
      <c r="H39" s="1339"/>
      <c r="I39" s="1339"/>
      <c r="J39" s="1339"/>
      <c r="K39" s="1340"/>
      <c r="L39" s="1338"/>
      <c r="M39" s="1339"/>
      <c r="N39" s="1339"/>
      <c r="O39" s="1339"/>
      <c r="P39" s="1340"/>
      <c r="Q39" s="2"/>
      <c r="R39" s="2"/>
      <c r="S39" s="2"/>
      <c r="T39" s="2"/>
      <c r="U39" s="2"/>
      <c r="V39" s="2"/>
      <c r="W39" s="2"/>
      <c r="X39" s="2"/>
      <c r="Y39" s="2"/>
      <c r="Z39" s="2"/>
      <c r="AA39" s="588"/>
    </row>
    <row r="40" spans="2:27" s="1" customFormat="1" ht="9" customHeight="1" x14ac:dyDescent="0.2">
      <c r="B40" s="582"/>
      <c r="C40" s="12"/>
      <c r="D40" s="12"/>
      <c r="E40" s="12"/>
      <c r="F40" s="12"/>
      <c r="G40" s="12"/>
      <c r="H40" s="12"/>
      <c r="I40" s="12"/>
      <c r="J40" s="12"/>
      <c r="K40" s="12"/>
      <c r="L40" s="2"/>
      <c r="M40" s="12"/>
      <c r="N40" s="12"/>
      <c r="O40" s="12"/>
      <c r="P40" s="12"/>
      <c r="Q40" s="12"/>
      <c r="R40" s="12"/>
      <c r="S40" s="12"/>
      <c r="T40" s="12"/>
      <c r="U40" s="12"/>
      <c r="V40" s="2"/>
      <c r="W40" s="2"/>
      <c r="X40" s="2"/>
      <c r="Y40" s="2"/>
      <c r="Z40" s="2"/>
      <c r="AA40" s="588"/>
    </row>
    <row r="41" spans="2:27" s="1" customFormat="1" ht="19.5" customHeight="1" x14ac:dyDescent="0.2">
      <c r="B41" s="582"/>
      <c r="C41" s="1554" t="s">
        <v>1880</v>
      </c>
      <c r="D41" s="1554"/>
      <c r="E41" s="1554"/>
      <c r="F41" s="1554"/>
      <c r="G41" s="1692" t="s">
        <v>1884</v>
      </c>
      <c r="H41" s="1693"/>
      <c r="I41" s="1693"/>
      <c r="J41" s="1693"/>
      <c r="K41" s="1694"/>
      <c r="L41" s="1692" t="s">
        <v>1885</v>
      </c>
      <c r="M41" s="1693"/>
      <c r="N41" s="1693"/>
      <c r="O41" s="1693"/>
      <c r="P41" s="1694"/>
      <c r="Q41" s="2"/>
      <c r="R41" s="2"/>
      <c r="S41" s="2"/>
      <c r="T41" s="2"/>
      <c r="U41" s="2"/>
      <c r="V41" s="2"/>
      <c r="W41" s="2"/>
      <c r="X41" s="2"/>
      <c r="Y41" s="2"/>
      <c r="Z41" s="2"/>
      <c r="AA41" s="588"/>
    </row>
    <row r="42" spans="2:27" s="1" customFormat="1" ht="19.5" customHeight="1" x14ac:dyDescent="0.2">
      <c r="B42" s="582"/>
      <c r="C42" s="1338" t="s">
        <v>1886</v>
      </c>
      <c r="D42" s="1339"/>
      <c r="E42" s="1339"/>
      <c r="F42" s="1340"/>
      <c r="G42" s="1338"/>
      <c r="H42" s="1339"/>
      <c r="I42" s="1339"/>
      <c r="J42" s="1339"/>
      <c r="K42" s="1340"/>
      <c r="L42" s="1338"/>
      <c r="M42" s="1339"/>
      <c r="N42" s="1339"/>
      <c r="O42" s="1339"/>
      <c r="P42" s="1340"/>
      <c r="Q42" s="2"/>
      <c r="R42" s="2"/>
      <c r="S42" s="2"/>
      <c r="T42" s="2"/>
      <c r="U42" s="2"/>
      <c r="V42" s="2"/>
      <c r="W42" s="2"/>
      <c r="X42" s="2"/>
      <c r="Y42" s="2"/>
      <c r="Z42" s="2"/>
      <c r="AA42" s="588"/>
    </row>
    <row r="43" spans="2:27" s="1" customFormat="1" ht="6" customHeight="1" x14ac:dyDescent="0.2">
      <c r="B43" s="582"/>
      <c r="C43" s="12"/>
      <c r="D43" s="12"/>
      <c r="E43" s="12"/>
      <c r="F43" s="12"/>
      <c r="G43" s="12"/>
      <c r="H43" s="12"/>
      <c r="I43" s="12"/>
      <c r="J43" s="12"/>
      <c r="K43" s="12"/>
      <c r="L43" s="2"/>
      <c r="M43" s="12"/>
      <c r="N43" s="12"/>
      <c r="O43" s="12"/>
      <c r="P43" s="12"/>
      <c r="Q43" s="12"/>
      <c r="R43" s="12"/>
      <c r="S43" s="12"/>
      <c r="T43" s="12"/>
      <c r="U43" s="12"/>
      <c r="V43" s="2"/>
      <c r="W43" s="2"/>
      <c r="X43" s="2"/>
      <c r="Y43" s="2"/>
      <c r="Z43" s="2"/>
      <c r="AA43" s="588"/>
    </row>
    <row r="44" spans="2:27" s="1" customFormat="1" ht="17.25" customHeight="1" x14ac:dyDescent="0.2">
      <c r="B44" s="582"/>
      <c r="C44" s="1" t="s">
        <v>1887</v>
      </c>
      <c r="D44" s="12"/>
      <c r="E44" s="12"/>
      <c r="F44" s="12"/>
      <c r="G44" s="12"/>
      <c r="H44" s="12"/>
      <c r="I44" s="12"/>
      <c r="J44" s="12"/>
      <c r="K44" s="12"/>
      <c r="L44" s="12"/>
      <c r="M44" s="12"/>
      <c r="N44" s="12"/>
      <c r="O44" s="12"/>
      <c r="Y44" s="781"/>
      <c r="Z44" s="781"/>
      <c r="AA44" s="588"/>
    </row>
    <row r="45" spans="2:27" s="1" customFormat="1" ht="4.5" customHeight="1" x14ac:dyDescent="0.2">
      <c r="B45" s="582"/>
      <c r="D45" s="12"/>
      <c r="E45" s="12"/>
      <c r="F45" s="12"/>
      <c r="G45" s="12"/>
      <c r="H45" s="12"/>
      <c r="I45" s="12"/>
      <c r="J45" s="12"/>
      <c r="K45" s="12"/>
      <c r="L45" s="12"/>
      <c r="M45" s="12"/>
      <c r="N45" s="12"/>
      <c r="O45" s="12"/>
      <c r="Y45" s="781"/>
      <c r="Z45" s="781"/>
      <c r="AA45" s="588"/>
    </row>
    <row r="46" spans="2:27" s="1" customFormat="1" ht="16.5" customHeight="1" x14ac:dyDescent="0.2">
      <c r="B46" s="582"/>
      <c r="C46" s="12"/>
      <c r="D46" s="1690" t="s">
        <v>1888</v>
      </c>
      <c r="E46" s="1690"/>
      <c r="F46" s="1690"/>
      <c r="G46" s="1690"/>
      <c r="H46" s="1690"/>
      <c r="I46" s="1690"/>
      <c r="J46" s="1690"/>
      <c r="K46" s="1690"/>
      <c r="L46" s="1690"/>
      <c r="M46" s="1690"/>
      <c r="N46" s="1690"/>
      <c r="O46" s="1690"/>
      <c r="P46" s="1690"/>
      <c r="Q46" s="1690"/>
      <c r="R46" s="1690"/>
      <c r="S46" s="1690"/>
      <c r="T46" s="1690"/>
      <c r="U46" s="1093"/>
      <c r="V46" s="12"/>
      <c r="W46" s="12"/>
      <c r="X46" s="12"/>
      <c r="Y46" s="12"/>
      <c r="Z46" s="12"/>
      <c r="AA46" s="588"/>
    </row>
    <row r="47" spans="2:27" s="1" customFormat="1" ht="6" customHeight="1" x14ac:dyDescent="0.2">
      <c r="B47" s="582"/>
      <c r="C47" s="12"/>
      <c r="D47" s="12"/>
      <c r="E47" s="12"/>
      <c r="F47" s="12"/>
      <c r="G47" s="12"/>
      <c r="H47" s="12"/>
      <c r="I47" s="12"/>
      <c r="J47" s="12"/>
      <c r="K47" s="12"/>
      <c r="L47" s="2"/>
      <c r="M47" s="12"/>
      <c r="N47" s="12"/>
      <c r="O47" s="12"/>
      <c r="P47" s="12"/>
      <c r="Q47" s="12"/>
      <c r="R47" s="12"/>
      <c r="S47" s="12"/>
      <c r="T47" s="12"/>
      <c r="U47" s="12"/>
      <c r="V47" s="2"/>
      <c r="W47" s="2"/>
      <c r="X47" s="2"/>
      <c r="Y47" s="2"/>
      <c r="Z47" s="2"/>
      <c r="AA47" s="588"/>
    </row>
    <row r="48" spans="2:27" s="1" customFormat="1" ht="19.5" customHeight="1" x14ac:dyDescent="0.2">
      <c r="B48" s="582"/>
      <c r="C48" s="1" t="s">
        <v>1889</v>
      </c>
      <c r="D48" s="12"/>
      <c r="E48" s="12"/>
      <c r="F48" s="12"/>
      <c r="G48" s="12"/>
      <c r="H48" s="12"/>
      <c r="I48" s="12"/>
      <c r="J48" s="12"/>
      <c r="K48" s="12"/>
      <c r="L48" s="2"/>
      <c r="M48" s="12"/>
      <c r="N48" s="12"/>
      <c r="O48" s="12"/>
      <c r="P48" s="12"/>
      <c r="Q48" s="12"/>
      <c r="R48" s="12"/>
      <c r="S48" s="12"/>
      <c r="T48" s="12"/>
      <c r="U48" s="12"/>
      <c r="V48" s="2"/>
      <c r="W48" s="2"/>
      <c r="X48" s="2"/>
      <c r="Y48" s="2"/>
      <c r="Z48" s="2"/>
      <c r="AA48" s="588"/>
    </row>
    <row r="49" spans="2:27" s="1" customFormat="1" ht="19.5" customHeight="1" x14ac:dyDescent="0.2">
      <c r="B49" s="582"/>
      <c r="C49" s="1554" t="s">
        <v>1880</v>
      </c>
      <c r="D49" s="1554"/>
      <c r="E49" s="1554"/>
      <c r="F49" s="1554"/>
      <c r="G49" s="1554" t="s">
        <v>1890</v>
      </c>
      <c r="H49" s="1554"/>
      <c r="I49" s="1554"/>
      <c r="J49" s="1554"/>
      <c r="K49" s="1554"/>
      <c r="L49" s="1554"/>
      <c r="M49" s="1554"/>
      <c r="N49" s="1554" t="s">
        <v>1891</v>
      </c>
      <c r="O49" s="1554"/>
      <c r="P49" s="1554"/>
      <c r="Q49" s="1554"/>
      <c r="R49" s="1554"/>
      <c r="S49" s="1554"/>
      <c r="T49" s="1554"/>
      <c r="U49" s="12"/>
      <c r="V49" s="2"/>
      <c r="W49" s="2"/>
      <c r="X49" s="2"/>
      <c r="Y49" s="2"/>
      <c r="Z49" s="2"/>
      <c r="AA49" s="588"/>
    </row>
    <row r="50" spans="2:27" s="1" customFormat="1" ht="19.5" customHeight="1" x14ac:dyDescent="0.2">
      <c r="B50" s="582"/>
      <c r="C50" s="1572" t="s">
        <v>1892</v>
      </c>
      <c r="D50" s="1691"/>
      <c r="E50" s="1691"/>
      <c r="F50" s="1571"/>
      <c r="G50" s="1554"/>
      <c r="H50" s="1554"/>
      <c r="I50" s="1554"/>
      <c r="J50" s="1554"/>
      <c r="K50" s="1554"/>
      <c r="L50" s="1554"/>
      <c r="M50" s="1554"/>
      <c r="N50" s="1554"/>
      <c r="O50" s="1554"/>
      <c r="P50" s="1554"/>
      <c r="Q50" s="1554"/>
      <c r="R50" s="1554"/>
      <c r="S50" s="1554"/>
      <c r="T50" s="1554"/>
      <c r="U50" s="12"/>
      <c r="V50" s="2"/>
      <c r="W50" s="2"/>
      <c r="X50" s="2"/>
      <c r="Y50" s="2"/>
      <c r="Z50" s="2"/>
      <c r="AA50" s="588"/>
    </row>
    <row r="51" spans="2:27" s="1" customFormat="1" ht="19.5" customHeight="1" x14ac:dyDescent="0.2">
      <c r="B51" s="582"/>
      <c r="C51" s="1689" t="s">
        <v>1893</v>
      </c>
      <c r="D51" s="1689"/>
      <c r="E51" s="1689"/>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588"/>
    </row>
    <row r="52" spans="2:27" s="1" customFormat="1" ht="16.5" customHeight="1" x14ac:dyDescent="0.2">
      <c r="B52" s="582"/>
      <c r="C52" s="12"/>
      <c r="D52" s="1690" t="s">
        <v>1894</v>
      </c>
      <c r="E52" s="1690"/>
      <c r="F52" s="1690"/>
      <c r="G52" s="1690"/>
      <c r="H52" s="1690"/>
      <c r="I52" s="1690"/>
      <c r="J52" s="1690"/>
      <c r="K52" s="1690"/>
      <c r="L52" s="1690"/>
      <c r="M52" s="1690"/>
      <c r="N52" s="1690"/>
      <c r="O52" s="1690"/>
      <c r="P52" s="1690"/>
      <c r="Q52" s="1690"/>
      <c r="R52" s="1690"/>
      <c r="S52" s="1690"/>
      <c r="T52" s="1690"/>
      <c r="U52" s="1093"/>
      <c r="V52" s="12"/>
      <c r="W52" s="12"/>
      <c r="X52" s="12"/>
      <c r="Y52" s="12"/>
      <c r="Z52" s="12"/>
      <c r="AA52" s="588"/>
    </row>
    <row r="53" spans="2:27" ht="6" customHeight="1" x14ac:dyDescent="0.2">
      <c r="B53" s="560"/>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x14ac:dyDescent="0.2"/>
    <row r="55" spans="2:27" s="2" customFormat="1" ht="20.25" customHeight="1" x14ac:dyDescent="0.2">
      <c r="B55" s="883" t="s">
        <v>1895</v>
      </c>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83"/>
    </row>
    <row r="56" spans="2:27" s="2" customFormat="1" ht="14.25" customHeight="1" x14ac:dyDescent="0.2">
      <c r="B56" s="1084" t="s">
        <v>1896</v>
      </c>
      <c r="D56" s="883"/>
    </row>
    <row r="57" spans="2:27" s="2" customFormat="1" ht="14.25" customHeight="1" x14ac:dyDescent="0.2">
      <c r="B57" s="1084" t="s">
        <v>1897</v>
      </c>
      <c r="D57" s="883"/>
    </row>
    <row r="58" spans="2:27" s="2" customFormat="1" ht="14.25" customHeight="1" x14ac:dyDescent="0.2">
      <c r="B58" s="1084" t="s">
        <v>1898</v>
      </c>
      <c r="D58" s="883"/>
    </row>
    <row r="59" spans="2:27" s="2" customFormat="1" ht="14.25" customHeight="1" x14ac:dyDescent="0.2">
      <c r="B59" s="1084" t="s">
        <v>1899</v>
      </c>
      <c r="D59" s="883"/>
    </row>
    <row r="60" spans="2:27" s="2" customFormat="1" ht="14.25" customHeight="1" x14ac:dyDescent="0.2">
      <c r="B60" s="1084" t="s">
        <v>1900</v>
      </c>
      <c r="D60" s="883"/>
    </row>
    <row r="61" spans="2:27" ht="8.25" customHeight="1" x14ac:dyDescent="0.2">
      <c r="B61" s="887"/>
      <c r="D61" s="888"/>
    </row>
    <row r="62" spans="2:27" x14ac:dyDescent="0.2">
      <c r="B62" s="887"/>
      <c r="D62" s="888"/>
    </row>
    <row r="63" spans="2:27" x14ac:dyDescent="0.2">
      <c r="B63" s="887"/>
      <c r="D63" s="888"/>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2"/>
  <printOptions horizontalCentered="1"/>
  <pageMargins left="0.70866141732283472" right="0.39370078740157483" top="0.51181102362204722" bottom="0.35433070866141736" header="0.31496062992125984" footer="0.31496062992125984"/>
  <pageSetup paperSize="9" scale="9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41" r:id="rId4" name="Check Box 1">
              <controlPr defaultSize="0" autoFill="0" autoLine="0" autoPict="0">
                <anchor moveWithCells="1">
                  <from>
                    <xdr:col>20</xdr:col>
                    <xdr:colOff>30480</xdr:colOff>
                    <xdr:row>32</xdr:row>
                    <xdr:rowOff>0</xdr:rowOff>
                  </from>
                  <to>
                    <xdr:col>22</xdr:col>
                    <xdr:colOff>114300</xdr:colOff>
                    <xdr:row>32</xdr:row>
                    <xdr:rowOff>251460</xdr:rowOff>
                  </to>
                </anchor>
              </controlPr>
            </control>
          </mc:Choice>
        </mc:AlternateContent>
        <mc:AlternateContent xmlns:mc="http://schemas.openxmlformats.org/markup-compatibility/2006">
          <mc:Choice Requires="x14">
            <control shapeId="675842" r:id="rId5" name="Check Box 2">
              <controlPr defaultSize="0" autoFill="0" autoLine="0" autoPict="0">
                <anchor moveWithCells="1">
                  <from>
                    <xdr:col>20</xdr:col>
                    <xdr:colOff>30480</xdr:colOff>
                    <xdr:row>22</xdr:row>
                    <xdr:rowOff>0</xdr:rowOff>
                  </from>
                  <to>
                    <xdr:col>22</xdr:col>
                    <xdr:colOff>114300</xdr:colOff>
                    <xdr:row>22</xdr:row>
                    <xdr:rowOff>251460</xdr:rowOff>
                  </to>
                </anchor>
              </controlPr>
            </control>
          </mc:Choice>
        </mc:AlternateContent>
        <mc:AlternateContent xmlns:mc="http://schemas.openxmlformats.org/markup-compatibility/2006">
          <mc:Choice Requires="x14">
            <control shapeId="675843"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75844"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75845" r:id="rId8" name="Check Box 5">
              <controlPr defaultSize="0" autoFill="0" autoLine="0" autoPict="0">
                <anchor moveWithCells="1">
                  <from>
                    <xdr:col>20</xdr:col>
                    <xdr:colOff>30480</xdr:colOff>
                    <xdr:row>34</xdr:row>
                    <xdr:rowOff>0</xdr:rowOff>
                  </from>
                  <to>
                    <xdr:col>22</xdr:col>
                    <xdr:colOff>114300</xdr:colOff>
                    <xdr:row>34</xdr:row>
                    <xdr:rowOff>251460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C187"/>
  <sheetViews>
    <sheetView view="pageBreakPreview" zoomScale="70" zoomScaleNormal="70" zoomScaleSheetLayoutView="70" workbookViewId="0">
      <pane xSplit="4" ySplit="18" topLeftCell="E19" activePane="bottomRight" state="frozen"/>
      <selection activeCell="F43" sqref="F43"/>
      <selection pane="topRight" activeCell="F43" sqref="F43"/>
      <selection pane="bottomLeft" activeCell="F43" sqref="F43"/>
      <selection pane="bottomRight"/>
    </sheetView>
  </sheetViews>
  <sheetFormatPr defaultColWidth="9" defaultRowHeight="12" x14ac:dyDescent="0.2"/>
  <cols>
    <col min="1" max="1" width="1" style="85" customWidth="1"/>
    <col min="2" max="2" width="8.21875" style="85" customWidth="1"/>
    <col min="3" max="3" width="30.109375" style="88" customWidth="1"/>
    <col min="4" max="4" width="7.33203125" style="88" customWidth="1"/>
    <col min="5" max="10" width="5.6640625" style="85" customWidth="1"/>
    <col min="11" max="13" width="7.44140625" style="85" customWidth="1"/>
    <col min="14" max="16" width="5.6640625" style="85" customWidth="1"/>
    <col min="17" max="17" width="5.77734375" style="542" customWidth="1"/>
    <col min="18" max="18" width="5.6640625" style="85" customWidth="1"/>
    <col min="19" max="19" width="6.88671875" style="85" customWidth="1"/>
    <col min="20" max="20" width="7" style="85" customWidth="1"/>
    <col min="21" max="21" width="7.109375" style="85" customWidth="1"/>
    <col min="22" max="24" width="5.6640625" style="85" customWidth="1"/>
    <col min="25" max="25" width="100.6640625" style="85" customWidth="1"/>
    <col min="26" max="50" width="3.109375" style="85" customWidth="1"/>
    <col min="51" max="16384" width="9" style="85"/>
  </cols>
  <sheetData>
    <row r="1" spans="2:50" ht="16.2" x14ac:dyDescent="0.2">
      <c r="B1" s="300" t="s">
        <v>135</v>
      </c>
    </row>
    <row r="3" spans="2:50" s="87" customFormat="1" ht="13.5" customHeight="1" x14ac:dyDescent="0.2">
      <c r="B3" s="488"/>
      <c r="C3" s="489" t="s">
        <v>114</v>
      </c>
      <c r="D3" s="490"/>
      <c r="E3" s="491">
        <v>2</v>
      </c>
      <c r="F3" s="1171" t="s">
        <v>2066</v>
      </c>
      <c r="G3" s="1171">
        <v>6</v>
      </c>
      <c r="H3" s="492">
        <v>7</v>
      </c>
      <c r="I3" s="492">
        <v>11</v>
      </c>
      <c r="J3" s="492" t="s">
        <v>1576</v>
      </c>
      <c r="K3" s="491" t="s">
        <v>2006</v>
      </c>
      <c r="L3" s="491" t="s">
        <v>1928</v>
      </c>
      <c r="M3" s="491" t="s">
        <v>1732</v>
      </c>
      <c r="N3" s="491">
        <v>20</v>
      </c>
      <c r="O3" s="492">
        <v>22</v>
      </c>
      <c r="P3" s="492" t="s">
        <v>1922</v>
      </c>
      <c r="Q3" s="1171">
        <v>24</v>
      </c>
      <c r="R3" s="492">
        <v>28</v>
      </c>
      <c r="S3" s="491">
        <v>30</v>
      </c>
      <c r="T3" s="491" t="s">
        <v>1556</v>
      </c>
      <c r="U3" s="492">
        <v>31</v>
      </c>
      <c r="V3" s="492">
        <v>35</v>
      </c>
      <c r="W3" s="1171">
        <v>38</v>
      </c>
      <c r="X3" s="492">
        <v>40</v>
      </c>
      <c r="Y3" s="493" t="s">
        <v>138</v>
      </c>
      <c r="Z3" s="95"/>
      <c r="AA3" s="95"/>
      <c r="AB3" s="95"/>
      <c r="AC3" s="95"/>
      <c r="AD3" s="95"/>
      <c r="AE3" s="95"/>
      <c r="AF3" s="95"/>
      <c r="AG3" s="95"/>
      <c r="AH3" s="95"/>
      <c r="AI3" s="95"/>
      <c r="AJ3" s="95"/>
      <c r="AK3" s="95"/>
      <c r="AL3" s="95"/>
      <c r="AM3" s="95"/>
      <c r="AN3" s="95"/>
      <c r="AO3" s="95"/>
      <c r="AP3" s="95"/>
      <c r="AQ3" s="95"/>
      <c r="AR3" s="95"/>
      <c r="AS3" s="95"/>
      <c r="AT3" s="95"/>
      <c r="AU3" s="95"/>
      <c r="AV3" s="95"/>
      <c r="AW3" s="95"/>
      <c r="AX3" s="95"/>
    </row>
    <row r="4" spans="2:50" ht="12" customHeight="1" x14ac:dyDescent="0.2">
      <c r="B4" s="494"/>
      <c r="C4" s="495"/>
      <c r="D4" s="496"/>
      <c r="E4" s="1309" t="s">
        <v>654</v>
      </c>
      <c r="F4" s="1309" t="s">
        <v>119</v>
      </c>
      <c r="G4" s="1305" t="s">
        <v>2017</v>
      </c>
      <c r="H4" s="1305" t="s">
        <v>927</v>
      </c>
      <c r="I4" s="1305" t="s">
        <v>1962</v>
      </c>
      <c r="J4" s="1305" t="s">
        <v>1105</v>
      </c>
      <c r="K4" s="1324" t="s">
        <v>2007</v>
      </c>
      <c r="L4" s="1318" t="s">
        <v>1043</v>
      </c>
      <c r="M4" s="1318" t="s">
        <v>1044</v>
      </c>
      <c r="N4" s="1324" t="s">
        <v>1979</v>
      </c>
      <c r="O4" s="1305" t="s">
        <v>1106</v>
      </c>
      <c r="P4" s="1321" t="s">
        <v>1107</v>
      </c>
      <c r="Q4" s="1318" t="s">
        <v>926</v>
      </c>
      <c r="R4" s="1305" t="s">
        <v>1716</v>
      </c>
      <c r="S4" s="1318" t="s">
        <v>357</v>
      </c>
      <c r="T4" s="1318" t="s">
        <v>358</v>
      </c>
      <c r="U4" s="1315" t="s">
        <v>359</v>
      </c>
      <c r="V4" s="1305" t="s">
        <v>1660</v>
      </c>
      <c r="W4" s="1315" t="s">
        <v>925</v>
      </c>
      <c r="X4" s="1321" t="s">
        <v>1620</v>
      </c>
      <c r="Y4" s="1312" t="s">
        <v>2047</v>
      </c>
      <c r="Z4" s="92"/>
      <c r="AA4" s="92"/>
      <c r="AB4" s="92"/>
      <c r="AC4" s="92"/>
      <c r="AD4" s="93"/>
      <c r="AE4" s="92"/>
      <c r="AF4" s="92"/>
      <c r="AG4" s="92" t="s">
        <v>134</v>
      </c>
      <c r="AH4" s="92"/>
      <c r="AI4" s="92" t="s">
        <v>133</v>
      </c>
      <c r="AJ4" s="96"/>
      <c r="AK4" s="96"/>
      <c r="AL4" s="92"/>
      <c r="AM4" s="92"/>
      <c r="AS4" s="92"/>
      <c r="AX4" s="1327"/>
    </row>
    <row r="5" spans="2:50" ht="12" customHeight="1" x14ac:dyDescent="0.2">
      <c r="B5" s="494"/>
      <c r="C5" s="495"/>
      <c r="D5" s="496"/>
      <c r="E5" s="1310"/>
      <c r="F5" s="1310"/>
      <c r="G5" s="1306"/>
      <c r="H5" s="1306"/>
      <c r="I5" s="1306"/>
      <c r="J5" s="1306"/>
      <c r="K5" s="1325"/>
      <c r="L5" s="1319"/>
      <c r="M5" s="1319"/>
      <c r="N5" s="1325"/>
      <c r="O5" s="1306"/>
      <c r="P5" s="1322"/>
      <c r="Q5" s="1319"/>
      <c r="R5" s="1306"/>
      <c r="S5" s="1319"/>
      <c r="T5" s="1319"/>
      <c r="U5" s="1316"/>
      <c r="V5" s="1306"/>
      <c r="W5" s="1316"/>
      <c r="X5" s="1322"/>
      <c r="Y5" s="1313"/>
      <c r="Z5" s="92"/>
      <c r="AA5" s="92"/>
      <c r="AB5" s="92"/>
      <c r="AC5" s="92"/>
      <c r="AD5" s="93"/>
      <c r="AE5" s="92"/>
      <c r="AF5" s="92"/>
      <c r="AG5" s="92"/>
      <c r="AH5" s="92"/>
      <c r="AI5" s="92"/>
      <c r="AJ5" s="92"/>
      <c r="AK5" s="92"/>
      <c r="AL5" s="92"/>
      <c r="AM5" s="92"/>
      <c r="AP5" s="92"/>
      <c r="AQ5" s="93"/>
      <c r="AR5" s="92"/>
      <c r="AS5" s="92"/>
      <c r="AT5" s="92"/>
      <c r="AU5" s="92"/>
      <c r="AV5" s="92"/>
      <c r="AW5" s="92"/>
      <c r="AX5" s="1327"/>
    </row>
    <row r="6" spans="2:50" ht="12" customHeight="1" x14ac:dyDescent="0.2">
      <c r="B6" s="494"/>
      <c r="C6" s="495"/>
      <c r="D6" s="496"/>
      <c r="E6" s="1310"/>
      <c r="F6" s="1310"/>
      <c r="G6" s="1306"/>
      <c r="H6" s="1306"/>
      <c r="I6" s="1306"/>
      <c r="J6" s="1306"/>
      <c r="K6" s="1325"/>
      <c r="L6" s="1319"/>
      <c r="M6" s="1319"/>
      <c r="N6" s="1325"/>
      <c r="O6" s="1306"/>
      <c r="P6" s="1322"/>
      <c r="Q6" s="1319"/>
      <c r="R6" s="1306"/>
      <c r="S6" s="1319"/>
      <c r="T6" s="1319"/>
      <c r="U6" s="1316"/>
      <c r="V6" s="1306"/>
      <c r="W6" s="1316"/>
      <c r="X6" s="1322"/>
      <c r="Y6" s="1313"/>
      <c r="Z6" s="92"/>
      <c r="AA6" s="92"/>
      <c r="AB6" s="92"/>
      <c r="AC6" s="92"/>
      <c r="AD6" s="93"/>
      <c r="AE6" s="92"/>
      <c r="AF6" s="92"/>
      <c r="AG6" s="92"/>
      <c r="AH6" s="92"/>
      <c r="AI6" s="92"/>
      <c r="AJ6" s="92"/>
      <c r="AK6" s="92"/>
      <c r="AL6" s="92"/>
      <c r="AM6" s="92"/>
      <c r="AP6" s="92"/>
      <c r="AQ6" s="93"/>
      <c r="AR6" s="92"/>
      <c r="AS6" s="92"/>
      <c r="AT6" s="92"/>
      <c r="AU6" s="92"/>
      <c r="AV6" s="92"/>
      <c r="AW6" s="92"/>
      <c r="AX6" s="1327"/>
    </row>
    <row r="7" spans="2:50" ht="12" customHeight="1" x14ac:dyDescent="0.2">
      <c r="B7" s="494"/>
      <c r="C7" s="495"/>
      <c r="D7" s="496"/>
      <c r="E7" s="1310"/>
      <c r="F7" s="1310"/>
      <c r="G7" s="1306"/>
      <c r="H7" s="1306"/>
      <c r="I7" s="1306"/>
      <c r="J7" s="1306"/>
      <c r="K7" s="1325"/>
      <c r="L7" s="1319"/>
      <c r="M7" s="1319"/>
      <c r="N7" s="1325"/>
      <c r="O7" s="1306"/>
      <c r="P7" s="1322"/>
      <c r="Q7" s="1319"/>
      <c r="R7" s="1306"/>
      <c r="S7" s="1319"/>
      <c r="T7" s="1319"/>
      <c r="U7" s="1316"/>
      <c r="V7" s="1306"/>
      <c r="W7" s="1316"/>
      <c r="X7" s="1322"/>
      <c r="Y7" s="1313"/>
      <c r="Z7" s="92"/>
      <c r="AA7" s="92"/>
      <c r="AB7" s="92"/>
      <c r="AC7" s="92"/>
      <c r="AD7" s="93"/>
      <c r="AE7" s="92"/>
      <c r="AF7" s="92"/>
      <c r="AG7" s="92"/>
      <c r="AH7" s="92"/>
      <c r="AI7" s="92"/>
      <c r="AJ7" s="92"/>
      <c r="AK7" s="92"/>
      <c r="AL7" s="92"/>
      <c r="AM7" s="92"/>
      <c r="AP7" s="92"/>
      <c r="AQ7" s="93"/>
      <c r="AR7" s="92"/>
      <c r="AS7" s="92"/>
      <c r="AT7" s="92"/>
      <c r="AU7" s="92"/>
      <c r="AV7" s="92"/>
      <c r="AW7" s="92"/>
      <c r="AX7" s="1327"/>
    </row>
    <row r="8" spans="2:50" ht="12" customHeight="1" x14ac:dyDescent="0.2">
      <c r="B8" s="494"/>
      <c r="C8" s="495"/>
      <c r="D8" s="496"/>
      <c r="E8" s="1310"/>
      <c r="F8" s="1310"/>
      <c r="G8" s="1306"/>
      <c r="H8" s="1306"/>
      <c r="I8" s="1306"/>
      <c r="J8" s="1306"/>
      <c r="K8" s="1325"/>
      <c r="L8" s="1319"/>
      <c r="M8" s="1319"/>
      <c r="N8" s="1325"/>
      <c r="O8" s="1306"/>
      <c r="P8" s="1322"/>
      <c r="Q8" s="1319"/>
      <c r="R8" s="1306"/>
      <c r="S8" s="1319"/>
      <c r="T8" s="1319"/>
      <c r="U8" s="1316"/>
      <c r="V8" s="1306"/>
      <c r="W8" s="1316"/>
      <c r="X8" s="1322"/>
      <c r="Y8" s="1313"/>
      <c r="Z8" s="92"/>
      <c r="AA8" s="92"/>
      <c r="AB8" s="92"/>
      <c r="AC8" s="92"/>
      <c r="AD8" s="93"/>
      <c r="AE8" s="92"/>
      <c r="AF8" s="92"/>
      <c r="AG8" s="92"/>
      <c r="AH8" s="92"/>
      <c r="AI8" s="92"/>
      <c r="AJ8" s="92"/>
      <c r="AK8" s="92"/>
      <c r="AL8" s="92"/>
      <c r="AM8" s="92"/>
      <c r="AP8" s="92"/>
      <c r="AQ8" s="93"/>
      <c r="AR8" s="92"/>
      <c r="AS8" s="92"/>
      <c r="AT8" s="92"/>
      <c r="AU8" s="92"/>
      <c r="AV8" s="92"/>
      <c r="AW8" s="92"/>
      <c r="AX8" s="1327"/>
    </row>
    <row r="9" spans="2:50" ht="12" customHeight="1" x14ac:dyDescent="0.2">
      <c r="B9" s="494"/>
      <c r="C9" s="495"/>
      <c r="D9" s="496"/>
      <c r="E9" s="1310"/>
      <c r="F9" s="1310"/>
      <c r="G9" s="1306"/>
      <c r="H9" s="1306"/>
      <c r="I9" s="1306"/>
      <c r="J9" s="1306"/>
      <c r="K9" s="1325"/>
      <c r="L9" s="1319"/>
      <c r="M9" s="1319"/>
      <c r="N9" s="1325"/>
      <c r="O9" s="1306"/>
      <c r="P9" s="1322"/>
      <c r="Q9" s="1319"/>
      <c r="R9" s="1306"/>
      <c r="S9" s="1319"/>
      <c r="T9" s="1319"/>
      <c r="U9" s="1316"/>
      <c r="V9" s="1306"/>
      <c r="W9" s="1316"/>
      <c r="X9" s="1322"/>
      <c r="Y9" s="1313"/>
      <c r="Z9" s="92"/>
      <c r="AA9" s="92"/>
      <c r="AB9" s="92"/>
      <c r="AC9" s="92"/>
      <c r="AD9" s="93"/>
      <c r="AE9" s="92"/>
      <c r="AF9" s="92"/>
      <c r="AG9" s="92"/>
      <c r="AH9" s="92"/>
      <c r="AI9" s="92"/>
      <c r="AJ9" s="92"/>
      <c r="AK9" s="92"/>
      <c r="AL9" s="92"/>
      <c r="AM9" s="92"/>
      <c r="AP9" s="92"/>
      <c r="AQ9" s="93"/>
      <c r="AR9" s="92"/>
      <c r="AS9" s="92"/>
      <c r="AT9" s="92"/>
      <c r="AU9" s="92"/>
      <c r="AV9" s="92"/>
      <c r="AW9" s="92"/>
      <c r="AX9" s="1327"/>
    </row>
    <row r="10" spans="2:50" ht="12" customHeight="1" x14ac:dyDescent="0.2">
      <c r="B10" s="494"/>
      <c r="C10" s="495"/>
      <c r="D10" s="496"/>
      <c r="E10" s="1310"/>
      <c r="F10" s="1310"/>
      <c r="G10" s="1306"/>
      <c r="H10" s="1306"/>
      <c r="I10" s="1306"/>
      <c r="J10" s="1306"/>
      <c r="K10" s="1325"/>
      <c r="L10" s="1319"/>
      <c r="M10" s="1319"/>
      <c r="N10" s="1325"/>
      <c r="O10" s="1306"/>
      <c r="P10" s="1322"/>
      <c r="Q10" s="1319"/>
      <c r="R10" s="1306"/>
      <c r="S10" s="1319"/>
      <c r="T10" s="1319"/>
      <c r="U10" s="1316"/>
      <c r="V10" s="1306"/>
      <c r="W10" s="1316"/>
      <c r="X10" s="1322"/>
      <c r="Y10" s="1313"/>
      <c r="Z10" s="92"/>
      <c r="AA10" s="92"/>
      <c r="AB10" s="92"/>
      <c r="AC10" s="92"/>
      <c r="AD10" s="93"/>
      <c r="AE10" s="92"/>
      <c r="AF10" s="92"/>
      <c r="AG10" s="92"/>
      <c r="AH10" s="92"/>
      <c r="AI10" s="92"/>
      <c r="AJ10" s="92"/>
      <c r="AK10" s="92"/>
      <c r="AL10" s="92"/>
      <c r="AM10" s="92"/>
      <c r="AP10" s="92"/>
      <c r="AQ10" s="93"/>
      <c r="AR10" s="92"/>
      <c r="AS10" s="92"/>
      <c r="AT10" s="92"/>
      <c r="AU10" s="92"/>
      <c r="AV10" s="92"/>
      <c r="AW10" s="92"/>
      <c r="AX10" s="1327"/>
    </row>
    <row r="11" spans="2:50" ht="12" customHeight="1" x14ac:dyDescent="0.2">
      <c r="B11" s="494"/>
      <c r="C11" s="495"/>
      <c r="D11" s="496"/>
      <c r="E11" s="1310"/>
      <c r="F11" s="1310"/>
      <c r="G11" s="1306"/>
      <c r="H11" s="1306"/>
      <c r="I11" s="1306"/>
      <c r="J11" s="1306"/>
      <c r="K11" s="1325"/>
      <c r="L11" s="1319"/>
      <c r="M11" s="1319"/>
      <c r="N11" s="1325"/>
      <c r="O11" s="1306"/>
      <c r="P11" s="1322"/>
      <c r="Q11" s="1319"/>
      <c r="R11" s="1306"/>
      <c r="S11" s="1319"/>
      <c r="T11" s="1319"/>
      <c r="U11" s="1316"/>
      <c r="V11" s="1306"/>
      <c r="W11" s="1316"/>
      <c r="X11" s="1322"/>
      <c r="Y11" s="1313"/>
      <c r="Z11" s="92"/>
      <c r="AA11" s="92"/>
      <c r="AB11" s="92"/>
      <c r="AC11" s="92"/>
      <c r="AD11" s="93"/>
      <c r="AE11" s="92"/>
      <c r="AF11" s="92"/>
      <c r="AG11" s="92"/>
      <c r="AH11" s="92"/>
      <c r="AI11" s="92"/>
      <c r="AJ11" s="92"/>
      <c r="AK11" s="92"/>
      <c r="AL11" s="92"/>
      <c r="AM11" s="92"/>
      <c r="AP11" s="92"/>
      <c r="AQ11" s="93"/>
      <c r="AR11" s="92"/>
      <c r="AS11" s="92"/>
      <c r="AT11" s="92"/>
      <c r="AU11" s="92"/>
      <c r="AV11" s="92"/>
      <c r="AW11" s="92"/>
      <c r="AX11" s="1327"/>
    </row>
    <row r="12" spans="2:50" ht="12" customHeight="1" x14ac:dyDescent="0.2">
      <c r="B12" s="494"/>
      <c r="C12" s="495"/>
      <c r="D12" s="496"/>
      <c r="E12" s="1310"/>
      <c r="F12" s="1310"/>
      <c r="G12" s="1306"/>
      <c r="H12" s="1306"/>
      <c r="I12" s="1306"/>
      <c r="J12" s="1306"/>
      <c r="K12" s="1325"/>
      <c r="L12" s="1319"/>
      <c r="M12" s="1319"/>
      <c r="N12" s="1325"/>
      <c r="O12" s="1306"/>
      <c r="P12" s="1322"/>
      <c r="Q12" s="1319"/>
      <c r="R12" s="1306"/>
      <c r="S12" s="1319"/>
      <c r="T12" s="1319"/>
      <c r="U12" s="1316"/>
      <c r="V12" s="1306"/>
      <c r="W12" s="1316"/>
      <c r="X12" s="1322"/>
      <c r="Y12" s="1313"/>
      <c r="Z12" s="92"/>
      <c r="AA12" s="92"/>
      <c r="AB12" s="92"/>
      <c r="AC12" s="92"/>
      <c r="AD12" s="93"/>
      <c r="AE12" s="92"/>
      <c r="AF12" s="92"/>
      <c r="AG12" s="92"/>
      <c r="AH12" s="92"/>
      <c r="AI12" s="92"/>
      <c r="AJ12" s="92"/>
      <c r="AK12" s="92"/>
      <c r="AL12" s="92"/>
      <c r="AM12" s="92"/>
      <c r="AP12" s="92"/>
      <c r="AQ12" s="93"/>
      <c r="AR12" s="92"/>
      <c r="AS12" s="92"/>
      <c r="AT12" s="92"/>
      <c r="AU12" s="92"/>
      <c r="AV12" s="92"/>
      <c r="AW12" s="92"/>
      <c r="AX12" s="1327"/>
    </row>
    <row r="13" spans="2:50" ht="12" customHeight="1" x14ac:dyDescent="0.2">
      <c r="B13" s="494"/>
      <c r="C13" s="495"/>
      <c r="D13" s="496"/>
      <c r="E13" s="1310"/>
      <c r="F13" s="1310"/>
      <c r="G13" s="1306"/>
      <c r="H13" s="1306"/>
      <c r="I13" s="1306"/>
      <c r="J13" s="1306"/>
      <c r="K13" s="1325"/>
      <c r="L13" s="1319"/>
      <c r="M13" s="1319"/>
      <c r="N13" s="1325"/>
      <c r="O13" s="1306"/>
      <c r="P13" s="1322"/>
      <c r="Q13" s="1319"/>
      <c r="R13" s="1306"/>
      <c r="S13" s="1319"/>
      <c r="T13" s="1319"/>
      <c r="U13" s="1316"/>
      <c r="V13" s="1306"/>
      <c r="W13" s="1316"/>
      <c r="X13" s="1322"/>
      <c r="Y13" s="1313"/>
      <c r="Z13" s="92"/>
      <c r="AA13" s="92"/>
      <c r="AB13" s="92"/>
      <c r="AC13" s="92"/>
      <c r="AD13" s="93"/>
      <c r="AE13" s="92"/>
      <c r="AF13" s="92"/>
      <c r="AG13" s="92"/>
      <c r="AH13" s="92"/>
      <c r="AI13" s="92"/>
      <c r="AJ13" s="92"/>
      <c r="AK13" s="92"/>
      <c r="AL13" s="92"/>
      <c r="AM13" s="92"/>
      <c r="AP13" s="92"/>
      <c r="AQ13" s="93"/>
      <c r="AR13" s="92"/>
      <c r="AS13" s="92"/>
      <c r="AT13" s="92"/>
      <c r="AU13" s="92"/>
      <c r="AV13" s="92"/>
      <c r="AW13" s="92"/>
      <c r="AX13" s="1327"/>
    </row>
    <row r="14" spans="2:50" ht="12" customHeight="1" x14ac:dyDescent="0.2">
      <c r="B14" s="494"/>
      <c r="C14" s="495"/>
      <c r="D14" s="496"/>
      <c r="E14" s="1310"/>
      <c r="F14" s="1310"/>
      <c r="G14" s="1306"/>
      <c r="H14" s="1306"/>
      <c r="I14" s="1306"/>
      <c r="J14" s="1306"/>
      <c r="K14" s="1325"/>
      <c r="L14" s="1319"/>
      <c r="M14" s="1319"/>
      <c r="N14" s="1325"/>
      <c r="O14" s="1306"/>
      <c r="P14" s="1322"/>
      <c r="Q14" s="1319"/>
      <c r="R14" s="1306"/>
      <c r="S14" s="1319"/>
      <c r="T14" s="1319"/>
      <c r="U14" s="1316"/>
      <c r="V14" s="1306"/>
      <c r="W14" s="1316"/>
      <c r="X14" s="1322"/>
      <c r="Y14" s="1313"/>
      <c r="Z14" s="92"/>
      <c r="AA14" s="92"/>
      <c r="AB14" s="92"/>
      <c r="AC14" s="92"/>
      <c r="AD14" s="93"/>
      <c r="AE14" s="92"/>
      <c r="AF14" s="92"/>
      <c r="AG14" s="92"/>
      <c r="AH14" s="92"/>
      <c r="AI14" s="92"/>
      <c r="AJ14" s="92"/>
      <c r="AK14" s="92"/>
      <c r="AL14" s="92"/>
      <c r="AM14" s="92"/>
      <c r="AP14" s="92"/>
      <c r="AQ14" s="93"/>
      <c r="AR14" s="92"/>
      <c r="AS14" s="92"/>
      <c r="AT14" s="92"/>
      <c r="AU14" s="92"/>
      <c r="AV14" s="92"/>
      <c r="AW14" s="92"/>
      <c r="AX14" s="1327"/>
    </row>
    <row r="15" spans="2:50" ht="12" customHeight="1" x14ac:dyDescent="0.2">
      <c r="B15" s="494"/>
      <c r="C15" s="495"/>
      <c r="D15" s="496"/>
      <c r="E15" s="1310"/>
      <c r="F15" s="1310"/>
      <c r="G15" s="1306"/>
      <c r="H15" s="1306"/>
      <c r="I15" s="1306"/>
      <c r="J15" s="1306"/>
      <c r="K15" s="1325"/>
      <c r="L15" s="1319"/>
      <c r="M15" s="1319"/>
      <c r="N15" s="1325"/>
      <c r="O15" s="1306"/>
      <c r="P15" s="1322"/>
      <c r="Q15" s="1319"/>
      <c r="R15" s="1306"/>
      <c r="S15" s="1319"/>
      <c r="T15" s="1319"/>
      <c r="U15" s="1316"/>
      <c r="V15" s="1306"/>
      <c r="W15" s="1316"/>
      <c r="X15" s="1322"/>
      <c r="Y15" s="1313"/>
      <c r="Z15" s="92"/>
      <c r="AA15" s="92"/>
      <c r="AB15" s="92"/>
      <c r="AC15" s="92"/>
      <c r="AD15" s="93"/>
      <c r="AE15" s="92"/>
      <c r="AF15" s="92"/>
      <c r="AG15" s="92"/>
      <c r="AH15" s="92"/>
      <c r="AI15" s="92"/>
      <c r="AJ15" s="92"/>
      <c r="AK15" s="92"/>
      <c r="AL15" s="92"/>
      <c r="AM15" s="92"/>
      <c r="AP15" s="92"/>
      <c r="AQ15" s="93"/>
      <c r="AR15" s="92"/>
      <c r="AS15" s="92"/>
      <c r="AT15" s="92"/>
      <c r="AU15" s="92"/>
      <c r="AV15" s="92"/>
      <c r="AW15" s="92"/>
      <c r="AX15" s="1327"/>
    </row>
    <row r="16" spans="2:50" ht="12" customHeight="1" x14ac:dyDescent="0.2">
      <c r="B16" s="494"/>
      <c r="C16" s="495"/>
      <c r="D16" s="496"/>
      <c r="E16" s="1310"/>
      <c r="F16" s="1310"/>
      <c r="G16" s="1306"/>
      <c r="H16" s="1306"/>
      <c r="I16" s="1306"/>
      <c r="J16" s="1306"/>
      <c r="K16" s="1325"/>
      <c r="L16" s="1319"/>
      <c r="M16" s="1319"/>
      <c r="N16" s="1325"/>
      <c r="O16" s="1306"/>
      <c r="P16" s="1322"/>
      <c r="Q16" s="1319"/>
      <c r="R16" s="1306"/>
      <c r="S16" s="1319"/>
      <c r="T16" s="1319"/>
      <c r="U16" s="1316"/>
      <c r="V16" s="1306"/>
      <c r="W16" s="1316"/>
      <c r="X16" s="1322"/>
      <c r="Y16" s="1313"/>
      <c r="Z16" s="92"/>
      <c r="AA16" s="92"/>
      <c r="AB16" s="92"/>
      <c r="AC16" s="92"/>
      <c r="AD16" s="93"/>
      <c r="AE16" s="92"/>
      <c r="AF16" s="92"/>
      <c r="AG16" s="92"/>
      <c r="AH16" s="92"/>
      <c r="AI16" s="92"/>
      <c r="AJ16" s="92"/>
      <c r="AK16" s="92"/>
      <c r="AL16" s="92"/>
      <c r="AM16" s="92"/>
      <c r="AP16" s="92"/>
      <c r="AQ16" s="93"/>
      <c r="AR16" s="92"/>
      <c r="AS16" s="92"/>
      <c r="AT16" s="92"/>
      <c r="AU16" s="92"/>
      <c r="AV16" s="92"/>
      <c r="AW16" s="92"/>
      <c r="AX16" s="1327"/>
    </row>
    <row r="17" spans="2:50" ht="12" customHeight="1" x14ac:dyDescent="0.2">
      <c r="B17" s="494"/>
      <c r="C17" s="495"/>
      <c r="D17" s="496"/>
      <c r="E17" s="1310"/>
      <c r="F17" s="1310"/>
      <c r="G17" s="1306"/>
      <c r="H17" s="1306"/>
      <c r="I17" s="1306"/>
      <c r="J17" s="1306"/>
      <c r="K17" s="1325"/>
      <c r="L17" s="1319"/>
      <c r="M17" s="1319"/>
      <c r="N17" s="1325"/>
      <c r="O17" s="1306"/>
      <c r="P17" s="1322"/>
      <c r="Q17" s="1319"/>
      <c r="R17" s="1306"/>
      <c r="S17" s="1319"/>
      <c r="T17" s="1319"/>
      <c r="U17" s="1316"/>
      <c r="V17" s="1306"/>
      <c r="W17" s="1316"/>
      <c r="X17" s="1322"/>
      <c r="Y17" s="1313"/>
      <c r="Z17" s="92"/>
      <c r="AA17" s="92"/>
      <c r="AB17" s="92"/>
      <c r="AC17" s="92"/>
      <c r="AD17" s="93"/>
      <c r="AE17" s="92"/>
      <c r="AF17" s="92"/>
      <c r="AG17" s="92"/>
      <c r="AH17" s="92"/>
      <c r="AI17" s="92"/>
      <c r="AJ17" s="92"/>
      <c r="AK17" s="92"/>
      <c r="AL17" s="92"/>
      <c r="AM17" s="92"/>
      <c r="AN17" s="92"/>
      <c r="AO17" s="92"/>
      <c r="AP17" s="92"/>
      <c r="AQ17" s="93"/>
      <c r="AR17" s="92"/>
      <c r="AS17" s="92"/>
      <c r="AT17" s="92"/>
      <c r="AU17" s="92"/>
      <c r="AV17" s="92"/>
      <c r="AW17" s="92"/>
      <c r="AX17" s="1327"/>
    </row>
    <row r="18" spans="2:50" ht="12" customHeight="1" x14ac:dyDescent="0.2">
      <c r="B18" s="497" t="s">
        <v>115</v>
      </c>
      <c r="C18" s="498" t="s">
        <v>113</v>
      </c>
      <c r="D18" s="499"/>
      <c r="E18" s="1311"/>
      <c r="F18" s="1311"/>
      <c r="G18" s="1307"/>
      <c r="H18" s="1307"/>
      <c r="I18" s="1307"/>
      <c r="J18" s="1307"/>
      <c r="K18" s="1326"/>
      <c r="L18" s="1320"/>
      <c r="M18" s="1320"/>
      <c r="N18" s="1326"/>
      <c r="O18" s="1307"/>
      <c r="P18" s="1323"/>
      <c r="Q18" s="1320"/>
      <c r="R18" s="1307"/>
      <c r="S18" s="1320"/>
      <c r="T18" s="1320"/>
      <c r="U18" s="1317"/>
      <c r="V18" s="1307"/>
      <c r="W18" s="1317"/>
      <c r="X18" s="1323"/>
      <c r="Y18" s="1314"/>
      <c r="Z18" s="92"/>
      <c r="AA18" s="92"/>
      <c r="AB18" s="92"/>
      <c r="AC18" s="92"/>
      <c r="AD18" s="93"/>
      <c r="AE18" s="92"/>
      <c r="AF18" s="92"/>
      <c r="AG18" s="92"/>
      <c r="AH18" s="92"/>
      <c r="AI18" s="92"/>
      <c r="AJ18" s="92"/>
      <c r="AK18" s="92"/>
      <c r="AL18" s="92"/>
      <c r="AM18" s="92"/>
      <c r="AN18" s="92"/>
      <c r="AO18" s="92"/>
      <c r="AP18" s="92"/>
      <c r="AQ18" s="93"/>
      <c r="AR18" s="92"/>
      <c r="AS18" s="92"/>
      <c r="AT18" s="92"/>
      <c r="AU18" s="92"/>
      <c r="AV18" s="92"/>
      <c r="AW18" s="92"/>
      <c r="AX18" s="1327"/>
    </row>
    <row r="19" spans="2:50" ht="13.5" customHeight="1" x14ac:dyDescent="0.2">
      <c r="AB19" s="92"/>
      <c r="AC19" s="92"/>
      <c r="AD19" s="93"/>
      <c r="AE19" s="92"/>
      <c r="AF19" s="92"/>
      <c r="AG19" s="92"/>
      <c r="AH19" s="92"/>
      <c r="AI19" s="92"/>
    </row>
    <row r="20" spans="2:50" s="89" customFormat="1" ht="16.2" x14ac:dyDescent="0.2">
      <c r="B20" s="301" t="s">
        <v>240</v>
      </c>
      <c r="D20" s="89" t="s">
        <v>360</v>
      </c>
      <c r="E20" s="97"/>
      <c r="F20" s="97"/>
      <c r="G20" s="97"/>
      <c r="H20" s="97"/>
      <c r="I20" s="97"/>
      <c r="J20" s="97"/>
      <c r="K20" s="97"/>
      <c r="L20" s="97"/>
      <c r="M20" s="97"/>
      <c r="N20" s="97"/>
      <c r="O20" s="97"/>
      <c r="P20" s="97"/>
      <c r="Q20" s="1111"/>
      <c r="R20" s="97"/>
      <c r="S20" s="97"/>
      <c r="T20" s="97"/>
      <c r="U20" s="97"/>
      <c r="V20" s="97"/>
      <c r="W20" s="97"/>
      <c r="X20" s="97"/>
      <c r="AB20" s="90"/>
      <c r="AC20" s="90"/>
      <c r="AD20" s="90"/>
      <c r="AE20" s="90"/>
      <c r="AF20" s="90"/>
      <c r="AG20" s="90"/>
      <c r="AH20" s="90"/>
      <c r="AI20" s="90"/>
      <c r="AJ20" s="91"/>
      <c r="AK20" s="91"/>
      <c r="AL20" s="91"/>
      <c r="AM20" s="91"/>
      <c r="AN20" s="91"/>
      <c r="AO20" s="91"/>
      <c r="AP20" s="91"/>
      <c r="AQ20" s="91"/>
      <c r="AR20" s="91"/>
      <c r="AS20" s="91"/>
      <c r="AT20" s="91"/>
      <c r="AU20" s="91"/>
      <c r="AV20" s="91"/>
      <c r="AW20" s="91"/>
      <c r="AX20" s="91"/>
    </row>
    <row r="21" spans="2:50" ht="36" x14ac:dyDescent="0.2">
      <c r="B21" s="904" t="s">
        <v>239</v>
      </c>
      <c r="C21" s="1162" t="s">
        <v>364</v>
      </c>
      <c r="D21" s="1163" t="s">
        <v>363</v>
      </c>
      <c r="E21" s="1151" t="s">
        <v>161</v>
      </c>
      <c r="F21" s="1151" t="s">
        <v>161</v>
      </c>
      <c r="G21" s="1151"/>
      <c r="H21" s="1164" t="s">
        <v>137</v>
      </c>
      <c r="I21" s="1164"/>
      <c r="J21" s="1164"/>
      <c r="K21" s="1151"/>
      <c r="L21" s="1151"/>
      <c r="M21" s="1151"/>
      <c r="N21" s="1151"/>
      <c r="O21" s="1164"/>
      <c r="P21" s="1164"/>
      <c r="Q21" s="1151"/>
      <c r="R21" s="1164"/>
      <c r="S21" s="1151" t="s">
        <v>362</v>
      </c>
      <c r="T21" s="1151"/>
      <c r="U21" s="1164"/>
      <c r="V21" s="1164"/>
      <c r="W21" s="1151"/>
      <c r="X21" s="1164"/>
      <c r="Y21" s="320" t="s">
        <v>928</v>
      </c>
      <c r="AD21" s="90"/>
      <c r="AE21" s="90"/>
      <c r="AF21" s="90"/>
      <c r="AG21" s="90"/>
      <c r="AH21" s="90"/>
      <c r="AI21" s="90"/>
      <c r="AJ21" s="90"/>
      <c r="AK21" s="90"/>
      <c r="AL21" s="90"/>
      <c r="AM21" s="90"/>
      <c r="AN21" s="1287"/>
      <c r="AO21" s="1287"/>
      <c r="AP21" s="1287"/>
      <c r="AQ21" s="1287"/>
      <c r="AR21" s="90"/>
      <c r="AS21" s="90"/>
      <c r="AT21" s="90"/>
      <c r="AU21" s="1287"/>
      <c r="AV21" s="1287"/>
      <c r="AW21" s="1287"/>
      <c r="AX21" s="1287"/>
    </row>
    <row r="22" spans="2:50" ht="36" x14ac:dyDescent="0.2">
      <c r="B22" s="905" t="s">
        <v>254</v>
      </c>
      <c r="C22" s="1165" t="s">
        <v>365</v>
      </c>
      <c r="D22" s="1166" t="s">
        <v>656</v>
      </c>
      <c r="E22" s="1125" t="s">
        <v>161</v>
      </c>
      <c r="F22" s="1125" t="s">
        <v>161</v>
      </c>
      <c r="G22" s="1125"/>
      <c r="H22" s="1092" t="s">
        <v>137</v>
      </c>
      <c r="I22" s="1092"/>
      <c r="J22" s="1092"/>
      <c r="K22" s="1125"/>
      <c r="L22" s="1125"/>
      <c r="M22" s="1125"/>
      <c r="N22" s="1125"/>
      <c r="O22" s="1092"/>
      <c r="P22" s="1092"/>
      <c r="Q22" s="1125"/>
      <c r="R22" s="1092"/>
      <c r="S22" s="1125"/>
      <c r="T22" s="1125" t="s">
        <v>362</v>
      </c>
      <c r="U22" s="1092"/>
      <c r="V22" s="1092"/>
      <c r="W22" s="1125"/>
      <c r="X22" s="1092"/>
      <c r="Y22" s="325" t="s">
        <v>928</v>
      </c>
      <c r="AD22" s="90"/>
      <c r="AE22" s="90"/>
      <c r="AF22" s="90"/>
      <c r="AG22" s="90"/>
      <c r="AH22" s="90"/>
      <c r="AI22" s="90"/>
      <c r="AJ22" s="90"/>
      <c r="AK22" s="90"/>
      <c r="AL22" s="90"/>
      <c r="AM22" s="90"/>
      <c r="AN22" s="90"/>
      <c r="AO22" s="90"/>
      <c r="AP22" s="90"/>
      <c r="AQ22" s="90"/>
      <c r="AR22" s="90"/>
      <c r="AS22" s="90"/>
      <c r="AT22" s="90"/>
      <c r="AU22" s="90"/>
      <c r="AV22" s="90"/>
      <c r="AW22" s="90"/>
      <c r="AX22" s="90"/>
    </row>
    <row r="23" spans="2:50" ht="36" x14ac:dyDescent="0.2">
      <c r="B23" s="905" t="s">
        <v>255</v>
      </c>
      <c r="C23" s="1165" t="s">
        <v>361</v>
      </c>
      <c r="D23" s="1166" t="s">
        <v>251</v>
      </c>
      <c r="E23" s="1125" t="s">
        <v>161</v>
      </c>
      <c r="F23" s="1125" t="s">
        <v>161</v>
      </c>
      <c r="G23" s="1125"/>
      <c r="H23" s="1092" t="s">
        <v>137</v>
      </c>
      <c r="I23" s="1092"/>
      <c r="J23" s="1092"/>
      <c r="K23" s="1125"/>
      <c r="L23" s="1125"/>
      <c r="M23" s="1125"/>
      <c r="N23" s="1125"/>
      <c r="O23" s="1092"/>
      <c r="P23" s="1092"/>
      <c r="Q23" s="1125"/>
      <c r="R23" s="1092"/>
      <c r="S23" s="1125" t="s">
        <v>2040</v>
      </c>
      <c r="T23" s="1125" t="s">
        <v>2040</v>
      </c>
      <c r="U23" s="1092"/>
      <c r="V23" s="1092"/>
      <c r="W23" s="1125"/>
      <c r="X23" s="1092"/>
      <c r="Y23" s="1127">
        <v>8</v>
      </c>
      <c r="AD23" s="90"/>
      <c r="AE23" s="90"/>
      <c r="AF23" s="90"/>
      <c r="AG23" s="90"/>
      <c r="AH23" s="90"/>
      <c r="AI23" s="90"/>
      <c r="AJ23" s="90"/>
      <c r="AK23" s="90"/>
      <c r="AL23" s="90"/>
      <c r="AM23" s="90"/>
      <c r="AN23" s="90"/>
      <c r="AO23" s="90"/>
      <c r="AP23" s="90"/>
      <c r="AQ23" s="90"/>
      <c r="AR23" s="90"/>
      <c r="AS23" s="90"/>
      <c r="AT23" s="90"/>
      <c r="AU23" s="90"/>
      <c r="AV23" s="90"/>
      <c r="AW23" s="90"/>
      <c r="AX23" s="90"/>
    </row>
    <row r="24" spans="2:50" ht="25.2" customHeight="1" x14ac:dyDescent="0.2">
      <c r="B24" s="905" t="s">
        <v>256</v>
      </c>
      <c r="C24" s="1167" t="s">
        <v>105</v>
      </c>
      <c r="D24" s="1165" t="s">
        <v>142</v>
      </c>
      <c r="E24" s="1125" t="s">
        <v>136</v>
      </c>
      <c r="F24" s="1125" t="s">
        <v>136</v>
      </c>
      <c r="G24" s="1125"/>
      <c r="H24" s="1092" t="s">
        <v>137</v>
      </c>
      <c r="I24" s="1092"/>
      <c r="J24" s="1168"/>
      <c r="K24" s="1168"/>
      <c r="L24" s="1168"/>
      <c r="M24" s="1168"/>
      <c r="N24" s="1168"/>
      <c r="O24" s="1168"/>
      <c r="P24" s="1168"/>
      <c r="Q24" s="1168"/>
      <c r="R24" s="1168"/>
      <c r="S24" s="1168"/>
      <c r="T24" s="1168"/>
      <c r="U24" s="1168"/>
      <c r="V24" s="1168"/>
      <c r="W24" s="1168"/>
      <c r="X24" s="1168"/>
      <c r="Y24" s="325" t="s">
        <v>1051</v>
      </c>
      <c r="AD24" s="90"/>
      <c r="AE24" s="90"/>
      <c r="AF24" s="90"/>
      <c r="AG24" s="90"/>
      <c r="AH24" s="90"/>
      <c r="AI24" s="90"/>
      <c r="AJ24" s="90"/>
      <c r="AK24" s="90"/>
      <c r="AL24" s="90"/>
      <c r="AM24" s="90"/>
      <c r="AN24" s="90"/>
      <c r="AO24" s="90"/>
      <c r="AP24" s="90"/>
      <c r="AQ24" s="90"/>
      <c r="AR24" s="90"/>
      <c r="AS24" s="90"/>
      <c r="AT24" s="90"/>
      <c r="AU24" s="90"/>
      <c r="AV24" s="90"/>
      <c r="AW24" s="90"/>
      <c r="AX24" s="90"/>
    </row>
    <row r="25" spans="2:50" ht="25.2" customHeight="1" x14ac:dyDescent="0.2">
      <c r="B25" s="905" t="s">
        <v>257</v>
      </c>
      <c r="C25" s="1169" t="s">
        <v>90</v>
      </c>
      <c r="D25" s="1166" t="s">
        <v>142</v>
      </c>
      <c r="E25" s="1125" t="s">
        <v>136</v>
      </c>
      <c r="F25" s="1125" t="s">
        <v>136</v>
      </c>
      <c r="G25" s="1125"/>
      <c r="H25" s="1092" t="s">
        <v>137</v>
      </c>
      <c r="I25" s="1092"/>
      <c r="J25" s="1092"/>
      <c r="K25" s="1125"/>
      <c r="L25" s="1125"/>
      <c r="M25" s="1125"/>
      <c r="N25" s="1125"/>
      <c r="O25" s="1092"/>
      <c r="P25" s="1092"/>
      <c r="Q25" s="1125"/>
      <c r="R25" s="1092"/>
      <c r="S25" s="1125"/>
      <c r="T25" s="1125"/>
      <c r="U25" s="1092"/>
      <c r="V25" s="1092"/>
      <c r="W25" s="1125"/>
      <c r="X25" s="1092"/>
      <c r="Y25" s="325" t="s">
        <v>1052</v>
      </c>
      <c r="AD25" s="90"/>
      <c r="AE25" s="90"/>
      <c r="AF25" s="90"/>
      <c r="AG25" s="90"/>
      <c r="AH25" s="90"/>
      <c r="AI25" s="90"/>
      <c r="AJ25" s="90"/>
      <c r="AK25" s="90"/>
      <c r="AL25" s="90"/>
      <c r="AM25" s="90"/>
      <c r="AN25" s="90"/>
      <c r="AO25" s="90"/>
      <c r="AP25" s="90"/>
      <c r="AQ25" s="90"/>
      <c r="AR25" s="90"/>
      <c r="AS25" s="90"/>
      <c r="AT25" s="90"/>
      <c r="AU25" s="90"/>
      <c r="AV25" s="90"/>
      <c r="AW25" s="1287"/>
      <c r="AX25" s="1287"/>
    </row>
    <row r="26" spans="2:50" ht="25.2" customHeight="1" x14ac:dyDescent="0.2">
      <c r="B26" s="905" t="s">
        <v>258</v>
      </c>
      <c r="C26" s="1169" t="s">
        <v>91</v>
      </c>
      <c r="D26" s="1170" t="s">
        <v>243</v>
      </c>
      <c r="E26" s="1125" t="s">
        <v>161</v>
      </c>
      <c r="F26" s="1125" t="s">
        <v>136</v>
      </c>
      <c r="G26" s="1125" t="s">
        <v>136</v>
      </c>
      <c r="H26" s="1092" t="s">
        <v>162</v>
      </c>
      <c r="I26" s="1092"/>
      <c r="J26" s="1092"/>
      <c r="K26" s="1125"/>
      <c r="L26" s="1125"/>
      <c r="M26" s="1125"/>
      <c r="N26" s="1125"/>
      <c r="O26" s="1092"/>
      <c r="P26" s="1092"/>
      <c r="Q26" s="1125"/>
      <c r="R26" s="1092"/>
      <c r="S26" s="1125"/>
      <c r="T26" s="1125"/>
      <c r="U26" s="1092"/>
      <c r="V26" s="1092"/>
      <c r="W26" s="1125"/>
      <c r="X26" s="1092"/>
      <c r="Y26" s="325" t="s">
        <v>2037</v>
      </c>
      <c r="AD26" s="90"/>
      <c r="AE26" s="90"/>
      <c r="AF26" s="90"/>
      <c r="AG26" s="90"/>
      <c r="AH26" s="90"/>
      <c r="AI26" s="90"/>
      <c r="AJ26" s="90"/>
      <c r="AK26" s="90"/>
      <c r="AL26" s="90"/>
      <c r="AM26" s="90"/>
      <c r="AN26" s="90"/>
      <c r="AO26" s="90"/>
      <c r="AP26" s="90"/>
      <c r="AQ26" s="90"/>
      <c r="AR26" s="90"/>
      <c r="AS26" s="90"/>
      <c r="AT26" s="90"/>
      <c r="AU26" s="90"/>
      <c r="AV26" s="90"/>
      <c r="AW26" s="1287"/>
      <c r="AX26" s="1287"/>
    </row>
    <row r="27" spans="2:50" ht="25.2" customHeight="1" x14ac:dyDescent="0.2">
      <c r="B27" s="905" t="s">
        <v>259</v>
      </c>
      <c r="C27" s="1169" t="s">
        <v>106</v>
      </c>
      <c r="D27" s="1166" t="s">
        <v>142</v>
      </c>
      <c r="E27" s="1125" t="s">
        <v>161</v>
      </c>
      <c r="F27" s="1125" t="s">
        <v>161</v>
      </c>
      <c r="G27" s="1125"/>
      <c r="H27" s="1092"/>
      <c r="I27" s="1092"/>
      <c r="J27" s="1092"/>
      <c r="K27" s="1125"/>
      <c r="L27" s="1125"/>
      <c r="M27" s="1125"/>
      <c r="N27" s="1125"/>
      <c r="O27" s="1092"/>
      <c r="P27" s="1092"/>
      <c r="Q27" s="1125"/>
      <c r="R27" s="1092"/>
      <c r="S27" s="1125"/>
      <c r="T27" s="1125"/>
      <c r="U27" s="1092"/>
      <c r="V27" s="1092"/>
      <c r="W27" s="1125"/>
      <c r="X27" s="1092"/>
      <c r="Y27" s="325"/>
      <c r="AD27" s="90"/>
      <c r="AE27" s="90"/>
      <c r="AF27" s="90"/>
      <c r="AG27" s="90"/>
      <c r="AH27" s="90"/>
      <c r="AI27" s="90"/>
      <c r="AJ27" s="90"/>
      <c r="AK27" s="90"/>
      <c r="AL27" s="90"/>
      <c r="AM27" s="90"/>
      <c r="AN27" s="90"/>
      <c r="AO27" s="90"/>
      <c r="AP27" s="90"/>
      <c r="AQ27" s="90"/>
      <c r="AR27" s="90"/>
      <c r="AS27" s="90"/>
      <c r="AT27" s="90"/>
      <c r="AU27" s="90"/>
      <c r="AV27" s="90"/>
      <c r="AW27" s="1287"/>
      <c r="AX27" s="1287"/>
    </row>
    <row r="28" spans="2:50" ht="25.2" customHeight="1" x14ac:dyDescent="0.2">
      <c r="B28" s="905" t="s">
        <v>260</v>
      </c>
      <c r="C28" s="1169" t="s">
        <v>792</v>
      </c>
      <c r="D28" s="1166" t="s">
        <v>142</v>
      </c>
      <c r="E28" s="1125" t="s">
        <v>161</v>
      </c>
      <c r="F28" s="1125" t="s">
        <v>161</v>
      </c>
      <c r="G28" s="1125"/>
      <c r="H28" s="1092"/>
      <c r="I28" s="1092"/>
      <c r="J28" s="1092"/>
      <c r="K28" s="1125"/>
      <c r="L28" s="1125"/>
      <c r="M28" s="1125"/>
      <c r="N28" s="1125"/>
      <c r="O28" s="1092"/>
      <c r="P28" s="1092"/>
      <c r="Q28" s="1125"/>
      <c r="R28" s="1092"/>
      <c r="S28" s="1125"/>
      <c r="T28" s="1125"/>
      <c r="U28" s="1092"/>
      <c r="V28" s="1092"/>
      <c r="W28" s="1125"/>
      <c r="X28" s="1092"/>
      <c r="Y28" s="325"/>
      <c r="AD28" s="90"/>
      <c r="AE28" s="90"/>
      <c r="AF28" s="90"/>
      <c r="AG28" s="90"/>
      <c r="AH28" s="90"/>
      <c r="AI28" s="90"/>
      <c r="AJ28" s="90"/>
      <c r="AK28" s="90"/>
      <c r="AL28" s="90"/>
      <c r="AM28" s="90"/>
      <c r="AN28" s="90"/>
      <c r="AO28" s="90"/>
      <c r="AP28" s="90"/>
      <c r="AQ28" s="90"/>
      <c r="AR28" s="90"/>
      <c r="AS28" s="90"/>
      <c r="AT28" s="90"/>
      <c r="AU28" s="90"/>
      <c r="AV28" s="90"/>
      <c r="AW28" s="90"/>
      <c r="AX28" s="90"/>
    </row>
    <row r="29" spans="2:50" ht="25.2" customHeight="1" x14ac:dyDescent="0.2">
      <c r="B29" s="905" t="s">
        <v>261</v>
      </c>
      <c r="C29" s="1169" t="s">
        <v>1563</v>
      </c>
      <c r="D29" s="1166" t="s">
        <v>142</v>
      </c>
      <c r="E29" s="1125" t="s">
        <v>161</v>
      </c>
      <c r="F29" s="1125" t="s">
        <v>161</v>
      </c>
      <c r="G29" s="1125"/>
      <c r="H29" s="1092"/>
      <c r="I29" s="1092"/>
      <c r="J29" s="1092"/>
      <c r="K29" s="1125"/>
      <c r="L29" s="1125"/>
      <c r="M29" s="1125"/>
      <c r="N29" s="1125"/>
      <c r="O29" s="1092"/>
      <c r="P29" s="1092"/>
      <c r="Q29" s="1125"/>
      <c r="R29" s="1092"/>
      <c r="S29" s="1125"/>
      <c r="T29" s="1125"/>
      <c r="U29" s="1092"/>
      <c r="V29" s="1092"/>
      <c r="W29" s="1125"/>
      <c r="X29" s="1092"/>
      <c r="Y29" s="325"/>
      <c r="AD29" s="90"/>
      <c r="AE29" s="90"/>
      <c r="AF29" s="90"/>
      <c r="AG29" s="90"/>
      <c r="AH29" s="90"/>
      <c r="AI29" s="90"/>
      <c r="AJ29" s="90"/>
      <c r="AK29" s="90"/>
      <c r="AL29" s="90"/>
      <c r="AM29" s="90"/>
      <c r="AN29" s="90"/>
      <c r="AO29" s="90"/>
      <c r="AP29" s="90"/>
      <c r="AQ29" s="90"/>
      <c r="AR29" s="90"/>
      <c r="AS29" s="90"/>
      <c r="AT29" s="90"/>
      <c r="AU29" s="90"/>
      <c r="AV29" s="90"/>
      <c r="AW29" s="90"/>
      <c r="AX29" s="90"/>
    </row>
    <row r="30" spans="2:50" ht="25.2" customHeight="1" x14ac:dyDescent="0.2">
      <c r="B30" s="905" t="s">
        <v>262</v>
      </c>
      <c r="C30" s="1169" t="s">
        <v>1564</v>
      </c>
      <c r="D30" s="1166" t="s">
        <v>142</v>
      </c>
      <c r="E30" s="1125" t="s">
        <v>161</v>
      </c>
      <c r="F30" s="1125" t="s">
        <v>161</v>
      </c>
      <c r="G30" s="1125"/>
      <c r="H30" s="1092"/>
      <c r="I30" s="1092"/>
      <c r="J30" s="1092"/>
      <c r="K30" s="1125"/>
      <c r="L30" s="1125"/>
      <c r="M30" s="1125"/>
      <c r="N30" s="1125"/>
      <c r="O30" s="1092"/>
      <c r="P30" s="1092"/>
      <c r="Q30" s="1125"/>
      <c r="R30" s="1092"/>
      <c r="S30" s="1125"/>
      <c r="T30" s="1125"/>
      <c r="U30" s="1092"/>
      <c r="V30" s="1092"/>
      <c r="W30" s="1125"/>
      <c r="X30" s="1092"/>
      <c r="Y30" s="325"/>
      <c r="AD30" s="90"/>
      <c r="AE30" s="90"/>
      <c r="AF30" s="90"/>
      <c r="AG30" s="90"/>
      <c r="AH30" s="90"/>
      <c r="AI30" s="90"/>
      <c r="AJ30" s="90"/>
      <c r="AK30" s="90"/>
      <c r="AL30" s="90"/>
      <c r="AM30" s="90"/>
      <c r="AN30" s="90"/>
      <c r="AO30" s="90"/>
      <c r="AP30" s="90"/>
      <c r="AQ30" s="90"/>
      <c r="AR30" s="90"/>
      <c r="AS30" s="90"/>
      <c r="AT30" s="90"/>
      <c r="AU30" s="90"/>
      <c r="AV30" s="90"/>
      <c r="AW30" s="90"/>
      <c r="AX30" s="90"/>
    </row>
    <row r="31" spans="2:50" ht="25.2" customHeight="1" x14ac:dyDescent="0.2">
      <c r="B31" s="905" t="s">
        <v>263</v>
      </c>
      <c r="C31" s="1169" t="s">
        <v>793</v>
      </c>
      <c r="D31" s="1166" t="s">
        <v>142</v>
      </c>
      <c r="E31" s="1125" t="s">
        <v>161</v>
      </c>
      <c r="F31" s="1125" t="s">
        <v>161</v>
      </c>
      <c r="G31" s="1125"/>
      <c r="H31" s="1092"/>
      <c r="I31" s="1092"/>
      <c r="J31" s="1092"/>
      <c r="K31" s="1125"/>
      <c r="L31" s="1125"/>
      <c r="M31" s="1125"/>
      <c r="N31" s="1125"/>
      <c r="O31" s="1092"/>
      <c r="P31" s="1092"/>
      <c r="Q31" s="1125"/>
      <c r="R31" s="1092"/>
      <c r="S31" s="1125"/>
      <c r="T31" s="1125"/>
      <c r="U31" s="1092"/>
      <c r="V31" s="1092"/>
      <c r="W31" s="1125"/>
      <c r="X31" s="1092"/>
      <c r="Y31" s="1127"/>
      <c r="AD31" s="90"/>
      <c r="AE31" s="90"/>
      <c r="AF31" s="90"/>
      <c r="AG31" s="90"/>
      <c r="AH31" s="90"/>
      <c r="AI31" s="90"/>
      <c r="AJ31" s="90"/>
      <c r="AK31" s="90"/>
      <c r="AL31" s="90"/>
      <c r="AM31" s="90"/>
      <c r="AN31" s="90"/>
      <c r="AO31" s="90"/>
      <c r="AP31" s="90"/>
      <c r="AQ31" s="90"/>
      <c r="AR31" s="90"/>
      <c r="AS31" s="90"/>
      <c r="AT31" s="90"/>
      <c r="AU31" s="90"/>
      <c r="AV31" s="90"/>
      <c r="AW31" s="90"/>
      <c r="AX31" s="90"/>
    </row>
    <row r="32" spans="2:50" ht="25.2" customHeight="1" x14ac:dyDescent="0.2">
      <c r="B32" s="905" t="s">
        <v>264</v>
      </c>
      <c r="C32" s="1169" t="s">
        <v>247</v>
      </c>
      <c r="D32" s="1166" t="s">
        <v>142</v>
      </c>
      <c r="E32" s="1125" t="s">
        <v>161</v>
      </c>
      <c r="F32" s="1125" t="s">
        <v>161</v>
      </c>
      <c r="G32" s="1125"/>
      <c r="H32" s="1092"/>
      <c r="I32" s="1092"/>
      <c r="J32" s="1092"/>
      <c r="K32" s="1125"/>
      <c r="L32" s="1125"/>
      <c r="M32" s="1125"/>
      <c r="N32" s="1125"/>
      <c r="O32" s="1092"/>
      <c r="P32" s="1092"/>
      <c r="Q32" s="1125"/>
      <c r="R32" s="1092"/>
      <c r="S32" s="1125"/>
      <c r="T32" s="1125"/>
      <c r="U32" s="1092"/>
      <c r="V32" s="1092"/>
      <c r="W32" s="1125"/>
      <c r="X32" s="1092"/>
      <c r="Y32" s="1127" t="s">
        <v>1939</v>
      </c>
      <c r="AD32" s="90"/>
      <c r="AE32" s="90"/>
      <c r="AF32" s="90"/>
      <c r="AG32" s="90"/>
      <c r="AH32" s="90"/>
      <c r="AI32" s="90"/>
      <c r="AJ32" s="90"/>
      <c r="AK32" s="90"/>
      <c r="AL32" s="90"/>
      <c r="AM32" s="90"/>
      <c r="AN32" s="90"/>
      <c r="AO32" s="90"/>
      <c r="AP32" s="90"/>
      <c r="AQ32" s="90"/>
      <c r="AR32" s="90"/>
      <c r="AS32" s="90"/>
      <c r="AT32" s="90"/>
      <c r="AU32" s="90"/>
      <c r="AV32" s="90"/>
      <c r="AW32" s="1287"/>
      <c r="AX32" s="1287"/>
    </row>
    <row r="33" spans="2:50" ht="25.2" customHeight="1" x14ac:dyDescent="0.2">
      <c r="B33" s="905" t="s">
        <v>265</v>
      </c>
      <c r="C33" s="1169" t="s">
        <v>249</v>
      </c>
      <c r="D33" s="1166" t="s">
        <v>142</v>
      </c>
      <c r="E33" s="1125" t="s">
        <v>161</v>
      </c>
      <c r="F33" s="1125" t="s">
        <v>161</v>
      </c>
      <c r="G33" s="1125"/>
      <c r="H33" s="1092"/>
      <c r="I33" s="1092"/>
      <c r="J33" s="1092"/>
      <c r="K33" s="1125"/>
      <c r="L33" s="1125"/>
      <c r="M33" s="1125"/>
      <c r="N33" s="1125"/>
      <c r="O33" s="1092"/>
      <c r="P33" s="1092"/>
      <c r="Q33" s="1125"/>
      <c r="R33" s="1092"/>
      <c r="S33" s="1125"/>
      <c r="T33" s="1125"/>
      <c r="U33" s="1092"/>
      <c r="V33" s="1092"/>
      <c r="W33" s="1125"/>
      <c r="X33" s="1092"/>
      <c r="Y33" s="1127" t="s">
        <v>1939</v>
      </c>
      <c r="AD33" s="90"/>
      <c r="AE33" s="90"/>
      <c r="AF33" s="90"/>
      <c r="AG33" s="90"/>
      <c r="AH33" s="90"/>
      <c r="AI33" s="90"/>
      <c r="AJ33" s="90"/>
      <c r="AK33" s="90"/>
      <c r="AL33" s="90"/>
      <c r="AM33" s="90"/>
      <c r="AN33" s="90"/>
      <c r="AO33" s="90"/>
      <c r="AP33" s="90"/>
      <c r="AQ33" s="90"/>
      <c r="AR33" s="90"/>
      <c r="AS33" s="90"/>
      <c r="AT33" s="90"/>
      <c r="AU33" s="90"/>
      <c r="AV33" s="90"/>
      <c r="AW33" s="1287"/>
      <c r="AX33" s="1287"/>
    </row>
    <row r="34" spans="2:50" ht="25.2" customHeight="1" x14ac:dyDescent="0.2">
      <c r="B34" s="905" t="s">
        <v>266</v>
      </c>
      <c r="C34" s="1169" t="s">
        <v>139</v>
      </c>
      <c r="D34" s="1166" t="s">
        <v>142</v>
      </c>
      <c r="E34" s="1125" t="s">
        <v>161</v>
      </c>
      <c r="F34" s="1125" t="s">
        <v>161</v>
      </c>
      <c r="G34" s="1125"/>
      <c r="H34" s="1092"/>
      <c r="I34" s="1092"/>
      <c r="J34" s="1092"/>
      <c r="K34" s="1125"/>
      <c r="L34" s="1125"/>
      <c r="M34" s="1125"/>
      <c r="N34" s="1125"/>
      <c r="O34" s="1092"/>
      <c r="P34" s="1092"/>
      <c r="Q34" s="1125"/>
      <c r="R34" s="1092"/>
      <c r="S34" s="1125"/>
      <c r="T34" s="1125"/>
      <c r="U34" s="1092"/>
      <c r="V34" s="1092"/>
      <c r="W34" s="1125"/>
      <c r="X34" s="1092"/>
      <c r="Y34" s="1127"/>
      <c r="AD34" s="90"/>
      <c r="AE34" s="90"/>
      <c r="AF34" s="90"/>
      <c r="AG34" s="90"/>
      <c r="AH34" s="90"/>
      <c r="AI34" s="90"/>
      <c r="AJ34" s="90"/>
      <c r="AK34" s="90"/>
      <c r="AL34" s="90"/>
      <c r="AM34" s="90"/>
      <c r="AN34" s="90"/>
      <c r="AO34" s="90"/>
      <c r="AP34" s="90"/>
      <c r="AQ34" s="90"/>
      <c r="AR34" s="90"/>
      <c r="AS34" s="90"/>
      <c r="AT34" s="90"/>
      <c r="AU34" s="90"/>
      <c r="AV34" s="90"/>
      <c r="AW34" s="1287"/>
      <c r="AX34" s="1287"/>
    </row>
    <row r="35" spans="2:50" ht="25.2" customHeight="1" x14ac:dyDescent="0.2">
      <c r="B35" s="905" t="s">
        <v>267</v>
      </c>
      <c r="C35" s="1169" t="s">
        <v>794</v>
      </c>
      <c r="D35" s="1166" t="s">
        <v>142</v>
      </c>
      <c r="E35" s="1125" t="s">
        <v>161</v>
      </c>
      <c r="F35" s="1125" t="s">
        <v>161</v>
      </c>
      <c r="G35" s="1125"/>
      <c r="H35" s="1092" t="s">
        <v>137</v>
      </c>
      <c r="I35" s="1092"/>
      <c r="J35" s="1092"/>
      <c r="K35" s="1125"/>
      <c r="L35" s="1125"/>
      <c r="M35" s="1125"/>
      <c r="N35" s="1125"/>
      <c r="O35" s="1092"/>
      <c r="P35" s="1092"/>
      <c r="Q35" s="1125"/>
      <c r="R35" s="1092"/>
      <c r="S35" s="1125"/>
      <c r="T35" s="1125"/>
      <c r="U35" s="1092"/>
      <c r="V35" s="1092"/>
      <c r="W35" s="1125" t="s">
        <v>161</v>
      </c>
      <c r="X35" s="1092"/>
      <c r="Y35" s="1127" t="s">
        <v>931</v>
      </c>
      <c r="AD35" s="90"/>
      <c r="AE35" s="90"/>
      <c r="AF35" s="90"/>
      <c r="AG35" s="90"/>
      <c r="AH35" s="90"/>
      <c r="AI35" s="90"/>
      <c r="AJ35" s="90"/>
      <c r="AK35" s="90"/>
      <c r="AL35" s="90"/>
      <c r="AM35" s="90"/>
      <c r="AN35" s="90"/>
      <c r="AO35" s="90"/>
      <c r="AP35" s="90"/>
      <c r="AQ35" s="90"/>
      <c r="AR35" s="90"/>
      <c r="AS35" s="90"/>
      <c r="AT35" s="90"/>
      <c r="AU35" s="90"/>
      <c r="AV35" s="90"/>
      <c r="AW35" s="1287"/>
      <c r="AX35" s="1287"/>
    </row>
    <row r="36" spans="2:50" ht="25.2" customHeight="1" x14ac:dyDescent="0.2">
      <c r="B36" s="905" t="s">
        <v>268</v>
      </c>
      <c r="C36" s="1169" t="s">
        <v>140</v>
      </c>
      <c r="D36" s="1166" t="s">
        <v>142</v>
      </c>
      <c r="E36" s="1125" t="s">
        <v>161</v>
      </c>
      <c r="F36" s="1125" t="s">
        <v>161</v>
      </c>
      <c r="G36" s="1125"/>
      <c r="H36" s="1092"/>
      <c r="I36" s="1092"/>
      <c r="J36" s="1092"/>
      <c r="K36" s="1125"/>
      <c r="L36" s="1125"/>
      <c r="M36" s="1125"/>
      <c r="N36" s="1125"/>
      <c r="O36" s="1092"/>
      <c r="P36" s="1092"/>
      <c r="Q36" s="1125"/>
      <c r="R36" s="1092"/>
      <c r="S36" s="1125"/>
      <c r="T36" s="1125"/>
      <c r="U36" s="1092"/>
      <c r="V36" s="1092"/>
      <c r="W36" s="1125"/>
      <c r="X36" s="1092"/>
      <c r="Y36" s="325" t="s">
        <v>932</v>
      </c>
      <c r="AD36" s="90"/>
      <c r="AE36" s="90"/>
      <c r="AF36" s="90"/>
      <c r="AG36" s="90"/>
      <c r="AH36" s="90"/>
      <c r="AI36" s="90"/>
      <c r="AJ36" s="90"/>
      <c r="AK36" s="90"/>
      <c r="AL36" s="90"/>
      <c r="AM36" s="90"/>
      <c r="AN36" s="90"/>
      <c r="AO36" s="90"/>
      <c r="AP36" s="90"/>
      <c r="AQ36" s="90"/>
      <c r="AR36" s="90"/>
      <c r="AS36" s="90"/>
      <c r="AT36" s="90"/>
      <c r="AU36" s="90"/>
      <c r="AV36" s="90"/>
      <c r="AW36" s="1287"/>
      <c r="AX36" s="1287"/>
    </row>
    <row r="37" spans="2:50" ht="25.2" customHeight="1" x14ac:dyDescent="0.2">
      <c r="B37" s="905" t="s">
        <v>269</v>
      </c>
      <c r="C37" s="378" t="s">
        <v>1046</v>
      </c>
      <c r="D37" s="379" t="s">
        <v>241</v>
      </c>
      <c r="E37" s="377" t="s">
        <v>161</v>
      </c>
      <c r="F37" s="377" t="s">
        <v>161</v>
      </c>
      <c r="G37" s="377"/>
      <c r="H37" s="380"/>
      <c r="I37" s="380"/>
      <c r="J37" s="380"/>
      <c r="K37" s="377"/>
      <c r="L37" s="377"/>
      <c r="M37" s="377"/>
      <c r="N37" s="377"/>
      <c r="O37" s="380"/>
      <c r="P37" s="380"/>
      <c r="Q37" s="380"/>
      <c r="R37" s="380"/>
      <c r="S37" s="377"/>
      <c r="T37" s="377"/>
      <c r="U37" s="380"/>
      <c r="V37" s="380"/>
      <c r="W37" s="377"/>
      <c r="X37" s="380"/>
      <c r="Y37" s="381" t="s">
        <v>732</v>
      </c>
      <c r="AD37" s="90"/>
      <c r="AE37" s="90"/>
      <c r="AF37" s="90"/>
      <c r="AG37" s="90"/>
      <c r="AH37" s="90"/>
      <c r="AI37" s="90"/>
      <c r="AJ37" s="90"/>
      <c r="AK37" s="90"/>
      <c r="AL37" s="90"/>
      <c r="AM37" s="90"/>
      <c r="AN37" s="90"/>
      <c r="AO37" s="90"/>
      <c r="AP37" s="90"/>
      <c r="AQ37" s="90"/>
      <c r="AR37" s="90"/>
      <c r="AS37" s="90"/>
      <c r="AT37" s="90"/>
      <c r="AU37" s="90"/>
      <c r="AV37" s="90"/>
      <c r="AW37" s="90"/>
      <c r="AX37" s="90"/>
    </row>
    <row r="38" spans="2:50" ht="25.2" customHeight="1" x14ac:dyDescent="0.2">
      <c r="B38" s="905" t="s">
        <v>270</v>
      </c>
      <c r="C38" s="378" t="s">
        <v>1047</v>
      </c>
      <c r="D38" s="379" t="s">
        <v>241</v>
      </c>
      <c r="E38" s="377" t="s">
        <v>161</v>
      </c>
      <c r="F38" s="377" t="s">
        <v>161</v>
      </c>
      <c r="G38" s="377"/>
      <c r="H38" s="380" t="s">
        <v>162</v>
      </c>
      <c r="I38" s="380"/>
      <c r="J38" s="380"/>
      <c r="K38" s="377"/>
      <c r="L38" s="377"/>
      <c r="M38" s="377"/>
      <c r="N38" s="377"/>
      <c r="O38" s="380"/>
      <c r="P38" s="380"/>
      <c r="Q38" s="1113"/>
      <c r="R38" s="380"/>
      <c r="S38" s="377"/>
      <c r="T38" s="377"/>
      <c r="U38" s="380"/>
      <c r="V38" s="380"/>
      <c r="W38" s="377"/>
      <c r="X38" s="380"/>
      <c r="Y38" s="381" t="s">
        <v>2068</v>
      </c>
      <c r="AD38" s="90"/>
      <c r="AE38" s="90"/>
      <c r="AF38" s="90"/>
      <c r="AG38" s="90"/>
      <c r="AH38" s="90"/>
      <c r="AI38" s="90"/>
      <c r="AJ38" s="90"/>
      <c r="AK38" s="90"/>
      <c r="AL38" s="90"/>
      <c r="AM38" s="90"/>
      <c r="AN38" s="90"/>
      <c r="AO38" s="90"/>
      <c r="AP38" s="90"/>
      <c r="AQ38" s="90"/>
      <c r="AR38" s="90"/>
      <c r="AS38" s="90"/>
      <c r="AT38" s="90"/>
      <c r="AU38" s="90"/>
      <c r="AV38" s="90"/>
      <c r="AW38" s="90"/>
      <c r="AX38" s="90"/>
    </row>
    <row r="39" spans="2:50" ht="25.2" customHeight="1" x14ac:dyDescent="0.2">
      <c r="B39" s="905" t="s">
        <v>271</v>
      </c>
      <c r="C39" s="378" t="s">
        <v>1048</v>
      </c>
      <c r="D39" s="379" t="s">
        <v>241</v>
      </c>
      <c r="E39" s="377" t="s">
        <v>161</v>
      </c>
      <c r="F39" s="377" t="s">
        <v>161</v>
      </c>
      <c r="G39" s="377"/>
      <c r="H39" s="380" t="s">
        <v>162</v>
      </c>
      <c r="I39" s="380"/>
      <c r="J39" s="380"/>
      <c r="K39" s="377"/>
      <c r="L39" s="377"/>
      <c r="M39" s="377"/>
      <c r="N39" s="377"/>
      <c r="O39" s="380"/>
      <c r="P39" s="380"/>
      <c r="Q39" s="1113"/>
      <c r="R39" s="380"/>
      <c r="S39" s="377"/>
      <c r="T39" s="377"/>
      <c r="U39" s="380"/>
      <c r="V39" s="380"/>
      <c r="W39" s="377"/>
      <c r="X39" s="380"/>
      <c r="Y39" s="381" t="s">
        <v>2069</v>
      </c>
      <c r="AD39" s="90"/>
      <c r="AE39" s="90"/>
      <c r="AF39" s="90"/>
      <c r="AG39" s="90"/>
      <c r="AH39" s="90"/>
      <c r="AI39" s="90"/>
      <c r="AJ39" s="90"/>
      <c r="AK39" s="90"/>
      <c r="AL39" s="90"/>
      <c r="AM39" s="90"/>
      <c r="AN39" s="90"/>
      <c r="AO39" s="90"/>
      <c r="AP39" s="90"/>
      <c r="AQ39" s="90"/>
      <c r="AR39" s="90"/>
      <c r="AS39" s="90"/>
      <c r="AT39" s="90"/>
      <c r="AU39" s="90"/>
      <c r="AV39" s="90"/>
      <c r="AW39" s="90"/>
      <c r="AX39" s="90"/>
    </row>
    <row r="40" spans="2:50" ht="25.2" customHeight="1" x14ac:dyDescent="0.2">
      <c r="B40" s="905" t="s">
        <v>772</v>
      </c>
      <c r="C40" s="378" t="s">
        <v>1049</v>
      </c>
      <c r="D40" s="379" t="s">
        <v>242</v>
      </c>
      <c r="E40" s="377" t="s">
        <v>161</v>
      </c>
      <c r="F40" s="377" t="s">
        <v>161</v>
      </c>
      <c r="G40" s="377"/>
      <c r="H40" s="380" t="s">
        <v>216</v>
      </c>
      <c r="I40" s="380"/>
      <c r="J40" s="380"/>
      <c r="K40" s="377"/>
      <c r="L40" s="377"/>
      <c r="M40" s="377"/>
      <c r="N40" s="377"/>
      <c r="O40" s="380"/>
      <c r="P40" s="380"/>
      <c r="Q40" s="1113"/>
      <c r="R40" s="380"/>
      <c r="S40" s="377"/>
      <c r="T40" s="377"/>
      <c r="U40" s="380"/>
      <c r="V40" s="380"/>
      <c r="W40" s="377"/>
      <c r="X40" s="380"/>
      <c r="Y40" s="381" t="s">
        <v>2069</v>
      </c>
      <c r="AD40" s="90"/>
      <c r="AE40" s="90"/>
      <c r="AF40" s="90"/>
      <c r="AG40" s="90"/>
      <c r="AH40" s="90"/>
      <c r="AI40" s="90"/>
      <c r="AJ40" s="90"/>
      <c r="AK40" s="90"/>
      <c r="AL40" s="90"/>
      <c r="AM40" s="90"/>
      <c r="AN40" s="1287"/>
      <c r="AO40" s="1287"/>
      <c r="AP40" s="1287"/>
      <c r="AQ40" s="1287"/>
      <c r="AR40" s="90"/>
      <c r="AS40" s="90"/>
      <c r="AT40" s="90"/>
      <c r="AU40" s="1287"/>
      <c r="AV40" s="1287"/>
      <c r="AW40" s="1287"/>
      <c r="AX40" s="1287"/>
    </row>
    <row r="41" spans="2:50" ht="25.2" customHeight="1" x14ac:dyDescent="0.2">
      <c r="B41" s="905" t="s">
        <v>773</v>
      </c>
      <c r="C41" s="378" t="s">
        <v>768</v>
      </c>
      <c r="D41" s="379" t="s">
        <v>242</v>
      </c>
      <c r="E41" s="377" t="s">
        <v>161</v>
      </c>
      <c r="F41" s="377" t="s">
        <v>161</v>
      </c>
      <c r="G41" s="377"/>
      <c r="H41" s="380" t="s">
        <v>162</v>
      </c>
      <c r="I41" s="380"/>
      <c r="J41" s="380"/>
      <c r="K41" s="377"/>
      <c r="L41" s="377"/>
      <c r="M41" s="377"/>
      <c r="N41" s="377"/>
      <c r="O41" s="380"/>
      <c r="P41" s="380"/>
      <c r="Q41" s="1113"/>
      <c r="R41" s="380"/>
      <c r="S41" s="377"/>
      <c r="T41" s="377"/>
      <c r="U41" s="380"/>
      <c r="V41" s="380"/>
      <c r="W41" s="377"/>
      <c r="X41" s="380"/>
      <c r="Y41" s="381" t="s">
        <v>2069</v>
      </c>
      <c r="AD41" s="90"/>
      <c r="AE41" s="90"/>
      <c r="AF41" s="90"/>
      <c r="AG41" s="90"/>
      <c r="AH41" s="90"/>
      <c r="AI41" s="90"/>
      <c r="AJ41" s="90"/>
      <c r="AK41" s="90"/>
      <c r="AL41" s="90"/>
      <c r="AM41" s="90"/>
      <c r="AN41" s="90"/>
      <c r="AO41" s="90"/>
      <c r="AP41" s="90"/>
      <c r="AQ41" s="90"/>
      <c r="AR41" s="90"/>
      <c r="AS41" s="90"/>
      <c r="AT41" s="90"/>
      <c r="AU41" s="90"/>
      <c r="AV41" s="90"/>
      <c r="AW41" s="90"/>
      <c r="AX41" s="90"/>
    </row>
    <row r="42" spans="2:50" ht="25.2" customHeight="1" x14ac:dyDescent="0.2">
      <c r="B42" s="905" t="s">
        <v>774</v>
      </c>
      <c r="C42" s="378" t="s">
        <v>769</v>
      </c>
      <c r="D42" s="379" t="s">
        <v>242</v>
      </c>
      <c r="E42" s="377" t="s">
        <v>161</v>
      </c>
      <c r="F42" s="377" t="s">
        <v>161</v>
      </c>
      <c r="G42" s="377"/>
      <c r="H42" s="380" t="s">
        <v>162</v>
      </c>
      <c r="I42" s="380"/>
      <c r="J42" s="380"/>
      <c r="K42" s="377"/>
      <c r="L42" s="377"/>
      <c r="M42" s="377"/>
      <c r="N42" s="377"/>
      <c r="O42" s="380"/>
      <c r="P42" s="380"/>
      <c r="Q42" s="1113"/>
      <c r="R42" s="380"/>
      <c r="S42" s="377"/>
      <c r="T42" s="377"/>
      <c r="U42" s="380"/>
      <c r="V42" s="380"/>
      <c r="W42" s="377"/>
      <c r="X42" s="380"/>
      <c r="Y42" s="381" t="s">
        <v>2069</v>
      </c>
      <c r="AD42" s="90"/>
      <c r="AE42" s="90"/>
      <c r="AF42" s="90"/>
      <c r="AG42" s="90"/>
      <c r="AH42" s="90"/>
      <c r="AI42" s="90"/>
      <c r="AJ42" s="90"/>
      <c r="AK42" s="90"/>
      <c r="AL42" s="90"/>
      <c r="AM42" s="90"/>
      <c r="AN42" s="90"/>
      <c r="AO42" s="90"/>
      <c r="AP42" s="90"/>
      <c r="AQ42" s="90"/>
      <c r="AR42" s="90"/>
      <c r="AS42" s="90"/>
      <c r="AT42" s="90"/>
      <c r="AU42" s="90"/>
      <c r="AV42" s="90"/>
      <c r="AW42" s="90"/>
      <c r="AX42" s="90"/>
    </row>
    <row r="43" spans="2:50" ht="25.2" customHeight="1" x14ac:dyDescent="0.2">
      <c r="B43" s="905" t="s">
        <v>775</v>
      </c>
      <c r="C43" s="378" t="s">
        <v>770</v>
      </c>
      <c r="D43" s="379" t="s">
        <v>242</v>
      </c>
      <c r="E43" s="377" t="s">
        <v>161</v>
      </c>
      <c r="F43" s="377" t="s">
        <v>161</v>
      </c>
      <c r="G43" s="377"/>
      <c r="H43" s="380" t="s">
        <v>162</v>
      </c>
      <c r="I43" s="380"/>
      <c r="J43" s="380"/>
      <c r="K43" s="377"/>
      <c r="L43" s="377"/>
      <c r="M43" s="377"/>
      <c r="N43" s="377"/>
      <c r="O43" s="380"/>
      <c r="P43" s="380"/>
      <c r="Q43" s="1113"/>
      <c r="R43" s="380"/>
      <c r="S43" s="377"/>
      <c r="T43" s="377"/>
      <c r="U43" s="380"/>
      <c r="V43" s="380"/>
      <c r="W43" s="377"/>
      <c r="X43" s="380"/>
      <c r="Y43" s="381" t="s">
        <v>2070</v>
      </c>
      <c r="AD43" s="90"/>
      <c r="AE43" s="90"/>
      <c r="AF43" s="90"/>
      <c r="AG43" s="90"/>
      <c r="AH43" s="90"/>
      <c r="AI43" s="90"/>
      <c r="AJ43" s="90"/>
      <c r="AK43" s="90"/>
      <c r="AL43" s="90"/>
      <c r="AM43" s="90"/>
      <c r="AN43" s="90"/>
      <c r="AO43" s="90"/>
      <c r="AP43" s="90"/>
      <c r="AQ43" s="90"/>
      <c r="AR43" s="90"/>
      <c r="AS43" s="90"/>
      <c r="AT43" s="90"/>
      <c r="AU43" s="90"/>
      <c r="AV43" s="90"/>
      <c r="AW43" s="90"/>
      <c r="AX43" s="90"/>
    </row>
    <row r="44" spans="2:50" ht="25.2" customHeight="1" x14ac:dyDescent="0.2">
      <c r="B44" s="905" t="s">
        <v>776</v>
      </c>
      <c r="C44" s="378" t="s">
        <v>771</v>
      </c>
      <c r="D44" s="379" t="s">
        <v>242</v>
      </c>
      <c r="E44" s="377" t="s">
        <v>161</v>
      </c>
      <c r="F44" s="377" t="s">
        <v>161</v>
      </c>
      <c r="G44" s="377"/>
      <c r="H44" s="380"/>
      <c r="I44" s="380"/>
      <c r="J44" s="380"/>
      <c r="K44" s="377"/>
      <c r="L44" s="377"/>
      <c r="M44" s="377"/>
      <c r="N44" s="377"/>
      <c r="O44" s="380"/>
      <c r="P44" s="380"/>
      <c r="Q44" s="380"/>
      <c r="R44" s="380"/>
      <c r="S44" s="377"/>
      <c r="T44" s="377"/>
      <c r="U44" s="380"/>
      <c r="V44" s="380"/>
      <c r="W44" s="377"/>
      <c r="X44" s="380"/>
      <c r="Y44" s="903"/>
      <c r="AD44" s="90"/>
      <c r="AE44" s="90"/>
      <c r="AF44" s="90"/>
      <c r="AG44" s="90"/>
      <c r="AH44" s="90"/>
      <c r="AI44" s="90"/>
      <c r="AJ44" s="90"/>
      <c r="AK44" s="90"/>
      <c r="AL44" s="90"/>
      <c r="AM44" s="90"/>
      <c r="AN44" s="90"/>
      <c r="AO44" s="90"/>
      <c r="AP44" s="90"/>
      <c r="AQ44" s="90"/>
      <c r="AR44" s="90"/>
      <c r="AS44" s="90"/>
      <c r="AT44" s="90"/>
      <c r="AU44" s="90"/>
      <c r="AV44" s="90"/>
      <c r="AW44" s="90"/>
      <c r="AX44" s="90"/>
    </row>
    <row r="45" spans="2:50" ht="25.2" customHeight="1" x14ac:dyDescent="0.2">
      <c r="B45" s="905" t="s">
        <v>777</v>
      </c>
      <c r="C45" s="378" t="s">
        <v>1562</v>
      </c>
      <c r="D45" s="379" t="s">
        <v>242</v>
      </c>
      <c r="E45" s="377" t="s">
        <v>161</v>
      </c>
      <c r="F45" s="377" t="s">
        <v>161</v>
      </c>
      <c r="G45" s="1079"/>
      <c r="H45" s="380"/>
      <c r="I45" s="380"/>
      <c r="J45" s="380"/>
      <c r="K45" s="377"/>
      <c r="L45" s="377"/>
      <c r="M45" s="377"/>
      <c r="N45" s="377"/>
      <c r="O45" s="380"/>
      <c r="P45" s="380"/>
      <c r="Q45" s="380"/>
      <c r="R45" s="380"/>
      <c r="S45" s="377"/>
      <c r="T45" s="377"/>
      <c r="U45" s="380"/>
      <c r="V45" s="380"/>
      <c r="W45" s="377"/>
      <c r="X45" s="380"/>
      <c r="Y45" s="381"/>
      <c r="AD45" s="90"/>
      <c r="AE45" s="90"/>
      <c r="AF45" s="90"/>
      <c r="AG45" s="90"/>
      <c r="AH45" s="90"/>
      <c r="AI45" s="90"/>
      <c r="AJ45" s="90"/>
      <c r="AK45" s="90"/>
      <c r="AL45" s="90"/>
      <c r="AM45" s="90"/>
      <c r="AN45" s="90"/>
      <c r="AO45" s="90"/>
      <c r="AP45" s="90"/>
      <c r="AQ45" s="90"/>
      <c r="AR45" s="90"/>
      <c r="AS45" s="90"/>
      <c r="AT45" s="90"/>
      <c r="AU45" s="90"/>
      <c r="AV45" s="90"/>
      <c r="AW45" s="90"/>
      <c r="AX45" s="90"/>
    </row>
    <row r="46" spans="2:50" ht="25.2" customHeight="1" x14ac:dyDescent="0.2">
      <c r="B46" s="905" t="s">
        <v>800</v>
      </c>
      <c r="C46" s="1169" t="s">
        <v>245</v>
      </c>
      <c r="D46" s="1166" t="s">
        <v>242</v>
      </c>
      <c r="E46" s="1125" t="s">
        <v>161</v>
      </c>
      <c r="F46" s="1125" t="s">
        <v>161</v>
      </c>
      <c r="G46" s="1125"/>
      <c r="H46" s="1092" t="s">
        <v>162</v>
      </c>
      <c r="I46" s="1092"/>
      <c r="J46" s="1092"/>
      <c r="K46" s="1125"/>
      <c r="L46" s="1125"/>
      <c r="M46" s="1125"/>
      <c r="N46" s="1125"/>
      <c r="O46" s="1092"/>
      <c r="P46" s="1092"/>
      <c r="Q46" s="1092"/>
      <c r="R46" s="1092"/>
      <c r="S46" s="1125"/>
      <c r="T46" s="1125"/>
      <c r="U46" s="1092"/>
      <c r="V46" s="1092"/>
      <c r="W46" s="1125"/>
      <c r="X46" s="1092"/>
      <c r="Y46" s="1127" t="s">
        <v>661</v>
      </c>
      <c r="AD46" s="90"/>
      <c r="AE46" s="90"/>
      <c r="AF46" s="90"/>
      <c r="AG46" s="90"/>
      <c r="AH46" s="90"/>
      <c r="AI46" s="90"/>
      <c r="AJ46" s="90"/>
      <c r="AK46" s="90"/>
      <c r="AL46" s="90"/>
      <c r="AM46" s="90"/>
      <c r="AN46" s="90"/>
      <c r="AO46" s="90"/>
      <c r="AP46" s="90"/>
      <c r="AQ46" s="90"/>
      <c r="AR46" s="90"/>
      <c r="AS46" s="90"/>
      <c r="AT46" s="90"/>
      <c r="AU46" s="90"/>
      <c r="AV46" s="90"/>
      <c r="AW46" s="90"/>
      <c r="AX46" s="90"/>
    </row>
    <row r="47" spans="2:50" ht="25.2" customHeight="1" x14ac:dyDescent="0.2">
      <c r="B47" s="905" t="s">
        <v>801</v>
      </c>
      <c r="C47" s="1169" t="s">
        <v>141</v>
      </c>
      <c r="D47" s="1166" t="s">
        <v>142</v>
      </c>
      <c r="E47" s="1125" t="s">
        <v>161</v>
      </c>
      <c r="F47" s="1125" t="s">
        <v>161</v>
      </c>
      <c r="G47" s="1125"/>
      <c r="H47" s="1092"/>
      <c r="I47" s="1092"/>
      <c r="J47" s="1092" t="s">
        <v>161</v>
      </c>
      <c r="K47" s="1125"/>
      <c r="L47" s="1125"/>
      <c r="M47" s="1125"/>
      <c r="N47" s="1125"/>
      <c r="O47" s="1092"/>
      <c r="P47" s="1092"/>
      <c r="Q47" s="1125"/>
      <c r="R47" s="1092"/>
      <c r="S47" s="1125"/>
      <c r="T47" s="1125"/>
      <c r="U47" s="1092"/>
      <c r="V47" s="1092"/>
      <c r="W47" s="1125"/>
      <c r="X47" s="1092"/>
      <c r="Y47" s="1127" t="s">
        <v>933</v>
      </c>
      <c r="AD47" s="90"/>
      <c r="AE47" s="90"/>
      <c r="AF47" s="90"/>
      <c r="AG47" s="90"/>
      <c r="AH47" s="90"/>
      <c r="AI47" s="90"/>
      <c r="AJ47" s="90"/>
      <c r="AK47" s="90"/>
      <c r="AL47" s="90"/>
      <c r="AM47" s="90"/>
      <c r="AN47" s="90"/>
      <c r="AO47" s="90"/>
      <c r="AP47" s="90"/>
      <c r="AQ47" s="90"/>
      <c r="AR47" s="90"/>
      <c r="AS47" s="90"/>
      <c r="AT47" s="90"/>
      <c r="AU47" s="90"/>
      <c r="AV47" s="90"/>
      <c r="AW47" s="1287"/>
      <c r="AX47" s="1287"/>
    </row>
    <row r="48" spans="2:50" ht="25.2" customHeight="1" x14ac:dyDescent="0.2">
      <c r="B48" s="905" t="s">
        <v>802</v>
      </c>
      <c r="C48" s="1169" t="s">
        <v>1582</v>
      </c>
      <c r="D48" s="1166" t="s">
        <v>142</v>
      </c>
      <c r="E48" s="1125" t="s">
        <v>161</v>
      </c>
      <c r="F48" s="1125" t="s">
        <v>161</v>
      </c>
      <c r="G48" s="1125"/>
      <c r="H48" s="1092"/>
      <c r="I48" s="1092"/>
      <c r="J48" s="1092"/>
      <c r="K48" s="1125"/>
      <c r="L48" s="1125"/>
      <c r="M48" s="1125"/>
      <c r="N48" s="1125"/>
      <c r="O48" s="1092"/>
      <c r="P48" s="1092"/>
      <c r="Q48" s="1125"/>
      <c r="R48" s="1092"/>
      <c r="S48" s="1125"/>
      <c r="T48" s="1125"/>
      <c r="U48" s="1092"/>
      <c r="V48" s="1092"/>
      <c r="W48" s="1125"/>
      <c r="X48" s="1092" t="s">
        <v>161</v>
      </c>
      <c r="Y48" s="1127" t="s">
        <v>1968</v>
      </c>
      <c r="AD48" s="90"/>
      <c r="AE48" s="90"/>
      <c r="AF48" s="90"/>
      <c r="AG48" s="90"/>
      <c r="AH48" s="90"/>
      <c r="AI48" s="90"/>
      <c r="AJ48" s="90"/>
      <c r="AK48" s="90"/>
      <c r="AL48" s="90"/>
      <c r="AM48" s="90"/>
      <c r="AN48" s="90"/>
      <c r="AO48" s="90"/>
      <c r="AP48" s="90"/>
      <c r="AQ48" s="90"/>
      <c r="AR48" s="90"/>
      <c r="AS48" s="90"/>
      <c r="AT48" s="90"/>
      <c r="AU48" s="90"/>
      <c r="AV48" s="90"/>
      <c r="AW48" s="90"/>
      <c r="AX48" s="90"/>
    </row>
    <row r="49" spans="2:54" ht="25.2" customHeight="1" x14ac:dyDescent="0.2">
      <c r="B49" s="905" t="s">
        <v>803</v>
      </c>
      <c r="C49" s="1169" t="s">
        <v>244</v>
      </c>
      <c r="D49" s="1166" t="s">
        <v>142</v>
      </c>
      <c r="E49" s="1125" t="s">
        <v>161</v>
      </c>
      <c r="F49" s="1125" t="s">
        <v>161</v>
      </c>
      <c r="G49" s="1125"/>
      <c r="H49" s="1092" t="s">
        <v>162</v>
      </c>
      <c r="I49" s="1092"/>
      <c r="J49" s="1092"/>
      <c r="K49" s="1125"/>
      <c r="L49" s="1125"/>
      <c r="M49" s="1125"/>
      <c r="N49" s="1125"/>
      <c r="O49" s="1092"/>
      <c r="P49" s="1092"/>
      <c r="Q49" s="1125"/>
      <c r="R49" s="1092"/>
      <c r="S49" s="1125"/>
      <c r="T49" s="1125"/>
      <c r="U49" s="1092" t="s">
        <v>362</v>
      </c>
      <c r="V49" s="1092"/>
      <c r="W49" s="1125"/>
      <c r="X49" s="1092"/>
      <c r="Y49" s="1127" t="s">
        <v>1045</v>
      </c>
      <c r="AD49" s="90"/>
      <c r="AE49" s="90"/>
      <c r="AF49" s="90"/>
      <c r="AG49" s="90"/>
      <c r="AH49" s="90"/>
      <c r="AI49" s="90"/>
      <c r="AJ49" s="90"/>
      <c r="AK49" s="90"/>
      <c r="AL49" s="90"/>
      <c r="AM49" s="90"/>
      <c r="AN49" s="1287"/>
      <c r="AO49" s="1287"/>
      <c r="AP49" s="1287"/>
      <c r="AQ49" s="1287"/>
      <c r="AR49" s="90"/>
      <c r="AS49" s="90"/>
      <c r="AT49" s="90"/>
      <c r="AU49" s="1287"/>
      <c r="AV49" s="1287"/>
      <c r="AW49" s="1287"/>
      <c r="AX49" s="1287"/>
    </row>
    <row r="50" spans="2:54" ht="25.2" customHeight="1" x14ac:dyDescent="0.2">
      <c r="B50" s="905" t="s">
        <v>804</v>
      </c>
      <c r="C50" s="1172" t="s">
        <v>795</v>
      </c>
      <c r="D50" s="1166" t="s">
        <v>242</v>
      </c>
      <c r="E50" s="1125" t="s">
        <v>161</v>
      </c>
      <c r="F50" s="1125" t="s">
        <v>161</v>
      </c>
      <c r="G50" s="1173"/>
      <c r="H50" s="1174"/>
      <c r="I50" s="1174"/>
      <c r="J50" s="1174"/>
      <c r="K50" s="1173"/>
      <c r="L50" s="1173"/>
      <c r="M50" s="1173"/>
      <c r="N50" s="1173"/>
      <c r="O50" s="1174"/>
      <c r="P50" s="1174"/>
      <c r="Q50" s="1125"/>
      <c r="R50" s="1174"/>
      <c r="S50" s="1173"/>
      <c r="T50" s="1173"/>
      <c r="U50" s="1174"/>
      <c r="V50" s="1174"/>
      <c r="W50" s="1173"/>
      <c r="X50" s="1174"/>
      <c r="Y50" s="1129"/>
      <c r="AD50" s="90"/>
      <c r="AE50" s="90"/>
      <c r="AF50" s="90"/>
      <c r="AG50" s="90"/>
      <c r="AH50" s="90"/>
      <c r="AI50" s="90"/>
      <c r="AJ50" s="90"/>
      <c r="AK50" s="90"/>
      <c r="AL50" s="90"/>
      <c r="AM50" s="90"/>
      <c r="AN50" s="90"/>
      <c r="AO50" s="90"/>
      <c r="AP50" s="90"/>
      <c r="AQ50" s="90"/>
      <c r="AR50" s="90"/>
      <c r="AS50" s="90"/>
      <c r="AT50" s="90"/>
      <c r="AU50" s="90"/>
      <c r="AV50" s="90"/>
      <c r="AW50" s="90"/>
      <c r="AX50" s="90"/>
    </row>
    <row r="51" spans="2:54" ht="25.2" customHeight="1" x14ac:dyDescent="0.2">
      <c r="B51" s="905" t="s">
        <v>805</v>
      </c>
      <c r="C51" s="1172" t="s">
        <v>796</v>
      </c>
      <c r="D51" s="1166" t="s">
        <v>242</v>
      </c>
      <c r="E51" s="1125" t="s">
        <v>161</v>
      </c>
      <c r="F51" s="1125" t="s">
        <v>161</v>
      </c>
      <c r="G51" s="1173"/>
      <c r="H51" s="1174"/>
      <c r="I51" s="1174"/>
      <c r="J51" s="1174"/>
      <c r="K51" s="1173"/>
      <c r="L51" s="1173"/>
      <c r="M51" s="1173"/>
      <c r="N51" s="1173"/>
      <c r="O51" s="1174"/>
      <c r="P51" s="1174"/>
      <c r="Q51" s="1125"/>
      <c r="R51" s="1174"/>
      <c r="S51" s="1173"/>
      <c r="T51" s="1173"/>
      <c r="U51" s="1174"/>
      <c r="V51" s="1174"/>
      <c r="W51" s="1173"/>
      <c r="X51" s="1174"/>
      <c r="Y51" s="1129"/>
      <c r="AD51" s="90"/>
      <c r="AE51" s="90"/>
      <c r="AF51" s="90"/>
      <c r="AG51" s="90"/>
      <c r="AH51" s="90"/>
      <c r="AI51" s="90"/>
      <c r="AJ51" s="90"/>
      <c r="AK51" s="90"/>
      <c r="AL51" s="90"/>
      <c r="AM51" s="90"/>
      <c r="AN51" s="90"/>
      <c r="AO51" s="90"/>
      <c r="AP51" s="90"/>
      <c r="AQ51" s="90"/>
      <c r="AR51" s="90"/>
      <c r="AS51" s="90"/>
      <c r="AT51" s="90"/>
      <c r="AU51" s="90"/>
      <c r="AV51" s="90"/>
      <c r="AW51" s="90"/>
      <c r="AX51" s="90"/>
    </row>
    <row r="52" spans="2:54" ht="25.2" customHeight="1" x14ac:dyDescent="0.2">
      <c r="B52" s="905" t="s">
        <v>1733</v>
      </c>
      <c r="C52" s="1172" t="s">
        <v>797</v>
      </c>
      <c r="D52" s="1166" t="s">
        <v>242</v>
      </c>
      <c r="E52" s="1125" t="s">
        <v>161</v>
      </c>
      <c r="F52" s="1125" t="s">
        <v>161</v>
      </c>
      <c r="G52" s="1173"/>
      <c r="H52" s="1174"/>
      <c r="I52" s="1174"/>
      <c r="J52" s="1174"/>
      <c r="K52" s="1173"/>
      <c r="L52" s="1173"/>
      <c r="M52" s="1173"/>
      <c r="N52" s="1173"/>
      <c r="O52" s="1174"/>
      <c r="P52" s="1174"/>
      <c r="Q52" s="1173"/>
      <c r="R52" s="1174"/>
      <c r="S52" s="1173"/>
      <c r="T52" s="1173"/>
      <c r="U52" s="1174"/>
      <c r="V52" s="1174"/>
      <c r="W52" s="1092"/>
      <c r="X52" s="1174"/>
      <c r="Y52" s="1129"/>
      <c r="AD52" s="90"/>
      <c r="AE52" s="90"/>
      <c r="AF52" s="90"/>
      <c r="AG52" s="90"/>
      <c r="AH52" s="90"/>
      <c r="AI52" s="90"/>
      <c r="AJ52" s="90"/>
      <c r="AK52" s="90"/>
      <c r="AL52" s="90"/>
      <c r="AM52" s="90"/>
      <c r="AN52" s="90"/>
      <c r="AO52" s="90"/>
      <c r="AP52" s="90"/>
      <c r="AQ52" s="90"/>
      <c r="AR52" s="90"/>
      <c r="AS52" s="90"/>
      <c r="AT52" s="90"/>
      <c r="AU52" s="90"/>
      <c r="AV52" s="90"/>
      <c r="AW52" s="90"/>
      <c r="AX52" s="90"/>
    </row>
    <row r="53" spans="2:54" ht="25.2" customHeight="1" x14ac:dyDescent="0.2">
      <c r="B53" s="905" t="s">
        <v>1734</v>
      </c>
      <c r="C53" s="1172" t="s">
        <v>798</v>
      </c>
      <c r="D53" s="1166" t="s">
        <v>242</v>
      </c>
      <c r="E53" s="1125" t="s">
        <v>161</v>
      </c>
      <c r="F53" s="1125" t="s">
        <v>161</v>
      </c>
      <c r="G53" s="1173"/>
      <c r="H53" s="1174"/>
      <c r="I53" s="1174"/>
      <c r="J53" s="1174"/>
      <c r="K53" s="1173"/>
      <c r="L53" s="1173"/>
      <c r="M53" s="1173"/>
      <c r="N53" s="1173"/>
      <c r="O53" s="1174"/>
      <c r="P53" s="1174"/>
      <c r="Q53" s="1173"/>
      <c r="R53" s="1174"/>
      <c r="S53" s="1173"/>
      <c r="T53" s="1173"/>
      <c r="U53" s="1174"/>
      <c r="V53" s="1174"/>
      <c r="W53" s="1173"/>
      <c r="X53" s="1174"/>
      <c r="Y53" s="1129" t="s">
        <v>1740</v>
      </c>
      <c r="AD53" s="90"/>
      <c r="AE53" s="90"/>
      <c r="AF53" s="90"/>
      <c r="AG53" s="90"/>
      <c r="AH53" s="90"/>
      <c r="AI53" s="90"/>
      <c r="AJ53" s="90"/>
      <c r="AK53" s="90"/>
      <c r="AL53" s="90"/>
      <c r="AM53" s="90"/>
      <c r="AN53" s="90"/>
      <c r="AO53" s="90"/>
      <c r="AP53" s="90"/>
      <c r="AQ53" s="90"/>
      <c r="AR53" s="90"/>
      <c r="AS53" s="90"/>
      <c r="AT53" s="90"/>
      <c r="AU53" s="90"/>
      <c r="AV53" s="90"/>
      <c r="AW53" s="90"/>
      <c r="AX53" s="90"/>
    </row>
    <row r="54" spans="2:54" ht="25.2" customHeight="1" x14ac:dyDescent="0.2">
      <c r="B54" s="905" t="s">
        <v>1735</v>
      </c>
      <c r="C54" s="1172" t="s">
        <v>1621</v>
      </c>
      <c r="D54" s="1166" t="s">
        <v>142</v>
      </c>
      <c r="E54" s="1125" t="s">
        <v>161</v>
      </c>
      <c r="F54" s="1125" t="s">
        <v>161</v>
      </c>
      <c r="G54" s="1173"/>
      <c r="H54" s="1174"/>
      <c r="I54" s="1174"/>
      <c r="J54" s="1174"/>
      <c r="K54" s="1173"/>
      <c r="L54" s="1173"/>
      <c r="M54" s="1173"/>
      <c r="N54" s="1173"/>
      <c r="O54" s="1174"/>
      <c r="P54" s="1174"/>
      <c r="Q54" s="1173"/>
      <c r="R54" s="1174"/>
      <c r="S54" s="1173"/>
      <c r="T54" s="1173"/>
      <c r="U54" s="1174"/>
      <c r="V54" s="1174" t="s">
        <v>161</v>
      </c>
      <c r="W54" s="1173"/>
      <c r="X54" s="1174"/>
      <c r="Y54" s="1129" t="s">
        <v>2038</v>
      </c>
      <c r="AD54" s="90"/>
      <c r="AE54" s="90"/>
      <c r="AF54" s="90"/>
      <c r="AG54" s="90"/>
      <c r="AH54" s="90"/>
      <c r="AI54" s="90"/>
      <c r="AJ54" s="90"/>
      <c r="AK54" s="90"/>
      <c r="AL54" s="90"/>
      <c r="AM54" s="90"/>
      <c r="AN54" s="90"/>
      <c r="AO54" s="90"/>
      <c r="AP54" s="90"/>
      <c r="AQ54" s="90"/>
      <c r="AR54" s="90"/>
      <c r="AS54" s="90"/>
      <c r="AT54" s="90"/>
      <c r="AU54" s="90"/>
      <c r="AV54" s="90"/>
      <c r="AW54" s="90"/>
      <c r="AX54" s="90"/>
    </row>
    <row r="55" spans="2:54" ht="25.2" customHeight="1" x14ac:dyDescent="0.2">
      <c r="B55" s="905" t="s">
        <v>1736</v>
      </c>
      <c r="C55" s="1172" t="s">
        <v>1622</v>
      </c>
      <c r="D55" s="1166" t="s">
        <v>142</v>
      </c>
      <c r="E55" s="1125" t="s">
        <v>161</v>
      </c>
      <c r="F55" s="1125" t="s">
        <v>161</v>
      </c>
      <c r="G55" s="1173"/>
      <c r="H55" s="1174"/>
      <c r="I55" s="1174"/>
      <c r="J55" s="1174"/>
      <c r="K55" s="1173"/>
      <c r="L55" s="1173"/>
      <c r="M55" s="1173"/>
      <c r="N55" s="1173"/>
      <c r="O55" s="1174"/>
      <c r="P55" s="1174"/>
      <c r="Q55" s="1173"/>
      <c r="R55" s="1174"/>
      <c r="S55" s="1173"/>
      <c r="T55" s="1173"/>
      <c r="U55" s="1174"/>
      <c r="V55" s="1174" t="s">
        <v>161</v>
      </c>
      <c r="W55" s="1173"/>
      <c r="X55" s="1174"/>
      <c r="Y55" s="1127"/>
      <c r="AD55" s="90"/>
      <c r="AE55" s="90"/>
      <c r="AF55" s="90"/>
      <c r="AG55" s="90"/>
      <c r="AH55" s="90"/>
      <c r="AI55" s="90"/>
      <c r="AJ55" s="90"/>
      <c r="AK55" s="90"/>
      <c r="AL55" s="90"/>
      <c r="AM55" s="90"/>
      <c r="AN55" s="90"/>
      <c r="AO55" s="90"/>
      <c r="AP55" s="90"/>
      <c r="AQ55" s="90"/>
      <c r="AR55" s="90"/>
      <c r="AS55" s="90"/>
      <c r="AT55" s="90"/>
      <c r="AU55" s="90"/>
      <c r="AV55" s="90"/>
      <c r="AW55" s="90"/>
      <c r="AX55" s="90"/>
    </row>
    <row r="56" spans="2:54" ht="101.4" customHeight="1" x14ac:dyDescent="0.2">
      <c r="B56" s="1296" t="s">
        <v>1737</v>
      </c>
      <c r="C56" s="1289" t="s">
        <v>1623</v>
      </c>
      <c r="D56" s="1299" t="s">
        <v>142</v>
      </c>
      <c r="E56" s="1293" t="s">
        <v>161</v>
      </c>
      <c r="F56" s="1293" t="s">
        <v>161</v>
      </c>
      <c r="G56" s="1289"/>
      <c r="H56" s="1289"/>
      <c r="I56" s="1289"/>
      <c r="J56" s="1289"/>
      <c r="K56" s="1289"/>
      <c r="L56" s="1289"/>
      <c r="M56" s="1289"/>
      <c r="N56" s="1289"/>
      <c r="O56" s="1289"/>
      <c r="P56" s="1289"/>
      <c r="Q56" s="1289"/>
      <c r="R56" s="1293" t="s">
        <v>161</v>
      </c>
      <c r="S56" s="1289"/>
      <c r="T56" s="1289"/>
      <c r="U56" s="1289"/>
      <c r="V56" s="1289"/>
      <c r="W56" s="1289"/>
      <c r="X56" s="1289"/>
      <c r="Y56" s="1242" t="s">
        <v>2081</v>
      </c>
      <c r="AD56" s="90"/>
      <c r="AE56" s="90"/>
      <c r="AF56" s="90"/>
      <c r="AG56" s="90"/>
      <c r="AH56" s="90"/>
      <c r="AI56" s="90"/>
      <c r="AJ56" s="90"/>
      <c r="AK56" s="90"/>
      <c r="AL56" s="90"/>
      <c r="AM56" s="90"/>
      <c r="AN56" s="90"/>
      <c r="AO56" s="90"/>
      <c r="AP56" s="90"/>
      <c r="AQ56" s="90"/>
      <c r="AR56" s="90"/>
      <c r="AS56" s="90"/>
      <c r="AT56" s="90"/>
      <c r="AU56" s="90"/>
      <c r="AV56" s="90"/>
      <c r="AW56" s="90"/>
      <c r="AX56" s="90"/>
    </row>
    <row r="57" spans="2:54" ht="16.2" customHeight="1" x14ac:dyDescent="0.2">
      <c r="B57" s="1297"/>
      <c r="C57" s="1290"/>
      <c r="D57" s="1300"/>
      <c r="E57" s="1294"/>
      <c r="F57" s="1294"/>
      <c r="G57" s="1290"/>
      <c r="H57" s="1290"/>
      <c r="I57" s="1290"/>
      <c r="J57" s="1290"/>
      <c r="K57" s="1290"/>
      <c r="L57" s="1290"/>
      <c r="M57" s="1290"/>
      <c r="N57" s="1290"/>
      <c r="O57" s="1290"/>
      <c r="P57" s="1290"/>
      <c r="Q57" s="1290"/>
      <c r="R57" s="1294"/>
      <c r="S57" s="1290"/>
      <c r="T57" s="1290"/>
      <c r="U57" s="1290"/>
      <c r="V57" s="1290"/>
      <c r="W57" s="1290"/>
      <c r="X57" s="1290"/>
      <c r="Y57" s="1243" t="s">
        <v>2062</v>
      </c>
      <c r="AD57" s="90"/>
      <c r="AE57" s="90"/>
      <c r="AF57" s="90"/>
      <c r="AG57" s="90"/>
      <c r="AH57" s="90"/>
      <c r="AI57" s="90"/>
      <c r="AJ57" s="90"/>
      <c r="AK57" s="90"/>
      <c r="AL57" s="90"/>
      <c r="AM57" s="90"/>
      <c r="AN57" s="90"/>
      <c r="AO57" s="90"/>
      <c r="AP57" s="90"/>
      <c r="AQ57" s="90"/>
      <c r="AR57" s="90"/>
      <c r="AS57" s="90"/>
      <c r="AT57" s="90"/>
      <c r="AU57" s="90"/>
      <c r="AV57" s="90"/>
      <c r="AW57" s="90"/>
      <c r="AX57" s="90"/>
    </row>
    <row r="58" spans="2:54" ht="16.2" customHeight="1" x14ac:dyDescent="0.2">
      <c r="B58" s="1297"/>
      <c r="C58" s="1290"/>
      <c r="D58" s="1300"/>
      <c r="E58" s="1294"/>
      <c r="F58" s="1294"/>
      <c r="G58" s="1290"/>
      <c r="H58" s="1290"/>
      <c r="I58" s="1290"/>
      <c r="J58" s="1290"/>
      <c r="K58" s="1290"/>
      <c r="L58" s="1290"/>
      <c r="M58" s="1290"/>
      <c r="N58" s="1290"/>
      <c r="O58" s="1290"/>
      <c r="P58" s="1290"/>
      <c r="Q58" s="1290"/>
      <c r="R58" s="1294"/>
      <c r="S58" s="1290"/>
      <c r="T58" s="1290"/>
      <c r="U58" s="1290"/>
      <c r="V58" s="1290"/>
      <c r="W58" s="1290"/>
      <c r="X58" s="1290"/>
      <c r="Y58" s="1244" t="s">
        <v>2063</v>
      </c>
      <c r="AD58" s="90"/>
      <c r="AE58" s="90"/>
      <c r="AF58" s="90"/>
      <c r="AG58" s="90"/>
      <c r="AH58" s="90"/>
      <c r="AI58" s="90"/>
      <c r="AJ58" s="90"/>
      <c r="AK58" s="90"/>
      <c r="AL58" s="90"/>
      <c r="AM58" s="90"/>
      <c r="AN58" s="90"/>
      <c r="AO58" s="90"/>
      <c r="AP58" s="90"/>
      <c r="AQ58" s="90"/>
      <c r="AR58" s="90"/>
      <c r="AS58" s="90"/>
      <c r="AT58" s="90"/>
      <c r="AU58" s="90"/>
      <c r="AV58" s="90"/>
      <c r="AW58" s="90"/>
      <c r="AX58" s="90"/>
    </row>
    <row r="59" spans="2:54" ht="16.2" customHeight="1" x14ac:dyDescent="0.2">
      <c r="B59" s="1298"/>
      <c r="C59" s="1291"/>
      <c r="D59" s="1301"/>
      <c r="E59" s="1295"/>
      <c r="F59" s="1295"/>
      <c r="G59" s="1291"/>
      <c r="H59" s="1291"/>
      <c r="I59" s="1291"/>
      <c r="J59" s="1291"/>
      <c r="K59" s="1291"/>
      <c r="L59" s="1291"/>
      <c r="M59" s="1291"/>
      <c r="N59" s="1291"/>
      <c r="O59" s="1291"/>
      <c r="P59" s="1291"/>
      <c r="Q59" s="1291"/>
      <c r="R59" s="1295"/>
      <c r="S59" s="1291"/>
      <c r="T59" s="1291"/>
      <c r="U59" s="1291"/>
      <c r="V59" s="1291"/>
      <c r="W59" s="1291"/>
      <c r="X59" s="1291"/>
      <c r="Y59" s="1245" t="s">
        <v>2064</v>
      </c>
      <c r="AD59" s="90"/>
      <c r="AE59" s="90"/>
      <c r="AF59" s="90"/>
      <c r="AG59" s="90"/>
      <c r="AH59" s="90"/>
      <c r="AI59" s="90"/>
      <c r="AJ59" s="90"/>
      <c r="AK59" s="90"/>
      <c r="AL59" s="90"/>
      <c r="AM59" s="90"/>
      <c r="AN59" s="90"/>
      <c r="AO59" s="90"/>
      <c r="AP59" s="90"/>
      <c r="AQ59" s="90"/>
      <c r="AR59" s="90"/>
      <c r="AS59" s="90"/>
      <c r="AT59" s="90"/>
      <c r="AU59" s="90"/>
      <c r="AV59" s="90"/>
      <c r="AW59" s="90"/>
      <c r="AX59" s="90"/>
    </row>
    <row r="60" spans="2:54" ht="25.2" customHeight="1" x14ac:dyDescent="0.2">
      <c r="B60" s="905" t="s">
        <v>1738</v>
      </c>
      <c r="C60" s="328" t="s">
        <v>108</v>
      </c>
      <c r="D60" s="321" t="s">
        <v>142</v>
      </c>
      <c r="E60" s="323" t="s">
        <v>161</v>
      </c>
      <c r="F60" s="323" t="s">
        <v>161</v>
      </c>
      <c r="G60" s="323"/>
      <c r="H60" s="1092"/>
      <c r="I60" s="1092"/>
      <c r="J60" s="324"/>
      <c r="K60" s="323"/>
      <c r="L60" s="323"/>
      <c r="M60" s="323" t="s">
        <v>161</v>
      </c>
      <c r="N60" s="323"/>
      <c r="O60" s="324"/>
      <c r="P60" s="324"/>
      <c r="Q60" s="1087"/>
      <c r="R60" s="324"/>
      <c r="S60" s="324"/>
      <c r="T60" s="323"/>
      <c r="U60" s="324"/>
      <c r="V60" s="324"/>
      <c r="W60" s="323"/>
      <c r="X60" s="324"/>
      <c r="Y60" s="385" t="s">
        <v>934</v>
      </c>
      <c r="AD60" s="90"/>
      <c r="AE60" s="90"/>
      <c r="AF60" s="90"/>
      <c r="AG60" s="90"/>
      <c r="AH60" s="90"/>
      <c r="AI60" s="90"/>
      <c r="AJ60" s="90"/>
      <c r="AK60" s="90"/>
      <c r="AL60" s="90"/>
      <c r="AM60" s="90"/>
      <c r="AN60" s="90"/>
      <c r="AO60" s="90"/>
      <c r="AP60" s="90"/>
      <c r="AQ60" s="90"/>
      <c r="AR60" s="90"/>
      <c r="AS60" s="90"/>
      <c r="AT60" s="90"/>
      <c r="AU60" s="90"/>
      <c r="AV60" s="90"/>
      <c r="AW60" s="90"/>
      <c r="AX60" s="90"/>
    </row>
    <row r="61" spans="2:54" ht="25.2" customHeight="1" x14ac:dyDescent="0.2">
      <c r="B61" s="906" t="s">
        <v>1739</v>
      </c>
      <c r="C61" s="386" t="s">
        <v>799</v>
      </c>
      <c r="D61" s="387" t="s">
        <v>142</v>
      </c>
      <c r="E61" s="127" t="s">
        <v>161</v>
      </c>
      <c r="F61" s="127" t="s">
        <v>161</v>
      </c>
      <c r="G61" s="127"/>
      <c r="H61" s="388"/>
      <c r="I61" s="388"/>
      <c r="J61" s="388"/>
      <c r="K61" s="127"/>
      <c r="L61" s="127"/>
      <c r="M61" s="127"/>
      <c r="N61" s="127"/>
      <c r="O61" s="388"/>
      <c r="P61" s="388"/>
      <c r="Q61" s="1114"/>
      <c r="R61" s="388"/>
      <c r="S61" s="127"/>
      <c r="T61" s="127"/>
      <c r="U61" s="388"/>
      <c r="V61" s="388"/>
      <c r="W61" s="127"/>
      <c r="X61" s="388"/>
      <c r="Y61" s="333"/>
      <c r="AD61" s="90"/>
      <c r="AE61" s="90"/>
      <c r="AF61" s="90"/>
      <c r="AG61" s="90"/>
      <c r="AH61" s="90"/>
      <c r="AI61" s="90"/>
      <c r="AJ61" s="90"/>
      <c r="AK61" s="90"/>
      <c r="AL61" s="90"/>
      <c r="AM61" s="90"/>
      <c r="AN61" s="1287"/>
      <c r="AO61" s="1287"/>
      <c r="AP61" s="1287"/>
      <c r="AQ61" s="1287"/>
      <c r="AR61" s="90"/>
      <c r="AS61" s="90"/>
      <c r="AT61" s="90"/>
      <c r="AU61" s="1287"/>
      <c r="AV61" s="1287"/>
      <c r="AW61" s="1287"/>
      <c r="AX61" s="1287"/>
    </row>
    <row r="62" spans="2:54" x14ac:dyDescent="0.2">
      <c r="AB62" s="92"/>
      <c r="AC62" s="92"/>
      <c r="AD62" s="93"/>
      <c r="AE62" s="92"/>
      <c r="AF62" s="92"/>
      <c r="AG62" s="92"/>
      <c r="AH62" s="92"/>
      <c r="AI62" s="92"/>
    </row>
    <row r="63" spans="2:54" s="89" customFormat="1" ht="16.2" x14ac:dyDescent="0.2">
      <c r="B63" s="301" t="s">
        <v>220</v>
      </c>
      <c r="D63" s="86"/>
      <c r="Q63" s="542"/>
      <c r="Y63" s="1175" t="s">
        <v>1815</v>
      </c>
    </row>
    <row r="64" spans="2:54" s="542" customFormat="1" ht="48.6" customHeight="1" x14ac:dyDescent="0.2">
      <c r="B64" s="500" t="s">
        <v>150</v>
      </c>
      <c r="C64" s="1162" t="s">
        <v>189</v>
      </c>
      <c r="D64" s="1176" t="s">
        <v>1852</v>
      </c>
      <c r="E64" s="1151" t="s">
        <v>161</v>
      </c>
      <c r="F64" s="1151" t="s">
        <v>161</v>
      </c>
      <c r="G64" s="1151"/>
      <c r="H64" s="1164"/>
      <c r="I64" s="1151"/>
      <c r="J64" s="1151"/>
      <c r="K64" s="1151"/>
      <c r="L64" s="1164"/>
      <c r="M64" s="1151"/>
      <c r="N64" s="1151"/>
      <c r="O64" s="1151"/>
      <c r="P64" s="1151"/>
      <c r="Q64" s="1151"/>
      <c r="R64" s="1151"/>
      <c r="S64" s="1164"/>
      <c r="T64" s="1164"/>
      <c r="U64" s="1164"/>
      <c r="V64" s="1151"/>
      <c r="W64" s="1151"/>
      <c r="X64" s="1151"/>
      <c r="Y64" s="1254" t="s">
        <v>2083</v>
      </c>
      <c r="AF64" s="1038"/>
      <c r="AG64" s="1038"/>
      <c r="AH64" s="1048"/>
      <c r="AI64" s="1048"/>
      <c r="AJ64" s="1048"/>
      <c r="AK64" s="1048"/>
      <c r="AL64" s="1048"/>
      <c r="AM64" s="1048"/>
      <c r="AN64" s="1308"/>
      <c r="AO64" s="1308"/>
      <c r="AP64" s="1308"/>
      <c r="AQ64" s="1308"/>
      <c r="AR64" s="1308"/>
      <c r="AS64" s="1308"/>
      <c r="AT64" s="1308"/>
      <c r="AU64" s="1308"/>
      <c r="AV64" s="1048"/>
      <c r="AW64" s="1048"/>
      <c r="AX64" s="1048"/>
      <c r="AY64" s="1308"/>
      <c r="AZ64" s="1308"/>
      <c r="BA64" s="1308"/>
      <c r="BB64" s="1308"/>
    </row>
    <row r="65" spans="2:54" s="542" customFormat="1" ht="25.2" customHeight="1" x14ac:dyDescent="0.2">
      <c r="B65" s="1065" t="s">
        <v>175</v>
      </c>
      <c r="C65" s="1165" t="s">
        <v>90</v>
      </c>
      <c r="D65" s="1167" t="s">
        <v>1852</v>
      </c>
      <c r="E65" s="1125" t="s">
        <v>136</v>
      </c>
      <c r="F65" s="1125" t="s">
        <v>136</v>
      </c>
      <c r="G65" s="1125"/>
      <c r="H65" s="1092" t="s">
        <v>137</v>
      </c>
      <c r="I65" s="1125"/>
      <c r="J65" s="1125"/>
      <c r="K65" s="1125"/>
      <c r="L65" s="1092"/>
      <c r="M65" s="1125"/>
      <c r="N65" s="1125"/>
      <c r="O65" s="1125"/>
      <c r="P65" s="1125"/>
      <c r="Q65" s="1125"/>
      <c r="R65" s="1125"/>
      <c r="S65" s="1092"/>
      <c r="T65" s="1092"/>
      <c r="U65" s="1092"/>
      <c r="V65" s="1125"/>
      <c r="W65" s="1125"/>
      <c r="X65" s="1125"/>
      <c r="Y65" s="1232" t="s">
        <v>1929</v>
      </c>
      <c r="AF65" s="1038"/>
      <c r="AG65" s="1038"/>
      <c r="AH65" s="1048"/>
      <c r="AI65" s="1048"/>
      <c r="AJ65" s="1048"/>
      <c r="AK65" s="1048"/>
      <c r="AL65" s="1048"/>
      <c r="AM65" s="1048"/>
      <c r="AN65" s="1048"/>
      <c r="AO65" s="1048"/>
      <c r="AP65" s="1048"/>
      <c r="AQ65" s="1048"/>
      <c r="AR65" s="1048"/>
      <c r="AS65" s="1048"/>
      <c r="AT65" s="1048"/>
      <c r="AU65" s="1048"/>
      <c r="AV65" s="1048"/>
      <c r="AW65" s="1048"/>
      <c r="AX65" s="1048"/>
      <c r="AY65" s="1048"/>
      <c r="AZ65" s="1048"/>
      <c r="BA65" s="1048"/>
      <c r="BB65" s="1048"/>
    </row>
    <row r="66" spans="2:54" s="542" customFormat="1" ht="25.2" customHeight="1" x14ac:dyDescent="0.2">
      <c r="B66" s="1065" t="s">
        <v>176</v>
      </c>
      <c r="C66" s="1165" t="s">
        <v>1819</v>
      </c>
      <c r="D66" s="1167" t="s">
        <v>1852</v>
      </c>
      <c r="E66" s="1125" t="s">
        <v>161</v>
      </c>
      <c r="F66" s="1125" t="s">
        <v>161</v>
      </c>
      <c r="G66" s="1125"/>
      <c r="H66" s="1092"/>
      <c r="I66" s="1125"/>
      <c r="J66" s="1125"/>
      <c r="K66" s="1125"/>
      <c r="L66" s="1092"/>
      <c r="M66" s="1125"/>
      <c r="N66" s="1125"/>
      <c r="O66" s="1125"/>
      <c r="P66" s="1125"/>
      <c r="Q66" s="1125"/>
      <c r="R66" s="1125"/>
      <c r="S66" s="1092"/>
      <c r="T66" s="1092"/>
      <c r="U66" s="1092"/>
      <c r="V66" s="1125"/>
      <c r="W66" s="1125"/>
      <c r="X66" s="1125"/>
      <c r="Y66" s="1232"/>
      <c r="AH66" s="1038"/>
      <c r="AI66" s="1038"/>
      <c r="AJ66" s="1038"/>
      <c r="AK66" s="1038"/>
      <c r="AL66" s="1038"/>
      <c r="AM66" s="1038"/>
      <c r="AN66" s="1038"/>
      <c r="AO66" s="1038"/>
      <c r="AP66" s="1038"/>
      <c r="AQ66" s="1038"/>
      <c r="AR66" s="1038"/>
      <c r="AS66" s="1038"/>
      <c r="AT66" s="1038"/>
      <c r="AU66" s="1038"/>
      <c r="AV66" s="1038"/>
      <c r="AW66" s="1038"/>
      <c r="AX66" s="1038"/>
      <c r="AY66" s="1038"/>
      <c r="AZ66" s="1038"/>
      <c r="BA66" s="1038"/>
      <c r="BB66" s="1038"/>
    </row>
    <row r="67" spans="2:54" s="542" customFormat="1" ht="25.2" customHeight="1" x14ac:dyDescent="0.2">
      <c r="B67" s="1065" t="s">
        <v>177</v>
      </c>
      <c r="C67" s="1165" t="s">
        <v>1850</v>
      </c>
      <c r="D67" s="1167" t="s">
        <v>1852</v>
      </c>
      <c r="E67" s="1125" t="s">
        <v>161</v>
      </c>
      <c r="F67" s="1125" t="s">
        <v>161</v>
      </c>
      <c r="G67" s="1125"/>
      <c r="H67" s="1092"/>
      <c r="I67" s="1125"/>
      <c r="J67" s="1125"/>
      <c r="K67" s="1125"/>
      <c r="L67" s="1092"/>
      <c r="M67" s="1125"/>
      <c r="N67" s="1125"/>
      <c r="O67" s="1125"/>
      <c r="P67" s="1125"/>
      <c r="Q67" s="1125"/>
      <c r="R67" s="1125"/>
      <c r="S67" s="1092"/>
      <c r="T67" s="1092"/>
      <c r="U67" s="1092"/>
      <c r="V67" s="1125"/>
      <c r="W67" s="1125"/>
      <c r="X67" s="1125"/>
      <c r="Y67" s="1232"/>
      <c r="AH67" s="1038"/>
      <c r="AI67" s="1038"/>
      <c r="AJ67" s="1038"/>
      <c r="AK67" s="1038"/>
      <c r="AL67" s="1038"/>
      <c r="AM67" s="1038"/>
      <c r="AN67" s="1038"/>
      <c r="AO67" s="1038"/>
      <c r="AP67" s="1038"/>
      <c r="AQ67" s="1038"/>
      <c r="AR67" s="1038"/>
      <c r="AS67" s="1038"/>
      <c r="AT67" s="1038"/>
      <c r="AU67" s="1038"/>
      <c r="AV67" s="1038"/>
      <c r="AW67" s="1038"/>
      <c r="AX67" s="1038"/>
      <c r="AY67" s="1038"/>
      <c r="AZ67" s="1038"/>
      <c r="BA67" s="1038"/>
      <c r="BB67" s="1038"/>
    </row>
    <row r="68" spans="2:54" s="542" customFormat="1" ht="48" customHeight="1" x14ac:dyDescent="0.2">
      <c r="B68" s="1065" t="s">
        <v>178</v>
      </c>
      <c r="C68" s="1165" t="s">
        <v>806</v>
      </c>
      <c r="D68" s="1167" t="s">
        <v>1852</v>
      </c>
      <c r="E68" s="1125" t="s">
        <v>136</v>
      </c>
      <c r="F68" s="1125" t="s">
        <v>136</v>
      </c>
      <c r="G68" s="1125"/>
      <c r="H68" s="1092"/>
      <c r="I68" s="1125"/>
      <c r="J68" s="1125"/>
      <c r="K68" s="1125"/>
      <c r="L68" s="1092"/>
      <c r="M68" s="1125"/>
      <c r="N68" s="1125"/>
      <c r="O68" s="1125"/>
      <c r="P68" s="1125"/>
      <c r="Q68" s="1125"/>
      <c r="R68" s="1125"/>
      <c r="S68" s="1092"/>
      <c r="T68" s="1092"/>
      <c r="U68" s="1092"/>
      <c r="V68" s="1125"/>
      <c r="W68" s="1125"/>
      <c r="X68" s="1125"/>
      <c r="Y68" s="1232" t="s">
        <v>1851</v>
      </c>
      <c r="AF68" s="1038"/>
      <c r="AG68" s="1038"/>
      <c r="AH68" s="1048"/>
      <c r="AI68" s="1048"/>
      <c r="AJ68" s="1048"/>
      <c r="AK68" s="1048"/>
      <c r="AL68" s="1048"/>
      <c r="AM68" s="1048"/>
      <c r="AN68" s="1048"/>
      <c r="AO68" s="1048"/>
      <c r="AP68" s="1048"/>
      <c r="AQ68" s="1048"/>
      <c r="AR68" s="1048"/>
      <c r="AS68" s="1048"/>
      <c r="AT68" s="1048"/>
      <c r="AU68" s="1048"/>
      <c r="AV68" s="1048"/>
      <c r="AW68" s="1048"/>
      <c r="AX68" s="1048"/>
      <c r="AY68" s="1048"/>
      <c r="AZ68" s="1048"/>
      <c r="BA68" s="1048"/>
      <c r="BB68" s="1048"/>
    </row>
    <row r="69" spans="2:54" s="542" customFormat="1" ht="25.2" customHeight="1" x14ac:dyDescent="0.2">
      <c r="B69" s="1065" t="s">
        <v>179</v>
      </c>
      <c r="C69" s="1165" t="s">
        <v>143</v>
      </c>
      <c r="D69" s="1167" t="s">
        <v>1852</v>
      </c>
      <c r="E69" s="1125" t="s">
        <v>161</v>
      </c>
      <c r="F69" s="1125" t="s">
        <v>161</v>
      </c>
      <c r="G69" s="1125"/>
      <c r="H69" s="1092" t="s">
        <v>162</v>
      </c>
      <c r="I69" s="1125"/>
      <c r="J69" s="1125"/>
      <c r="K69" s="1125"/>
      <c r="L69" s="1092"/>
      <c r="M69" s="1125"/>
      <c r="N69" s="1125"/>
      <c r="O69" s="1125"/>
      <c r="P69" s="1125"/>
      <c r="Q69" s="1125"/>
      <c r="R69" s="1125"/>
      <c r="S69" s="1092"/>
      <c r="T69" s="1092"/>
      <c r="U69" s="1092"/>
      <c r="V69" s="1125"/>
      <c r="W69" s="1125"/>
      <c r="X69" s="1125"/>
      <c r="Y69" s="1232" t="s">
        <v>1930</v>
      </c>
      <c r="AF69" s="1038"/>
      <c r="AG69" s="1038"/>
      <c r="AH69" s="1048"/>
      <c r="AI69" s="1048"/>
      <c r="AJ69" s="1048"/>
      <c r="AK69" s="1048"/>
      <c r="AL69" s="1048"/>
      <c r="AM69" s="1048"/>
      <c r="AN69" s="1308"/>
      <c r="AO69" s="1308"/>
      <c r="AP69" s="1308"/>
      <c r="AQ69" s="1308"/>
      <c r="AR69" s="1308"/>
      <c r="AS69" s="1308"/>
      <c r="AT69" s="1308"/>
      <c r="AU69" s="1308"/>
      <c r="AV69" s="1048"/>
      <c r="AW69" s="1048"/>
      <c r="AX69" s="1048"/>
      <c r="AY69" s="1308"/>
      <c r="AZ69" s="1308"/>
      <c r="BA69" s="1308"/>
      <c r="BB69" s="1308"/>
    </row>
    <row r="70" spans="2:54" s="542" customFormat="1" ht="25.2" customHeight="1" x14ac:dyDescent="0.2">
      <c r="B70" s="1065" t="s">
        <v>180</v>
      </c>
      <c r="C70" s="1165" t="s">
        <v>144</v>
      </c>
      <c r="D70" s="1167" t="s">
        <v>1852</v>
      </c>
      <c r="E70" s="1125" t="s">
        <v>161</v>
      </c>
      <c r="F70" s="1125" t="s">
        <v>161</v>
      </c>
      <c r="G70" s="1125"/>
      <c r="H70" s="1092" t="s">
        <v>162</v>
      </c>
      <c r="I70" s="1125"/>
      <c r="J70" s="1125"/>
      <c r="K70" s="1125"/>
      <c r="L70" s="1092"/>
      <c r="M70" s="1125"/>
      <c r="N70" s="1125"/>
      <c r="O70" s="1125"/>
      <c r="P70" s="1125"/>
      <c r="Q70" s="1125"/>
      <c r="R70" s="1125"/>
      <c r="S70" s="1092"/>
      <c r="T70" s="1092"/>
      <c r="U70" s="1092"/>
      <c r="V70" s="1125"/>
      <c r="W70" s="1125"/>
      <c r="X70" s="1125"/>
      <c r="Y70" s="1232" t="s">
        <v>1931</v>
      </c>
      <c r="AH70" s="1048"/>
      <c r="AI70" s="1048"/>
      <c r="AJ70" s="1048"/>
      <c r="AK70" s="1048"/>
      <c r="AL70" s="1048"/>
      <c r="AM70" s="1048"/>
      <c r="AN70" s="1308"/>
      <c r="AO70" s="1308"/>
      <c r="AP70" s="1308"/>
      <c r="AQ70" s="1308"/>
      <c r="AR70" s="1308"/>
      <c r="AS70" s="1308"/>
      <c r="AT70" s="1308"/>
      <c r="AU70" s="1308"/>
      <c r="AV70" s="1048"/>
      <c r="AW70" s="1048"/>
      <c r="AX70" s="1048"/>
      <c r="AY70" s="1308"/>
      <c r="AZ70" s="1308"/>
      <c r="BA70" s="1308"/>
      <c r="BB70" s="1308"/>
    </row>
    <row r="71" spans="2:54" s="542" customFormat="1" ht="25.2" customHeight="1" x14ac:dyDescent="0.2">
      <c r="B71" s="1065" t="s">
        <v>181</v>
      </c>
      <c r="C71" s="1165" t="s">
        <v>1050</v>
      </c>
      <c r="D71" s="1167" t="s">
        <v>1852</v>
      </c>
      <c r="E71" s="1125" t="s">
        <v>161</v>
      </c>
      <c r="F71" s="1125" t="s">
        <v>161</v>
      </c>
      <c r="G71" s="1125" t="s">
        <v>161</v>
      </c>
      <c r="H71" s="1092"/>
      <c r="I71" s="1125"/>
      <c r="J71" s="1125"/>
      <c r="K71" s="1125"/>
      <c r="L71" s="1092"/>
      <c r="M71" s="1125"/>
      <c r="N71" s="1125"/>
      <c r="O71" s="1125"/>
      <c r="P71" s="1125"/>
      <c r="Q71" s="1125"/>
      <c r="R71" s="1125"/>
      <c r="S71" s="1092"/>
      <c r="T71" s="1092"/>
      <c r="U71" s="1092"/>
      <c r="V71" s="1125"/>
      <c r="W71" s="1125"/>
      <c r="X71" s="1125"/>
      <c r="Y71" s="1233" t="s">
        <v>2048</v>
      </c>
      <c r="AF71" s="1081"/>
      <c r="AG71" s="1081"/>
      <c r="AH71" s="1048"/>
      <c r="AI71" s="1048"/>
      <c r="AJ71" s="1048"/>
      <c r="AK71" s="1048"/>
      <c r="AL71" s="1048"/>
      <c r="AM71" s="1048"/>
      <c r="AN71" s="1308"/>
      <c r="AO71" s="1308"/>
      <c r="AP71" s="1308"/>
      <c r="AQ71" s="1308"/>
      <c r="AR71" s="1308"/>
      <c r="AS71" s="1308"/>
      <c r="AT71" s="1308"/>
      <c r="AU71" s="1308"/>
      <c r="AV71" s="1048"/>
      <c r="AW71" s="1048"/>
      <c r="AX71" s="1048"/>
      <c r="AY71" s="1308"/>
      <c r="AZ71" s="1308"/>
      <c r="BA71" s="1308"/>
      <c r="BB71" s="1308"/>
    </row>
    <row r="72" spans="2:54" s="542" customFormat="1" ht="25.2" customHeight="1" x14ac:dyDescent="0.2">
      <c r="B72" s="1065" t="s">
        <v>182</v>
      </c>
      <c r="C72" s="1165" t="s">
        <v>145</v>
      </c>
      <c r="D72" s="1167" t="s">
        <v>1852</v>
      </c>
      <c r="E72" s="1125" t="s">
        <v>161</v>
      </c>
      <c r="F72" s="1125" t="s">
        <v>161</v>
      </c>
      <c r="G72" s="1125"/>
      <c r="H72" s="1092" t="s">
        <v>162</v>
      </c>
      <c r="I72" s="1125"/>
      <c r="J72" s="1125"/>
      <c r="K72" s="1125"/>
      <c r="L72" s="1092"/>
      <c r="M72" s="1125"/>
      <c r="N72" s="1125"/>
      <c r="O72" s="1125"/>
      <c r="P72" s="1125"/>
      <c r="Q72" s="1125"/>
      <c r="R72" s="1125"/>
      <c r="S72" s="1092"/>
      <c r="T72" s="1092"/>
      <c r="U72" s="1092"/>
      <c r="V72" s="1125"/>
      <c r="W72" s="1125"/>
      <c r="X72" s="1125"/>
      <c r="Y72" s="1232" t="s">
        <v>1932</v>
      </c>
      <c r="AF72" s="1038"/>
      <c r="AG72" s="1038"/>
      <c r="AH72" s="1048"/>
      <c r="AI72" s="1048"/>
      <c r="AJ72" s="1048"/>
      <c r="AK72" s="1048"/>
      <c r="AL72" s="1048"/>
      <c r="AM72" s="1048"/>
      <c r="AN72" s="1308"/>
      <c r="AO72" s="1308"/>
      <c r="AP72" s="1308"/>
      <c r="AQ72" s="1308"/>
      <c r="AR72" s="1308"/>
      <c r="AS72" s="1308"/>
      <c r="AT72" s="1308"/>
      <c r="AU72" s="1308"/>
      <c r="AV72" s="1048"/>
      <c r="AW72" s="1048"/>
      <c r="AX72" s="1048"/>
      <c r="AY72" s="1308"/>
      <c r="AZ72" s="1308"/>
      <c r="BA72" s="1308"/>
      <c r="BB72" s="1308"/>
    </row>
    <row r="73" spans="2:54" s="542" customFormat="1" ht="25.2" customHeight="1" x14ac:dyDescent="0.2">
      <c r="B73" s="1065" t="s">
        <v>183</v>
      </c>
      <c r="C73" s="1165" t="s">
        <v>1250</v>
      </c>
      <c r="D73" s="1167" t="s">
        <v>1852</v>
      </c>
      <c r="E73" s="1125" t="s">
        <v>161</v>
      </c>
      <c r="F73" s="1125" t="s">
        <v>161</v>
      </c>
      <c r="G73" s="1125"/>
      <c r="H73" s="1092"/>
      <c r="I73" s="1125"/>
      <c r="J73" s="1125"/>
      <c r="K73" s="1125"/>
      <c r="L73" s="1092"/>
      <c r="M73" s="1125"/>
      <c r="N73" s="1125"/>
      <c r="O73" s="1125"/>
      <c r="P73" s="1125"/>
      <c r="Q73" s="1125"/>
      <c r="R73" s="1125"/>
      <c r="S73" s="1092"/>
      <c r="T73" s="1092"/>
      <c r="U73" s="1092"/>
      <c r="V73" s="1125"/>
      <c r="W73" s="1125"/>
      <c r="X73" s="1125"/>
      <c r="Y73" s="1232"/>
      <c r="AF73" s="1038"/>
      <c r="AG73" s="1038"/>
      <c r="AH73" s="1048"/>
      <c r="AI73" s="1048"/>
      <c r="AJ73" s="1048"/>
      <c r="AK73" s="1048"/>
      <c r="AL73" s="1048"/>
      <c r="AM73" s="1048"/>
      <c r="AN73" s="1048"/>
      <c r="AO73" s="1048"/>
      <c r="AP73" s="1048"/>
      <c r="AQ73" s="1048"/>
      <c r="AR73" s="1048"/>
      <c r="AS73" s="1048"/>
      <c r="AT73" s="1048"/>
      <c r="AU73" s="1048"/>
      <c r="AV73" s="1048"/>
      <c r="AW73" s="1048"/>
      <c r="AX73" s="1048"/>
      <c r="AY73" s="1048"/>
      <c r="AZ73" s="1048"/>
      <c r="BA73" s="1048"/>
      <c r="BB73" s="1048"/>
    </row>
    <row r="74" spans="2:54" s="542" customFormat="1" ht="25.2" customHeight="1" x14ac:dyDescent="0.2">
      <c r="B74" s="1065" t="s">
        <v>184</v>
      </c>
      <c r="C74" s="1127" t="s">
        <v>146</v>
      </c>
      <c r="D74" s="1167" t="s">
        <v>1852</v>
      </c>
      <c r="E74" s="1125" t="s">
        <v>161</v>
      </c>
      <c r="F74" s="1125" t="s">
        <v>161</v>
      </c>
      <c r="G74" s="1125"/>
      <c r="H74" s="1092" t="s">
        <v>162</v>
      </c>
      <c r="I74" s="1125"/>
      <c r="J74" s="1125"/>
      <c r="K74" s="1125"/>
      <c r="L74" s="1092"/>
      <c r="M74" s="1125"/>
      <c r="N74" s="1125"/>
      <c r="O74" s="1125"/>
      <c r="P74" s="1125"/>
      <c r="Q74" s="1125"/>
      <c r="R74" s="1125"/>
      <c r="S74" s="1092"/>
      <c r="T74" s="1092"/>
      <c r="U74" s="1092"/>
      <c r="V74" s="1125"/>
      <c r="W74" s="1125"/>
      <c r="X74" s="1125"/>
      <c r="Y74" s="1232" t="s">
        <v>1932</v>
      </c>
      <c r="AF74" s="1038"/>
      <c r="AG74" s="1038"/>
      <c r="AH74" s="1048"/>
      <c r="AI74" s="1048"/>
      <c r="AJ74" s="1048"/>
      <c r="AK74" s="1048"/>
      <c r="AL74" s="1048"/>
      <c r="AM74" s="1048"/>
      <c r="AN74" s="1308"/>
      <c r="AO74" s="1308"/>
      <c r="AP74" s="1308"/>
      <c r="AQ74" s="1308"/>
      <c r="AR74" s="1308"/>
      <c r="AS74" s="1308"/>
      <c r="AT74" s="1308"/>
      <c r="AU74" s="1308"/>
      <c r="AV74" s="1048"/>
      <c r="AW74" s="1048"/>
      <c r="AX74" s="1048"/>
      <c r="AY74" s="1308"/>
      <c r="AZ74" s="1308"/>
      <c r="BA74" s="1308"/>
      <c r="BB74" s="1308"/>
    </row>
    <row r="75" spans="2:54" s="542" customFormat="1" ht="25.2" customHeight="1" x14ac:dyDescent="0.2">
      <c r="B75" s="1065" t="s">
        <v>185</v>
      </c>
      <c r="C75" s="1127" t="s">
        <v>147</v>
      </c>
      <c r="D75" s="1167" t="s">
        <v>1852</v>
      </c>
      <c r="E75" s="1125" t="s">
        <v>161</v>
      </c>
      <c r="F75" s="1125" t="s">
        <v>161</v>
      </c>
      <c r="G75" s="1125"/>
      <c r="H75" s="1092" t="s">
        <v>162</v>
      </c>
      <c r="I75" s="1125"/>
      <c r="J75" s="1125"/>
      <c r="K75" s="1125"/>
      <c r="L75" s="1092"/>
      <c r="M75" s="1125"/>
      <c r="N75" s="1125"/>
      <c r="O75" s="1125"/>
      <c r="P75" s="1125"/>
      <c r="Q75" s="1125"/>
      <c r="R75" s="1125"/>
      <c r="S75" s="1092"/>
      <c r="T75" s="1092"/>
      <c r="U75" s="1092"/>
      <c r="V75" s="1125"/>
      <c r="W75" s="1125"/>
      <c r="X75" s="1125"/>
      <c r="Y75" s="1233" t="s">
        <v>1933</v>
      </c>
      <c r="AF75" s="1038"/>
      <c r="AG75" s="1038"/>
      <c r="AH75" s="1048"/>
      <c r="AI75" s="1048"/>
      <c r="AJ75" s="1048"/>
      <c r="AK75" s="1048"/>
      <c r="AL75" s="1048"/>
      <c r="AM75" s="1048"/>
      <c r="AN75" s="1308"/>
      <c r="AO75" s="1308"/>
      <c r="AP75" s="1308"/>
      <c r="AQ75" s="1308"/>
      <c r="AR75" s="1308"/>
      <c r="AS75" s="1308"/>
      <c r="AT75" s="1308"/>
      <c r="AU75" s="1308"/>
      <c r="AV75" s="1048"/>
      <c r="AW75" s="1048"/>
      <c r="AX75" s="1048"/>
      <c r="AY75" s="1308"/>
      <c r="AZ75" s="1308"/>
      <c r="BA75" s="1308"/>
      <c r="BB75" s="1308"/>
    </row>
    <row r="76" spans="2:54" s="542" customFormat="1" ht="25.2" customHeight="1" x14ac:dyDescent="0.2">
      <c r="B76" s="1065" t="s">
        <v>186</v>
      </c>
      <c r="C76" s="1165" t="s">
        <v>148</v>
      </c>
      <c r="D76" s="1167" t="s">
        <v>1852</v>
      </c>
      <c r="E76" s="1125" t="s">
        <v>161</v>
      </c>
      <c r="F76" s="1125" t="s">
        <v>161</v>
      </c>
      <c r="G76" s="1125"/>
      <c r="H76" s="1092"/>
      <c r="I76" s="1125"/>
      <c r="J76" s="1125"/>
      <c r="K76" s="1125"/>
      <c r="L76" s="1092"/>
      <c r="M76" s="1125"/>
      <c r="N76" s="1125"/>
      <c r="O76" s="1125"/>
      <c r="P76" s="1125"/>
      <c r="Q76" s="1125"/>
      <c r="R76" s="1125"/>
      <c r="S76" s="1092"/>
      <c r="T76" s="1092"/>
      <c r="U76" s="1092"/>
      <c r="V76" s="1125"/>
      <c r="W76" s="1125"/>
      <c r="X76" s="1125"/>
      <c r="Y76" s="1232"/>
      <c r="AF76" s="1038"/>
      <c r="AG76" s="1038"/>
      <c r="AH76" s="1048"/>
      <c r="AI76" s="1048"/>
      <c r="AJ76" s="1048"/>
      <c r="AK76" s="1048"/>
      <c r="AL76" s="1048"/>
      <c r="AM76" s="1048"/>
      <c r="AN76" s="1308"/>
      <c r="AO76" s="1308"/>
      <c r="AP76" s="1308"/>
      <c r="AQ76" s="1308"/>
      <c r="AR76" s="1308"/>
      <c r="AS76" s="1308"/>
      <c r="AT76" s="1308"/>
      <c r="AU76" s="1308"/>
      <c r="AV76" s="1048"/>
      <c r="AW76" s="1048"/>
      <c r="AX76" s="1048"/>
      <c r="AY76" s="1308"/>
      <c r="AZ76" s="1308"/>
      <c r="BA76" s="1308"/>
      <c r="BB76" s="1308"/>
    </row>
    <row r="77" spans="2:54" s="542" customFormat="1" ht="25.2" customHeight="1" x14ac:dyDescent="0.2">
      <c r="B77" s="1065" t="s">
        <v>187</v>
      </c>
      <c r="C77" s="1165" t="s">
        <v>807</v>
      </c>
      <c r="D77" s="1167" t="s">
        <v>1852</v>
      </c>
      <c r="E77" s="1125" t="s">
        <v>161</v>
      </c>
      <c r="F77" s="1125" t="s">
        <v>161</v>
      </c>
      <c r="G77" s="1125"/>
      <c r="H77" s="1092" t="s">
        <v>162</v>
      </c>
      <c r="I77" s="1125"/>
      <c r="J77" s="1125"/>
      <c r="K77" s="1125"/>
      <c r="L77" s="1092"/>
      <c r="M77" s="1125"/>
      <c r="N77" s="1125"/>
      <c r="O77" s="1125"/>
      <c r="P77" s="1125"/>
      <c r="Q77" s="1125"/>
      <c r="R77" s="1125"/>
      <c r="S77" s="1092"/>
      <c r="T77" s="1092"/>
      <c r="U77" s="1092"/>
      <c r="V77" s="1125"/>
      <c r="W77" s="1125"/>
      <c r="X77" s="1125"/>
      <c r="Y77" s="1232" t="s">
        <v>1934</v>
      </c>
      <c r="AF77" s="1038"/>
      <c r="AG77" s="1038"/>
      <c r="AH77" s="1048"/>
      <c r="AI77" s="1048"/>
      <c r="AJ77" s="1048"/>
      <c r="AK77" s="1048"/>
      <c r="AL77" s="1048"/>
      <c r="AM77" s="1048"/>
      <c r="AN77" s="1308"/>
      <c r="AO77" s="1308"/>
      <c r="AP77" s="1308"/>
      <c r="AQ77" s="1308"/>
      <c r="AR77" s="1308"/>
      <c r="AS77" s="1308"/>
      <c r="AT77" s="1308"/>
      <c r="AU77" s="1308"/>
      <c r="AV77" s="1048"/>
      <c r="AW77" s="1048"/>
      <c r="AX77" s="1048"/>
      <c r="AY77" s="1308"/>
      <c r="AZ77" s="1308"/>
      <c r="BA77" s="1308"/>
      <c r="BB77" s="1308"/>
    </row>
    <row r="78" spans="2:54" s="542" customFormat="1" ht="25.2" customHeight="1" x14ac:dyDescent="0.2">
      <c r="B78" s="1065" t="s">
        <v>188</v>
      </c>
      <c r="C78" s="1165" t="s">
        <v>921</v>
      </c>
      <c r="D78" s="1167" t="s">
        <v>1852</v>
      </c>
      <c r="E78" s="1125" t="s">
        <v>161</v>
      </c>
      <c r="F78" s="1125" t="s">
        <v>161</v>
      </c>
      <c r="G78" s="1125"/>
      <c r="H78" s="1092" t="s">
        <v>162</v>
      </c>
      <c r="I78" s="1125"/>
      <c r="J78" s="1125"/>
      <c r="K78" s="1125"/>
      <c r="L78" s="1092"/>
      <c r="M78" s="1125"/>
      <c r="N78" s="1125"/>
      <c r="O78" s="1125"/>
      <c r="P78" s="1125"/>
      <c r="Q78" s="1125"/>
      <c r="R78" s="1125"/>
      <c r="S78" s="1092"/>
      <c r="T78" s="1092"/>
      <c r="U78" s="1092"/>
      <c r="V78" s="1125"/>
      <c r="W78" s="1125"/>
      <c r="X78" s="1125"/>
      <c r="Y78" s="1232" t="s">
        <v>1935</v>
      </c>
      <c r="AF78" s="1038"/>
      <c r="AG78" s="1038"/>
      <c r="AH78" s="1048"/>
      <c r="AI78" s="1048"/>
      <c r="AJ78" s="1048"/>
      <c r="AK78" s="1048"/>
      <c r="AL78" s="1048"/>
      <c r="AM78" s="1048"/>
      <c r="AN78" s="1308"/>
      <c r="AO78" s="1308"/>
      <c r="AP78" s="1308"/>
      <c r="AQ78" s="1308"/>
      <c r="AR78" s="1308"/>
      <c r="AS78" s="1308"/>
      <c r="AT78" s="1308"/>
      <c r="AU78" s="1308"/>
      <c r="AV78" s="1048"/>
      <c r="AW78" s="1048"/>
      <c r="AX78" s="1048"/>
      <c r="AY78" s="1308"/>
      <c r="AZ78" s="1308"/>
      <c r="BA78" s="1308"/>
      <c r="BB78" s="1308"/>
    </row>
    <row r="79" spans="2:54" s="542" customFormat="1" ht="25.2" customHeight="1" x14ac:dyDescent="0.2">
      <c r="B79" s="1065" t="s">
        <v>809</v>
      </c>
      <c r="C79" s="1165" t="s">
        <v>149</v>
      </c>
      <c r="D79" s="1167" t="s">
        <v>1852</v>
      </c>
      <c r="E79" s="1125" t="s">
        <v>161</v>
      </c>
      <c r="F79" s="1125" t="s">
        <v>161</v>
      </c>
      <c r="G79" s="1125"/>
      <c r="H79" s="1092" t="s">
        <v>162</v>
      </c>
      <c r="I79" s="1125"/>
      <c r="J79" s="1125"/>
      <c r="K79" s="1125"/>
      <c r="L79" s="1092"/>
      <c r="M79" s="1125"/>
      <c r="N79" s="1125"/>
      <c r="O79" s="1125" t="s">
        <v>136</v>
      </c>
      <c r="P79" s="1125" t="s">
        <v>136</v>
      </c>
      <c r="Q79" s="1125"/>
      <c r="R79" s="1125"/>
      <c r="S79" s="1092"/>
      <c r="T79" s="1092"/>
      <c r="U79" s="1092"/>
      <c r="V79" s="1125"/>
      <c r="W79" s="1125"/>
      <c r="X79" s="1125"/>
      <c r="Y79" s="1232" t="s">
        <v>1936</v>
      </c>
      <c r="AF79" s="1038"/>
      <c r="AG79" s="1038"/>
      <c r="AH79" s="1048"/>
      <c r="AI79" s="1048"/>
      <c r="AJ79" s="1048"/>
      <c r="AK79" s="1048"/>
      <c r="AL79" s="1048"/>
      <c r="AM79" s="1048"/>
      <c r="AN79" s="1308"/>
      <c r="AO79" s="1308"/>
      <c r="AP79" s="1308"/>
      <c r="AQ79" s="1308"/>
      <c r="AR79" s="1308"/>
      <c r="AS79" s="1308"/>
      <c r="AT79" s="1308"/>
      <c r="AU79" s="1308"/>
      <c r="AV79" s="1048"/>
      <c r="AW79" s="1048"/>
      <c r="AX79" s="1048"/>
      <c r="AY79" s="1308"/>
      <c r="AZ79" s="1308"/>
      <c r="BA79" s="1308"/>
      <c r="BB79" s="1308"/>
    </row>
    <row r="80" spans="2:54" s="542" customFormat="1" ht="25.2" customHeight="1" x14ac:dyDescent="0.2">
      <c r="B80" s="1065" t="s">
        <v>810</v>
      </c>
      <c r="C80" s="1165" t="s">
        <v>797</v>
      </c>
      <c r="D80" s="1167" t="s">
        <v>1852</v>
      </c>
      <c r="E80" s="1125" t="s">
        <v>161</v>
      </c>
      <c r="F80" s="1125" t="s">
        <v>161</v>
      </c>
      <c r="G80" s="1125"/>
      <c r="H80" s="1092"/>
      <c r="I80" s="1125"/>
      <c r="J80" s="1125"/>
      <c r="K80" s="1125"/>
      <c r="L80" s="1092"/>
      <c r="M80" s="1125"/>
      <c r="N80" s="1125"/>
      <c r="O80" s="1125"/>
      <c r="P80" s="1125"/>
      <c r="Q80" s="1125"/>
      <c r="R80" s="1125"/>
      <c r="S80" s="1092"/>
      <c r="T80" s="1092"/>
      <c r="U80" s="1092"/>
      <c r="V80" s="1125"/>
      <c r="W80" s="1125"/>
      <c r="X80" s="1125"/>
      <c r="Y80" s="1232"/>
      <c r="AF80" s="1038"/>
      <c r="AG80" s="1038"/>
      <c r="AH80" s="1048"/>
      <c r="AI80" s="1048"/>
      <c r="AJ80" s="1048"/>
      <c r="AK80" s="1048"/>
      <c r="AL80" s="1048"/>
      <c r="AM80" s="1048"/>
      <c r="AN80" s="1048"/>
      <c r="AO80" s="1048"/>
      <c r="AP80" s="1048"/>
      <c r="AQ80" s="1048"/>
      <c r="AR80" s="1048"/>
      <c r="AS80" s="1048"/>
      <c r="AT80" s="1048"/>
      <c r="AU80" s="1048"/>
      <c r="AV80" s="1048"/>
      <c r="AW80" s="1048"/>
      <c r="AX80" s="1048"/>
      <c r="AY80" s="1048"/>
      <c r="AZ80" s="1048"/>
      <c r="BA80" s="1048"/>
      <c r="BB80" s="1048"/>
    </row>
    <row r="81" spans="2:54" s="542" customFormat="1" ht="25.2" customHeight="1" x14ac:dyDescent="0.2">
      <c r="B81" s="1065" t="s">
        <v>1847</v>
      </c>
      <c r="C81" s="1165" t="s">
        <v>808</v>
      </c>
      <c r="D81" s="1167" t="s">
        <v>1852</v>
      </c>
      <c r="E81" s="1125" t="s">
        <v>161</v>
      </c>
      <c r="F81" s="1125" t="s">
        <v>161</v>
      </c>
      <c r="G81" s="1125"/>
      <c r="H81" s="1092"/>
      <c r="I81" s="1125"/>
      <c r="J81" s="1125"/>
      <c r="K81" s="1125"/>
      <c r="L81" s="1092"/>
      <c r="M81" s="1125"/>
      <c r="N81" s="1125"/>
      <c r="O81" s="1125"/>
      <c r="P81" s="1125"/>
      <c r="Q81" s="1125" t="s">
        <v>161</v>
      </c>
      <c r="R81" s="1125"/>
      <c r="S81" s="1092"/>
      <c r="T81" s="1092"/>
      <c r="U81" s="1092"/>
      <c r="V81" s="1125"/>
      <c r="W81" s="1125"/>
      <c r="X81" s="1125"/>
      <c r="Y81" s="1232"/>
      <c r="AF81" s="1038"/>
      <c r="AG81" s="1038"/>
      <c r="AH81" s="1048"/>
      <c r="AI81" s="1048"/>
      <c r="AJ81" s="1048"/>
      <c r="AK81" s="1048"/>
      <c r="AL81" s="1048"/>
      <c r="AM81" s="1048"/>
      <c r="AN81" s="1308"/>
      <c r="AO81" s="1308"/>
      <c r="AP81" s="1308"/>
      <c r="AQ81" s="1308"/>
      <c r="AR81" s="1308"/>
      <c r="AS81" s="1308"/>
      <c r="AT81" s="1308"/>
      <c r="AU81" s="1308"/>
      <c r="AV81" s="1048"/>
      <c r="AW81" s="1048"/>
      <c r="AX81" s="1048"/>
      <c r="AY81" s="1308"/>
      <c r="AZ81" s="1308"/>
      <c r="BA81" s="1308"/>
      <c r="BB81" s="1308"/>
    </row>
    <row r="82" spans="2:54" s="542" customFormat="1" ht="25.2" customHeight="1" x14ac:dyDescent="0.2">
      <c r="B82" s="1065" t="s">
        <v>1848</v>
      </c>
      <c r="C82" s="1165" t="s">
        <v>108</v>
      </c>
      <c r="D82" s="1167" t="s">
        <v>1852</v>
      </c>
      <c r="E82" s="1125" t="s">
        <v>161</v>
      </c>
      <c r="F82" s="1125" t="s">
        <v>161</v>
      </c>
      <c r="G82" s="1125"/>
      <c r="H82" s="1092"/>
      <c r="I82" s="1125"/>
      <c r="J82" s="1125"/>
      <c r="K82" s="1125"/>
      <c r="L82" s="1092" t="s">
        <v>161</v>
      </c>
      <c r="M82" s="1125"/>
      <c r="N82" s="1125"/>
      <c r="O82" s="1125"/>
      <c r="P82" s="1125"/>
      <c r="Q82" s="1125"/>
      <c r="R82" s="1125"/>
      <c r="S82" s="1092"/>
      <c r="T82" s="1092"/>
      <c r="U82" s="1092"/>
      <c r="V82" s="1125"/>
      <c r="W82" s="1125"/>
      <c r="X82" s="1125"/>
      <c r="Y82" s="1232" t="s">
        <v>1937</v>
      </c>
      <c r="AF82" s="1038"/>
      <c r="AG82" s="103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row>
    <row r="83" spans="2:54" s="542" customFormat="1" ht="25.2" customHeight="1" x14ac:dyDescent="0.2">
      <c r="B83" s="502" t="s">
        <v>1849</v>
      </c>
      <c r="C83" s="1177" t="s">
        <v>799</v>
      </c>
      <c r="D83" s="1178" t="s">
        <v>1852</v>
      </c>
      <c r="E83" s="1179" t="s">
        <v>161</v>
      </c>
      <c r="F83" s="1179" t="s">
        <v>161</v>
      </c>
      <c r="G83" s="1179"/>
      <c r="H83" s="1180"/>
      <c r="I83" s="1179"/>
      <c r="J83" s="1179"/>
      <c r="K83" s="1179"/>
      <c r="L83" s="1180"/>
      <c r="M83" s="1179"/>
      <c r="N83" s="1179"/>
      <c r="O83" s="1179"/>
      <c r="P83" s="1179"/>
      <c r="Q83" s="1179"/>
      <c r="R83" s="1179"/>
      <c r="S83" s="1180"/>
      <c r="T83" s="1180"/>
      <c r="U83" s="1180"/>
      <c r="V83" s="1179"/>
      <c r="W83" s="1179"/>
      <c r="X83" s="1179"/>
      <c r="Y83" s="1234"/>
      <c r="AF83" s="1038"/>
      <c r="AG83" s="1038"/>
      <c r="AH83" s="1048"/>
      <c r="AI83" s="1048"/>
      <c r="AJ83" s="1048"/>
      <c r="AK83" s="1048"/>
      <c r="AL83" s="1048"/>
      <c r="AM83" s="1048"/>
      <c r="AN83" s="1308"/>
      <c r="AO83" s="1308"/>
      <c r="AP83" s="1308"/>
      <c r="AQ83" s="1308"/>
      <c r="AR83" s="1308"/>
      <c r="AS83" s="1308"/>
      <c r="AT83" s="1308"/>
      <c r="AU83" s="1308"/>
      <c r="AV83" s="1048"/>
      <c r="AW83" s="1048"/>
      <c r="AX83" s="1048"/>
      <c r="AY83" s="1308"/>
      <c r="AZ83" s="1308"/>
      <c r="BA83" s="1308"/>
      <c r="BB83" s="1308"/>
    </row>
    <row r="84" spans="2:54" x14ac:dyDescent="0.2">
      <c r="Y84" s="98"/>
      <c r="AB84" s="90"/>
      <c r="AC84" s="90"/>
    </row>
    <row r="85" spans="2:54" x14ac:dyDescent="0.2">
      <c r="Y85" s="98"/>
      <c r="AB85" s="90"/>
      <c r="AC85" s="90"/>
    </row>
    <row r="86" spans="2:54" s="89" customFormat="1" ht="16.2" x14ac:dyDescent="0.2">
      <c r="B86" s="301" t="s">
        <v>221</v>
      </c>
      <c r="D86" s="86"/>
      <c r="Q86" s="542"/>
      <c r="Y86" s="89" t="s">
        <v>273</v>
      </c>
    </row>
    <row r="87" spans="2:54" s="542" customFormat="1" ht="25.2" customHeight="1" x14ac:dyDescent="0.2">
      <c r="B87" s="500" t="s">
        <v>151</v>
      </c>
      <c r="C87" s="1085" t="s">
        <v>90</v>
      </c>
      <c r="D87" s="1080" t="s">
        <v>120</v>
      </c>
      <c r="E87" s="1043" t="s">
        <v>136</v>
      </c>
      <c r="F87" s="1043" t="s">
        <v>136</v>
      </c>
      <c r="G87" s="1151"/>
      <c r="H87" s="1042" t="s">
        <v>137</v>
      </c>
      <c r="I87" s="1043"/>
      <c r="J87" s="1043"/>
      <c r="K87" s="1043"/>
      <c r="L87" s="1042"/>
      <c r="M87" s="1043"/>
      <c r="N87" s="1043"/>
      <c r="O87" s="1043"/>
      <c r="P87" s="1043"/>
      <c r="Q87" s="1043"/>
      <c r="R87" s="1043"/>
      <c r="S87" s="1042"/>
      <c r="T87" s="1042"/>
      <c r="U87" s="1042"/>
      <c r="V87" s="1043"/>
      <c r="W87" s="1043"/>
      <c r="X87" s="1043"/>
      <c r="Y87" s="1235" t="s">
        <v>1929</v>
      </c>
      <c r="AF87" s="1038"/>
      <c r="AG87" s="1038"/>
      <c r="AH87" s="1048"/>
      <c r="AI87" s="1048"/>
      <c r="AJ87" s="1048"/>
      <c r="AK87" s="1048"/>
      <c r="AL87" s="1048"/>
      <c r="AM87" s="1048"/>
      <c r="AN87" s="1308"/>
      <c r="AO87" s="1308"/>
      <c r="AP87" s="1308"/>
      <c r="AQ87" s="1308"/>
      <c r="AR87" s="1308"/>
      <c r="AS87" s="1308"/>
      <c r="AT87" s="1308"/>
      <c r="AU87" s="1308"/>
      <c r="AV87" s="1048"/>
      <c r="AW87" s="1048"/>
      <c r="AX87" s="1048"/>
      <c r="AY87" s="1308"/>
      <c r="AZ87" s="1308"/>
      <c r="BA87" s="1308"/>
      <c r="BB87" s="1308"/>
    </row>
    <row r="88" spans="2:54" s="542" customFormat="1" ht="25.2" customHeight="1" x14ac:dyDescent="0.2">
      <c r="B88" s="501" t="s">
        <v>152</v>
      </c>
      <c r="C88" s="1169" t="s">
        <v>1819</v>
      </c>
      <c r="D88" s="1049" t="s">
        <v>120</v>
      </c>
      <c r="E88" s="1241" t="s">
        <v>161</v>
      </c>
      <c r="F88" s="1241" t="s">
        <v>161</v>
      </c>
      <c r="G88" s="1121"/>
      <c r="H88" s="1051"/>
      <c r="I88" s="1050"/>
      <c r="J88" s="1050"/>
      <c r="K88" s="1050"/>
      <c r="L88" s="1051"/>
      <c r="M88" s="1050"/>
      <c r="N88" s="1050"/>
      <c r="O88" s="1050"/>
      <c r="P88" s="1050"/>
      <c r="Q88" s="1050"/>
      <c r="R88" s="1050"/>
      <c r="S88" s="1051"/>
      <c r="T88" s="1051"/>
      <c r="U88" s="1051"/>
      <c r="V88" s="1050"/>
      <c r="W88" s="1050"/>
      <c r="X88" s="1050"/>
      <c r="Y88" s="1236"/>
      <c r="AH88" s="1038"/>
      <c r="AI88" s="1038"/>
      <c r="AJ88" s="1038"/>
      <c r="AK88" s="1038"/>
      <c r="AL88" s="1038"/>
      <c r="AM88" s="1038"/>
      <c r="AN88" s="1038"/>
      <c r="AO88" s="1038"/>
      <c r="AP88" s="1038"/>
      <c r="AQ88" s="1038"/>
      <c r="AR88" s="1038"/>
      <c r="AS88" s="1038"/>
      <c r="AT88" s="1038"/>
      <c r="AU88" s="1038"/>
      <c r="AV88" s="1038"/>
      <c r="AW88" s="1038"/>
      <c r="AX88" s="1038"/>
      <c r="AY88" s="1038"/>
      <c r="AZ88" s="1038"/>
      <c r="BA88" s="1038"/>
      <c r="BB88" s="1038"/>
    </row>
    <row r="89" spans="2:54" s="542" customFormat="1" ht="25.2" customHeight="1" x14ac:dyDescent="0.2">
      <c r="B89" s="501" t="s">
        <v>153</v>
      </c>
      <c r="C89" s="1169" t="s">
        <v>1850</v>
      </c>
      <c r="D89" s="1049" t="s">
        <v>120</v>
      </c>
      <c r="E89" s="1241" t="s">
        <v>161</v>
      </c>
      <c r="F89" s="1241" t="s">
        <v>161</v>
      </c>
      <c r="G89" s="1121"/>
      <c r="H89" s="1051"/>
      <c r="I89" s="1050"/>
      <c r="J89" s="1050"/>
      <c r="K89" s="1050"/>
      <c r="L89" s="1051"/>
      <c r="M89" s="1050"/>
      <c r="N89" s="1050"/>
      <c r="O89" s="1050"/>
      <c r="P89" s="1050"/>
      <c r="Q89" s="1050"/>
      <c r="R89" s="1050"/>
      <c r="S89" s="1051"/>
      <c r="T89" s="1051"/>
      <c r="U89" s="1051"/>
      <c r="V89" s="1050"/>
      <c r="W89" s="1050"/>
      <c r="X89" s="1050"/>
      <c r="Y89" s="1236"/>
      <c r="AH89" s="1038"/>
      <c r="AI89" s="1038"/>
      <c r="AJ89" s="1038"/>
      <c r="AK89" s="1038"/>
      <c r="AL89" s="1038"/>
      <c r="AM89" s="1038"/>
      <c r="AN89" s="1038"/>
      <c r="AO89" s="1038"/>
      <c r="AP89" s="1038"/>
      <c r="AQ89" s="1038"/>
      <c r="AR89" s="1038"/>
      <c r="AS89" s="1038"/>
      <c r="AT89" s="1038"/>
      <c r="AU89" s="1038"/>
      <c r="AV89" s="1038"/>
      <c r="AW89" s="1038"/>
      <c r="AX89" s="1038"/>
      <c r="AY89" s="1038"/>
      <c r="AZ89" s="1038"/>
      <c r="BA89" s="1038"/>
      <c r="BB89" s="1038"/>
    </row>
    <row r="90" spans="2:54" s="542" customFormat="1" ht="25.2" customHeight="1" x14ac:dyDescent="0.2">
      <c r="B90" s="501" t="s">
        <v>154</v>
      </c>
      <c r="C90" s="1052" t="s">
        <v>147</v>
      </c>
      <c r="D90" s="1049" t="s">
        <v>120</v>
      </c>
      <c r="E90" s="1050" t="s">
        <v>136</v>
      </c>
      <c r="F90" s="1050" t="s">
        <v>136</v>
      </c>
      <c r="G90" s="1125"/>
      <c r="H90" s="1051" t="s">
        <v>137</v>
      </c>
      <c r="I90" s="1050"/>
      <c r="J90" s="1050"/>
      <c r="K90" s="1050"/>
      <c r="L90" s="1051"/>
      <c r="M90" s="1050"/>
      <c r="N90" s="1050"/>
      <c r="O90" s="1050"/>
      <c r="P90" s="1050"/>
      <c r="Q90" s="1050"/>
      <c r="R90" s="1050"/>
      <c r="S90" s="1051"/>
      <c r="T90" s="1051"/>
      <c r="U90" s="1051"/>
      <c r="V90" s="1050"/>
      <c r="W90" s="1050"/>
      <c r="X90" s="1050"/>
      <c r="Y90" s="1237" t="s">
        <v>1933</v>
      </c>
      <c r="AH90" s="1048"/>
      <c r="AI90" s="1048"/>
      <c r="AJ90" s="1048"/>
      <c r="AK90" s="1048"/>
      <c r="AL90" s="1048"/>
      <c r="AM90" s="1048"/>
      <c r="AN90" s="1308"/>
      <c r="AO90" s="1308"/>
      <c r="AP90" s="1308"/>
      <c r="AQ90" s="1308"/>
      <c r="AR90" s="1308"/>
      <c r="AS90" s="1308"/>
      <c r="AT90" s="1308"/>
      <c r="AU90" s="1308"/>
      <c r="AV90" s="1048"/>
      <c r="AW90" s="1048"/>
      <c r="AX90" s="1048"/>
      <c r="AY90" s="1308"/>
      <c r="AZ90" s="1308"/>
      <c r="BA90" s="1308"/>
      <c r="BB90" s="1308"/>
    </row>
    <row r="91" spans="2:54" s="542" customFormat="1" ht="25.2" customHeight="1" x14ac:dyDescent="0.2">
      <c r="B91" s="501" t="s">
        <v>155</v>
      </c>
      <c r="C91" s="1052" t="s">
        <v>148</v>
      </c>
      <c r="D91" s="1049" t="s">
        <v>120</v>
      </c>
      <c r="E91" s="1050" t="s">
        <v>161</v>
      </c>
      <c r="F91" s="1050" t="s">
        <v>161</v>
      </c>
      <c r="G91" s="1050"/>
      <c r="H91" s="1051"/>
      <c r="I91" s="1050"/>
      <c r="J91" s="1050"/>
      <c r="K91" s="1050"/>
      <c r="L91" s="1051"/>
      <c r="M91" s="1050"/>
      <c r="N91" s="1050"/>
      <c r="O91" s="1050"/>
      <c r="P91" s="1050"/>
      <c r="Q91" s="1050"/>
      <c r="R91" s="1050"/>
      <c r="S91" s="1051"/>
      <c r="T91" s="1051"/>
      <c r="U91" s="1051"/>
      <c r="V91" s="1050"/>
      <c r="W91" s="1050"/>
      <c r="X91" s="1050"/>
      <c r="Y91" s="1236"/>
      <c r="AF91" s="1081"/>
      <c r="AG91" s="1081"/>
      <c r="AH91" s="1048"/>
      <c r="AI91" s="1048"/>
      <c r="AJ91" s="1048"/>
      <c r="AK91" s="1048"/>
      <c r="AL91" s="1048"/>
      <c r="AM91" s="1048"/>
      <c r="AN91" s="1308"/>
      <c r="AO91" s="1308"/>
      <c r="AP91" s="1308"/>
      <c r="AQ91" s="1308"/>
      <c r="AR91" s="1308"/>
      <c r="AS91" s="1308"/>
      <c r="AT91" s="1308"/>
      <c r="AU91" s="1308"/>
      <c r="AV91" s="1048"/>
      <c r="AW91" s="1048"/>
      <c r="AX91" s="1048"/>
      <c r="AY91" s="1308"/>
      <c r="AZ91" s="1308"/>
      <c r="BA91" s="1308"/>
      <c r="BB91" s="1308"/>
    </row>
    <row r="92" spans="2:54" s="542" customFormat="1" ht="25.2" customHeight="1" x14ac:dyDescent="0.2">
      <c r="B92" s="501" t="s">
        <v>156</v>
      </c>
      <c r="C92" s="1052" t="s">
        <v>807</v>
      </c>
      <c r="D92" s="1049" t="s">
        <v>120</v>
      </c>
      <c r="E92" s="1050" t="s">
        <v>161</v>
      </c>
      <c r="F92" s="1050" t="s">
        <v>161</v>
      </c>
      <c r="G92" s="1050"/>
      <c r="H92" s="1051" t="s">
        <v>162</v>
      </c>
      <c r="I92" s="1050"/>
      <c r="J92" s="1050"/>
      <c r="K92" s="1050"/>
      <c r="L92" s="1051"/>
      <c r="M92" s="1050"/>
      <c r="N92" s="1050"/>
      <c r="O92" s="1050"/>
      <c r="P92" s="1050"/>
      <c r="Q92" s="1050"/>
      <c r="R92" s="1050"/>
      <c r="S92" s="1051"/>
      <c r="T92" s="1051"/>
      <c r="U92" s="1051"/>
      <c r="V92" s="1050"/>
      <c r="W92" s="1050"/>
      <c r="X92" s="1050"/>
      <c r="Y92" s="1236" t="s">
        <v>1934</v>
      </c>
      <c r="AF92" s="1038"/>
      <c r="AG92" s="1038"/>
      <c r="AH92" s="1048"/>
      <c r="AI92" s="1048"/>
      <c r="AJ92" s="1048"/>
      <c r="AK92" s="1048"/>
      <c r="AL92" s="1048"/>
      <c r="AM92" s="1048"/>
      <c r="AN92" s="1308"/>
      <c r="AO92" s="1308"/>
      <c r="AP92" s="1308"/>
      <c r="AQ92" s="1308"/>
      <c r="AR92" s="1308"/>
      <c r="AS92" s="1308"/>
      <c r="AT92" s="1308"/>
      <c r="AU92" s="1308"/>
      <c r="AV92" s="1048"/>
      <c r="AW92" s="1048"/>
      <c r="AX92" s="1048"/>
      <c r="AY92" s="1308"/>
      <c r="AZ92" s="1308"/>
      <c r="BA92" s="1308"/>
      <c r="BB92" s="1308"/>
    </row>
    <row r="93" spans="2:54" s="542" customFormat="1" ht="25.2" customHeight="1" x14ac:dyDescent="0.2">
      <c r="B93" s="501" t="s">
        <v>157</v>
      </c>
      <c r="C93" s="1052" t="s">
        <v>921</v>
      </c>
      <c r="D93" s="1049" t="s">
        <v>120</v>
      </c>
      <c r="E93" s="1050" t="s">
        <v>161</v>
      </c>
      <c r="F93" s="1050" t="s">
        <v>161</v>
      </c>
      <c r="G93" s="1050"/>
      <c r="H93" s="1051" t="s">
        <v>162</v>
      </c>
      <c r="I93" s="1050"/>
      <c r="J93" s="1050"/>
      <c r="K93" s="1050"/>
      <c r="L93" s="1051"/>
      <c r="M93" s="1050"/>
      <c r="N93" s="1050"/>
      <c r="O93" s="1050"/>
      <c r="P93" s="1050"/>
      <c r="Q93" s="1050"/>
      <c r="R93" s="1050"/>
      <c r="S93" s="1051"/>
      <c r="T93" s="1051"/>
      <c r="U93" s="1051"/>
      <c r="V93" s="1050"/>
      <c r="W93" s="1050"/>
      <c r="X93" s="1050"/>
      <c r="Y93" s="1237" t="s">
        <v>1938</v>
      </c>
      <c r="AF93" s="1038"/>
      <c r="AG93" s="1038"/>
      <c r="AH93" s="1048"/>
      <c r="AI93" s="1048"/>
      <c r="AJ93" s="1048"/>
      <c r="AK93" s="1048"/>
      <c r="AL93" s="1048"/>
      <c r="AM93" s="1048"/>
      <c r="AN93" s="1308"/>
      <c r="AO93" s="1308"/>
      <c r="AP93" s="1308"/>
      <c r="AQ93" s="1308"/>
      <c r="AR93" s="1308"/>
      <c r="AS93" s="1308"/>
      <c r="AT93" s="1308"/>
      <c r="AU93" s="1308"/>
      <c r="AV93" s="1048"/>
      <c r="AW93" s="1048"/>
      <c r="AX93" s="1048"/>
      <c r="AY93" s="1308"/>
      <c r="AZ93" s="1308"/>
      <c r="BA93" s="1308"/>
      <c r="BB93" s="1308"/>
    </row>
    <row r="94" spans="2:54" s="542" customFormat="1" ht="25.2" customHeight="1" x14ac:dyDescent="0.2">
      <c r="B94" s="501" t="s">
        <v>158</v>
      </c>
      <c r="C94" s="1169" t="s">
        <v>1853</v>
      </c>
      <c r="D94" s="1049" t="s">
        <v>120</v>
      </c>
      <c r="E94" s="1050" t="s">
        <v>161</v>
      </c>
      <c r="F94" s="1050" t="s">
        <v>161</v>
      </c>
      <c r="G94" s="1050"/>
      <c r="H94" s="1051"/>
      <c r="I94" s="1050"/>
      <c r="J94" s="1050"/>
      <c r="K94" s="1050"/>
      <c r="L94" s="1051"/>
      <c r="M94" s="1050"/>
      <c r="N94" s="1050"/>
      <c r="O94" s="1050"/>
      <c r="P94" s="1050"/>
      <c r="Q94" s="1050"/>
      <c r="R94" s="1050"/>
      <c r="S94" s="1051"/>
      <c r="T94" s="1051"/>
      <c r="U94" s="1051"/>
      <c r="V94" s="1050"/>
      <c r="W94" s="1050"/>
      <c r="X94" s="1050"/>
      <c r="Y94" s="1236"/>
      <c r="AF94" s="1038"/>
      <c r="AG94" s="1038"/>
      <c r="AH94" s="1048"/>
      <c r="AI94" s="1048"/>
      <c r="AJ94" s="1048"/>
      <c r="AK94" s="1048"/>
      <c r="AL94" s="1048"/>
      <c r="AM94" s="1048"/>
      <c r="AN94" s="1308"/>
      <c r="AO94" s="1308"/>
      <c r="AP94" s="1308"/>
      <c r="AQ94" s="1308"/>
      <c r="AR94" s="1308"/>
      <c r="AS94" s="1308"/>
      <c r="AT94" s="1308"/>
      <c r="AU94" s="1308"/>
      <c r="AV94" s="1048"/>
      <c r="AW94" s="1048"/>
      <c r="AX94" s="1048"/>
      <c r="AY94" s="1308"/>
      <c r="AZ94" s="1308"/>
      <c r="BA94" s="1308"/>
      <c r="BB94" s="1308"/>
    </row>
    <row r="95" spans="2:54" s="542" customFormat="1" ht="25.2" customHeight="1" x14ac:dyDescent="0.2">
      <c r="B95" s="501" t="s">
        <v>159</v>
      </c>
      <c r="C95" s="1086" t="s">
        <v>797</v>
      </c>
      <c r="D95" s="1049" t="s">
        <v>120</v>
      </c>
      <c r="E95" s="1087" t="s">
        <v>161</v>
      </c>
      <c r="F95" s="1087" t="s">
        <v>161</v>
      </c>
      <c r="G95" s="1087"/>
      <c r="H95" s="1054"/>
      <c r="I95" s="1087"/>
      <c r="J95" s="1087"/>
      <c r="K95" s="1087"/>
      <c r="L95" s="1054"/>
      <c r="M95" s="1087"/>
      <c r="N95" s="1087"/>
      <c r="O95" s="1087"/>
      <c r="P95" s="1087"/>
      <c r="Q95" s="1087"/>
      <c r="R95" s="1087"/>
      <c r="S95" s="1054"/>
      <c r="T95" s="1054"/>
      <c r="U95" s="1054"/>
      <c r="V95" s="1087"/>
      <c r="W95" s="1087"/>
      <c r="X95" s="1087"/>
      <c r="Y95" s="1238"/>
      <c r="AF95" s="1038"/>
      <c r="AG95" s="1038"/>
      <c r="AH95" s="1048"/>
      <c r="AI95" s="1048"/>
      <c r="AJ95" s="1048"/>
      <c r="AK95" s="1048"/>
      <c r="AL95" s="1048"/>
      <c r="AM95" s="1048"/>
      <c r="AN95" s="1048"/>
      <c r="AO95" s="1048"/>
      <c r="AP95" s="1048"/>
      <c r="AQ95" s="1048"/>
      <c r="AR95" s="1048"/>
      <c r="AS95" s="1048"/>
      <c r="AT95" s="1048"/>
      <c r="AU95" s="1048"/>
      <c r="AV95" s="1048"/>
      <c r="AW95" s="1048"/>
      <c r="AX95" s="1048"/>
      <c r="AY95" s="1048"/>
      <c r="AZ95" s="1048"/>
      <c r="BA95" s="1048"/>
      <c r="BB95" s="1048"/>
    </row>
    <row r="96" spans="2:54" s="542" customFormat="1" ht="25.2" customHeight="1" x14ac:dyDescent="0.2">
      <c r="B96" s="501" t="s">
        <v>160</v>
      </c>
      <c r="C96" s="1086" t="s">
        <v>108</v>
      </c>
      <c r="D96" s="1049" t="s">
        <v>120</v>
      </c>
      <c r="E96" s="1050" t="s">
        <v>161</v>
      </c>
      <c r="F96" s="1050" t="s">
        <v>161</v>
      </c>
      <c r="G96" s="1050"/>
      <c r="H96" s="1051"/>
      <c r="I96" s="1050"/>
      <c r="J96" s="1050"/>
      <c r="K96" s="1050"/>
      <c r="L96" s="1051" t="s">
        <v>161</v>
      </c>
      <c r="M96" s="1050"/>
      <c r="N96" s="1050"/>
      <c r="O96" s="1050"/>
      <c r="P96" s="1051"/>
      <c r="Q96" s="1051"/>
      <c r="R96" s="1050"/>
      <c r="S96" s="1051"/>
      <c r="T96" s="1051"/>
      <c r="U96" s="1051"/>
      <c r="V96" s="1050"/>
      <c r="W96" s="1050"/>
      <c r="X96" s="1050"/>
      <c r="Y96" s="1236" t="s">
        <v>1937</v>
      </c>
      <c r="AF96" s="1038"/>
      <c r="AG96" s="1038"/>
      <c r="AH96" s="1048"/>
      <c r="AI96" s="1048"/>
      <c r="AJ96" s="1048"/>
      <c r="AK96" s="1048"/>
      <c r="AL96" s="1048"/>
      <c r="AM96" s="1048"/>
      <c r="AN96" s="1308"/>
      <c r="AO96" s="1308"/>
      <c r="AP96" s="1308"/>
      <c r="AQ96" s="1308"/>
      <c r="AR96" s="1308"/>
      <c r="AS96" s="1308"/>
      <c r="AT96" s="1308"/>
      <c r="AU96" s="1308"/>
      <c r="AV96" s="1048"/>
      <c r="AW96" s="1048"/>
      <c r="AX96" s="1048"/>
      <c r="AY96" s="1308"/>
      <c r="AZ96" s="1308"/>
      <c r="BA96" s="1308"/>
      <c r="BB96" s="1308"/>
    </row>
    <row r="97" spans="2:54" s="542" customFormat="1" ht="25.2" customHeight="1" x14ac:dyDescent="0.2">
      <c r="B97" s="502" t="s">
        <v>811</v>
      </c>
      <c r="C97" s="1088" t="s">
        <v>799</v>
      </c>
      <c r="D97" s="1057" t="s">
        <v>120</v>
      </c>
      <c r="E97" s="1058" t="s">
        <v>161</v>
      </c>
      <c r="F97" s="1058" t="s">
        <v>161</v>
      </c>
      <c r="G97" s="1058"/>
      <c r="H97" s="1059"/>
      <c r="I97" s="1058"/>
      <c r="J97" s="1058"/>
      <c r="K97" s="1058"/>
      <c r="L97" s="1059"/>
      <c r="M97" s="1058"/>
      <c r="N97" s="1058"/>
      <c r="O97" s="1058"/>
      <c r="P97" s="1058"/>
      <c r="Q97" s="1058"/>
      <c r="R97" s="1058"/>
      <c r="S97" s="1059"/>
      <c r="T97" s="1059"/>
      <c r="U97" s="1059"/>
      <c r="V97" s="1058"/>
      <c r="W97" s="1058"/>
      <c r="X97" s="1058"/>
      <c r="Y97" s="1239"/>
      <c r="AF97" s="1038"/>
      <c r="AG97" s="1038"/>
      <c r="AH97" s="1048"/>
      <c r="AI97" s="1048"/>
      <c r="AJ97" s="1048"/>
      <c r="AK97" s="1048"/>
      <c r="AL97" s="1048"/>
      <c r="AM97" s="1048"/>
      <c r="AN97" s="1308"/>
      <c r="AO97" s="1308"/>
      <c r="AP97" s="1308"/>
      <c r="AQ97" s="1308"/>
      <c r="AR97" s="1308"/>
      <c r="AS97" s="1308"/>
      <c r="AT97" s="1308"/>
      <c r="AU97" s="1308"/>
      <c r="AV97" s="1048"/>
      <c r="AW97" s="1048"/>
      <c r="AX97" s="1048"/>
      <c r="AY97" s="1308"/>
      <c r="AZ97" s="1308"/>
      <c r="BA97" s="1308"/>
      <c r="BB97" s="1308"/>
    </row>
    <row r="98" spans="2:54" x14ac:dyDescent="0.2">
      <c r="Y98" s="98"/>
      <c r="AB98" s="90"/>
      <c r="AC98" s="90"/>
    </row>
    <row r="99" spans="2:54" s="89" customFormat="1" ht="16.2" x14ac:dyDescent="0.2">
      <c r="B99" s="301" t="s">
        <v>223</v>
      </c>
      <c r="D99" s="89" t="s">
        <v>272</v>
      </c>
      <c r="Q99" s="1058"/>
      <c r="AB99" s="90"/>
      <c r="AC99" s="90"/>
    </row>
    <row r="100" spans="2:54" ht="36" customHeight="1" x14ac:dyDescent="0.2">
      <c r="B100" s="500" t="s">
        <v>190</v>
      </c>
      <c r="C100" s="1162" t="s">
        <v>364</v>
      </c>
      <c r="D100" s="1163" t="s">
        <v>363</v>
      </c>
      <c r="E100" s="1151" t="s">
        <v>161</v>
      </c>
      <c r="F100" s="1151" t="s">
        <v>161</v>
      </c>
      <c r="G100" s="1151"/>
      <c r="H100" s="1164" t="s">
        <v>137</v>
      </c>
      <c r="I100" s="1164"/>
      <c r="J100" s="1164"/>
      <c r="K100" s="1151"/>
      <c r="L100" s="1151"/>
      <c r="M100" s="1151"/>
      <c r="N100" s="1151"/>
      <c r="O100" s="1164"/>
      <c r="P100" s="1164"/>
      <c r="Q100" s="1164"/>
      <c r="R100" s="1164"/>
      <c r="S100" s="1151" t="s">
        <v>161</v>
      </c>
      <c r="T100" s="1151"/>
      <c r="U100" s="1164"/>
      <c r="V100" s="1164"/>
      <c r="W100" s="1151"/>
      <c r="X100" s="1164"/>
      <c r="Y100" s="1181" t="s">
        <v>928</v>
      </c>
      <c r="AD100" s="90"/>
      <c r="AE100" s="90"/>
      <c r="AF100" s="90"/>
      <c r="AG100" s="90"/>
      <c r="AH100" s="90"/>
      <c r="AI100" s="90"/>
      <c r="AJ100" s="90"/>
      <c r="AK100" s="90"/>
      <c r="AL100" s="90"/>
      <c r="AM100" s="90"/>
      <c r="AN100" s="1287"/>
      <c r="AO100" s="1287"/>
      <c r="AP100" s="1287"/>
      <c r="AQ100" s="1287"/>
      <c r="AR100" s="90"/>
      <c r="AS100" s="90"/>
      <c r="AT100" s="90"/>
      <c r="AU100" s="1287"/>
      <c r="AV100" s="1287"/>
      <c r="AW100" s="1287"/>
      <c r="AX100" s="1287"/>
    </row>
    <row r="101" spans="2:54" ht="36" customHeight="1" x14ac:dyDescent="0.2">
      <c r="B101" s="501" t="s">
        <v>191</v>
      </c>
      <c r="C101" s="1165" t="s">
        <v>365</v>
      </c>
      <c r="D101" s="1166" t="s">
        <v>657</v>
      </c>
      <c r="E101" s="1125" t="s">
        <v>161</v>
      </c>
      <c r="F101" s="1125" t="s">
        <v>161</v>
      </c>
      <c r="G101" s="1125"/>
      <c r="H101" s="1092" t="s">
        <v>137</v>
      </c>
      <c r="I101" s="1092"/>
      <c r="J101" s="1092"/>
      <c r="K101" s="1125"/>
      <c r="L101" s="1125"/>
      <c r="M101" s="1125"/>
      <c r="N101" s="1125"/>
      <c r="O101" s="1092"/>
      <c r="P101" s="1092"/>
      <c r="Q101" s="1092"/>
      <c r="R101" s="1092"/>
      <c r="S101" s="1125"/>
      <c r="T101" s="1125" t="s">
        <v>161</v>
      </c>
      <c r="U101" s="1092"/>
      <c r="V101" s="1092"/>
      <c r="W101" s="1125"/>
      <c r="X101" s="1092"/>
      <c r="Y101" s="1127" t="s">
        <v>928</v>
      </c>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2:54" ht="36" customHeight="1" x14ac:dyDescent="0.2">
      <c r="B102" s="501" t="s">
        <v>192</v>
      </c>
      <c r="C102" s="1165" t="s">
        <v>361</v>
      </c>
      <c r="D102" s="1166" t="s">
        <v>251</v>
      </c>
      <c r="E102" s="1125" t="s">
        <v>136</v>
      </c>
      <c r="F102" s="1125" t="s">
        <v>136</v>
      </c>
      <c r="G102" s="1125"/>
      <c r="H102" s="1092" t="s">
        <v>137</v>
      </c>
      <c r="I102" s="1092"/>
      <c r="J102" s="1092"/>
      <c r="K102" s="1125"/>
      <c r="L102" s="1125"/>
      <c r="M102" s="1125"/>
      <c r="N102" s="1125"/>
      <c r="O102" s="1092"/>
      <c r="P102" s="1092"/>
      <c r="Q102" s="1092"/>
      <c r="R102" s="1092"/>
      <c r="S102" s="1125" t="s">
        <v>2039</v>
      </c>
      <c r="T102" s="1125" t="s">
        <v>2039</v>
      </c>
      <c r="U102" s="1092"/>
      <c r="V102" s="1092"/>
      <c r="W102" s="1125"/>
      <c r="X102" s="1092"/>
      <c r="Y102" s="1127" t="s">
        <v>2041</v>
      </c>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2:54" ht="25.2" customHeight="1" x14ac:dyDescent="0.2">
      <c r="B103" s="501" t="s">
        <v>193</v>
      </c>
      <c r="C103" s="1169" t="s">
        <v>105</v>
      </c>
      <c r="D103" s="1170" t="s">
        <v>142</v>
      </c>
      <c r="E103" s="1125" t="s">
        <v>136</v>
      </c>
      <c r="F103" s="1125" t="s">
        <v>136</v>
      </c>
      <c r="G103" s="1125"/>
      <c r="H103" s="1092" t="s">
        <v>137</v>
      </c>
      <c r="I103" s="1092"/>
      <c r="J103" s="1092"/>
      <c r="K103" s="1125"/>
      <c r="L103" s="1125"/>
      <c r="M103" s="1125"/>
      <c r="N103" s="1125"/>
      <c r="O103" s="1092"/>
      <c r="P103" s="1092"/>
      <c r="Q103" s="1092"/>
      <c r="R103" s="1092"/>
      <c r="S103" s="1125"/>
      <c r="T103" s="1125"/>
      <c r="U103" s="1092"/>
      <c r="V103" s="1092"/>
      <c r="W103" s="1125"/>
      <c r="X103" s="1092"/>
      <c r="Y103" s="1127" t="s">
        <v>1051</v>
      </c>
      <c r="AB103" s="90"/>
      <c r="AC103" s="90"/>
      <c r="AD103" s="94"/>
      <c r="AE103" s="94"/>
      <c r="AF103" s="94"/>
      <c r="AG103" s="94"/>
      <c r="AH103" s="94"/>
      <c r="AI103" s="94"/>
      <c r="AJ103" s="1288"/>
      <c r="AK103" s="1288"/>
      <c r="AL103" s="1288"/>
      <c r="AM103" s="1288"/>
      <c r="AN103" s="1288"/>
      <c r="AO103" s="1288"/>
      <c r="AP103" s="1288"/>
      <c r="AQ103" s="1288"/>
      <c r="AR103" s="94"/>
      <c r="AS103" s="94"/>
      <c r="AT103" s="94"/>
      <c r="AU103" s="1288"/>
      <c r="AV103" s="1288"/>
      <c r="AW103" s="1288"/>
      <c r="AX103" s="1288"/>
    </row>
    <row r="104" spans="2:54" ht="25.2" customHeight="1" x14ac:dyDescent="0.2">
      <c r="B104" s="501" t="s">
        <v>194</v>
      </c>
      <c r="C104" s="1169" t="s">
        <v>90</v>
      </c>
      <c r="D104" s="1170" t="s">
        <v>142</v>
      </c>
      <c r="E104" s="1125" t="s">
        <v>136</v>
      </c>
      <c r="F104" s="1125" t="s">
        <v>136</v>
      </c>
      <c r="G104" s="1125"/>
      <c r="H104" s="1092" t="s">
        <v>137</v>
      </c>
      <c r="I104" s="1092"/>
      <c r="J104" s="1092"/>
      <c r="K104" s="1125"/>
      <c r="L104" s="1125"/>
      <c r="M104" s="1125"/>
      <c r="N104" s="1125"/>
      <c r="O104" s="1092"/>
      <c r="P104" s="1092"/>
      <c r="Q104" s="1125"/>
      <c r="R104" s="1092"/>
      <c r="S104" s="1125"/>
      <c r="T104" s="1125"/>
      <c r="U104" s="1092"/>
      <c r="V104" s="1092"/>
      <c r="W104" s="1125"/>
      <c r="X104" s="1092"/>
      <c r="Y104" s="1127" t="s">
        <v>928</v>
      </c>
      <c r="AB104" s="90"/>
      <c r="AC104" s="90"/>
      <c r="AD104" s="94"/>
      <c r="AE104" s="94"/>
      <c r="AF104" s="94"/>
      <c r="AG104" s="94"/>
      <c r="AH104" s="94"/>
      <c r="AI104" s="94"/>
      <c r="AJ104" s="1288"/>
      <c r="AK104" s="1288"/>
      <c r="AL104" s="1288"/>
      <c r="AM104" s="1288"/>
      <c r="AN104" s="1288"/>
      <c r="AO104" s="1288"/>
      <c r="AP104" s="1288"/>
      <c r="AQ104" s="1288"/>
      <c r="AR104" s="94"/>
      <c r="AS104" s="94"/>
      <c r="AT104" s="94"/>
      <c r="AU104" s="1288"/>
      <c r="AV104" s="1288"/>
      <c r="AW104" s="1288"/>
      <c r="AX104" s="1288"/>
    </row>
    <row r="105" spans="2:54" s="542" customFormat="1" ht="25.2" customHeight="1" x14ac:dyDescent="0.2">
      <c r="B105" s="501" t="s">
        <v>195</v>
      </c>
      <c r="C105" s="1225" t="s">
        <v>106</v>
      </c>
      <c r="D105" s="1226" t="s">
        <v>142</v>
      </c>
      <c r="E105" s="1227" t="s">
        <v>161</v>
      </c>
      <c r="F105" s="1227" t="s">
        <v>161</v>
      </c>
      <c r="G105" s="1227"/>
      <c r="H105" s="1228"/>
      <c r="I105" s="1229"/>
      <c r="J105" s="1230"/>
      <c r="K105" s="1229"/>
      <c r="L105" s="1229"/>
      <c r="M105" s="1229"/>
      <c r="N105" s="1229"/>
      <c r="O105" s="1230"/>
      <c r="P105" s="1230"/>
      <c r="Q105" s="1229"/>
      <c r="R105" s="1230"/>
      <c r="S105" s="1229"/>
      <c r="T105" s="1229"/>
      <c r="U105" s="1229"/>
      <c r="V105" s="1229"/>
      <c r="W105" s="1229"/>
      <c r="X105" s="1230"/>
      <c r="Y105" s="1230"/>
      <c r="AH105" s="1038"/>
      <c r="AI105" s="1038"/>
      <c r="AJ105" s="1038"/>
      <c r="AK105" s="1038"/>
      <c r="AL105" s="1038"/>
      <c r="AM105" s="1038"/>
      <c r="AN105" s="1038"/>
      <c r="AO105" s="1038"/>
      <c r="AP105" s="1038"/>
      <c r="AQ105" s="1038"/>
      <c r="AR105" s="1038"/>
      <c r="AS105" s="1038"/>
      <c r="AT105" s="1038"/>
      <c r="AU105" s="1038"/>
      <c r="AV105" s="1038"/>
      <c r="AW105" s="1038"/>
      <c r="AX105" s="1038"/>
      <c r="AY105" s="1038"/>
      <c r="AZ105" s="1038"/>
      <c r="BA105" s="1292"/>
      <c r="BB105" s="1292"/>
    </row>
    <row r="106" spans="2:54" ht="25.2" customHeight="1" x14ac:dyDescent="0.2">
      <c r="B106" s="501" t="s">
        <v>196</v>
      </c>
      <c r="C106" s="1169" t="s">
        <v>91</v>
      </c>
      <c r="D106" s="1170" t="s">
        <v>252</v>
      </c>
      <c r="E106" s="1125" t="s">
        <v>161</v>
      </c>
      <c r="F106" s="1125" t="s">
        <v>217</v>
      </c>
      <c r="G106" s="1125"/>
      <c r="H106" s="1092" t="s">
        <v>162</v>
      </c>
      <c r="I106" s="1092"/>
      <c r="J106" s="1092"/>
      <c r="K106" s="1125"/>
      <c r="L106" s="1125"/>
      <c r="M106" s="1125"/>
      <c r="N106" s="1125"/>
      <c r="O106" s="1092"/>
      <c r="P106" s="1092"/>
      <c r="Q106" s="1125"/>
      <c r="R106" s="1092"/>
      <c r="S106" s="1125"/>
      <c r="T106" s="1125"/>
      <c r="U106" s="1092"/>
      <c r="V106" s="1092"/>
      <c r="W106" s="1125"/>
      <c r="X106" s="1092"/>
      <c r="Y106" s="1127" t="s">
        <v>1053</v>
      </c>
      <c r="AB106" s="90"/>
      <c r="AC106" s="90"/>
      <c r="AD106" s="94"/>
      <c r="AE106" s="94"/>
      <c r="AF106" s="94"/>
      <c r="AG106" s="94"/>
      <c r="AH106" s="94"/>
      <c r="AI106" s="94"/>
      <c r="AJ106" s="1288"/>
      <c r="AK106" s="1288"/>
      <c r="AL106" s="1288"/>
      <c r="AM106" s="1288"/>
      <c r="AN106" s="1288"/>
      <c r="AO106" s="1288"/>
      <c r="AP106" s="1288"/>
      <c r="AQ106" s="1288"/>
      <c r="AR106" s="94"/>
      <c r="AS106" s="94"/>
      <c r="AT106" s="94"/>
      <c r="AU106" s="1288"/>
      <c r="AV106" s="1288"/>
      <c r="AW106" s="1288"/>
      <c r="AX106" s="1288"/>
    </row>
    <row r="107" spans="2:54" ht="25.2" customHeight="1" x14ac:dyDescent="0.2">
      <c r="B107" s="501" t="s">
        <v>197</v>
      </c>
      <c r="C107" s="1169" t="s">
        <v>1819</v>
      </c>
      <c r="D107" s="1170" t="s">
        <v>142</v>
      </c>
      <c r="E107" s="1125" t="s">
        <v>136</v>
      </c>
      <c r="F107" s="1125" t="s">
        <v>136</v>
      </c>
      <c r="G107" s="1125"/>
      <c r="H107" s="1092"/>
      <c r="I107" s="1092"/>
      <c r="J107" s="1092"/>
      <c r="K107" s="1125"/>
      <c r="L107" s="1125"/>
      <c r="M107" s="1125"/>
      <c r="N107" s="1125"/>
      <c r="O107" s="1092"/>
      <c r="P107" s="1092"/>
      <c r="Q107" s="1125"/>
      <c r="R107" s="1092"/>
      <c r="S107" s="1125"/>
      <c r="T107" s="1125"/>
      <c r="U107" s="1092"/>
      <c r="V107" s="1092"/>
      <c r="W107" s="1125"/>
      <c r="X107" s="1092"/>
      <c r="Y107" s="1127"/>
      <c r="AB107" s="90"/>
      <c r="AC107" s="90"/>
      <c r="AD107" s="94"/>
      <c r="AE107" s="94"/>
      <c r="AF107" s="94"/>
      <c r="AG107" s="94"/>
      <c r="AH107" s="94"/>
      <c r="AI107" s="94"/>
      <c r="AJ107" s="94"/>
      <c r="AK107" s="94"/>
      <c r="AL107" s="94"/>
      <c r="AM107" s="94"/>
      <c r="AN107" s="94"/>
      <c r="AO107" s="94"/>
      <c r="AP107" s="94"/>
      <c r="AQ107" s="94"/>
      <c r="AR107" s="94"/>
      <c r="AS107" s="94"/>
      <c r="AT107" s="94"/>
      <c r="AU107" s="94"/>
      <c r="AV107" s="94"/>
      <c r="AW107" s="94"/>
      <c r="AX107" s="94"/>
    </row>
    <row r="108" spans="2:54" ht="25.2" customHeight="1" x14ac:dyDescent="0.2">
      <c r="B108" s="501" t="s">
        <v>198</v>
      </c>
      <c r="C108" s="1169" t="s">
        <v>1850</v>
      </c>
      <c r="D108" s="1170" t="s">
        <v>142</v>
      </c>
      <c r="E108" s="1125" t="s">
        <v>136</v>
      </c>
      <c r="F108" s="1125" t="s">
        <v>136</v>
      </c>
      <c r="G108" s="1125"/>
      <c r="H108" s="1092"/>
      <c r="I108" s="1092"/>
      <c r="J108" s="1092"/>
      <c r="K108" s="1125"/>
      <c r="L108" s="1125"/>
      <c r="M108" s="1125"/>
      <c r="N108" s="1125"/>
      <c r="O108" s="1092"/>
      <c r="P108" s="1092"/>
      <c r="Q108" s="1125"/>
      <c r="R108" s="1092"/>
      <c r="S108" s="1125"/>
      <c r="T108" s="1125"/>
      <c r="U108" s="1092"/>
      <c r="V108" s="1092"/>
      <c r="W108" s="1125"/>
      <c r="X108" s="1092"/>
      <c r="Y108" s="1127"/>
      <c r="AB108" s="90"/>
      <c r="AC108" s="90"/>
      <c r="AD108" s="94"/>
      <c r="AE108" s="94"/>
      <c r="AF108" s="94"/>
      <c r="AG108" s="94"/>
      <c r="AH108" s="94"/>
      <c r="AI108" s="94"/>
      <c r="AJ108" s="94"/>
      <c r="AK108" s="94"/>
      <c r="AL108" s="94"/>
      <c r="AM108" s="94"/>
      <c r="AN108" s="94"/>
      <c r="AO108" s="94"/>
      <c r="AP108" s="94"/>
      <c r="AQ108" s="94"/>
      <c r="AR108" s="94"/>
      <c r="AS108" s="94"/>
      <c r="AT108" s="94"/>
      <c r="AU108" s="94"/>
      <c r="AV108" s="94"/>
      <c r="AW108" s="94"/>
      <c r="AX108" s="94"/>
    </row>
    <row r="109" spans="2:54" ht="25.2" customHeight="1" x14ac:dyDescent="0.2">
      <c r="B109" s="501" t="s">
        <v>199</v>
      </c>
      <c r="C109" s="1169" t="s">
        <v>246</v>
      </c>
      <c r="D109" s="1170" t="s">
        <v>142</v>
      </c>
      <c r="E109" s="1125" t="s">
        <v>136</v>
      </c>
      <c r="F109" s="1125" t="s">
        <v>136</v>
      </c>
      <c r="G109" s="1125"/>
      <c r="H109" s="1092"/>
      <c r="I109" s="1092"/>
      <c r="J109" s="1092"/>
      <c r="K109" s="1125"/>
      <c r="L109" s="1125"/>
      <c r="M109" s="1125"/>
      <c r="N109" s="1125"/>
      <c r="O109" s="1092"/>
      <c r="P109" s="1092"/>
      <c r="Q109" s="1125"/>
      <c r="R109" s="1092"/>
      <c r="S109" s="1125"/>
      <c r="T109" s="1125"/>
      <c r="U109" s="1092"/>
      <c r="V109" s="1092"/>
      <c r="W109" s="1125"/>
      <c r="X109" s="1092"/>
      <c r="Y109" s="1127" t="s">
        <v>1940</v>
      </c>
      <c r="AB109" s="90"/>
      <c r="AC109" s="90"/>
      <c r="AD109" s="94"/>
      <c r="AE109" s="94"/>
      <c r="AF109" s="94"/>
      <c r="AG109" s="94"/>
      <c r="AH109" s="94"/>
      <c r="AI109" s="94"/>
      <c r="AJ109" s="94"/>
      <c r="AK109" s="94"/>
      <c r="AL109" s="94"/>
      <c r="AM109" s="94"/>
      <c r="AN109" s="94"/>
      <c r="AO109" s="94"/>
      <c r="AP109" s="94"/>
      <c r="AQ109" s="94"/>
      <c r="AR109" s="94"/>
      <c r="AS109" s="94"/>
      <c r="AT109" s="94"/>
      <c r="AU109" s="94"/>
      <c r="AV109" s="94"/>
      <c r="AW109" s="94"/>
      <c r="AX109" s="94"/>
    </row>
    <row r="110" spans="2:54" ht="25.2" customHeight="1" x14ac:dyDescent="0.2">
      <c r="B110" s="501" t="s">
        <v>200</v>
      </c>
      <c r="C110" s="1169" t="s">
        <v>248</v>
      </c>
      <c r="D110" s="1170" t="s">
        <v>142</v>
      </c>
      <c r="E110" s="1125" t="s">
        <v>136</v>
      </c>
      <c r="F110" s="1125" t="s">
        <v>136</v>
      </c>
      <c r="G110" s="1125"/>
      <c r="H110" s="1092"/>
      <c r="I110" s="1092"/>
      <c r="J110" s="1092"/>
      <c r="K110" s="1125"/>
      <c r="L110" s="1125"/>
      <c r="M110" s="1125"/>
      <c r="N110" s="1125"/>
      <c r="O110" s="1092"/>
      <c r="P110" s="1092"/>
      <c r="Q110" s="1125"/>
      <c r="R110" s="1092"/>
      <c r="S110" s="1125"/>
      <c r="T110" s="1125"/>
      <c r="U110" s="1092"/>
      <c r="V110" s="1092"/>
      <c r="W110" s="1125"/>
      <c r="X110" s="1092"/>
      <c r="Y110" s="1127" t="s">
        <v>1940</v>
      </c>
      <c r="AB110" s="90"/>
      <c r="AC110" s="90"/>
      <c r="AD110" s="94"/>
      <c r="AE110" s="94"/>
      <c r="AF110" s="94"/>
      <c r="AG110" s="94"/>
      <c r="AH110" s="94"/>
      <c r="AI110" s="94"/>
      <c r="AJ110" s="94"/>
      <c r="AK110" s="94"/>
      <c r="AL110" s="94"/>
      <c r="AM110" s="94"/>
      <c r="AN110" s="94"/>
      <c r="AO110" s="94"/>
      <c r="AP110" s="94"/>
      <c r="AQ110" s="94"/>
      <c r="AR110" s="94"/>
      <c r="AS110" s="94"/>
      <c r="AT110" s="94"/>
      <c r="AU110" s="94"/>
      <c r="AV110" s="94"/>
      <c r="AW110" s="94"/>
      <c r="AX110" s="94"/>
    </row>
    <row r="111" spans="2:54" ht="25.2" customHeight="1" x14ac:dyDescent="0.2">
      <c r="B111" s="501" t="s">
        <v>201</v>
      </c>
      <c r="C111" s="1169" t="s">
        <v>148</v>
      </c>
      <c r="D111" s="1170" t="s">
        <v>142</v>
      </c>
      <c r="E111" s="1125" t="s">
        <v>136</v>
      </c>
      <c r="F111" s="1125" t="s">
        <v>136</v>
      </c>
      <c r="G111" s="1125"/>
      <c r="H111" s="1182"/>
      <c r="I111" s="1182"/>
      <c r="J111" s="1182"/>
      <c r="K111" s="1183"/>
      <c r="L111" s="1183"/>
      <c r="M111" s="1183"/>
      <c r="N111" s="1183"/>
      <c r="O111" s="1182"/>
      <c r="P111" s="1182"/>
      <c r="Q111" s="1125"/>
      <c r="R111" s="1182"/>
      <c r="S111" s="1183"/>
      <c r="T111" s="1183"/>
      <c r="U111" s="1182"/>
      <c r="V111" s="1182"/>
      <c r="W111" s="1183"/>
      <c r="X111" s="1182"/>
      <c r="Y111" s="1127"/>
      <c r="Z111" s="1198"/>
      <c r="AA111" s="1288"/>
      <c r="AB111" s="1288"/>
      <c r="AC111" s="94"/>
      <c r="AD111" s="94"/>
      <c r="AE111" s="94"/>
      <c r="AF111" s="94"/>
      <c r="AG111" s="94"/>
      <c r="AH111" s="94"/>
      <c r="AI111" s="94"/>
      <c r="AJ111" s="1288"/>
      <c r="AK111" s="1288"/>
      <c r="AL111" s="1288"/>
      <c r="AM111" s="1288"/>
      <c r="AN111" s="1288"/>
      <c r="AO111" s="1288"/>
      <c r="AP111" s="1288"/>
      <c r="AQ111" s="1288"/>
      <c r="AR111" s="94"/>
      <c r="AS111" s="94"/>
      <c r="AT111" s="94"/>
      <c r="AU111" s="1288"/>
      <c r="AV111" s="1288"/>
      <c r="AW111" s="1288"/>
      <c r="AX111" s="1288"/>
    </row>
    <row r="112" spans="2:54" ht="25.2" customHeight="1" x14ac:dyDescent="0.2">
      <c r="B112" s="501" t="s">
        <v>202</v>
      </c>
      <c r="C112" s="1169" t="s">
        <v>112</v>
      </c>
      <c r="D112" s="1170" t="s">
        <v>142</v>
      </c>
      <c r="E112" s="1125" t="s">
        <v>136</v>
      </c>
      <c r="F112" s="1125" t="s">
        <v>136</v>
      </c>
      <c r="G112" s="1125"/>
      <c r="H112" s="1182"/>
      <c r="I112" s="1182"/>
      <c r="J112" s="1182"/>
      <c r="K112" s="1183"/>
      <c r="L112" s="1183"/>
      <c r="M112" s="1183"/>
      <c r="N112" s="1183"/>
      <c r="O112" s="1182"/>
      <c r="P112" s="1182"/>
      <c r="Q112" s="1125"/>
      <c r="R112" s="1182"/>
      <c r="S112" s="1183"/>
      <c r="T112" s="1183"/>
      <c r="U112" s="1182"/>
      <c r="V112" s="1182"/>
      <c r="W112" s="1183"/>
      <c r="X112" s="1182"/>
      <c r="Y112" s="1127" t="s">
        <v>663</v>
      </c>
      <c r="Z112" s="1198"/>
      <c r="AA112" s="1288"/>
      <c r="AB112" s="1288"/>
      <c r="AC112" s="94"/>
      <c r="AD112" s="94"/>
      <c r="AE112" s="94"/>
      <c r="AF112" s="94"/>
      <c r="AG112" s="94"/>
      <c r="AH112" s="94"/>
      <c r="AI112" s="94"/>
      <c r="AJ112" s="1288"/>
      <c r="AK112" s="1288"/>
      <c r="AL112" s="1288"/>
      <c r="AM112" s="1288"/>
      <c r="AN112" s="1288"/>
      <c r="AO112" s="1288"/>
      <c r="AP112" s="1288"/>
      <c r="AQ112" s="1288"/>
      <c r="AR112" s="94"/>
      <c r="AS112" s="94"/>
      <c r="AT112" s="94"/>
      <c r="AU112" s="1288"/>
      <c r="AV112" s="1288"/>
      <c r="AW112" s="1288"/>
      <c r="AX112" s="1288"/>
    </row>
    <row r="113" spans="2:50" ht="25.2" customHeight="1" x14ac:dyDescent="0.2">
      <c r="B113" s="501" t="s">
        <v>465</v>
      </c>
      <c r="C113" s="1169" t="s">
        <v>1941</v>
      </c>
      <c r="D113" s="1170" t="s">
        <v>142</v>
      </c>
      <c r="E113" s="1125" t="s">
        <v>136</v>
      </c>
      <c r="F113" s="1125" t="s">
        <v>136</v>
      </c>
      <c r="G113" s="1125"/>
      <c r="H113" s="1182"/>
      <c r="I113" s="1092" t="s">
        <v>161</v>
      </c>
      <c r="J113" s="1182"/>
      <c r="K113" s="1183"/>
      <c r="L113" s="1183"/>
      <c r="M113" s="1183"/>
      <c r="N113" s="1183"/>
      <c r="O113" s="1182"/>
      <c r="P113" s="1182"/>
      <c r="Q113" s="1125"/>
      <c r="R113" s="1182"/>
      <c r="S113" s="1183"/>
      <c r="T113" s="1183"/>
      <c r="U113" s="1182"/>
      <c r="V113" s="1182"/>
      <c r="W113" s="1183"/>
      <c r="X113" s="1182"/>
      <c r="Y113" s="1127" t="s">
        <v>2042</v>
      </c>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row>
    <row r="114" spans="2:50" ht="25.2" customHeight="1" x14ac:dyDescent="0.2">
      <c r="B114" s="501" t="s">
        <v>466</v>
      </c>
      <c r="C114" s="1169" t="s">
        <v>107</v>
      </c>
      <c r="D114" s="1170" t="s">
        <v>142</v>
      </c>
      <c r="E114" s="1125" t="s">
        <v>136</v>
      </c>
      <c r="F114" s="1125" t="s">
        <v>136</v>
      </c>
      <c r="G114" s="1125"/>
      <c r="H114" s="1092"/>
      <c r="I114" s="1092"/>
      <c r="J114" s="1092"/>
      <c r="K114" s="1125"/>
      <c r="L114" s="1125"/>
      <c r="M114" s="1125"/>
      <c r="N114" s="1125"/>
      <c r="O114" s="1092"/>
      <c r="P114" s="1092"/>
      <c r="Q114" s="1125"/>
      <c r="R114" s="1092"/>
      <c r="S114" s="1125"/>
      <c r="T114" s="1125"/>
      <c r="U114" s="1092"/>
      <c r="V114" s="1092"/>
      <c r="W114" s="1125"/>
      <c r="X114" s="1092"/>
      <c r="Y114" s="1127" t="s">
        <v>1036</v>
      </c>
      <c r="Z114" s="1198"/>
      <c r="AA114" s="1288"/>
      <c r="AB114" s="1288"/>
      <c r="AC114" s="94"/>
      <c r="AD114" s="94"/>
      <c r="AE114" s="94"/>
      <c r="AF114" s="94"/>
      <c r="AG114" s="94"/>
      <c r="AH114" s="94"/>
      <c r="AI114" s="94"/>
      <c r="AJ114" s="1288"/>
      <c r="AK114" s="1288"/>
      <c r="AL114" s="1288"/>
      <c r="AM114" s="1288"/>
      <c r="AN114" s="1288"/>
      <c r="AO114" s="1288"/>
      <c r="AP114" s="1288"/>
      <c r="AQ114" s="1288"/>
      <c r="AR114" s="94"/>
      <c r="AS114" s="94"/>
      <c r="AT114" s="94"/>
      <c r="AU114" s="1288"/>
      <c r="AV114" s="1288"/>
      <c r="AW114" s="1288"/>
      <c r="AX114" s="1288"/>
    </row>
    <row r="115" spans="2:50" ht="25.2" customHeight="1" x14ac:dyDescent="0.2">
      <c r="B115" s="501" t="s">
        <v>467</v>
      </c>
      <c r="C115" s="1169" t="s">
        <v>141</v>
      </c>
      <c r="D115" s="1170" t="s">
        <v>142</v>
      </c>
      <c r="E115" s="1125" t="s">
        <v>136</v>
      </c>
      <c r="F115" s="1125" t="s">
        <v>136</v>
      </c>
      <c r="G115" s="1125"/>
      <c r="H115" s="1092"/>
      <c r="I115" s="1092"/>
      <c r="J115" s="1092" t="s">
        <v>161</v>
      </c>
      <c r="K115" s="1125"/>
      <c r="L115" s="1125"/>
      <c r="M115" s="1125"/>
      <c r="N115" s="1125"/>
      <c r="O115" s="1092"/>
      <c r="P115" s="1092"/>
      <c r="Q115" s="1125"/>
      <c r="R115" s="1092"/>
      <c r="S115" s="1125"/>
      <c r="T115" s="1125"/>
      <c r="U115" s="1092"/>
      <c r="V115" s="1092"/>
      <c r="W115" s="1125"/>
      <c r="X115" s="1092"/>
      <c r="Y115" s="1127" t="s">
        <v>1037</v>
      </c>
      <c r="Z115" s="1198"/>
      <c r="AA115" s="1288"/>
      <c r="AB115" s="1288"/>
      <c r="AC115" s="94"/>
      <c r="AD115" s="94"/>
      <c r="AE115" s="94"/>
      <c r="AF115" s="94"/>
      <c r="AG115" s="94"/>
      <c r="AH115" s="94"/>
      <c r="AI115" s="94"/>
      <c r="AJ115" s="1288"/>
      <c r="AK115" s="1288"/>
      <c r="AL115" s="1288"/>
      <c r="AM115" s="1288"/>
      <c r="AN115" s="1288"/>
      <c r="AO115" s="1288"/>
      <c r="AP115" s="1288"/>
      <c r="AQ115" s="1288"/>
      <c r="AR115" s="94"/>
      <c r="AS115" s="94"/>
      <c r="AT115" s="94"/>
      <c r="AU115" s="1288"/>
      <c r="AV115" s="1288"/>
      <c r="AW115" s="1288"/>
      <c r="AX115" s="1288"/>
    </row>
    <row r="116" spans="2:50" ht="25.2" customHeight="1" x14ac:dyDescent="0.2">
      <c r="B116" s="501" t="s">
        <v>778</v>
      </c>
      <c r="C116" s="1169" t="s">
        <v>244</v>
      </c>
      <c r="D116" s="1170" t="s">
        <v>142</v>
      </c>
      <c r="E116" s="1125" t="s">
        <v>136</v>
      </c>
      <c r="F116" s="1125" t="s">
        <v>136</v>
      </c>
      <c r="G116" s="1125"/>
      <c r="H116" s="1092" t="s">
        <v>162</v>
      </c>
      <c r="I116" s="1092"/>
      <c r="J116" s="1092"/>
      <c r="K116" s="1125"/>
      <c r="L116" s="1125"/>
      <c r="M116" s="1125"/>
      <c r="N116" s="1125"/>
      <c r="O116" s="1092"/>
      <c r="P116" s="1092"/>
      <c r="Q116" s="1125"/>
      <c r="R116" s="1092"/>
      <c r="S116" s="1125"/>
      <c r="T116" s="1125"/>
      <c r="U116" s="1092" t="s">
        <v>362</v>
      </c>
      <c r="V116" s="1092"/>
      <c r="W116" s="1125"/>
      <c r="X116" s="1092"/>
      <c r="Y116" s="1127" t="s">
        <v>662</v>
      </c>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row>
    <row r="117" spans="2:50" ht="25.2" customHeight="1" x14ac:dyDescent="0.2">
      <c r="B117" s="501" t="s">
        <v>779</v>
      </c>
      <c r="C117" s="321" t="s">
        <v>1046</v>
      </c>
      <c r="D117" s="322" t="s">
        <v>241</v>
      </c>
      <c r="E117" s="323" t="s">
        <v>161</v>
      </c>
      <c r="F117" s="323" t="s">
        <v>161</v>
      </c>
      <c r="G117" s="323"/>
      <c r="H117" s="324"/>
      <c r="I117" s="324"/>
      <c r="J117" s="324"/>
      <c r="K117" s="323"/>
      <c r="L117" s="323"/>
      <c r="M117" s="323"/>
      <c r="N117" s="323"/>
      <c r="O117" s="324"/>
      <c r="P117" s="324"/>
      <c r="Q117" s="1115"/>
      <c r="R117" s="324"/>
      <c r="S117" s="323"/>
      <c r="T117" s="323"/>
      <c r="U117" s="324"/>
      <c r="V117" s="324"/>
      <c r="W117" s="323"/>
      <c r="X117" s="324"/>
      <c r="Y117" s="325" t="s">
        <v>767</v>
      </c>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2:50" ht="25.2" customHeight="1" x14ac:dyDescent="0.2">
      <c r="B118" s="501" t="s">
        <v>780</v>
      </c>
      <c r="C118" s="321" t="s">
        <v>1047</v>
      </c>
      <c r="D118" s="322" t="s">
        <v>241</v>
      </c>
      <c r="E118" s="323" t="s">
        <v>161</v>
      </c>
      <c r="F118" s="323" t="s">
        <v>161</v>
      </c>
      <c r="G118" s="323"/>
      <c r="H118" s="1092" t="s">
        <v>137</v>
      </c>
      <c r="I118" s="324"/>
      <c r="J118" s="324"/>
      <c r="K118" s="323"/>
      <c r="L118" s="323"/>
      <c r="M118" s="323"/>
      <c r="N118" s="323"/>
      <c r="O118" s="324"/>
      <c r="P118" s="324"/>
      <c r="Q118" s="1115"/>
      <c r="R118" s="324"/>
      <c r="S118" s="323"/>
      <c r="T118" s="323"/>
      <c r="U118" s="324"/>
      <c r="V118" s="324"/>
      <c r="W118" s="323"/>
      <c r="X118" s="324"/>
      <c r="Y118" s="325" t="s">
        <v>767</v>
      </c>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2:50" ht="25.2" customHeight="1" x14ac:dyDescent="0.2">
      <c r="B119" s="501" t="s">
        <v>781</v>
      </c>
      <c r="C119" s="321" t="s">
        <v>1048</v>
      </c>
      <c r="D119" s="322" t="s">
        <v>241</v>
      </c>
      <c r="E119" s="323" t="s">
        <v>161</v>
      </c>
      <c r="F119" s="323" t="s">
        <v>161</v>
      </c>
      <c r="G119" s="323"/>
      <c r="H119" s="1092" t="s">
        <v>137</v>
      </c>
      <c r="I119" s="324"/>
      <c r="J119" s="324"/>
      <c r="K119" s="323"/>
      <c r="L119" s="323"/>
      <c r="M119" s="323"/>
      <c r="N119" s="323"/>
      <c r="O119" s="324"/>
      <c r="P119" s="324"/>
      <c r="Q119" s="1115"/>
      <c r="R119" s="324"/>
      <c r="S119" s="323"/>
      <c r="T119" s="323"/>
      <c r="U119" s="324"/>
      <c r="V119" s="324"/>
      <c r="W119" s="323"/>
      <c r="X119" s="324"/>
      <c r="Y119" s="325" t="s">
        <v>767</v>
      </c>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2:50" ht="25.2" customHeight="1" x14ac:dyDescent="0.2">
      <c r="B120" s="501" t="s">
        <v>782</v>
      </c>
      <c r="C120" s="321" t="s">
        <v>1049</v>
      </c>
      <c r="D120" s="322" t="s">
        <v>242</v>
      </c>
      <c r="E120" s="323" t="s">
        <v>161</v>
      </c>
      <c r="F120" s="323" t="s">
        <v>161</v>
      </c>
      <c r="G120" s="323"/>
      <c r="H120" s="1092" t="s">
        <v>162</v>
      </c>
      <c r="I120" s="324"/>
      <c r="J120" s="324"/>
      <c r="K120" s="323"/>
      <c r="L120" s="323"/>
      <c r="M120" s="323"/>
      <c r="N120" s="323"/>
      <c r="O120" s="324"/>
      <c r="P120" s="324"/>
      <c r="Q120" s="1115"/>
      <c r="R120" s="324"/>
      <c r="S120" s="323"/>
      <c r="T120" s="323"/>
      <c r="U120" s="324"/>
      <c r="V120" s="324"/>
      <c r="W120" s="323"/>
      <c r="X120" s="324"/>
      <c r="Y120" s="325" t="s">
        <v>767</v>
      </c>
      <c r="AD120" s="90"/>
      <c r="AE120" s="90"/>
      <c r="AF120" s="90"/>
      <c r="AG120" s="90"/>
      <c r="AH120" s="90"/>
      <c r="AI120" s="90"/>
      <c r="AJ120" s="90"/>
      <c r="AK120" s="90"/>
      <c r="AL120" s="90"/>
      <c r="AM120" s="90"/>
      <c r="AN120" s="1287"/>
      <c r="AO120" s="1287"/>
      <c r="AP120" s="1287"/>
      <c r="AQ120" s="1287"/>
      <c r="AR120" s="90"/>
      <c r="AS120" s="90"/>
      <c r="AT120" s="90"/>
      <c r="AU120" s="1287"/>
      <c r="AV120" s="1287"/>
      <c r="AW120" s="1287"/>
      <c r="AX120" s="1287"/>
    </row>
    <row r="121" spans="2:50" ht="25.2" customHeight="1" x14ac:dyDescent="0.2">
      <c r="B121" s="501" t="s">
        <v>783</v>
      </c>
      <c r="C121" s="321" t="s">
        <v>768</v>
      </c>
      <c r="D121" s="322" t="s">
        <v>242</v>
      </c>
      <c r="E121" s="323" t="s">
        <v>161</v>
      </c>
      <c r="F121" s="323" t="s">
        <v>161</v>
      </c>
      <c r="G121" s="323"/>
      <c r="H121" s="324" t="s">
        <v>162</v>
      </c>
      <c r="I121" s="324"/>
      <c r="J121" s="324"/>
      <c r="K121" s="323"/>
      <c r="L121" s="323"/>
      <c r="M121" s="323"/>
      <c r="N121" s="323"/>
      <c r="O121" s="324"/>
      <c r="P121" s="324"/>
      <c r="Q121" s="1050"/>
      <c r="R121" s="324"/>
      <c r="S121" s="323"/>
      <c r="T121" s="323"/>
      <c r="U121" s="324"/>
      <c r="V121" s="324"/>
      <c r="W121" s="323"/>
      <c r="X121" s="324"/>
      <c r="Y121" s="325" t="s">
        <v>767</v>
      </c>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2:50" ht="25.2" customHeight="1" x14ac:dyDescent="0.2">
      <c r="B122" s="501" t="s">
        <v>812</v>
      </c>
      <c r="C122" s="321" t="s">
        <v>769</v>
      </c>
      <c r="D122" s="322" t="s">
        <v>242</v>
      </c>
      <c r="E122" s="323" t="s">
        <v>161</v>
      </c>
      <c r="F122" s="323" t="s">
        <v>161</v>
      </c>
      <c r="G122" s="323"/>
      <c r="H122" s="324" t="s">
        <v>162</v>
      </c>
      <c r="I122" s="324"/>
      <c r="J122" s="324"/>
      <c r="K122" s="323"/>
      <c r="L122" s="323"/>
      <c r="M122" s="323"/>
      <c r="N122" s="323"/>
      <c r="O122" s="324"/>
      <c r="P122" s="324"/>
      <c r="Q122" s="1050"/>
      <c r="R122" s="324"/>
      <c r="S122" s="323"/>
      <c r="T122" s="323"/>
      <c r="U122" s="324"/>
      <c r="V122" s="324"/>
      <c r="W122" s="323"/>
      <c r="X122" s="324"/>
      <c r="Y122" s="325" t="s">
        <v>767</v>
      </c>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2:50" ht="25.2" customHeight="1" x14ac:dyDescent="0.2">
      <c r="B123" s="501" t="s">
        <v>1964</v>
      </c>
      <c r="C123" s="321" t="s">
        <v>770</v>
      </c>
      <c r="D123" s="322" t="s">
        <v>242</v>
      </c>
      <c r="E123" s="323" t="s">
        <v>161</v>
      </c>
      <c r="F123" s="323" t="s">
        <v>161</v>
      </c>
      <c r="G123" s="323"/>
      <c r="H123" s="324" t="s">
        <v>162</v>
      </c>
      <c r="I123" s="324"/>
      <c r="J123" s="324"/>
      <c r="K123" s="323"/>
      <c r="L123" s="323"/>
      <c r="M123" s="323"/>
      <c r="N123" s="323"/>
      <c r="O123" s="324"/>
      <c r="P123" s="324"/>
      <c r="Q123" s="1050"/>
      <c r="R123" s="324"/>
      <c r="S123" s="323"/>
      <c r="T123" s="323"/>
      <c r="U123" s="324"/>
      <c r="V123" s="324"/>
      <c r="W123" s="323"/>
      <c r="X123" s="324"/>
      <c r="Y123" s="325" t="s">
        <v>767</v>
      </c>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2:50" ht="25.2" customHeight="1" x14ac:dyDescent="0.2">
      <c r="B124" s="501" t="s">
        <v>1965</v>
      </c>
      <c r="C124" s="321" t="s">
        <v>771</v>
      </c>
      <c r="D124" s="322" t="s">
        <v>242</v>
      </c>
      <c r="E124" s="323" t="s">
        <v>161</v>
      </c>
      <c r="F124" s="323" t="s">
        <v>161</v>
      </c>
      <c r="G124" s="323"/>
      <c r="H124" s="324"/>
      <c r="I124" s="324"/>
      <c r="J124" s="324"/>
      <c r="K124" s="323"/>
      <c r="L124" s="323"/>
      <c r="M124" s="323"/>
      <c r="N124" s="323"/>
      <c r="O124" s="324"/>
      <c r="P124" s="324"/>
      <c r="Q124" s="1087"/>
      <c r="R124" s="324"/>
      <c r="S124" s="323"/>
      <c r="T124" s="323"/>
      <c r="U124" s="324"/>
      <c r="V124" s="324"/>
      <c r="W124" s="323"/>
      <c r="X124" s="324"/>
      <c r="Y124" s="1127" t="s">
        <v>767</v>
      </c>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2:50" ht="96" x14ac:dyDescent="0.2">
      <c r="B125" s="1302" t="s">
        <v>1966</v>
      </c>
      <c r="C125" s="1299" t="s">
        <v>1963</v>
      </c>
      <c r="D125" s="1299" t="s">
        <v>142</v>
      </c>
      <c r="E125" s="1293" t="s">
        <v>136</v>
      </c>
      <c r="F125" s="1293" t="s">
        <v>136</v>
      </c>
      <c r="G125" s="1289"/>
      <c r="H125" s="1289"/>
      <c r="I125" s="1289"/>
      <c r="J125" s="1289"/>
      <c r="K125" s="1289"/>
      <c r="L125" s="1289"/>
      <c r="M125" s="1289"/>
      <c r="N125" s="1289"/>
      <c r="O125" s="1289"/>
      <c r="P125" s="1289"/>
      <c r="Q125" s="1289"/>
      <c r="R125" s="1293" t="s">
        <v>161</v>
      </c>
      <c r="S125" s="1289"/>
      <c r="T125" s="1289"/>
      <c r="U125" s="1289"/>
      <c r="V125" s="1289"/>
      <c r="W125" s="1289"/>
      <c r="X125" s="1289"/>
      <c r="Y125" s="1242" t="s">
        <v>2081</v>
      </c>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2:50" ht="17.399999999999999" customHeight="1" x14ac:dyDescent="0.2">
      <c r="B126" s="1303"/>
      <c r="C126" s="1300"/>
      <c r="D126" s="1300"/>
      <c r="E126" s="1294"/>
      <c r="F126" s="1294"/>
      <c r="G126" s="1290"/>
      <c r="H126" s="1290"/>
      <c r="I126" s="1290"/>
      <c r="J126" s="1290"/>
      <c r="K126" s="1290"/>
      <c r="L126" s="1290"/>
      <c r="M126" s="1290"/>
      <c r="N126" s="1290"/>
      <c r="O126" s="1290"/>
      <c r="P126" s="1290"/>
      <c r="Q126" s="1290"/>
      <c r="R126" s="1294"/>
      <c r="S126" s="1290"/>
      <c r="T126" s="1290"/>
      <c r="U126" s="1290"/>
      <c r="V126" s="1290"/>
      <c r="W126" s="1290"/>
      <c r="X126" s="1290"/>
      <c r="Y126" s="1243" t="s">
        <v>2062</v>
      </c>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2:50" ht="17.399999999999999" customHeight="1" x14ac:dyDescent="0.2">
      <c r="B127" s="1303"/>
      <c r="C127" s="1300"/>
      <c r="D127" s="1300"/>
      <c r="E127" s="1294"/>
      <c r="F127" s="1294"/>
      <c r="G127" s="1290"/>
      <c r="H127" s="1290"/>
      <c r="I127" s="1290"/>
      <c r="J127" s="1290"/>
      <c r="K127" s="1290"/>
      <c r="L127" s="1290"/>
      <c r="M127" s="1290"/>
      <c r="N127" s="1290"/>
      <c r="O127" s="1290"/>
      <c r="P127" s="1290"/>
      <c r="Q127" s="1290"/>
      <c r="R127" s="1294"/>
      <c r="S127" s="1290"/>
      <c r="T127" s="1290"/>
      <c r="U127" s="1290"/>
      <c r="V127" s="1290"/>
      <c r="W127" s="1290"/>
      <c r="X127" s="1290"/>
      <c r="Y127" s="1244" t="s">
        <v>2063</v>
      </c>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2:50" ht="17.399999999999999" customHeight="1" x14ac:dyDescent="0.2">
      <c r="B128" s="1304"/>
      <c r="C128" s="1301"/>
      <c r="D128" s="1301"/>
      <c r="E128" s="1295"/>
      <c r="F128" s="1295"/>
      <c r="G128" s="1291"/>
      <c r="H128" s="1291"/>
      <c r="I128" s="1291"/>
      <c r="J128" s="1291"/>
      <c r="K128" s="1291"/>
      <c r="L128" s="1291"/>
      <c r="M128" s="1291"/>
      <c r="N128" s="1291"/>
      <c r="O128" s="1291"/>
      <c r="P128" s="1291"/>
      <c r="Q128" s="1291"/>
      <c r="R128" s="1295"/>
      <c r="S128" s="1291"/>
      <c r="T128" s="1291"/>
      <c r="U128" s="1291"/>
      <c r="V128" s="1291"/>
      <c r="W128" s="1291"/>
      <c r="X128" s="1291"/>
      <c r="Y128" s="1245" t="s">
        <v>2064</v>
      </c>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2:54" ht="25.2" customHeight="1" x14ac:dyDescent="0.2">
      <c r="B129" s="501" t="s">
        <v>1967</v>
      </c>
      <c r="C129" s="389" t="s">
        <v>108</v>
      </c>
      <c r="D129" s="382" t="s">
        <v>142</v>
      </c>
      <c r="E129" s="383" t="s">
        <v>136</v>
      </c>
      <c r="F129" s="383" t="s">
        <v>136</v>
      </c>
      <c r="G129" s="383"/>
      <c r="H129" s="384"/>
      <c r="I129" s="384"/>
      <c r="J129" s="384"/>
      <c r="K129" s="383"/>
      <c r="L129" s="383"/>
      <c r="M129" s="383" t="s">
        <v>136</v>
      </c>
      <c r="N129" s="383"/>
      <c r="O129" s="384"/>
      <c r="P129" s="384"/>
      <c r="Q129" s="1050"/>
      <c r="R129" s="384"/>
      <c r="S129" s="383"/>
      <c r="T129" s="383"/>
      <c r="U129" s="384"/>
      <c r="V129" s="384"/>
      <c r="W129" s="383"/>
      <c r="X129" s="384"/>
      <c r="Y129" s="385" t="s">
        <v>934</v>
      </c>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2:54" ht="25.2" customHeight="1" x14ac:dyDescent="0.2">
      <c r="B130" s="502" t="s">
        <v>2078</v>
      </c>
      <c r="C130" s="330" t="s">
        <v>799</v>
      </c>
      <c r="D130" s="337" t="s">
        <v>142</v>
      </c>
      <c r="E130" s="331" t="s">
        <v>161</v>
      </c>
      <c r="F130" s="331" t="s">
        <v>161</v>
      </c>
      <c r="G130" s="331"/>
      <c r="H130" s="332"/>
      <c r="I130" s="332"/>
      <c r="J130" s="332"/>
      <c r="K130" s="331"/>
      <c r="L130" s="331"/>
      <c r="M130" s="331"/>
      <c r="N130" s="331"/>
      <c r="O130" s="332"/>
      <c r="P130" s="332"/>
      <c r="Q130" s="332"/>
      <c r="R130" s="332"/>
      <c r="S130" s="331"/>
      <c r="T130" s="331"/>
      <c r="U130" s="332"/>
      <c r="V130" s="332"/>
      <c r="W130" s="331"/>
      <c r="X130" s="332"/>
      <c r="Y130" s="333"/>
      <c r="Z130" s="1198"/>
      <c r="AA130" s="1288"/>
      <c r="AB130" s="1288"/>
      <c r="AC130" s="94"/>
      <c r="AD130" s="94"/>
      <c r="AE130" s="94"/>
      <c r="AF130" s="94"/>
      <c r="AG130" s="94"/>
      <c r="AH130" s="94"/>
      <c r="AI130" s="94"/>
      <c r="AJ130" s="1288"/>
      <c r="AK130" s="1288"/>
      <c r="AL130" s="1288"/>
      <c r="AM130" s="1288"/>
      <c r="AN130" s="1288"/>
      <c r="AO130" s="1288"/>
      <c r="AP130" s="1288"/>
      <c r="AQ130" s="1288"/>
      <c r="AR130" s="94"/>
      <c r="AS130" s="94"/>
      <c r="AT130" s="94"/>
      <c r="AU130" s="1288"/>
      <c r="AV130" s="1288"/>
      <c r="AW130" s="1288"/>
      <c r="AX130" s="1288"/>
    </row>
    <row r="131" spans="2:54" x14ac:dyDescent="0.2">
      <c r="Y131" s="98"/>
    </row>
    <row r="132" spans="2:54" s="89" customFormat="1" ht="14.4" x14ac:dyDescent="0.2">
      <c r="D132" s="86"/>
      <c r="AB132" s="90"/>
      <c r="AC132" s="90"/>
    </row>
    <row r="133" spans="2:54" s="89" customFormat="1" ht="16.2" x14ac:dyDescent="0.2">
      <c r="B133" s="301" t="s">
        <v>222</v>
      </c>
      <c r="D133" s="89" t="s">
        <v>272</v>
      </c>
      <c r="Q133" s="1058"/>
      <c r="AB133" s="90"/>
      <c r="AC133" s="90"/>
    </row>
    <row r="134" spans="2:54" ht="36" customHeight="1" x14ac:dyDescent="0.2">
      <c r="B134" s="904" t="s">
        <v>203</v>
      </c>
      <c r="C134" s="316" t="s">
        <v>364</v>
      </c>
      <c r="D134" s="317" t="s">
        <v>363</v>
      </c>
      <c r="E134" s="318" t="s">
        <v>161</v>
      </c>
      <c r="F134" s="318" t="s">
        <v>161</v>
      </c>
      <c r="G134" s="318"/>
      <c r="H134" s="319" t="s">
        <v>137</v>
      </c>
      <c r="I134" s="319"/>
      <c r="J134" s="319"/>
      <c r="K134" s="318"/>
      <c r="L134" s="318"/>
      <c r="M134" s="318"/>
      <c r="N134" s="318"/>
      <c r="O134" s="319"/>
      <c r="P134" s="319"/>
      <c r="Q134" s="319"/>
      <c r="R134" s="319"/>
      <c r="S134" s="318" t="s">
        <v>161</v>
      </c>
      <c r="T134" s="318"/>
      <c r="U134" s="319"/>
      <c r="V134" s="319"/>
      <c r="W134" s="318"/>
      <c r="X134" s="319"/>
      <c r="Y134" s="320" t="s">
        <v>928</v>
      </c>
      <c r="AD134" s="90"/>
      <c r="AE134" s="90"/>
      <c r="AF134" s="90"/>
      <c r="AG134" s="90"/>
      <c r="AH134" s="90"/>
      <c r="AI134" s="90"/>
      <c r="AJ134" s="90"/>
      <c r="AK134" s="90"/>
      <c r="AL134" s="90"/>
      <c r="AM134" s="90"/>
      <c r="AN134" s="1287"/>
      <c r="AO134" s="1287"/>
      <c r="AP134" s="1287"/>
      <c r="AQ134" s="1287"/>
      <c r="AR134" s="90"/>
      <c r="AS134" s="90"/>
      <c r="AT134" s="90"/>
      <c r="AU134" s="1287"/>
      <c r="AV134" s="1287"/>
      <c r="AW134" s="1287"/>
      <c r="AX134" s="1287"/>
    </row>
    <row r="135" spans="2:54" ht="36" customHeight="1" x14ac:dyDescent="0.2">
      <c r="B135" s="905" t="s">
        <v>204</v>
      </c>
      <c r="C135" s="321" t="s">
        <v>365</v>
      </c>
      <c r="D135" s="322" t="s">
        <v>656</v>
      </c>
      <c r="E135" s="323" t="s">
        <v>161</v>
      </c>
      <c r="F135" s="323" t="s">
        <v>161</v>
      </c>
      <c r="G135" s="323"/>
      <c r="H135" s="324" t="s">
        <v>137</v>
      </c>
      <c r="I135" s="324"/>
      <c r="J135" s="324"/>
      <c r="K135" s="323"/>
      <c r="L135" s="323"/>
      <c r="M135" s="323"/>
      <c r="N135" s="323"/>
      <c r="O135" s="324"/>
      <c r="P135" s="324"/>
      <c r="Q135" s="324"/>
      <c r="R135" s="324"/>
      <c r="S135" s="323"/>
      <c r="T135" s="323" t="s">
        <v>161</v>
      </c>
      <c r="U135" s="324"/>
      <c r="V135" s="324"/>
      <c r="W135" s="323"/>
      <c r="X135" s="324"/>
      <c r="Y135" s="325" t="s">
        <v>1038</v>
      </c>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2:54" ht="36" customHeight="1" x14ac:dyDescent="0.2">
      <c r="B136" s="905" t="s">
        <v>205</v>
      </c>
      <c r="C136" s="321" t="s">
        <v>361</v>
      </c>
      <c r="D136" s="322" t="s">
        <v>251</v>
      </c>
      <c r="E136" s="323" t="s">
        <v>161</v>
      </c>
      <c r="F136" s="323" t="s">
        <v>161</v>
      </c>
      <c r="G136" s="323"/>
      <c r="H136" s="324"/>
      <c r="I136" s="324"/>
      <c r="J136" s="324"/>
      <c r="K136" s="323"/>
      <c r="L136" s="323"/>
      <c r="M136" s="323"/>
      <c r="N136" s="323"/>
      <c r="O136" s="324"/>
      <c r="P136" s="324"/>
      <c r="Q136" s="324"/>
      <c r="R136" s="324"/>
      <c r="S136" s="323"/>
      <c r="T136" s="323"/>
      <c r="U136" s="324"/>
      <c r="V136" s="324"/>
      <c r="W136" s="323"/>
      <c r="X136" s="324"/>
      <c r="Y136" s="325"/>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2:54" ht="25.2" customHeight="1" x14ac:dyDescent="0.2">
      <c r="B137" s="905" t="s">
        <v>206</v>
      </c>
      <c r="C137" s="1169" t="s">
        <v>105</v>
      </c>
      <c r="D137" s="1170" t="s">
        <v>142</v>
      </c>
      <c r="E137" s="1125" t="s">
        <v>136</v>
      </c>
      <c r="F137" s="1125" t="s">
        <v>161</v>
      </c>
      <c r="G137" s="1125"/>
      <c r="H137" s="1092" t="s">
        <v>137</v>
      </c>
      <c r="I137" s="1092"/>
      <c r="J137" s="1092"/>
      <c r="K137" s="1125"/>
      <c r="L137" s="1125"/>
      <c r="M137" s="1125"/>
      <c r="N137" s="1125"/>
      <c r="O137" s="1092"/>
      <c r="P137" s="1092"/>
      <c r="Q137" s="1092"/>
      <c r="R137" s="1092"/>
      <c r="S137" s="1125"/>
      <c r="T137" s="1125"/>
      <c r="U137" s="1092"/>
      <c r="V137" s="1092"/>
      <c r="W137" s="1125"/>
      <c r="X137" s="1092"/>
      <c r="Y137" s="1127" t="s">
        <v>1051</v>
      </c>
      <c r="AB137" s="90"/>
      <c r="AC137" s="90"/>
      <c r="AD137" s="94"/>
      <c r="AE137" s="94"/>
      <c r="AF137" s="94"/>
      <c r="AG137" s="94"/>
      <c r="AH137" s="94"/>
      <c r="AI137" s="94"/>
      <c r="AJ137" s="1288"/>
      <c r="AK137" s="1288"/>
      <c r="AL137" s="1288"/>
      <c r="AM137" s="1288"/>
      <c r="AN137" s="1288"/>
      <c r="AO137" s="1288"/>
      <c r="AP137" s="1288"/>
      <c r="AQ137" s="1288"/>
      <c r="AR137" s="94"/>
      <c r="AS137" s="94"/>
      <c r="AT137" s="94"/>
      <c r="AU137" s="1288"/>
      <c r="AV137" s="1288"/>
      <c r="AW137" s="1288"/>
      <c r="AX137" s="1288"/>
    </row>
    <row r="138" spans="2:54" ht="25.2" customHeight="1" x14ac:dyDescent="0.2">
      <c r="B138" s="905" t="s">
        <v>207</v>
      </c>
      <c r="C138" s="1169" t="s">
        <v>90</v>
      </c>
      <c r="D138" s="1170" t="s">
        <v>142</v>
      </c>
      <c r="E138" s="1125" t="s">
        <v>136</v>
      </c>
      <c r="F138" s="1125" t="s">
        <v>161</v>
      </c>
      <c r="G138" s="1125"/>
      <c r="H138" s="1092" t="s">
        <v>137</v>
      </c>
      <c r="I138" s="1092"/>
      <c r="J138" s="1092"/>
      <c r="K138" s="1125"/>
      <c r="L138" s="1125"/>
      <c r="M138" s="1125"/>
      <c r="N138" s="1125"/>
      <c r="O138" s="1092"/>
      <c r="P138" s="1092"/>
      <c r="Q138" s="1092"/>
      <c r="R138" s="1092"/>
      <c r="S138" s="1125"/>
      <c r="T138" s="1125"/>
      <c r="U138" s="1092"/>
      <c r="V138" s="1092"/>
      <c r="W138" s="1125"/>
      <c r="X138" s="1092"/>
      <c r="Y138" s="1127" t="s">
        <v>1054</v>
      </c>
      <c r="AB138" s="90"/>
      <c r="AC138" s="90"/>
      <c r="AD138" s="94"/>
      <c r="AE138" s="94"/>
      <c r="AF138" s="94"/>
      <c r="AG138" s="94"/>
      <c r="AH138" s="94"/>
      <c r="AI138" s="94"/>
      <c r="AJ138" s="1288"/>
      <c r="AK138" s="1288"/>
      <c r="AL138" s="1288"/>
      <c r="AM138" s="1288"/>
      <c r="AN138" s="1288"/>
      <c r="AO138" s="1288"/>
      <c r="AP138" s="1288"/>
      <c r="AQ138" s="1288"/>
      <c r="AR138" s="94"/>
      <c r="AS138" s="94"/>
      <c r="AT138" s="94"/>
      <c r="AU138" s="1288"/>
      <c r="AV138" s="1288"/>
      <c r="AW138" s="1288"/>
      <c r="AX138" s="1288"/>
    </row>
    <row r="139" spans="2:54" s="542" customFormat="1" ht="25.2" customHeight="1" x14ac:dyDescent="0.2">
      <c r="B139" s="905" t="s">
        <v>208</v>
      </c>
      <c r="C139" s="1225" t="s">
        <v>106</v>
      </c>
      <c r="D139" s="1226" t="s">
        <v>142</v>
      </c>
      <c r="E139" s="1227" t="s">
        <v>161</v>
      </c>
      <c r="F139" s="1227" t="s">
        <v>161</v>
      </c>
      <c r="G139" s="1227"/>
      <c r="H139" s="1228"/>
      <c r="I139" s="1229"/>
      <c r="J139" s="1230"/>
      <c r="K139" s="1229"/>
      <c r="L139" s="1229"/>
      <c r="M139" s="1229"/>
      <c r="N139" s="1229"/>
      <c r="O139" s="1230"/>
      <c r="P139" s="1230"/>
      <c r="Q139" s="1229"/>
      <c r="R139" s="1230"/>
      <c r="S139" s="1229"/>
      <c r="T139" s="1229"/>
      <c r="U139" s="1229"/>
      <c r="V139" s="1229"/>
      <c r="W139" s="1229"/>
      <c r="X139" s="1230"/>
      <c r="Y139" s="1230"/>
      <c r="AH139" s="1038"/>
      <c r="AI139" s="1038"/>
      <c r="AJ139" s="1038"/>
      <c r="AK139" s="1038"/>
      <c r="AL139" s="1038"/>
      <c r="AM139" s="1038"/>
      <c r="AN139" s="1038"/>
      <c r="AO139" s="1038"/>
      <c r="AP139" s="1038"/>
      <c r="AQ139" s="1038"/>
      <c r="AR139" s="1038"/>
      <c r="AS139" s="1038"/>
      <c r="AT139" s="1038"/>
      <c r="AU139" s="1038"/>
      <c r="AV139" s="1038"/>
      <c r="AW139" s="1038"/>
      <c r="AX139" s="1038"/>
      <c r="AY139" s="1038"/>
      <c r="AZ139" s="1038"/>
      <c r="BA139" s="1292"/>
      <c r="BB139" s="1292"/>
    </row>
    <row r="140" spans="2:54" ht="25.2" customHeight="1" x14ac:dyDescent="0.2">
      <c r="B140" s="905" t="s">
        <v>209</v>
      </c>
      <c r="C140" s="1169" t="s">
        <v>91</v>
      </c>
      <c r="D140" s="1170" t="s">
        <v>252</v>
      </c>
      <c r="E140" s="1125" t="s">
        <v>161</v>
      </c>
      <c r="F140" s="1125" t="s">
        <v>161</v>
      </c>
      <c r="G140" s="1125" t="s">
        <v>161</v>
      </c>
      <c r="H140" s="1092" t="s">
        <v>162</v>
      </c>
      <c r="I140" s="1092"/>
      <c r="J140" s="1092"/>
      <c r="K140" s="1125"/>
      <c r="L140" s="1125"/>
      <c r="M140" s="1125"/>
      <c r="N140" s="1125"/>
      <c r="O140" s="1092"/>
      <c r="P140" s="1092"/>
      <c r="Q140" s="1125"/>
      <c r="R140" s="1092"/>
      <c r="S140" s="1125"/>
      <c r="T140" s="1125"/>
      <c r="U140" s="1092"/>
      <c r="V140" s="1092"/>
      <c r="W140" s="1125"/>
      <c r="X140" s="1092"/>
      <c r="Y140" s="1127" t="s">
        <v>2037</v>
      </c>
      <c r="AB140" s="90"/>
      <c r="AC140" s="90"/>
      <c r="AD140" s="94"/>
      <c r="AE140" s="94"/>
      <c r="AF140" s="94"/>
      <c r="AG140" s="94"/>
      <c r="AH140" s="94"/>
      <c r="AI140" s="94"/>
      <c r="AJ140" s="1288"/>
      <c r="AK140" s="1288"/>
      <c r="AL140" s="1288"/>
      <c r="AM140" s="1288"/>
      <c r="AN140" s="1288"/>
      <c r="AO140" s="1288"/>
      <c r="AP140" s="1288"/>
      <c r="AQ140" s="1288"/>
      <c r="AR140" s="94"/>
      <c r="AS140" s="94"/>
      <c r="AT140" s="94"/>
      <c r="AU140" s="1288"/>
      <c r="AV140" s="1288"/>
      <c r="AW140" s="1288"/>
      <c r="AX140" s="1288"/>
    </row>
    <row r="141" spans="2:54" ht="25.2" customHeight="1" x14ac:dyDescent="0.2">
      <c r="B141" s="905" t="s">
        <v>210</v>
      </c>
      <c r="C141" s="1169" t="s">
        <v>1819</v>
      </c>
      <c r="D141" s="1170" t="s">
        <v>142</v>
      </c>
      <c r="E141" s="1125" t="s">
        <v>136</v>
      </c>
      <c r="F141" s="1125" t="s">
        <v>136</v>
      </c>
      <c r="G141" s="1125"/>
      <c r="H141" s="1092"/>
      <c r="I141" s="1092"/>
      <c r="J141" s="1092"/>
      <c r="K141" s="1125"/>
      <c r="L141" s="1125"/>
      <c r="M141" s="1125"/>
      <c r="N141" s="1125"/>
      <c r="O141" s="1092"/>
      <c r="P141" s="1092"/>
      <c r="Q141" s="1125"/>
      <c r="R141" s="1092"/>
      <c r="S141" s="1125"/>
      <c r="T141" s="1125"/>
      <c r="U141" s="1092"/>
      <c r="V141" s="1092"/>
      <c r="W141" s="1125"/>
      <c r="X141" s="1092"/>
      <c r="Y141" s="1127"/>
      <c r="AB141" s="90"/>
      <c r="AC141" s="90"/>
      <c r="AD141" s="94"/>
      <c r="AE141" s="94"/>
      <c r="AF141" s="94"/>
      <c r="AG141" s="94"/>
      <c r="AH141" s="94"/>
      <c r="AI141" s="94"/>
      <c r="AJ141" s="94"/>
      <c r="AK141" s="94"/>
      <c r="AL141" s="94"/>
      <c r="AM141" s="94"/>
      <c r="AN141" s="94"/>
      <c r="AO141" s="94"/>
      <c r="AP141" s="94"/>
      <c r="AQ141" s="94"/>
      <c r="AR141" s="94"/>
      <c r="AS141" s="94"/>
      <c r="AT141" s="94"/>
      <c r="AU141" s="94"/>
      <c r="AV141" s="94"/>
      <c r="AW141" s="94"/>
      <c r="AX141" s="94"/>
    </row>
    <row r="142" spans="2:54" ht="25.2" customHeight="1" x14ac:dyDescent="0.2">
      <c r="B142" s="905" t="s">
        <v>211</v>
      </c>
      <c r="C142" s="1169" t="s">
        <v>1850</v>
      </c>
      <c r="D142" s="1170" t="s">
        <v>142</v>
      </c>
      <c r="E142" s="1125" t="s">
        <v>136</v>
      </c>
      <c r="F142" s="1125" t="s">
        <v>136</v>
      </c>
      <c r="G142" s="1125"/>
      <c r="H142" s="1092"/>
      <c r="I142" s="1092"/>
      <c r="J142" s="1092"/>
      <c r="K142" s="1125"/>
      <c r="L142" s="1125"/>
      <c r="M142" s="1125"/>
      <c r="N142" s="1125"/>
      <c r="O142" s="1092"/>
      <c r="P142" s="1092"/>
      <c r="Q142" s="1125"/>
      <c r="R142" s="1092"/>
      <c r="S142" s="1125"/>
      <c r="T142" s="1125"/>
      <c r="U142" s="1092"/>
      <c r="V142" s="1092"/>
      <c r="W142" s="1125"/>
      <c r="X142" s="1092"/>
      <c r="Y142" s="1127"/>
      <c r="AB142" s="90"/>
      <c r="AC142" s="90"/>
      <c r="AD142" s="94"/>
      <c r="AE142" s="94"/>
      <c r="AF142" s="94"/>
      <c r="AG142" s="94"/>
      <c r="AH142" s="94"/>
      <c r="AI142" s="94"/>
      <c r="AJ142" s="94"/>
      <c r="AK142" s="94"/>
      <c r="AL142" s="94"/>
      <c r="AM142" s="94"/>
      <c r="AN142" s="94"/>
      <c r="AO142" s="94"/>
      <c r="AP142" s="94"/>
      <c r="AQ142" s="94"/>
      <c r="AR142" s="94"/>
      <c r="AS142" s="94"/>
      <c r="AT142" s="94"/>
      <c r="AU142" s="94"/>
      <c r="AV142" s="94"/>
      <c r="AW142" s="94"/>
      <c r="AX142" s="94"/>
    </row>
    <row r="143" spans="2:54" ht="25.2" customHeight="1" x14ac:dyDescent="0.2">
      <c r="B143" s="905" t="s">
        <v>212</v>
      </c>
      <c r="C143" s="1169" t="s">
        <v>246</v>
      </c>
      <c r="D143" s="1170" t="s">
        <v>142</v>
      </c>
      <c r="E143" s="1125" t="s">
        <v>136</v>
      </c>
      <c r="F143" s="1125" t="s">
        <v>136</v>
      </c>
      <c r="G143" s="1125"/>
      <c r="H143" s="1092"/>
      <c r="I143" s="1092"/>
      <c r="J143" s="1092"/>
      <c r="K143" s="1125"/>
      <c r="L143" s="1125"/>
      <c r="M143" s="1125"/>
      <c r="N143" s="1125"/>
      <c r="O143" s="1092"/>
      <c r="P143" s="1092"/>
      <c r="Q143" s="1125"/>
      <c r="R143" s="1092"/>
      <c r="S143" s="1125"/>
      <c r="T143" s="1125"/>
      <c r="U143" s="1092"/>
      <c r="V143" s="1092"/>
      <c r="W143" s="1125"/>
      <c r="X143" s="1092"/>
      <c r="Y143" s="1127" t="s">
        <v>1940</v>
      </c>
      <c r="AB143" s="90"/>
      <c r="AC143" s="90"/>
      <c r="AD143" s="94"/>
      <c r="AE143" s="94"/>
      <c r="AF143" s="94"/>
      <c r="AG143" s="94"/>
      <c r="AH143" s="94"/>
      <c r="AI143" s="94"/>
      <c r="AJ143" s="94"/>
      <c r="AK143" s="94"/>
      <c r="AL143" s="94"/>
      <c r="AM143" s="94"/>
      <c r="AN143" s="94"/>
      <c r="AO143" s="94"/>
      <c r="AP143" s="94"/>
      <c r="AQ143" s="94"/>
      <c r="AR143" s="94"/>
      <c r="AS143" s="94"/>
      <c r="AT143" s="94"/>
      <c r="AU143" s="94"/>
      <c r="AV143" s="94"/>
      <c r="AW143" s="94"/>
      <c r="AX143" s="94"/>
    </row>
    <row r="144" spans="2:54" ht="25.2" customHeight="1" x14ac:dyDescent="0.2">
      <c r="B144" s="905" t="s">
        <v>213</v>
      </c>
      <c r="C144" s="1169" t="s">
        <v>248</v>
      </c>
      <c r="D144" s="1170" t="s">
        <v>142</v>
      </c>
      <c r="E144" s="1125" t="s">
        <v>136</v>
      </c>
      <c r="F144" s="1125" t="s">
        <v>136</v>
      </c>
      <c r="G144" s="1125"/>
      <c r="H144" s="1092"/>
      <c r="I144" s="1092"/>
      <c r="J144" s="1092"/>
      <c r="K144" s="1125"/>
      <c r="L144" s="1125"/>
      <c r="M144" s="1125"/>
      <c r="N144" s="1125"/>
      <c r="O144" s="1092"/>
      <c r="P144" s="1092"/>
      <c r="Q144" s="1125"/>
      <c r="R144" s="1092"/>
      <c r="S144" s="1125"/>
      <c r="T144" s="1125"/>
      <c r="U144" s="1092"/>
      <c r="V144" s="1092"/>
      <c r="W144" s="1125"/>
      <c r="X144" s="1092"/>
      <c r="Y144" s="1127" t="s">
        <v>1940</v>
      </c>
      <c r="AB144" s="90"/>
      <c r="AC144" s="90"/>
      <c r="AD144" s="94"/>
      <c r="AE144" s="94"/>
      <c r="AF144" s="94"/>
      <c r="AG144" s="94"/>
      <c r="AH144" s="94"/>
      <c r="AI144" s="94"/>
      <c r="AJ144" s="94"/>
      <c r="AK144" s="94"/>
      <c r="AL144" s="94"/>
      <c r="AM144" s="94"/>
      <c r="AN144" s="94"/>
      <c r="AO144" s="94"/>
      <c r="AP144" s="94"/>
      <c r="AQ144" s="94"/>
      <c r="AR144" s="94"/>
      <c r="AS144" s="94"/>
      <c r="AT144" s="94"/>
      <c r="AU144" s="94"/>
      <c r="AV144" s="94"/>
      <c r="AW144" s="94"/>
      <c r="AX144" s="94"/>
    </row>
    <row r="145" spans="2:50" ht="25.2" customHeight="1" x14ac:dyDescent="0.2">
      <c r="B145" s="905" t="s">
        <v>214</v>
      </c>
      <c r="C145" s="1169" t="s">
        <v>148</v>
      </c>
      <c r="D145" s="1170" t="s">
        <v>142</v>
      </c>
      <c r="E145" s="1125" t="s">
        <v>136</v>
      </c>
      <c r="F145" s="1125" t="s">
        <v>136</v>
      </c>
      <c r="G145" s="1125"/>
      <c r="H145" s="1182"/>
      <c r="I145" s="1182"/>
      <c r="J145" s="1182"/>
      <c r="K145" s="1183"/>
      <c r="L145" s="1183"/>
      <c r="M145" s="1183"/>
      <c r="N145" s="1183"/>
      <c r="O145" s="1182"/>
      <c r="P145" s="1182"/>
      <c r="Q145" s="1125"/>
      <c r="R145" s="1182"/>
      <c r="S145" s="1183"/>
      <c r="T145" s="1183"/>
      <c r="U145" s="1182"/>
      <c r="V145" s="1182"/>
      <c r="W145" s="1183"/>
      <c r="X145" s="1182"/>
      <c r="Y145" s="1127"/>
      <c r="Z145" s="1198"/>
      <c r="AA145" s="1288"/>
      <c r="AB145" s="1288"/>
      <c r="AC145" s="94"/>
      <c r="AD145" s="94"/>
      <c r="AE145" s="94"/>
      <c r="AF145" s="94"/>
      <c r="AG145" s="94"/>
      <c r="AH145" s="94"/>
      <c r="AI145" s="94"/>
      <c r="AJ145" s="1288"/>
      <c r="AK145" s="1288"/>
      <c r="AL145" s="1288"/>
      <c r="AM145" s="1288"/>
      <c r="AN145" s="1288"/>
      <c r="AO145" s="1288"/>
      <c r="AP145" s="1288"/>
      <c r="AQ145" s="1288"/>
      <c r="AR145" s="94"/>
      <c r="AS145" s="94"/>
      <c r="AT145" s="94"/>
      <c r="AU145" s="1288"/>
      <c r="AV145" s="1288"/>
      <c r="AW145" s="1288"/>
      <c r="AX145" s="1288"/>
    </row>
    <row r="146" spans="2:50" ht="25.2" customHeight="1" x14ac:dyDescent="0.2">
      <c r="B146" s="905" t="s">
        <v>468</v>
      </c>
      <c r="C146" s="1169" t="s">
        <v>112</v>
      </c>
      <c r="D146" s="1170" t="s">
        <v>142</v>
      </c>
      <c r="E146" s="1125" t="s">
        <v>136</v>
      </c>
      <c r="F146" s="1125" t="s">
        <v>136</v>
      </c>
      <c r="G146" s="1125"/>
      <c r="H146" s="1182"/>
      <c r="I146" s="1182"/>
      <c r="J146" s="1182"/>
      <c r="K146" s="1183"/>
      <c r="L146" s="1183"/>
      <c r="M146" s="1183"/>
      <c r="N146" s="1183"/>
      <c r="O146" s="1182"/>
      <c r="P146" s="1182"/>
      <c r="Q146" s="1183"/>
      <c r="R146" s="1182"/>
      <c r="S146" s="1183"/>
      <c r="T146" s="1183"/>
      <c r="U146" s="1182"/>
      <c r="V146" s="1182"/>
      <c r="W146" s="1183"/>
      <c r="X146" s="1182"/>
      <c r="Y146" s="1127" t="s">
        <v>2049</v>
      </c>
      <c r="Z146" s="1198"/>
      <c r="AA146" s="1288"/>
      <c r="AB146" s="1288"/>
      <c r="AC146" s="94"/>
      <c r="AD146" s="94"/>
      <c r="AE146" s="94"/>
      <c r="AF146" s="94"/>
      <c r="AG146" s="94"/>
      <c r="AH146" s="94"/>
      <c r="AI146" s="94"/>
      <c r="AJ146" s="1288"/>
      <c r="AK146" s="1288"/>
      <c r="AL146" s="1288"/>
      <c r="AM146" s="1288"/>
      <c r="AN146" s="1288"/>
      <c r="AO146" s="1288"/>
      <c r="AP146" s="1288"/>
      <c r="AQ146" s="1288"/>
      <c r="AR146" s="94"/>
      <c r="AS146" s="94"/>
      <c r="AT146" s="94"/>
      <c r="AU146" s="1288"/>
      <c r="AV146" s="1288"/>
      <c r="AW146" s="1288"/>
      <c r="AX146" s="1288"/>
    </row>
    <row r="147" spans="2:50" ht="25.2" customHeight="1" x14ac:dyDescent="0.2">
      <c r="B147" s="905" t="s">
        <v>469</v>
      </c>
      <c r="C147" s="1169" t="s">
        <v>107</v>
      </c>
      <c r="D147" s="1170" t="s">
        <v>142</v>
      </c>
      <c r="E147" s="1125" t="s">
        <v>136</v>
      </c>
      <c r="F147" s="1125" t="s">
        <v>136</v>
      </c>
      <c r="G147" s="1125"/>
      <c r="H147" s="1092"/>
      <c r="I147" s="1092"/>
      <c r="J147" s="1092"/>
      <c r="K147" s="1125"/>
      <c r="L147" s="1125"/>
      <c r="M147" s="1125"/>
      <c r="N147" s="1125"/>
      <c r="O147" s="1092"/>
      <c r="P147" s="1092"/>
      <c r="Q147" s="1183"/>
      <c r="R147" s="1092"/>
      <c r="S147" s="1125"/>
      <c r="T147" s="1125"/>
      <c r="U147" s="1092"/>
      <c r="V147" s="1092"/>
      <c r="W147" s="1125"/>
      <c r="X147" s="1092"/>
      <c r="Y147" s="1127" t="s">
        <v>1039</v>
      </c>
      <c r="Z147" s="1198"/>
      <c r="AA147" s="1288"/>
      <c r="AB147" s="1288"/>
      <c r="AC147" s="94"/>
      <c r="AD147" s="94"/>
      <c r="AE147" s="94"/>
      <c r="AF147" s="94"/>
      <c r="AG147" s="94"/>
      <c r="AH147" s="94"/>
      <c r="AI147" s="94"/>
      <c r="AJ147" s="1288"/>
      <c r="AK147" s="1288"/>
      <c r="AL147" s="1288"/>
      <c r="AM147" s="1288"/>
      <c r="AN147" s="1288"/>
      <c r="AO147" s="1288"/>
      <c r="AP147" s="1288"/>
      <c r="AQ147" s="1288"/>
      <c r="AR147" s="94"/>
      <c r="AS147" s="94"/>
      <c r="AT147" s="94"/>
      <c r="AU147" s="1288"/>
      <c r="AV147" s="1288"/>
      <c r="AW147" s="1288"/>
      <c r="AX147" s="1288"/>
    </row>
    <row r="148" spans="2:50" ht="25.2" customHeight="1" x14ac:dyDescent="0.2">
      <c r="B148" s="905" t="s">
        <v>470</v>
      </c>
      <c r="C148" s="328" t="s">
        <v>141</v>
      </c>
      <c r="D148" s="329" t="s">
        <v>142</v>
      </c>
      <c r="E148" s="323" t="s">
        <v>136</v>
      </c>
      <c r="F148" s="323" t="s">
        <v>136</v>
      </c>
      <c r="G148" s="323"/>
      <c r="H148" s="324"/>
      <c r="I148" s="324"/>
      <c r="J148" s="324" t="s">
        <v>161</v>
      </c>
      <c r="K148" s="323"/>
      <c r="L148" s="323"/>
      <c r="M148" s="323"/>
      <c r="N148" s="323"/>
      <c r="O148" s="324"/>
      <c r="P148" s="324"/>
      <c r="Q148" s="1115"/>
      <c r="R148" s="324"/>
      <c r="S148" s="323"/>
      <c r="T148" s="323"/>
      <c r="U148" s="324"/>
      <c r="V148" s="324"/>
      <c r="W148" s="323"/>
      <c r="X148" s="324"/>
      <c r="Y148" s="325" t="s">
        <v>933</v>
      </c>
      <c r="Z148" s="1198"/>
      <c r="AA148" s="1288"/>
      <c r="AB148" s="1288"/>
      <c r="AC148" s="94"/>
      <c r="AD148" s="94"/>
      <c r="AE148" s="94"/>
      <c r="AF148" s="94"/>
      <c r="AG148" s="94"/>
      <c r="AH148" s="94"/>
      <c r="AI148" s="94"/>
      <c r="AJ148" s="1288"/>
      <c r="AK148" s="1288"/>
      <c r="AL148" s="1288"/>
      <c r="AM148" s="1288"/>
      <c r="AN148" s="1288"/>
      <c r="AO148" s="1288"/>
      <c r="AP148" s="1288"/>
      <c r="AQ148" s="1288"/>
      <c r="AR148" s="94"/>
      <c r="AS148" s="94"/>
      <c r="AT148" s="94"/>
      <c r="AU148" s="1288"/>
      <c r="AV148" s="1288"/>
      <c r="AW148" s="1288"/>
      <c r="AX148" s="1288"/>
    </row>
    <row r="149" spans="2:50" ht="25.2" customHeight="1" x14ac:dyDescent="0.2">
      <c r="B149" s="905" t="s">
        <v>784</v>
      </c>
      <c r="C149" s="321" t="s">
        <v>1046</v>
      </c>
      <c r="D149" s="322" t="s">
        <v>241</v>
      </c>
      <c r="E149" s="323" t="s">
        <v>161</v>
      </c>
      <c r="F149" s="323" t="s">
        <v>136</v>
      </c>
      <c r="G149" s="323"/>
      <c r="H149" s="324"/>
      <c r="I149" s="324"/>
      <c r="J149" s="324"/>
      <c r="K149" s="323"/>
      <c r="L149" s="323"/>
      <c r="M149" s="323"/>
      <c r="N149" s="323"/>
      <c r="O149" s="324"/>
      <c r="P149" s="324"/>
      <c r="Q149" s="1050"/>
      <c r="R149" s="324"/>
      <c r="S149" s="323"/>
      <c r="T149" s="323"/>
      <c r="U149" s="324"/>
      <c r="V149" s="324"/>
      <c r="W149" s="323"/>
      <c r="X149" s="324"/>
      <c r="Y149" s="325" t="s">
        <v>767</v>
      </c>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2:50" ht="25.2" customHeight="1" x14ac:dyDescent="0.2">
      <c r="B150" s="905" t="s">
        <v>785</v>
      </c>
      <c r="C150" s="321" t="s">
        <v>1047</v>
      </c>
      <c r="D150" s="322" t="s">
        <v>241</v>
      </c>
      <c r="E150" s="323" t="s">
        <v>161</v>
      </c>
      <c r="F150" s="323" t="s">
        <v>136</v>
      </c>
      <c r="G150" s="323"/>
      <c r="H150" s="324"/>
      <c r="I150" s="324"/>
      <c r="J150" s="324"/>
      <c r="K150" s="323"/>
      <c r="L150" s="323"/>
      <c r="M150" s="323"/>
      <c r="N150" s="323"/>
      <c r="O150" s="324"/>
      <c r="P150" s="324"/>
      <c r="Q150" s="1050"/>
      <c r="R150" s="324"/>
      <c r="S150" s="323"/>
      <c r="T150" s="323"/>
      <c r="U150" s="324"/>
      <c r="V150" s="324"/>
      <c r="W150" s="323"/>
      <c r="X150" s="324"/>
      <c r="Y150" s="325" t="s">
        <v>767</v>
      </c>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2:50" ht="25.2" customHeight="1" x14ac:dyDescent="0.2">
      <c r="B151" s="905" t="s">
        <v>786</v>
      </c>
      <c r="C151" s="321" t="s">
        <v>1048</v>
      </c>
      <c r="D151" s="322" t="s">
        <v>241</v>
      </c>
      <c r="E151" s="323" t="s">
        <v>161</v>
      </c>
      <c r="F151" s="323" t="s">
        <v>136</v>
      </c>
      <c r="G151" s="323"/>
      <c r="H151" s="324"/>
      <c r="I151" s="324"/>
      <c r="J151" s="324"/>
      <c r="K151" s="323"/>
      <c r="L151" s="323"/>
      <c r="M151" s="323"/>
      <c r="N151" s="323"/>
      <c r="O151" s="324"/>
      <c r="P151" s="324"/>
      <c r="Q151" s="1115"/>
      <c r="R151" s="324"/>
      <c r="S151" s="323"/>
      <c r="T151" s="323"/>
      <c r="U151" s="324"/>
      <c r="V151" s="324"/>
      <c r="W151" s="323"/>
      <c r="X151" s="324"/>
      <c r="Y151" s="325" t="s">
        <v>767</v>
      </c>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2:50" ht="25.2" customHeight="1" x14ac:dyDescent="0.2">
      <c r="B152" s="905" t="s">
        <v>787</v>
      </c>
      <c r="C152" s="321" t="s">
        <v>1049</v>
      </c>
      <c r="D152" s="322" t="s">
        <v>242</v>
      </c>
      <c r="E152" s="323" t="s">
        <v>161</v>
      </c>
      <c r="F152" s="323" t="s">
        <v>136</v>
      </c>
      <c r="G152" s="323"/>
      <c r="H152" s="324" t="s">
        <v>162</v>
      </c>
      <c r="I152" s="324"/>
      <c r="J152" s="324"/>
      <c r="K152" s="323"/>
      <c r="L152" s="323"/>
      <c r="M152" s="323"/>
      <c r="N152" s="323"/>
      <c r="O152" s="324"/>
      <c r="P152" s="324"/>
      <c r="Q152" s="1050"/>
      <c r="R152" s="324"/>
      <c r="S152" s="323"/>
      <c r="T152" s="323"/>
      <c r="U152" s="324"/>
      <c r="V152" s="324"/>
      <c r="W152" s="323"/>
      <c r="X152" s="324"/>
      <c r="Y152" s="325" t="s">
        <v>767</v>
      </c>
      <c r="AD152" s="90"/>
      <c r="AE152" s="90"/>
      <c r="AF152" s="90"/>
      <c r="AG152" s="90"/>
      <c r="AH152" s="90"/>
      <c r="AI152" s="90"/>
      <c r="AJ152" s="90"/>
      <c r="AK152" s="90"/>
      <c r="AL152" s="90"/>
      <c r="AM152" s="90"/>
      <c r="AN152" s="1287"/>
      <c r="AO152" s="1287"/>
      <c r="AP152" s="1287"/>
      <c r="AQ152" s="1287"/>
      <c r="AR152" s="90"/>
      <c r="AS152" s="90"/>
      <c r="AT152" s="90"/>
      <c r="AU152" s="1287"/>
      <c r="AV152" s="1287"/>
      <c r="AW152" s="1287"/>
      <c r="AX152" s="1287"/>
    </row>
    <row r="153" spans="2:50" ht="25.2" customHeight="1" x14ac:dyDescent="0.2">
      <c r="B153" s="905" t="s">
        <v>788</v>
      </c>
      <c r="C153" s="321" t="s">
        <v>768</v>
      </c>
      <c r="D153" s="322" t="s">
        <v>242</v>
      </c>
      <c r="E153" s="323" t="s">
        <v>161</v>
      </c>
      <c r="F153" s="323" t="s">
        <v>136</v>
      </c>
      <c r="G153" s="323"/>
      <c r="H153" s="324" t="s">
        <v>162</v>
      </c>
      <c r="I153" s="324"/>
      <c r="J153" s="324"/>
      <c r="K153" s="323"/>
      <c r="L153" s="323"/>
      <c r="M153" s="323"/>
      <c r="N153" s="323"/>
      <c r="O153" s="324"/>
      <c r="P153" s="324"/>
      <c r="Q153" s="1115"/>
      <c r="R153" s="324"/>
      <c r="S153" s="323"/>
      <c r="T153" s="323"/>
      <c r="U153" s="324"/>
      <c r="V153" s="324"/>
      <c r="W153" s="323"/>
      <c r="X153" s="324"/>
      <c r="Y153" s="325" t="s">
        <v>767</v>
      </c>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2:50" ht="25.2" customHeight="1" x14ac:dyDescent="0.2">
      <c r="B154" s="905" t="s">
        <v>789</v>
      </c>
      <c r="C154" s="321" t="s">
        <v>769</v>
      </c>
      <c r="D154" s="322" t="s">
        <v>242</v>
      </c>
      <c r="E154" s="323" t="s">
        <v>161</v>
      </c>
      <c r="F154" s="323" t="s">
        <v>136</v>
      </c>
      <c r="G154" s="323"/>
      <c r="H154" s="324" t="s">
        <v>162</v>
      </c>
      <c r="I154" s="324"/>
      <c r="J154" s="324"/>
      <c r="K154" s="323"/>
      <c r="L154" s="323"/>
      <c r="M154" s="323"/>
      <c r="N154" s="323"/>
      <c r="O154" s="324"/>
      <c r="P154" s="324"/>
      <c r="Q154" s="1050"/>
      <c r="R154" s="324"/>
      <c r="S154" s="323"/>
      <c r="T154" s="323"/>
      <c r="U154" s="324"/>
      <c r="V154" s="324"/>
      <c r="W154" s="323"/>
      <c r="X154" s="324"/>
      <c r="Y154" s="325" t="s">
        <v>767</v>
      </c>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2:50" ht="25.2" customHeight="1" x14ac:dyDescent="0.2">
      <c r="B155" s="905" t="s">
        <v>813</v>
      </c>
      <c r="C155" s="1165" t="s">
        <v>770</v>
      </c>
      <c r="D155" s="1166" t="s">
        <v>242</v>
      </c>
      <c r="E155" s="1125" t="s">
        <v>161</v>
      </c>
      <c r="F155" s="1125" t="s">
        <v>136</v>
      </c>
      <c r="G155" s="1125"/>
      <c r="H155" s="1092" t="s">
        <v>162</v>
      </c>
      <c r="I155" s="1092"/>
      <c r="J155" s="1092"/>
      <c r="K155" s="1125"/>
      <c r="L155" s="1125"/>
      <c r="M155" s="1125"/>
      <c r="N155" s="1125"/>
      <c r="O155" s="1092"/>
      <c r="P155" s="1092"/>
      <c r="Q155" s="1125"/>
      <c r="R155" s="1092"/>
      <c r="S155" s="1125"/>
      <c r="T155" s="1125"/>
      <c r="U155" s="1092"/>
      <c r="V155" s="1092"/>
      <c r="W155" s="1125"/>
      <c r="X155" s="1092"/>
      <c r="Y155" s="1127" t="s">
        <v>767</v>
      </c>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2:50" ht="25.2" customHeight="1" x14ac:dyDescent="0.2">
      <c r="B156" s="905" t="s">
        <v>2008</v>
      </c>
      <c r="C156" s="1165" t="s">
        <v>771</v>
      </c>
      <c r="D156" s="1166" t="s">
        <v>242</v>
      </c>
      <c r="E156" s="1125" t="s">
        <v>161</v>
      </c>
      <c r="F156" s="1125" t="s">
        <v>136</v>
      </c>
      <c r="G156" s="1125"/>
      <c r="H156" s="1092"/>
      <c r="I156" s="1092"/>
      <c r="J156" s="1092"/>
      <c r="K156" s="1125"/>
      <c r="L156" s="1125"/>
      <c r="M156" s="1125"/>
      <c r="N156" s="1125"/>
      <c r="O156" s="1092"/>
      <c r="P156" s="1092"/>
      <c r="Q156" s="1092"/>
      <c r="R156" s="1173"/>
      <c r="S156" s="1125"/>
      <c r="T156" s="1125"/>
      <c r="U156" s="1092"/>
      <c r="V156" s="1092"/>
      <c r="W156" s="1125"/>
      <c r="X156" s="1092"/>
      <c r="Y156" s="1127" t="s">
        <v>767</v>
      </c>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2:50" ht="100.2" customHeight="1" x14ac:dyDescent="0.2">
      <c r="B157" s="1296" t="s">
        <v>2009</v>
      </c>
      <c r="C157" s="1299" t="s">
        <v>1963</v>
      </c>
      <c r="D157" s="1299" t="s">
        <v>142</v>
      </c>
      <c r="E157" s="1293" t="s">
        <v>136</v>
      </c>
      <c r="F157" s="1293" t="s">
        <v>136</v>
      </c>
      <c r="G157" s="1289"/>
      <c r="H157" s="1289"/>
      <c r="I157" s="1289"/>
      <c r="J157" s="1289"/>
      <c r="K157" s="1289"/>
      <c r="L157" s="1289"/>
      <c r="M157" s="1289"/>
      <c r="N157" s="1289"/>
      <c r="O157" s="1289"/>
      <c r="P157" s="1289"/>
      <c r="Q157" s="1289"/>
      <c r="R157" s="1293" t="s">
        <v>161</v>
      </c>
      <c r="S157" s="1289"/>
      <c r="T157" s="1289"/>
      <c r="U157" s="1289"/>
      <c r="V157" s="1289"/>
      <c r="W157" s="1289"/>
      <c r="X157" s="1289"/>
      <c r="Y157" s="1242" t="s">
        <v>2081</v>
      </c>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2:50" ht="15.6" customHeight="1" x14ac:dyDescent="0.2">
      <c r="B158" s="1297"/>
      <c r="C158" s="1300"/>
      <c r="D158" s="1300"/>
      <c r="E158" s="1294"/>
      <c r="F158" s="1294"/>
      <c r="G158" s="1290"/>
      <c r="H158" s="1290"/>
      <c r="I158" s="1290"/>
      <c r="J158" s="1290"/>
      <c r="K158" s="1290"/>
      <c r="L158" s="1290"/>
      <c r="M158" s="1290"/>
      <c r="N158" s="1290"/>
      <c r="O158" s="1290"/>
      <c r="P158" s="1290"/>
      <c r="Q158" s="1290"/>
      <c r="R158" s="1294"/>
      <c r="S158" s="1290"/>
      <c r="T158" s="1290"/>
      <c r="U158" s="1290"/>
      <c r="V158" s="1290"/>
      <c r="W158" s="1290"/>
      <c r="X158" s="1290"/>
      <c r="Y158" s="1243" t="s">
        <v>2062</v>
      </c>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2:50" ht="15.6" customHeight="1" x14ac:dyDescent="0.2">
      <c r="B159" s="1297"/>
      <c r="C159" s="1300"/>
      <c r="D159" s="1300"/>
      <c r="E159" s="1294"/>
      <c r="F159" s="1294"/>
      <c r="G159" s="1290"/>
      <c r="H159" s="1290"/>
      <c r="I159" s="1290"/>
      <c r="J159" s="1290"/>
      <c r="K159" s="1290"/>
      <c r="L159" s="1290"/>
      <c r="M159" s="1290"/>
      <c r="N159" s="1290"/>
      <c r="O159" s="1290"/>
      <c r="P159" s="1290"/>
      <c r="Q159" s="1290"/>
      <c r="R159" s="1294"/>
      <c r="S159" s="1290"/>
      <c r="T159" s="1290"/>
      <c r="U159" s="1290"/>
      <c r="V159" s="1290"/>
      <c r="W159" s="1290"/>
      <c r="X159" s="1290"/>
      <c r="Y159" s="1244" t="s">
        <v>2063</v>
      </c>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2:50" ht="15.6" customHeight="1" x14ac:dyDescent="0.2">
      <c r="B160" s="1298"/>
      <c r="C160" s="1301"/>
      <c r="D160" s="1301"/>
      <c r="E160" s="1295"/>
      <c r="F160" s="1295"/>
      <c r="G160" s="1291"/>
      <c r="H160" s="1291"/>
      <c r="I160" s="1291"/>
      <c r="J160" s="1291"/>
      <c r="K160" s="1291"/>
      <c r="L160" s="1291"/>
      <c r="M160" s="1291"/>
      <c r="N160" s="1291"/>
      <c r="O160" s="1291"/>
      <c r="P160" s="1291"/>
      <c r="Q160" s="1291"/>
      <c r="R160" s="1295"/>
      <c r="S160" s="1291"/>
      <c r="T160" s="1291"/>
      <c r="U160" s="1291"/>
      <c r="V160" s="1291"/>
      <c r="W160" s="1291"/>
      <c r="X160" s="1291"/>
      <c r="Y160" s="1245" t="s">
        <v>2064</v>
      </c>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2:55" ht="25.2" customHeight="1" x14ac:dyDescent="0.2">
      <c r="B161" s="905" t="s">
        <v>2010</v>
      </c>
      <c r="C161" s="1184" t="s">
        <v>108</v>
      </c>
      <c r="D161" s="1185" t="s">
        <v>142</v>
      </c>
      <c r="E161" s="1173" t="s">
        <v>136</v>
      </c>
      <c r="F161" s="1173" t="s">
        <v>136</v>
      </c>
      <c r="G161" s="1173"/>
      <c r="H161" s="1174"/>
      <c r="I161" s="1174"/>
      <c r="J161" s="1174"/>
      <c r="K161" s="1173"/>
      <c r="L161" s="1173"/>
      <c r="M161" s="1173" t="s">
        <v>136</v>
      </c>
      <c r="N161" s="1173"/>
      <c r="O161" s="1174"/>
      <c r="P161" s="1174"/>
      <c r="Q161" s="1174"/>
      <c r="R161" s="1125"/>
      <c r="S161" s="1173"/>
      <c r="T161" s="1173"/>
      <c r="U161" s="1174"/>
      <c r="V161" s="1174"/>
      <c r="W161" s="1173"/>
      <c r="X161" s="1174"/>
      <c r="Y161" s="1129" t="s">
        <v>934</v>
      </c>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2:55" ht="25.2" customHeight="1" x14ac:dyDescent="0.2">
      <c r="B162" s="906" t="s">
        <v>2079</v>
      </c>
      <c r="C162" s="330" t="s">
        <v>799</v>
      </c>
      <c r="D162" s="337" t="s">
        <v>142</v>
      </c>
      <c r="E162" s="331" t="s">
        <v>161</v>
      </c>
      <c r="F162" s="331" t="s">
        <v>161</v>
      </c>
      <c r="G162" s="331"/>
      <c r="H162" s="332"/>
      <c r="I162" s="332"/>
      <c r="J162" s="332"/>
      <c r="K162" s="331"/>
      <c r="L162" s="331"/>
      <c r="M162" s="331"/>
      <c r="N162" s="331"/>
      <c r="O162" s="332"/>
      <c r="P162" s="332"/>
      <c r="Q162" s="332"/>
      <c r="R162" s="332"/>
      <c r="S162" s="331"/>
      <c r="T162" s="331"/>
      <c r="U162" s="332"/>
      <c r="V162" s="332"/>
      <c r="W162" s="331"/>
      <c r="X162" s="332"/>
      <c r="Y162" s="333"/>
      <c r="Z162" s="1198"/>
      <c r="AA162" s="1288"/>
      <c r="AB162" s="1288"/>
      <c r="AC162" s="94"/>
      <c r="AD162" s="94"/>
      <c r="AE162" s="94"/>
      <c r="AF162" s="94"/>
      <c r="AG162" s="94"/>
      <c r="AH162" s="94"/>
      <c r="AI162" s="94"/>
      <c r="AJ162" s="1288"/>
      <c r="AK162" s="1288"/>
      <c r="AL162" s="1288"/>
      <c r="AM162" s="1288"/>
      <c r="AN162" s="1288"/>
      <c r="AO162" s="1288"/>
      <c r="AP162" s="1288"/>
      <c r="AQ162" s="1288"/>
      <c r="AR162" s="94"/>
      <c r="AS162" s="94"/>
      <c r="AT162" s="94"/>
      <c r="AU162" s="1288"/>
      <c r="AV162" s="1288"/>
      <c r="AW162" s="1288"/>
      <c r="AX162" s="1288"/>
    </row>
    <row r="163" spans="2:55" x14ac:dyDescent="0.2">
      <c r="Y163" s="98"/>
    </row>
    <row r="164" spans="2:55" s="542" customFormat="1" ht="15" customHeight="1" x14ac:dyDescent="0.2">
      <c r="C164" s="1037"/>
      <c r="D164" s="1037"/>
      <c r="AF164" s="1038"/>
      <c r="AG164" s="1038"/>
    </row>
    <row r="165" spans="2:55" s="1039" customFormat="1" ht="16.2" x14ac:dyDescent="0.2">
      <c r="B165" s="1040" t="s">
        <v>1816</v>
      </c>
      <c r="C165" s="1041"/>
      <c r="D165" s="1041" t="s">
        <v>1817</v>
      </c>
      <c r="E165" s="1041"/>
      <c r="F165" s="1041"/>
      <c r="G165" s="1041"/>
      <c r="H165" s="1041"/>
      <c r="I165" s="1041"/>
      <c r="J165" s="1041"/>
      <c r="K165" s="1041"/>
      <c r="L165" s="1041"/>
      <c r="M165" s="1041"/>
      <c r="N165" s="1041"/>
      <c r="O165" s="1041"/>
      <c r="P165" s="1041"/>
      <c r="Q165" s="1058"/>
      <c r="R165" s="1041"/>
      <c r="S165" s="1041"/>
      <c r="T165" s="1041"/>
      <c r="U165" s="1041"/>
      <c r="V165" s="1041"/>
      <c r="W165" s="1041"/>
      <c r="X165" s="1041"/>
      <c r="Y165" s="1041"/>
      <c r="AF165" s="1038"/>
      <c r="AG165" s="1038"/>
    </row>
    <row r="166" spans="2:55" s="542" customFormat="1" ht="25.2" customHeight="1" x14ac:dyDescent="0.2">
      <c r="B166" s="500" t="s">
        <v>1818</v>
      </c>
      <c r="C166" s="1191" t="s">
        <v>1819</v>
      </c>
      <c r="D166" s="1176" t="s">
        <v>142</v>
      </c>
      <c r="E166" s="1151" t="s">
        <v>161</v>
      </c>
      <c r="F166" s="1151" t="s">
        <v>161</v>
      </c>
      <c r="G166" s="1151"/>
      <c r="H166" s="1164"/>
      <c r="I166" s="1151"/>
      <c r="J166" s="1151"/>
      <c r="K166" s="1151"/>
      <c r="L166" s="1164"/>
      <c r="M166" s="1151"/>
      <c r="N166" s="1151"/>
      <c r="O166" s="1151"/>
      <c r="P166" s="1151"/>
      <c r="Q166" s="1151"/>
      <c r="R166" s="1151"/>
      <c r="S166" s="1151"/>
      <c r="T166" s="1186"/>
      <c r="U166" s="1186"/>
      <c r="V166" s="1187"/>
      <c r="W166" s="1187"/>
      <c r="X166" s="1187"/>
      <c r="Y166" s="1164"/>
      <c r="AH166" s="1038"/>
      <c r="AI166" s="1038"/>
      <c r="AJ166" s="1038"/>
      <c r="AK166" s="1038"/>
      <c r="AL166" s="1038"/>
      <c r="AM166" s="1038"/>
      <c r="AN166" s="1038"/>
      <c r="AO166" s="1038"/>
      <c r="AP166" s="1038"/>
      <c r="AQ166" s="1038"/>
      <c r="AR166" s="1038"/>
      <c r="AS166" s="1038"/>
      <c r="AT166" s="1038"/>
      <c r="AU166" s="1038"/>
      <c r="AV166" s="1038"/>
      <c r="AW166" s="1038"/>
      <c r="AX166" s="1038"/>
      <c r="AY166" s="1038"/>
      <c r="AZ166" s="1038"/>
      <c r="BA166" s="1038"/>
      <c r="BB166" s="1038"/>
    </row>
    <row r="167" spans="2:55" s="542" customFormat="1" ht="25.2" customHeight="1" x14ac:dyDescent="0.2">
      <c r="B167" s="1047" t="s">
        <v>1820</v>
      </c>
      <c r="C167" s="1225" t="s">
        <v>1850</v>
      </c>
      <c r="D167" s="1231" t="s">
        <v>142</v>
      </c>
      <c r="E167" s="1227" t="s">
        <v>161</v>
      </c>
      <c r="F167" s="1227" t="s">
        <v>161</v>
      </c>
      <c r="G167" s="1227"/>
      <c r="H167" s="1228"/>
      <c r="I167" s="1227"/>
      <c r="J167" s="1228"/>
      <c r="K167" s="1229"/>
      <c r="L167" s="1229"/>
      <c r="M167" s="1229"/>
      <c r="N167" s="1229"/>
      <c r="O167" s="1230"/>
      <c r="P167" s="1230"/>
      <c r="Q167" s="1229"/>
      <c r="R167" s="1230"/>
      <c r="S167" s="1229"/>
      <c r="T167" s="1229"/>
      <c r="U167" s="1229"/>
      <c r="V167" s="1229"/>
      <c r="W167" s="1229"/>
      <c r="X167" s="1230"/>
      <c r="Y167" s="1230"/>
      <c r="AI167" s="1038"/>
      <c r="AJ167" s="1038"/>
      <c r="AK167" s="1038"/>
      <c r="AL167" s="1038"/>
      <c r="AM167" s="1038"/>
      <c r="AN167" s="1038"/>
      <c r="AO167" s="1038"/>
      <c r="AP167" s="1038"/>
      <c r="AQ167" s="1038"/>
      <c r="AR167" s="1038"/>
      <c r="AS167" s="1038"/>
      <c r="AT167" s="1038"/>
      <c r="AU167" s="1038"/>
      <c r="AV167" s="1038"/>
      <c r="AW167" s="1038"/>
      <c r="AX167" s="1038"/>
      <c r="AY167" s="1038"/>
      <c r="AZ167" s="1038"/>
      <c r="BA167" s="1038"/>
      <c r="BB167" s="1038"/>
      <c r="BC167" s="1038"/>
    </row>
    <row r="168" spans="2:55" s="542" customFormat="1" ht="25.2" customHeight="1" x14ac:dyDescent="0.2">
      <c r="B168" s="1047" t="s">
        <v>1820</v>
      </c>
      <c r="C168" s="1188" t="s">
        <v>1821</v>
      </c>
      <c r="D168" s="1189" t="s">
        <v>142</v>
      </c>
      <c r="E168" s="1187" t="s">
        <v>136</v>
      </c>
      <c r="F168" s="1187" t="s">
        <v>136</v>
      </c>
      <c r="G168" s="1187"/>
      <c r="H168" s="1186"/>
      <c r="I168" s="1187"/>
      <c r="J168" s="1187"/>
      <c r="K168" s="1187"/>
      <c r="L168" s="1186"/>
      <c r="M168" s="1187"/>
      <c r="N168" s="1187"/>
      <c r="O168" s="1187"/>
      <c r="P168" s="1187"/>
      <c r="Q168" s="1187"/>
      <c r="R168" s="1187"/>
      <c r="S168" s="1187"/>
      <c r="T168" s="1186"/>
      <c r="U168" s="1186"/>
      <c r="V168" s="1187"/>
      <c r="W168" s="1187"/>
      <c r="X168" s="1187"/>
      <c r="Y168" s="1196"/>
      <c r="AF168" s="1038"/>
      <c r="AG168" s="1038"/>
      <c r="AH168" s="1048"/>
      <c r="AI168" s="1048"/>
      <c r="AJ168" s="1048"/>
      <c r="AK168" s="1048"/>
      <c r="AL168" s="1048"/>
      <c r="AM168" s="1048"/>
      <c r="AN168" s="1308"/>
      <c r="AO168" s="1308"/>
      <c r="AP168" s="1308"/>
      <c r="AQ168" s="1308"/>
      <c r="AR168" s="1308"/>
      <c r="AS168" s="1308"/>
      <c r="AT168" s="1308"/>
      <c r="AU168" s="1308"/>
      <c r="AV168" s="1048"/>
      <c r="AW168" s="1048"/>
      <c r="AX168" s="1048"/>
      <c r="AY168" s="1308"/>
      <c r="AZ168" s="1308"/>
      <c r="BA168" s="1308"/>
      <c r="BB168" s="1308"/>
    </row>
    <row r="169" spans="2:55" s="542" customFormat="1" ht="25.2" customHeight="1" x14ac:dyDescent="0.2">
      <c r="B169" s="1047" t="s">
        <v>1822</v>
      </c>
      <c r="C169" s="1190" t="s">
        <v>1343</v>
      </c>
      <c r="D169" s="1167" t="s">
        <v>142</v>
      </c>
      <c r="E169" s="1125" t="s">
        <v>136</v>
      </c>
      <c r="F169" s="1125" t="s">
        <v>136</v>
      </c>
      <c r="G169" s="1125"/>
      <c r="H169" s="1092"/>
      <c r="I169" s="1125"/>
      <c r="J169" s="1125"/>
      <c r="K169" s="1125"/>
      <c r="L169" s="1092"/>
      <c r="M169" s="1125"/>
      <c r="N169" s="1125"/>
      <c r="O169" s="1125"/>
      <c r="P169" s="1125"/>
      <c r="Q169" s="1125"/>
      <c r="R169" s="1125"/>
      <c r="S169" s="1125"/>
      <c r="T169" s="1092"/>
      <c r="U169" s="1092"/>
      <c r="V169" s="1125"/>
      <c r="W169" s="1125"/>
      <c r="X169" s="1125"/>
      <c r="Y169" s="1092"/>
      <c r="AF169" s="1038"/>
      <c r="AG169" s="1038"/>
      <c r="AH169" s="1048"/>
      <c r="AI169" s="1048"/>
      <c r="AJ169" s="1048"/>
      <c r="AK169" s="1048"/>
      <c r="AL169" s="1048"/>
      <c r="AM169" s="1048"/>
      <c r="AN169" s="1308"/>
      <c r="AO169" s="1308"/>
      <c r="AP169" s="1308"/>
      <c r="AQ169" s="1308"/>
      <c r="AR169" s="1308"/>
      <c r="AS169" s="1308"/>
      <c r="AT169" s="1308"/>
      <c r="AU169" s="1308"/>
      <c r="AV169" s="1048"/>
      <c r="AW169" s="1048"/>
      <c r="AX169" s="1048"/>
      <c r="AY169" s="1308"/>
      <c r="AZ169" s="1308"/>
      <c r="BA169" s="1308"/>
      <c r="BB169" s="1308"/>
    </row>
    <row r="170" spans="2:55" s="542" customFormat="1" ht="25.2" customHeight="1" x14ac:dyDescent="0.2">
      <c r="B170" s="1047" t="s">
        <v>1823</v>
      </c>
      <c r="C170" s="1190" t="s">
        <v>1824</v>
      </c>
      <c r="D170" s="1167" t="s">
        <v>142</v>
      </c>
      <c r="E170" s="1125" t="s">
        <v>161</v>
      </c>
      <c r="F170" s="1125" t="s">
        <v>161</v>
      </c>
      <c r="G170" s="1125"/>
      <c r="H170" s="1092"/>
      <c r="I170" s="1125"/>
      <c r="J170" s="1125"/>
      <c r="K170" s="1125"/>
      <c r="L170" s="1092"/>
      <c r="M170" s="1125"/>
      <c r="N170" s="1125"/>
      <c r="O170" s="1125"/>
      <c r="P170" s="1125"/>
      <c r="Q170" s="1125"/>
      <c r="R170" s="1125"/>
      <c r="S170" s="1125"/>
      <c r="T170" s="1092"/>
      <c r="U170" s="1092"/>
      <c r="V170" s="1125"/>
      <c r="W170" s="1125"/>
      <c r="X170" s="1125"/>
      <c r="Y170" s="1092"/>
      <c r="AF170" s="1038"/>
      <c r="AG170" s="1038"/>
      <c r="AH170" s="1048"/>
      <c r="AI170" s="1048"/>
      <c r="AJ170" s="1048"/>
      <c r="AK170" s="1048"/>
      <c r="AL170" s="1048"/>
      <c r="AM170" s="1048"/>
      <c r="AN170" s="1308"/>
      <c r="AO170" s="1308"/>
      <c r="AP170" s="1308"/>
      <c r="AQ170" s="1308"/>
      <c r="AR170" s="1308"/>
      <c r="AS170" s="1308"/>
      <c r="AT170" s="1308"/>
      <c r="AU170" s="1308"/>
      <c r="AV170" s="1048"/>
      <c r="AW170" s="1048"/>
      <c r="AX170" s="1048"/>
      <c r="AY170" s="1308"/>
      <c r="AZ170" s="1308"/>
      <c r="BA170" s="1308"/>
      <c r="BB170" s="1308"/>
    </row>
    <row r="171" spans="2:55" s="542" customFormat="1" ht="25.2" customHeight="1" x14ac:dyDescent="0.2">
      <c r="B171" s="1047" t="s">
        <v>1825</v>
      </c>
      <c r="C171" s="1169" t="s">
        <v>145</v>
      </c>
      <c r="D171" s="1167" t="s">
        <v>142</v>
      </c>
      <c r="E171" s="1125" t="s">
        <v>161</v>
      </c>
      <c r="F171" s="1125" t="s">
        <v>161</v>
      </c>
      <c r="G171" s="1125"/>
      <c r="H171" s="1092"/>
      <c r="I171" s="1125"/>
      <c r="J171" s="1125"/>
      <c r="K171" s="1125"/>
      <c r="L171" s="1092"/>
      <c r="M171" s="1125"/>
      <c r="N171" s="1125"/>
      <c r="O171" s="1125"/>
      <c r="P171" s="1125"/>
      <c r="Q171" s="1187"/>
      <c r="R171" s="1125"/>
      <c r="S171" s="1092"/>
      <c r="T171" s="1092"/>
      <c r="U171" s="1092"/>
      <c r="V171" s="1125"/>
      <c r="W171" s="1125"/>
      <c r="X171" s="1125"/>
      <c r="Y171" s="1092"/>
      <c r="AF171" s="1038"/>
      <c r="AG171" s="1038"/>
      <c r="AH171" s="1048"/>
      <c r="AI171" s="1048"/>
      <c r="AJ171" s="1048"/>
      <c r="AK171" s="1048"/>
      <c r="AL171" s="1048"/>
      <c r="AM171" s="1048"/>
      <c r="AN171" s="1308"/>
      <c r="AO171" s="1308"/>
      <c r="AP171" s="1308"/>
      <c r="AQ171" s="1308"/>
      <c r="AR171" s="1308"/>
      <c r="AS171" s="1308"/>
      <c r="AT171" s="1308"/>
      <c r="AU171" s="1308"/>
      <c r="AV171" s="1048"/>
      <c r="AW171" s="1048"/>
      <c r="AX171" s="1048"/>
      <c r="AY171" s="1308"/>
      <c r="AZ171" s="1308"/>
      <c r="BA171" s="1308"/>
      <c r="BB171" s="1308"/>
    </row>
    <row r="172" spans="2:55" s="542" customFormat="1" ht="25.2" customHeight="1" x14ac:dyDescent="0.2">
      <c r="B172" s="1047" t="s">
        <v>1826</v>
      </c>
      <c r="C172" s="1165" t="s">
        <v>1250</v>
      </c>
      <c r="D172" s="1167" t="s">
        <v>142</v>
      </c>
      <c r="E172" s="1125" t="s">
        <v>161</v>
      </c>
      <c r="F172" s="1125" t="s">
        <v>161</v>
      </c>
      <c r="G172" s="1125"/>
      <c r="H172" s="1092"/>
      <c r="I172" s="1125"/>
      <c r="J172" s="1125"/>
      <c r="K172" s="1125"/>
      <c r="L172" s="1092"/>
      <c r="M172" s="1125"/>
      <c r="N172" s="1125"/>
      <c r="O172" s="1125"/>
      <c r="P172" s="1125"/>
      <c r="Q172" s="1125"/>
      <c r="R172" s="1125"/>
      <c r="S172" s="1092"/>
      <c r="T172" s="1092"/>
      <c r="U172" s="1092"/>
      <c r="V172" s="1125"/>
      <c r="W172" s="1125"/>
      <c r="X172" s="1125"/>
      <c r="Y172" s="1092"/>
      <c r="AF172" s="1038"/>
      <c r="AG172" s="103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row>
    <row r="173" spans="2:55" s="542" customFormat="1" ht="25.2" customHeight="1" x14ac:dyDescent="0.2">
      <c r="B173" s="1047" t="s">
        <v>1827</v>
      </c>
      <c r="C173" s="1165" t="s">
        <v>1828</v>
      </c>
      <c r="D173" s="1167" t="s">
        <v>142</v>
      </c>
      <c r="E173" s="1125" t="s">
        <v>161</v>
      </c>
      <c r="F173" s="1125" t="s">
        <v>161</v>
      </c>
      <c r="G173" s="1125"/>
      <c r="H173" s="1092"/>
      <c r="I173" s="1125" t="s">
        <v>161</v>
      </c>
      <c r="J173" s="1125"/>
      <c r="K173" s="1125"/>
      <c r="L173" s="1092"/>
      <c r="M173" s="1125"/>
      <c r="N173" s="1125"/>
      <c r="O173" s="1125"/>
      <c r="P173" s="1125"/>
      <c r="Q173" s="1125"/>
      <c r="R173" s="1125"/>
      <c r="S173" s="1092"/>
      <c r="T173" s="1092"/>
      <c r="U173" s="1092"/>
      <c r="V173" s="1125"/>
      <c r="W173" s="1125"/>
      <c r="X173" s="1125"/>
      <c r="Y173" s="1232" t="s">
        <v>1980</v>
      </c>
      <c r="AH173" s="1038"/>
      <c r="AI173" s="1038"/>
      <c r="AJ173" s="1038"/>
      <c r="AK173" s="1038"/>
      <c r="AL173" s="1038"/>
      <c r="AM173" s="1038"/>
      <c r="AN173" s="1038"/>
      <c r="AO173" s="1038"/>
      <c r="AP173" s="1038"/>
      <c r="AQ173" s="1038"/>
      <c r="AR173" s="1038"/>
      <c r="AS173" s="1038"/>
      <c r="AT173" s="1038"/>
      <c r="AU173" s="1038"/>
      <c r="AV173" s="1038"/>
      <c r="AW173" s="1038"/>
      <c r="AX173" s="1038"/>
      <c r="AY173" s="1038"/>
      <c r="AZ173" s="1038"/>
      <c r="BA173" s="1038"/>
      <c r="BB173" s="1038"/>
    </row>
    <row r="174" spans="2:55" s="542" customFormat="1" ht="25.2" customHeight="1" x14ac:dyDescent="0.2">
      <c r="B174" s="1047" t="s">
        <v>1829</v>
      </c>
      <c r="C174" s="1165" t="s">
        <v>1830</v>
      </c>
      <c r="D174" s="1167" t="s">
        <v>142</v>
      </c>
      <c r="E174" s="1125" t="s">
        <v>161</v>
      </c>
      <c r="F174" s="1125" t="s">
        <v>161</v>
      </c>
      <c r="G174" s="1125"/>
      <c r="H174" s="1092"/>
      <c r="I174" s="1125"/>
      <c r="J174" s="1125"/>
      <c r="K174" s="1125"/>
      <c r="L174" s="1092"/>
      <c r="M174" s="1092"/>
      <c r="N174" s="1125" t="s">
        <v>161</v>
      </c>
      <c r="O174" s="1125"/>
      <c r="P174" s="1125"/>
      <c r="Q174" s="1125"/>
      <c r="R174" s="1125"/>
      <c r="S174" s="1092"/>
      <c r="T174" s="1092"/>
      <c r="U174" s="1092"/>
      <c r="V174" s="1125"/>
      <c r="W174" s="1125"/>
      <c r="X174" s="1125"/>
      <c r="Y174" s="1092"/>
      <c r="AH174" s="1038"/>
      <c r="AI174" s="1038"/>
      <c r="AJ174" s="1038"/>
      <c r="AK174" s="1038"/>
      <c r="AL174" s="1038"/>
      <c r="AM174" s="1038"/>
      <c r="AN174" s="1038"/>
      <c r="AO174" s="1038"/>
      <c r="AP174" s="1038"/>
      <c r="AQ174" s="1038"/>
      <c r="AR174" s="1038"/>
      <c r="AS174" s="1038"/>
      <c r="AT174" s="1038"/>
      <c r="AU174" s="1038"/>
      <c r="AV174" s="1038"/>
      <c r="AW174" s="1038"/>
      <c r="AX174" s="1038"/>
      <c r="AY174" s="1038"/>
      <c r="AZ174" s="1038"/>
      <c r="BA174" s="1038"/>
      <c r="BB174" s="1038"/>
    </row>
    <row r="175" spans="2:55" s="542" customFormat="1" ht="25.2" customHeight="1" x14ac:dyDescent="0.2">
      <c r="B175" s="1047" t="s">
        <v>1831</v>
      </c>
      <c r="C175" s="1167" t="s">
        <v>108</v>
      </c>
      <c r="D175" s="1169" t="s">
        <v>142</v>
      </c>
      <c r="E175" s="1125" t="s">
        <v>161</v>
      </c>
      <c r="F175" s="1125" t="s">
        <v>161</v>
      </c>
      <c r="G175" s="1125"/>
      <c r="H175" s="1092"/>
      <c r="I175" s="1125"/>
      <c r="J175" s="1125"/>
      <c r="K175" s="1125" t="s">
        <v>161</v>
      </c>
      <c r="L175" s="1092"/>
      <c r="M175" s="1092"/>
      <c r="N175" s="1125"/>
      <c r="O175" s="1125"/>
      <c r="P175" s="1125"/>
      <c r="Q175" s="1125"/>
      <c r="R175" s="1092"/>
      <c r="S175" s="1092"/>
      <c r="T175" s="1092"/>
      <c r="U175" s="1092"/>
      <c r="V175" s="1125"/>
      <c r="W175" s="1125"/>
      <c r="X175" s="1125"/>
      <c r="Y175" s="1092"/>
      <c r="Z175" s="1197"/>
      <c r="AA175" s="1308"/>
      <c r="AB175" s="1308"/>
      <c r="AC175" s="1308"/>
      <c r="AD175" s="1308"/>
      <c r="AE175" s="1308"/>
      <c r="AF175" s="1308"/>
      <c r="AG175" s="1048"/>
      <c r="AH175" s="1048"/>
      <c r="AI175" s="1048"/>
      <c r="AJ175" s="1048"/>
      <c r="AK175" s="1048"/>
      <c r="AL175" s="1048"/>
      <c r="AM175" s="1048"/>
      <c r="AN175" s="1308"/>
      <c r="AO175" s="1308"/>
      <c r="AP175" s="1308"/>
      <c r="AQ175" s="1308"/>
      <c r="AR175" s="1308"/>
      <c r="AS175" s="1308"/>
      <c r="AT175" s="1308"/>
      <c r="AU175" s="1308"/>
      <c r="AV175" s="1048"/>
      <c r="AW175" s="1048"/>
      <c r="AX175" s="1048"/>
      <c r="AY175" s="1308"/>
      <c r="AZ175" s="1308"/>
      <c r="BA175" s="1308"/>
      <c r="BB175" s="1308"/>
    </row>
    <row r="176" spans="2:55" s="542" customFormat="1" ht="25.2" customHeight="1" x14ac:dyDescent="0.2">
      <c r="B176" s="1055" t="s">
        <v>1832</v>
      </c>
      <c r="C176" s="1056" t="s">
        <v>799</v>
      </c>
      <c r="D176" s="1057" t="s">
        <v>142</v>
      </c>
      <c r="E176" s="1058" t="s">
        <v>161</v>
      </c>
      <c r="F176" s="1058" t="s">
        <v>161</v>
      </c>
      <c r="G176" s="1058"/>
      <c r="H176" s="1059"/>
      <c r="I176" s="1058"/>
      <c r="J176" s="1058"/>
      <c r="K176" s="1058"/>
      <c r="L176" s="1059"/>
      <c r="M176" s="1058"/>
      <c r="N176" s="1058"/>
      <c r="O176" s="1058"/>
      <c r="P176" s="1058"/>
      <c r="Q176" s="1058"/>
      <c r="R176" s="1058"/>
      <c r="S176" s="1059"/>
      <c r="T176" s="1059"/>
      <c r="U176" s="1059"/>
      <c r="V176" s="1058"/>
      <c r="W176" s="1058"/>
      <c r="X176" s="1058"/>
      <c r="Y176" s="1059"/>
      <c r="AF176" s="1038"/>
      <c r="AG176" s="1038"/>
      <c r="AH176" s="1048"/>
      <c r="AI176" s="1048"/>
      <c r="AJ176" s="1048"/>
      <c r="AK176" s="1048"/>
      <c r="AL176" s="1048"/>
      <c r="AM176" s="1048"/>
      <c r="AN176" s="1308"/>
      <c r="AO176" s="1308"/>
      <c r="AP176" s="1308"/>
      <c r="AQ176" s="1308"/>
      <c r="AR176" s="1308"/>
      <c r="AS176" s="1308"/>
      <c r="AT176" s="1308"/>
      <c r="AU176" s="1308"/>
      <c r="AV176" s="1048"/>
      <c r="AW176" s="1048"/>
      <c r="AX176" s="1048"/>
      <c r="AY176" s="1308"/>
      <c r="AZ176" s="1308"/>
      <c r="BA176" s="1308"/>
      <c r="BB176" s="1308"/>
    </row>
    <row r="177" spans="2:55" s="542" customFormat="1" ht="15" customHeight="1" x14ac:dyDescent="0.2">
      <c r="C177" s="1037"/>
      <c r="D177" s="1037"/>
    </row>
    <row r="178" spans="2:55" s="542" customFormat="1" ht="15" customHeight="1" x14ac:dyDescent="0.2">
      <c r="C178" s="1037"/>
      <c r="D178" s="1037"/>
    </row>
    <row r="179" spans="2:55" s="1039" customFormat="1" ht="13.2" x14ac:dyDescent="0.2">
      <c r="B179" s="1060" t="s">
        <v>1833</v>
      </c>
      <c r="C179" s="1061"/>
      <c r="D179" s="1039" t="s">
        <v>1817</v>
      </c>
      <c r="Q179" s="1058"/>
      <c r="S179" s="1041"/>
      <c r="T179" s="1041"/>
      <c r="U179" s="1041"/>
      <c r="V179" s="1041"/>
      <c r="W179" s="1041"/>
      <c r="X179" s="1041"/>
      <c r="Y179" s="1041"/>
      <c r="AF179" s="1038"/>
      <c r="AG179" s="1038"/>
    </row>
    <row r="180" spans="2:55" s="542" customFormat="1" ht="25.2" customHeight="1" x14ac:dyDescent="0.2">
      <c r="B180" s="904" t="s">
        <v>1834</v>
      </c>
      <c r="C180" s="1191" t="s">
        <v>1819</v>
      </c>
      <c r="D180" s="1176" t="s">
        <v>142</v>
      </c>
      <c r="E180" s="1151" t="s">
        <v>161</v>
      </c>
      <c r="F180" s="1151" t="s">
        <v>161</v>
      </c>
      <c r="G180" s="1151"/>
      <c r="H180" s="1164"/>
      <c r="I180" s="1151"/>
      <c r="J180" s="1151"/>
      <c r="K180" s="1151"/>
      <c r="L180" s="1164"/>
      <c r="M180" s="1151"/>
      <c r="N180" s="1151"/>
      <c r="O180" s="1151"/>
      <c r="P180" s="1151"/>
      <c r="Q180" s="1151"/>
      <c r="R180" s="1151"/>
      <c r="S180" s="1192"/>
      <c r="T180" s="1186"/>
      <c r="U180" s="1186"/>
      <c r="V180" s="1187"/>
      <c r="W180" s="1187"/>
      <c r="X180" s="1187"/>
      <c r="Y180" s="1164"/>
      <c r="AH180" s="1038"/>
      <c r="AI180" s="1038"/>
      <c r="AJ180" s="1038"/>
      <c r="AK180" s="1038"/>
      <c r="AL180" s="1038"/>
      <c r="AM180" s="1038"/>
      <c r="AN180" s="1038"/>
      <c r="AO180" s="1038"/>
      <c r="AP180" s="1038"/>
      <c r="AQ180" s="1038"/>
      <c r="AR180" s="1038"/>
      <c r="AS180" s="1038"/>
      <c r="AT180" s="1038"/>
      <c r="AU180" s="1038"/>
      <c r="AV180" s="1038"/>
      <c r="AW180" s="1038"/>
      <c r="AX180" s="1038"/>
      <c r="AY180" s="1038"/>
      <c r="AZ180" s="1038"/>
      <c r="BA180" s="1038"/>
      <c r="BB180" s="1038"/>
    </row>
    <row r="181" spans="2:55" s="542" customFormat="1" ht="25.2" customHeight="1" x14ac:dyDescent="0.2">
      <c r="B181" s="1047" t="s">
        <v>1820</v>
      </c>
      <c r="C181" s="1225" t="s">
        <v>1850</v>
      </c>
      <c r="D181" s="1231" t="s">
        <v>142</v>
      </c>
      <c r="E181" s="1227" t="s">
        <v>161</v>
      </c>
      <c r="F181" s="1227" t="s">
        <v>161</v>
      </c>
      <c r="G181" s="1227"/>
      <c r="H181" s="1228"/>
      <c r="I181" s="1227"/>
      <c r="J181" s="1228"/>
      <c r="K181" s="1229"/>
      <c r="L181" s="1229"/>
      <c r="M181" s="1229"/>
      <c r="N181" s="1229"/>
      <c r="O181" s="1230"/>
      <c r="P181" s="1230"/>
      <c r="Q181" s="1229"/>
      <c r="R181" s="1230"/>
      <c r="S181" s="1229"/>
      <c r="T181" s="1229"/>
      <c r="U181" s="1229"/>
      <c r="V181" s="1229"/>
      <c r="W181" s="1229"/>
      <c r="X181" s="1230"/>
      <c r="Y181" s="1230"/>
      <c r="AI181" s="1038"/>
      <c r="AJ181" s="1038"/>
      <c r="AK181" s="1038"/>
      <c r="AL181" s="1038"/>
      <c r="AM181" s="1038"/>
      <c r="AN181" s="1038"/>
      <c r="AO181" s="1038"/>
      <c r="AP181" s="1038"/>
      <c r="AQ181" s="1038"/>
      <c r="AR181" s="1038"/>
      <c r="AS181" s="1038"/>
      <c r="AT181" s="1038"/>
      <c r="AU181" s="1038"/>
      <c r="AV181" s="1038"/>
      <c r="AW181" s="1038"/>
      <c r="AX181" s="1038"/>
      <c r="AY181" s="1038"/>
      <c r="AZ181" s="1038"/>
      <c r="BA181" s="1038"/>
      <c r="BB181" s="1038"/>
      <c r="BC181" s="1038"/>
    </row>
    <row r="182" spans="2:55" s="542" customFormat="1" ht="25.2" customHeight="1" x14ac:dyDescent="0.2">
      <c r="B182" s="1062" t="s">
        <v>1835</v>
      </c>
      <c r="C182" s="1188" t="s">
        <v>1821</v>
      </c>
      <c r="D182" s="1189" t="s">
        <v>142</v>
      </c>
      <c r="E182" s="1187" t="s">
        <v>136</v>
      </c>
      <c r="F182" s="1187" t="s">
        <v>136</v>
      </c>
      <c r="G182" s="1187"/>
      <c r="H182" s="1186"/>
      <c r="I182" s="1187"/>
      <c r="J182" s="1187"/>
      <c r="K182" s="1187"/>
      <c r="L182" s="1186"/>
      <c r="M182" s="1187"/>
      <c r="N182" s="1187"/>
      <c r="O182" s="1187"/>
      <c r="P182" s="1187"/>
      <c r="Q182" s="1187"/>
      <c r="R182" s="1187"/>
      <c r="S182" s="1186"/>
      <c r="T182" s="1186"/>
      <c r="U182" s="1186"/>
      <c r="V182" s="1187"/>
      <c r="W182" s="1187"/>
      <c r="X182" s="1187"/>
      <c r="Y182" s="1196"/>
      <c r="AF182" s="1038"/>
      <c r="AG182" s="1038"/>
      <c r="AH182" s="1048"/>
      <c r="AI182" s="1048"/>
      <c r="AJ182" s="1048"/>
      <c r="AK182" s="1048"/>
      <c r="AL182" s="1048"/>
      <c r="AM182" s="1048"/>
      <c r="AN182" s="1308"/>
      <c r="AO182" s="1308"/>
      <c r="AP182" s="1308"/>
      <c r="AQ182" s="1308"/>
      <c r="AR182" s="1308"/>
      <c r="AS182" s="1308"/>
      <c r="AT182" s="1308"/>
      <c r="AU182" s="1308"/>
      <c r="AV182" s="1048"/>
      <c r="AW182" s="1048"/>
      <c r="AX182" s="1048"/>
      <c r="AY182" s="1308"/>
      <c r="AZ182" s="1308"/>
      <c r="BA182" s="1308"/>
      <c r="BB182" s="1308"/>
    </row>
    <row r="183" spans="2:55" s="542" customFormat="1" ht="25.2" customHeight="1" x14ac:dyDescent="0.2">
      <c r="B183" s="1062" t="s">
        <v>1836</v>
      </c>
      <c r="C183" s="1190" t="s">
        <v>1343</v>
      </c>
      <c r="D183" s="1167" t="s">
        <v>142</v>
      </c>
      <c r="E183" s="1125" t="s">
        <v>136</v>
      </c>
      <c r="F183" s="1125" t="s">
        <v>136</v>
      </c>
      <c r="G183" s="1125"/>
      <c r="H183" s="1092"/>
      <c r="I183" s="1125"/>
      <c r="J183" s="1125"/>
      <c r="K183" s="1125"/>
      <c r="L183" s="1092"/>
      <c r="M183" s="1125"/>
      <c r="N183" s="1125"/>
      <c r="O183" s="1125"/>
      <c r="P183" s="1125"/>
      <c r="Q183" s="1125"/>
      <c r="R183" s="1125"/>
      <c r="S183" s="1092"/>
      <c r="T183" s="1092"/>
      <c r="U183" s="1092"/>
      <c r="V183" s="1125"/>
      <c r="W183" s="1125"/>
      <c r="X183" s="1125"/>
      <c r="Y183" s="1092"/>
      <c r="AF183" s="1038"/>
      <c r="AG183" s="1038"/>
      <c r="AH183" s="1048"/>
      <c r="AI183" s="1048"/>
      <c r="AJ183" s="1048"/>
      <c r="AK183" s="1048"/>
      <c r="AL183" s="1048"/>
      <c r="AM183" s="1048"/>
      <c r="AN183" s="1308"/>
      <c r="AO183" s="1308"/>
      <c r="AP183" s="1308"/>
      <c r="AQ183" s="1308"/>
      <c r="AR183" s="1308"/>
      <c r="AS183" s="1308"/>
      <c r="AT183" s="1308"/>
      <c r="AU183" s="1308"/>
      <c r="AV183" s="1048"/>
      <c r="AW183" s="1048"/>
      <c r="AX183" s="1048"/>
      <c r="AY183" s="1308"/>
      <c r="AZ183" s="1308"/>
      <c r="BA183" s="1308"/>
      <c r="BB183" s="1308"/>
    </row>
    <row r="184" spans="2:55" s="542" customFormat="1" ht="25.2" customHeight="1" x14ac:dyDescent="0.2">
      <c r="B184" s="1062" t="s">
        <v>1837</v>
      </c>
      <c r="C184" s="1190" t="s">
        <v>1824</v>
      </c>
      <c r="D184" s="1167" t="s">
        <v>142</v>
      </c>
      <c r="E184" s="1125" t="s">
        <v>161</v>
      </c>
      <c r="F184" s="1125" t="s">
        <v>161</v>
      </c>
      <c r="G184" s="1125"/>
      <c r="H184" s="1092"/>
      <c r="I184" s="1125"/>
      <c r="J184" s="1125"/>
      <c r="K184" s="1125"/>
      <c r="L184" s="1092"/>
      <c r="M184" s="1125"/>
      <c r="N184" s="1125"/>
      <c r="O184" s="1125"/>
      <c r="P184" s="1125"/>
      <c r="Q184" s="1125"/>
      <c r="R184" s="1125"/>
      <c r="S184" s="1092"/>
      <c r="T184" s="1092"/>
      <c r="U184" s="1092"/>
      <c r="V184" s="1125"/>
      <c r="W184" s="1125"/>
      <c r="X184" s="1125"/>
      <c r="Y184" s="1092"/>
      <c r="AF184" s="1038"/>
      <c r="AG184" s="1038"/>
      <c r="AH184" s="1048"/>
      <c r="AI184" s="1048"/>
      <c r="AJ184" s="1048"/>
      <c r="AK184" s="1048"/>
      <c r="AL184" s="1048"/>
      <c r="AM184" s="1048"/>
      <c r="AN184" s="1308"/>
      <c r="AO184" s="1308"/>
      <c r="AP184" s="1308"/>
      <c r="AQ184" s="1308"/>
      <c r="AR184" s="1308"/>
      <c r="AS184" s="1308"/>
      <c r="AT184" s="1308"/>
      <c r="AU184" s="1308"/>
      <c r="AV184" s="1048"/>
      <c r="AW184" s="1048"/>
      <c r="AX184" s="1048"/>
      <c r="AY184" s="1308"/>
      <c r="AZ184" s="1308"/>
      <c r="BA184" s="1308"/>
      <c r="BB184" s="1308"/>
    </row>
    <row r="185" spans="2:55" s="542" customFormat="1" ht="25.2" customHeight="1" x14ac:dyDescent="0.2">
      <c r="B185" s="1062" t="s">
        <v>1838</v>
      </c>
      <c r="C185" s="1165" t="s">
        <v>1828</v>
      </c>
      <c r="D185" s="1167" t="s">
        <v>142</v>
      </c>
      <c r="E185" s="1125" t="s">
        <v>161</v>
      </c>
      <c r="F185" s="1125" t="s">
        <v>161</v>
      </c>
      <c r="G185" s="1125"/>
      <c r="H185" s="1092"/>
      <c r="I185" s="1125" t="s">
        <v>161</v>
      </c>
      <c r="J185" s="1125"/>
      <c r="K185" s="1125"/>
      <c r="L185" s="1092"/>
      <c r="M185" s="1125"/>
      <c r="N185" s="1125"/>
      <c r="O185" s="1125"/>
      <c r="P185" s="1125"/>
      <c r="Q185" s="1125"/>
      <c r="R185" s="1125"/>
      <c r="S185" s="1092"/>
      <c r="T185" s="1092"/>
      <c r="U185" s="1092"/>
      <c r="V185" s="1125"/>
      <c r="W185" s="1125"/>
      <c r="X185" s="1125"/>
      <c r="Y185" s="1232" t="s">
        <v>1980</v>
      </c>
      <c r="AH185" s="1038"/>
      <c r="AI185" s="1038"/>
      <c r="AJ185" s="1038"/>
      <c r="AK185" s="1038"/>
      <c r="AL185" s="1038"/>
      <c r="AM185" s="1038"/>
      <c r="AN185" s="1038"/>
      <c r="AO185" s="1038"/>
      <c r="AP185" s="1038"/>
      <c r="AQ185" s="1038"/>
      <c r="AR185" s="1038"/>
      <c r="AS185" s="1038"/>
      <c r="AT185" s="1038"/>
      <c r="AU185" s="1038"/>
      <c r="AV185" s="1038"/>
      <c r="AW185" s="1038"/>
      <c r="AX185" s="1038"/>
      <c r="AY185" s="1038"/>
      <c r="AZ185" s="1038"/>
      <c r="BA185" s="1038"/>
      <c r="BB185" s="1038"/>
    </row>
    <row r="186" spans="2:55" s="542" customFormat="1" ht="25.2" customHeight="1" x14ac:dyDescent="0.2">
      <c r="B186" s="1062" t="s">
        <v>1839</v>
      </c>
      <c r="C186" s="1167" t="s">
        <v>108</v>
      </c>
      <c r="D186" s="1169" t="s">
        <v>142</v>
      </c>
      <c r="E186" s="1125" t="s">
        <v>161</v>
      </c>
      <c r="F186" s="1125" t="s">
        <v>161</v>
      </c>
      <c r="G186" s="1125"/>
      <c r="H186" s="1092"/>
      <c r="I186" s="1125"/>
      <c r="J186" s="1125"/>
      <c r="K186" s="1125" t="s">
        <v>161</v>
      </c>
      <c r="L186" s="1092"/>
      <c r="M186" s="1125"/>
      <c r="N186" s="1125"/>
      <c r="O186" s="1125"/>
      <c r="P186" s="1125"/>
      <c r="Q186" s="1125"/>
      <c r="R186" s="1092"/>
      <c r="S186" s="1092"/>
      <c r="T186" s="1092"/>
      <c r="U186" s="1092"/>
      <c r="V186" s="1125"/>
      <c r="W186" s="1125"/>
      <c r="X186" s="1125"/>
      <c r="Y186" s="1092"/>
      <c r="Z186" s="1197"/>
      <c r="AA186" s="1308"/>
      <c r="AB186" s="1308"/>
      <c r="AC186" s="1308"/>
      <c r="AD186" s="1308"/>
      <c r="AE186" s="1308"/>
      <c r="AF186" s="1308"/>
      <c r="AG186" s="1048"/>
      <c r="AH186" s="1048"/>
      <c r="AI186" s="1048"/>
      <c r="AJ186" s="1048"/>
      <c r="AK186" s="1048"/>
      <c r="AL186" s="1048"/>
      <c r="AM186" s="1048"/>
      <c r="AN186" s="1308"/>
      <c r="AO186" s="1308"/>
      <c r="AP186" s="1308"/>
      <c r="AQ186" s="1308"/>
      <c r="AR186" s="1308"/>
      <c r="AS186" s="1308"/>
      <c r="AT186" s="1308"/>
      <c r="AU186" s="1308"/>
      <c r="AV186" s="1048"/>
      <c r="AW186" s="1048"/>
      <c r="AX186" s="1048"/>
      <c r="AY186" s="1308"/>
      <c r="AZ186" s="1308"/>
      <c r="BA186" s="1308"/>
      <c r="BB186" s="1308"/>
    </row>
    <row r="187" spans="2:55" s="542" customFormat="1" ht="25.2" customHeight="1" x14ac:dyDescent="0.2">
      <c r="B187" s="1064" t="s">
        <v>1840</v>
      </c>
      <c r="C187" s="1056" t="s">
        <v>799</v>
      </c>
      <c r="D187" s="1057" t="s">
        <v>142</v>
      </c>
      <c r="E187" s="1058" t="s">
        <v>161</v>
      </c>
      <c r="F187" s="1058" t="s">
        <v>161</v>
      </c>
      <c r="G187" s="1058"/>
      <c r="H187" s="1059"/>
      <c r="I187" s="1058"/>
      <c r="J187" s="1058"/>
      <c r="K187" s="1058"/>
      <c r="L187" s="1059"/>
      <c r="M187" s="1058"/>
      <c r="N187" s="1058"/>
      <c r="O187" s="1058"/>
      <c r="P187" s="1058"/>
      <c r="Q187" s="1058"/>
      <c r="R187" s="1058"/>
      <c r="S187" s="1059"/>
      <c r="T187" s="1059"/>
      <c r="U187" s="1059"/>
      <c r="V187" s="1058"/>
      <c r="W187" s="1058"/>
      <c r="X187" s="1058"/>
      <c r="Y187" s="1059"/>
      <c r="AF187" s="1038"/>
      <c r="AG187" s="1038"/>
      <c r="AH187" s="1048"/>
      <c r="AI187" s="1048"/>
      <c r="AJ187" s="1048"/>
      <c r="AK187" s="1048"/>
      <c r="AL187" s="1048"/>
      <c r="AM187" s="1048"/>
      <c r="AN187" s="1308"/>
      <c r="AO187" s="1308"/>
      <c r="AP187" s="1308"/>
      <c r="AQ187" s="1308"/>
      <c r="AR187" s="1308"/>
      <c r="AS187" s="1308"/>
      <c r="AT187" s="1308"/>
      <c r="AU187" s="1308"/>
      <c r="AV187" s="1048"/>
      <c r="AW187" s="1048"/>
      <c r="AX187" s="1048"/>
      <c r="AY187" s="1308"/>
      <c r="AZ187" s="1308"/>
      <c r="BA187" s="1308"/>
      <c r="BB187" s="1308"/>
    </row>
  </sheetData>
  <mergeCells count="438">
    <mergeCell ref="AY96:AZ96"/>
    <mergeCell ref="BA96:BB96"/>
    <mergeCell ref="AN97:AO97"/>
    <mergeCell ref="AP97:AQ97"/>
    <mergeCell ref="AR97:AS97"/>
    <mergeCell ref="AT97:AU97"/>
    <mergeCell ref="AY97:AZ97"/>
    <mergeCell ref="BA97:BB97"/>
    <mergeCell ref="AY92:AZ92"/>
    <mergeCell ref="BA92:BB92"/>
    <mergeCell ref="AN93:AO93"/>
    <mergeCell ref="AP93:AQ93"/>
    <mergeCell ref="AR93:AS93"/>
    <mergeCell ref="AT93:AU93"/>
    <mergeCell ref="AY93:AZ93"/>
    <mergeCell ref="BA93:BB93"/>
    <mergeCell ref="AN94:AO94"/>
    <mergeCell ref="AP94:AQ94"/>
    <mergeCell ref="AR94:AS94"/>
    <mergeCell ref="AT94:AU94"/>
    <mergeCell ref="AY94:AZ94"/>
    <mergeCell ref="BA94:BB94"/>
    <mergeCell ref="AN92:AO92"/>
    <mergeCell ref="AP92:AQ92"/>
    <mergeCell ref="AP111:AQ111"/>
    <mergeCell ref="AU114:AV114"/>
    <mergeCell ref="AP106:AQ106"/>
    <mergeCell ref="AP112:AQ112"/>
    <mergeCell ref="AW100:AX100"/>
    <mergeCell ref="AU112:AV112"/>
    <mergeCell ref="AU106:AV106"/>
    <mergeCell ref="AU111:AV111"/>
    <mergeCell ref="AL111:AM111"/>
    <mergeCell ref="AN111:AO111"/>
    <mergeCell ref="AL112:AM112"/>
    <mergeCell ref="AL103:AM103"/>
    <mergeCell ref="AL106:AM106"/>
    <mergeCell ref="AL104:AM104"/>
    <mergeCell ref="AR92:AS92"/>
    <mergeCell ref="AT92:AU92"/>
    <mergeCell ref="AN96:AO96"/>
    <mergeCell ref="AP96:AQ96"/>
    <mergeCell ref="AR96:AS96"/>
    <mergeCell ref="AT96:AU96"/>
    <mergeCell ref="AN100:AO100"/>
    <mergeCell ref="AN104:AO104"/>
    <mergeCell ref="AP100:AQ100"/>
    <mergeCell ref="AP104:AQ104"/>
    <mergeCell ref="AP103:AQ103"/>
    <mergeCell ref="AU103:AV103"/>
    <mergeCell ref="AU104:AV104"/>
    <mergeCell ref="AN103:AO103"/>
    <mergeCell ref="AU100:AV100"/>
    <mergeCell ref="AY87:AZ87"/>
    <mergeCell ref="BA87:BB87"/>
    <mergeCell ref="AN90:AO90"/>
    <mergeCell ref="AP90:AQ90"/>
    <mergeCell ref="AR90:AS90"/>
    <mergeCell ref="AT90:AU90"/>
    <mergeCell ref="AY90:AZ90"/>
    <mergeCell ref="BA90:BB90"/>
    <mergeCell ref="AN91:AO91"/>
    <mergeCell ref="AP91:AQ91"/>
    <mergeCell ref="AR91:AS91"/>
    <mergeCell ref="AT91:AU91"/>
    <mergeCell ref="AY91:AZ91"/>
    <mergeCell ref="BA91:BB91"/>
    <mergeCell ref="AN87:AO87"/>
    <mergeCell ref="AP87:AQ87"/>
    <mergeCell ref="AR87:AS87"/>
    <mergeCell ref="AT87:AU87"/>
    <mergeCell ref="AW147:AX147"/>
    <mergeCell ref="AP147:AQ147"/>
    <mergeCell ref="AP145:AQ145"/>
    <mergeCell ref="AN114:AO114"/>
    <mergeCell ref="AP138:AQ138"/>
    <mergeCell ref="AU138:AV138"/>
    <mergeCell ref="AU137:AV137"/>
    <mergeCell ref="AP140:AQ140"/>
    <mergeCell ref="AU140:AV140"/>
    <mergeCell ref="AW120:AX120"/>
    <mergeCell ref="AW130:AX130"/>
    <mergeCell ref="AU130:AV130"/>
    <mergeCell ref="AW138:AX138"/>
    <mergeCell ref="AW140:AX140"/>
    <mergeCell ref="AW137:AX137"/>
    <mergeCell ref="AN146:AO146"/>
    <mergeCell ref="AN147:AO147"/>
    <mergeCell ref="AU147:AV147"/>
    <mergeCell ref="AP115:AQ115"/>
    <mergeCell ref="AN120:AO120"/>
    <mergeCell ref="AU115:AV115"/>
    <mergeCell ref="AW114:AX114"/>
    <mergeCell ref="AW115:AX115"/>
    <mergeCell ref="AW145:AX145"/>
    <mergeCell ref="AU120:AV120"/>
    <mergeCell ref="AU134:AV134"/>
    <mergeCell ref="AW112:AX112"/>
    <mergeCell ref="AW111:AX111"/>
    <mergeCell ref="AX4:AX18"/>
    <mergeCell ref="AW33:AX33"/>
    <mergeCell ref="AW34:AX34"/>
    <mergeCell ref="AW47:AX47"/>
    <mergeCell ref="AT83:AU83"/>
    <mergeCell ref="AW103:AX103"/>
    <mergeCell ref="AW106:AX106"/>
    <mergeCell ref="AW104:AX104"/>
    <mergeCell ref="AN61:AO61"/>
    <mergeCell ref="AW26:AX26"/>
    <mergeCell ref="AP40:AQ40"/>
    <mergeCell ref="AU40:AV40"/>
    <mergeCell ref="AW40:AX40"/>
    <mergeCell ref="AN40:AO40"/>
    <mergeCell ref="AP21:AQ21"/>
    <mergeCell ref="AU21:AV21"/>
    <mergeCell ref="AW21:AX21"/>
    <mergeCell ref="AW25:AX25"/>
    <mergeCell ref="AW27:AX27"/>
    <mergeCell ref="AP61:AQ61"/>
    <mergeCell ref="AP49:AQ49"/>
    <mergeCell ref="AW32:AX32"/>
    <mergeCell ref="AW35:AX35"/>
    <mergeCell ref="AW36:AX36"/>
    <mergeCell ref="AW49:AX49"/>
    <mergeCell ref="AU61:AV61"/>
    <mergeCell ref="AN21:AO21"/>
    <mergeCell ref="AN49:AO49"/>
    <mergeCell ref="AU49:AV49"/>
    <mergeCell ref="AW61:AX61"/>
    <mergeCell ref="E4:E18"/>
    <mergeCell ref="H4:H18"/>
    <mergeCell ref="Y4:Y18"/>
    <mergeCell ref="AA130:AB130"/>
    <mergeCell ref="F4:F18"/>
    <mergeCell ref="W4:W18"/>
    <mergeCell ref="M4:M18"/>
    <mergeCell ref="S4:S18"/>
    <mergeCell ref="L4:L18"/>
    <mergeCell ref="AA112:AB112"/>
    <mergeCell ref="T4:T18"/>
    <mergeCell ref="AA115:AB115"/>
    <mergeCell ref="AA114:AB114"/>
    <mergeCell ref="J4:J18"/>
    <mergeCell ref="O4:O18"/>
    <mergeCell ref="X4:X18"/>
    <mergeCell ref="V4:V18"/>
    <mergeCell ref="R4:R18"/>
    <mergeCell ref="P4:P18"/>
    <mergeCell ref="U4:U18"/>
    <mergeCell ref="Q4:Q18"/>
    <mergeCell ref="I4:I18"/>
    <mergeCell ref="N4:N18"/>
    <mergeCell ref="K4:K18"/>
    <mergeCell ref="AJ112:AK112"/>
    <mergeCell ref="AJ104:AK104"/>
    <mergeCell ref="AJ103:AK103"/>
    <mergeCell ref="AL114:AM114"/>
    <mergeCell ref="AN112:AO112"/>
    <mergeCell ref="AJ114:AK114"/>
    <mergeCell ref="AN106:AO106"/>
    <mergeCell ref="AJ111:AK111"/>
    <mergeCell ref="AJ106:AK106"/>
    <mergeCell ref="AA162:AB162"/>
    <mergeCell ref="AJ162:AK162"/>
    <mergeCell ref="AL162:AM162"/>
    <mergeCell ref="AL147:AM147"/>
    <mergeCell ref="AJ115:AK115"/>
    <mergeCell ref="AA148:AB148"/>
    <mergeCell ref="AL138:AM138"/>
    <mergeCell ref="AJ130:AK130"/>
    <mergeCell ref="AJ140:AK140"/>
    <mergeCell ref="AL140:AM140"/>
    <mergeCell ref="AJ146:AK146"/>
    <mergeCell ref="AA145:AB145"/>
    <mergeCell ref="AJ145:AK145"/>
    <mergeCell ref="AA147:AB147"/>
    <mergeCell ref="AJ148:AK148"/>
    <mergeCell ref="AJ138:AK138"/>
    <mergeCell ref="AL115:AM115"/>
    <mergeCell ref="AJ137:AK137"/>
    <mergeCell ref="AL137:AM137"/>
    <mergeCell ref="AL130:AM130"/>
    <mergeCell ref="AW162:AX162"/>
    <mergeCell ref="AW148:AX148"/>
    <mergeCell ref="AN162:AO162"/>
    <mergeCell ref="AP162:AQ162"/>
    <mergeCell ref="AU162:AV162"/>
    <mergeCell ref="AN148:AO148"/>
    <mergeCell ref="AU148:AV148"/>
    <mergeCell ref="AP148:AQ148"/>
    <mergeCell ref="AL148:AM148"/>
    <mergeCell ref="AN152:AO152"/>
    <mergeCell ref="AP152:AQ152"/>
    <mergeCell ref="AU152:AV152"/>
    <mergeCell ref="AW152:AX152"/>
    <mergeCell ref="BA170:BB170"/>
    <mergeCell ref="AN171:AO171"/>
    <mergeCell ref="AP171:AQ171"/>
    <mergeCell ref="AR171:AS171"/>
    <mergeCell ref="AT171:AU171"/>
    <mergeCell ref="AY171:AZ171"/>
    <mergeCell ref="BA171:BB171"/>
    <mergeCell ref="AN168:AO168"/>
    <mergeCell ref="AP168:AQ168"/>
    <mergeCell ref="AR168:AS168"/>
    <mergeCell ref="AT168:AU168"/>
    <mergeCell ref="AY168:AZ168"/>
    <mergeCell ref="BA168:BB168"/>
    <mergeCell ref="AN169:AO169"/>
    <mergeCell ref="AP169:AQ169"/>
    <mergeCell ref="AR169:AS169"/>
    <mergeCell ref="AT169:AU169"/>
    <mergeCell ref="AY169:AZ169"/>
    <mergeCell ref="BA169:BB169"/>
    <mergeCell ref="AA175:AB175"/>
    <mergeCell ref="AC175:AD175"/>
    <mergeCell ref="AE175:AF175"/>
    <mergeCell ref="AN175:AO175"/>
    <mergeCell ref="AP175:AQ175"/>
    <mergeCell ref="AR175:AS175"/>
    <mergeCell ref="AT175:AU175"/>
    <mergeCell ref="AY175:AZ175"/>
    <mergeCell ref="AN170:AO170"/>
    <mergeCell ref="AP170:AQ170"/>
    <mergeCell ref="AR170:AS170"/>
    <mergeCell ref="AT170:AU170"/>
    <mergeCell ref="AY170:AZ170"/>
    <mergeCell ref="BA175:BB175"/>
    <mergeCell ref="AN176:AO176"/>
    <mergeCell ref="AP176:AQ176"/>
    <mergeCell ref="AR176:AS176"/>
    <mergeCell ref="AT176:AU176"/>
    <mergeCell ref="AY176:AZ176"/>
    <mergeCell ref="BA176:BB176"/>
    <mergeCell ref="AN182:AO182"/>
    <mergeCell ref="AP182:AQ182"/>
    <mergeCell ref="AR182:AS182"/>
    <mergeCell ref="AT182:AU182"/>
    <mergeCell ref="AY182:AZ182"/>
    <mergeCell ref="BA182:BB182"/>
    <mergeCell ref="AN183:AO183"/>
    <mergeCell ref="AP183:AQ183"/>
    <mergeCell ref="AR183:AS183"/>
    <mergeCell ref="AT183:AU183"/>
    <mergeCell ref="AY183:AZ183"/>
    <mergeCell ref="BA183:BB183"/>
    <mergeCell ref="AN184:AO184"/>
    <mergeCell ref="AP184:AQ184"/>
    <mergeCell ref="AR184:AS184"/>
    <mergeCell ref="AT184:AU184"/>
    <mergeCell ref="AY184:AZ184"/>
    <mergeCell ref="BA184:BB184"/>
    <mergeCell ref="BA186:BB186"/>
    <mergeCell ref="AN187:AO187"/>
    <mergeCell ref="AP187:AQ187"/>
    <mergeCell ref="AR187:AS187"/>
    <mergeCell ref="AT187:AU187"/>
    <mergeCell ref="AY187:AZ187"/>
    <mergeCell ref="BA187:BB187"/>
    <mergeCell ref="AA186:AB186"/>
    <mergeCell ref="AC186:AD186"/>
    <mergeCell ref="AE186:AF186"/>
    <mergeCell ref="AN186:AO186"/>
    <mergeCell ref="AP186:AQ186"/>
    <mergeCell ref="AR186:AS186"/>
    <mergeCell ref="AT186:AU186"/>
    <mergeCell ref="AY186:AZ186"/>
    <mergeCell ref="AY64:AZ64"/>
    <mergeCell ref="BA64:BB64"/>
    <mergeCell ref="AN69:AO69"/>
    <mergeCell ref="AP69:AQ69"/>
    <mergeCell ref="AR69:AS69"/>
    <mergeCell ref="AT69:AU69"/>
    <mergeCell ref="AY69:AZ69"/>
    <mergeCell ref="BA69:BB69"/>
    <mergeCell ref="AN70:AO70"/>
    <mergeCell ref="AP70:AQ70"/>
    <mergeCell ref="AR70:AS70"/>
    <mergeCell ref="AT70:AU70"/>
    <mergeCell ref="AY70:AZ70"/>
    <mergeCell ref="BA70:BB70"/>
    <mergeCell ref="AN64:AO64"/>
    <mergeCell ref="AP64:AQ64"/>
    <mergeCell ref="AR64:AS64"/>
    <mergeCell ref="AT64:AU64"/>
    <mergeCell ref="AY71:AZ71"/>
    <mergeCell ref="BA71:BB71"/>
    <mergeCell ref="AN72:AO72"/>
    <mergeCell ref="AP72:AQ72"/>
    <mergeCell ref="AR72:AS72"/>
    <mergeCell ref="AT72:AU72"/>
    <mergeCell ref="AY72:AZ72"/>
    <mergeCell ref="BA72:BB72"/>
    <mergeCell ref="AN74:AO74"/>
    <mergeCell ref="AP74:AQ74"/>
    <mergeCell ref="AR74:AS74"/>
    <mergeCell ref="AT74:AU74"/>
    <mergeCell ref="AY74:AZ74"/>
    <mergeCell ref="BA74:BB74"/>
    <mergeCell ref="AN71:AO71"/>
    <mergeCell ref="AP71:AQ71"/>
    <mergeCell ref="AR71:AS71"/>
    <mergeCell ref="AT71:AU71"/>
    <mergeCell ref="AY75:AZ75"/>
    <mergeCell ref="BA75:BB75"/>
    <mergeCell ref="AN76:AO76"/>
    <mergeCell ref="AP76:AQ76"/>
    <mergeCell ref="AR76:AS76"/>
    <mergeCell ref="AT76:AU76"/>
    <mergeCell ref="AY76:AZ76"/>
    <mergeCell ref="BA76:BB76"/>
    <mergeCell ref="AN77:AO77"/>
    <mergeCell ref="AP77:AQ77"/>
    <mergeCell ref="AR77:AS77"/>
    <mergeCell ref="AT77:AU77"/>
    <mergeCell ref="AY77:AZ77"/>
    <mergeCell ref="BA77:BB77"/>
    <mergeCell ref="AN75:AO75"/>
    <mergeCell ref="AP75:AQ75"/>
    <mergeCell ref="AR75:AS75"/>
    <mergeCell ref="AT75:AU75"/>
    <mergeCell ref="G4:G18"/>
    <mergeCell ref="AY83:AZ83"/>
    <mergeCell ref="BA83:BB83"/>
    <mergeCell ref="AY78:AZ78"/>
    <mergeCell ref="BA78:BB78"/>
    <mergeCell ref="AN79:AO79"/>
    <mergeCell ref="AP79:AQ79"/>
    <mergeCell ref="AR79:AS79"/>
    <mergeCell ref="AT79:AU79"/>
    <mergeCell ref="AY79:AZ79"/>
    <mergeCell ref="BA79:BB79"/>
    <mergeCell ref="AN81:AO81"/>
    <mergeCell ref="AP81:AQ81"/>
    <mergeCell ref="AR81:AS81"/>
    <mergeCell ref="AT81:AU81"/>
    <mergeCell ref="AY81:AZ81"/>
    <mergeCell ref="BA81:BB81"/>
    <mergeCell ref="AN78:AO78"/>
    <mergeCell ref="AP78:AQ78"/>
    <mergeCell ref="AR78:AS78"/>
    <mergeCell ref="AT78:AU78"/>
    <mergeCell ref="AN83:AO83"/>
    <mergeCell ref="AP83:AQ83"/>
    <mergeCell ref="AR83:AS83"/>
    <mergeCell ref="E56:E59"/>
    <mergeCell ref="R56:R59"/>
    <mergeCell ref="D56:D59"/>
    <mergeCell ref="C56:C59"/>
    <mergeCell ref="B56:B59"/>
    <mergeCell ref="H56:H59"/>
    <mergeCell ref="I56:I59"/>
    <mergeCell ref="J56:J59"/>
    <mergeCell ref="K56:K59"/>
    <mergeCell ref="L56:L59"/>
    <mergeCell ref="M56:M59"/>
    <mergeCell ref="N56:N59"/>
    <mergeCell ref="O56:O59"/>
    <mergeCell ref="P56:P59"/>
    <mergeCell ref="Q56:Q59"/>
    <mergeCell ref="S56:S59"/>
    <mergeCell ref="T56:T59"/>
    <mergeCell ref="U56:U59"/>
    <mergeCell ref="V56:V59"/>
    <mergeCell ref="W56:W59"/>
    <mergeCell ref="X56:X59"/>
    <mergeCell ref="G125:G128"/>
    <mergeCell ref="R125:R128"/>
    <mergeCell ref="F125:F128"/>
    <mergeCell ref="M125:M128"/>
    <mergeCell ref="N125:N128"/>
    <mergeCell ref="O125:O128"/>
    <mergeCell ref="P125:P128"/>
    <mergeCell ref="Q125:Q128"/>
    <mergeCell ref="S125:S128"/>
    <mergeCell ref="T125:T128"/>
    <mergeCell ref="U125:U128"/>
    <mergeCell ref="V125:V128"/>
    <mergeCell ref="W125:W128"/>
    <mergeCell ref="X125:X128"/>
    <mergeCell ref="G56:G59"/>
    <mergeCell ref="F56:F59"/>
    <mergeCell ref="B157:B160"/>
    <mergeCell ref="H157:H160"/>
    <mergeCell ref="I157:I160"/>
    <mergeCell ref="J157:J160"/>
    <mergeCell ref="K157:K160"/>
    <mergeCell ref="L157:L160"/>
    <mergeCell ref="E125:E128"/>
    <mergeCell ref="D125:D128"/>
    <mergeCell ref="C125:C128"/>
    <mergeCell ref="B125:B128"/>
    <mergeCell ref="H125:H128"/>
    <mergeCell ref="I125:I128"/>
    <mergeCell ref="J125:J128"/>
    <mergeCell ref="K125:K128"/>
    <mergeCell ref="L125:L128"/>
    <mergeCell ref="F157:F160"/>
    <mergeCell ref="E157:E160"/>
    <mergeCell ref="D157:D160"/>
    <mergeCell ref="C157:C160"/>
    <mergeCell ref="BA105:BB105"/>
    <mergeCell ref="BA139:BB139"/>
    <mergeCell ref="S157:S160"/>
    <mergeCell ref="T157:T160"/>
    <mergeCell ref="U157:U160"/>
    <mergeCell ref="V157:V160"/>
    <mergeCell ref="W157:W160"/>
    <mergeCell ref="X157:X160"/>
    <mergeCell ref="G157:G160"/>
    <mergeCell ref="R157:R160"/>
    <mergeCell ref="AA111:AB111"/>
    <mergeCell ref="AJ147:AK147"/>
    <mergeCell ref="AA146:AB146"/>
    <mergeCell ref="AL146:AM146"/>
    <mergeCell ref="AN145:AO145"/>
    <mergeCell ref="AN140:AO140"/>
    <mergeCell ref="AL145:AM145"/>
    <mergeCell ref="AW146:AX146"/>
    <mergeCell ref="AU146:AV146"/>
    <mergeCell ref="AU145:AV145"/>
    <mergeCell ref="AW134:AX134"/>
    <mergeCell ref="AN138:AO138"/>
    <mergeCell ref="AP146:AQ146"/>
    <mergeCell ref="AP130:AQ130"/>
    <mergeCell ref="AP120:AQ120"/>
    <mergeCell ref="AP137:AQ137"/>
    <mergeCell ref="AP114:AQ114"/>
    <mergeCell ref="AN134:AO134"/>
    <mergeCell ref="AP134:AQ134"/>
    <mergeCell ref="M157:M160"/>
    <mergeCell ref="N157:N160"/>
    <mergeCell ref="O157:O160"/>
    <mergeCell ref="P157:P160"/>
    <mergeCell ref="Q157:Q160"/>
    <mergeCell ref="AN130:AO130"/>
    <mergeCell ref="AN115:AO115"/>
    <mergeCell ref="AN137:AO137"/>
  </mergeCells>
  <phoneticPr fontId="2"/>
  <hyperlinks>
    <hyperlink ref="Y57" r:id="rId1" xr:uid="{78B4F254-7811-4DE0-8A67-40D269A2367B}"/>
    <hyperlink ref="Y59" r:id="rId2" xr:uid="{857C679B-F5F2-483A-9F69-3EC1CBD2D42D}"/>
    <hyperlink ref="Y126" r:id="rId3" xr:uid="{E334C1E7-8156-495A-97C0-9C1616B85A03}"/>
    <hyperlink ref="Y128" r:id="rId4" xr:uid="{F526BD5D-78BC-4212-930E-DF4EC5292760}"/>
    <hyperlink ref="Y158" r:id="rId5" xr:uid="{3BE9966E-8AA2-4589-81C7-CFDBCFE55792}"/>
    <hyperlink ref="Y160" r:id="rId6" xr:uid="{822998CA-1D5A-4C94-BF74-AEE3ECB0E33C}"/>
  </hyperlinks>
  <printOptions horizontalCentered="1"/>
  <pageMargins left="0.19685039370078741" right="0.19685039370078741" top="0.19685039370078741" bottom="0.19685039370078741" header="0.31496062992125984" footer="0.31496062992125984"/>
  <pageSetup paperSize="9" scale="54" fitToHeight="0" orientation="landscape" r:id="rId7"/>
  <rowBreaks count="6" manualBreakCount="6">
    <brk id="52" min="1" max="24" man="1"/>
    <brk id="62" min="1" max="24" man="1"/>
    <brk id="84" min="1" max="24" man="1"/>
    <brk id="98" min="1" max="24" man="1"/>
    <brk id="131" min="1" max="24" man="1"/>
    <brk id="163" min="1" max="2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FB205-6AEB-4264-9E76-29A76B74CC49}">
  <sheetPr>
    <tabColor rgb="FFFFFF00"/>
    <pageSetUpPr fitToPage="1"/>
  </sheetPr>
  <dimension ref="B1:AF55"/>
  <sheetViews>
    <sheetView view="pageBreakPreview" zoomScale="70" zoomScaleNormal="130" zoomScaleSheetLayoutView="70" workbookViewId="0"/>
  </sheetViews>
  <sheetFormatPr defaultColWidth="3.44140625" defaultRowHeight="13.2" x14ac:dyDescent="0.2"/>
  <cols>
    <col min="1" max="1" width="1.44140625" style="3" customWidth="1"/>
    <col min="2" max="2" width="2.44140625" style="3" customWidth="1"/>
    <col min="3" max="3" width="3" style="59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256" width="3.44140625" style="3"/>
    <col min="257" max="257" width="1.44140625" style="3" customWidth="1"/>
    <col min="258" max="258" width="2.44140625" style="3" customWidth="1"/>
    <col min="259" max="259" width="3" style="3" customWidth="1"/>
    <col min="260" max="263" width="4.88671875" style="3" customWidth="1"/>
    <col min="264" max="264" width="3.88671875" style="3" customWidth="1"/>
    <col min="265" max="266" width="4.88671875" style="3" customWidth="1"/>
    <col min="267" max="277" width="5.44140625" style="3" customWidth="1"/>
    <col min="278" max="281" width="4.88671875" style="3" customWidth="1"/>
    <col min="282" max="282" width="5.44140625" style="3" customWidth="1"/>
    <col min="283" max="287" width="4.88671875" style="3" customWidth="1"/>
    <col min="288" max="288" width="2.21875" style="3" customWidth="1"/>
    <col min="289" max="289" width="1.44140625" style="3" customWidth="1"/>
    <col min="290" max="290" width="1.6640625" style="3" customWidth="1"/>
    <col min="291" max="512" width="3.44140625" style="3"/>
    <col min="513" max="513" width="1.44140625" style="3" customWidth="1"/>
    <col min="514" max="514" width="2.44140625" style="3" customWidth="1"/>
    <col min="515" max="515" width="3" style="3" customWidth="1"/>
    <col min="516" max="519" width="4.88671875" style="3" customWidth="1"/>
    <col min="520" max="520" width="3.88671875" style="3" customWidth="1"/>
    <col min="521" max="522" width="4.88671875" style="3" customWidth="1"/>
    <col min="523" max="533" width="5.44140625" style="3" customWidth="1"/>
    <col min="534" max="537" width="4.88671875" style="3" customWidth="1"/>
    <col min="538" max="538" width="5.44140625" style="3" customWidth="1"/>
    <col min="539" max="543" width="4.88671875" style="3" customWidth="1"/>
    <col min="544" max="544" width="2.21875" style="3" customWidth="1"/>
    <col min="545" max="545" width="1.44140625" style="3" customWidth="1"/>
    <col min="546" max="546" width="1.6640625" style="3" customWidth="1"/>
    <col min="547" max="768" width="3.44140625" style="3"/>
    <col min="769" max="769" width="1.44140625" style="3" customWidth="1"/>
    <col min="770" max="770" width="2.44140625" style="3" customWidth="1"/>
    <col min="771" max="771" width="3" style="3" customWidth="1"/>
    <col min="772" max="775" width="4.88671875" style="3" customWidth="1"/>
    <col min="776" max="776" width="3.88671875" style="3" customWidth="1"/>
    <col min="777" max="778" width="4.88671875" style="3" customWidth="1"/>
    <col min="779" max="789" width="5.44140625" style="3" customWidth="1"/>
    <col min="790" max="793" width="4.88671875" style="3" customWidth="1"/>
    <col min="794" max="794" width="5.44140625" style="3" customWidth="1"/>
    <col min="795" max="799" width="4.88671875" style="3" customWidth="1"/>
    <col min="800" max="800" width="2.21875" style="3" customWidth="1"/>
    <col min="801" max="801" width="1.44140625" style="3" customWidth="1"/>
    <col min="802" max="802" width="1.6640625" style="3" customWidth="1"/>
    <col min="803" max="1024" width="3.44140625" style="3"/>
    <col min="1025" max="1025" width="1.44140625" style="3" customWidth="1"/>
    <col min="1026" max="1026" width="2.44140625" style="3" customWidth="1"/>
    <col min="1027" max="1027" width="3" style="3" customWidth="1"/>
    <col min="1028" max="1031" width="4.88671875" style="3" customWidth="1"/>
    <col min="1032" max="1032" width="3.88671875" style="3" customWidth="1"/>
    <col min="1033" max="1034" width="4.88671875" style="3" customWidth="1"/>
    <col min="1035" max="1045" width="5.44140625" style="3" customWidth="1"/>
    <col min="1046" max="1049" width="4.88671875" style="3" customWidth="1"/>
    <col min="1050" max="1050" width="5.44140625" style="3" customWidth="1"/>
    <col min="1051" max="1055" width="4.88671875" style="3" customWidth="1"/>
    <col min="1056" max="1056" width="2.21875" style="3" customWidth="1"/>
    <col min="1057" max="1057" width="1.44140625" style="3" customWidth="1"/>
    <col min="1058" max="1058" width="1.6640625" style="3" customWidth="1"/>
    <col min="1059" max="1280" width="3.44140625" style="3"/>
    <col min="1281" max="1281" width="1.44140625" style="3" customWidth="1"/>
    <col min="1282" max="1282" width="2.44140625" style="3" customWidth="1"/>
    <col min="1283" max="1283" width="3" style="3" customWidth="1"/>
    <col min="1284" max="1287" width="4.88671875" style="3" customWidth="1"/>
    <col min="1288" max="1288" width="3.88671875" style="3" customWidth="1"/>
    <col min="1289" max="1290" width="4.88671875" style="3" customWidth="1"/>
    <col min="1291" max="1301" width="5.44140625" style="3" customWidth="1"/>
    <col min="1302" max="1305" width="4.88671875" style="3" customWidth="1"/>
    <col min="1306" max="1306" width="5.44140625" style="3" customWidth="1"/>
    <col min="1307" max="1311" width="4.88671875" style="3" customWidth="1"/>
    <col min="1312" max="1312" width="2.21875" style="3" customWidth="1"/>
    <col min="1313" max="1313" width="1.44140625" style="3" customWidth="1"/>
    <col min="1314" max="1314" width="1.6640625" style="3" customWidth="1"/>
    <col min="1315" max="1536" width="3.44140625" style="3"/>
    <col min="1537" max="1537" width="1.44140625" style="3" customWidth="1"/>
    <col min="1538" max="1538" width="2.44140625" style="3" customWidth="1"/>
    <col min="1539" max="1539" width="3" style="3" customWidth="1"/>
    <col min="1540" max="1543" width="4.88671875" style="3" customWidth="1"/>
    <col min="1544" max="1544" width="3.88671875" style="3" customWidth="1"/>
    <col min="1545" max="1546" width="4.88671875" style="3" customWidth="1"/>
    <col min="1547" max="1557" width="5.44140625" style="3" customWidth="1"/>
    <col min="1558" max="1561" width="4.88671875" style="3" customWidth="1"/>
    <col min="1562" max="1562" width="5.44140625" style="3" customWidth="1"/>
    <col min="1563" max="1567" width="4.88671875" style="3" customWidth="1"/>
    <col min="1568" max="1568" width="2.21875" style="3" customWidth="1"/>
    <col min="1569" max="1569" width="1.44140625" style="3" customWidth="1"/>
    <col min="1570" max="1570" width="1.6640625" style="3" customWidth="1"/>
    <col min="1571" max="1792" width="3.44140625" style="3"/>
    <col min="1793" max="1793" width="1.44140625" style="3" customWidth="1"/>
    <col min="1794" max="1794" width="2.44140625" style="3" customWidth="1"/>
    <col min="1795" max="1795" width="3" style="3" customWidth="1"/>
    <col min="1796" max="1799" width="4.88671875" style="3" customWidth="1"/>
    <col min="1800" max="1800" width="3.88671875" style="3" customWidth="1"/>
    <col min="1801" max="1802" width="4.88671875" style="3" customWidth="1"/>
    <col min="1803" max="1813" width="5.44140625" style="3" customWidth="1"/>
    <col min="1814" max="1817" width="4.88671875" style="3" customWidth="1"/>
    <col min="1818" max="1818" width="5.44140625" style="3" customWidth="1"/>
    <col min="1819" max="1823" width="4.88671875" style="3" customWidth="1"/>
    <col min="1824" max="1824" width="2.21875" style="3" customWidth="1"/>
    <col min="1825" max="1825" width="1.44140625" style="3" customWidth="1"/>
    <col min="1826" max="1826" width="1.6640625" style="3" customWidth="1"/>
    <col min="1827" max="2048" width="3.44140625" style="3"/>
    <col min="2049" max="2049" width="1.44140625" style="3" customWidth="1"/>
    <col min="2050" max="2050" width="2.44140625" style="3" customWidth="1"/>
    <col min="2051" max="2051" width="3" style="3" customWidth="1"/>
    <col min="2052" max="2055" width="4.88671875" style="3" customWidth="1"/>
    <col min="2056" max="2056" width="3.88671875" style="3" customWidth="1"/>
    <col min="2057" max="2058" width="4.88671875" style="3" customWidth="1"/>
    <col min="2059" max="2069" width="5.44140625" style="3" customWidth="1"/>
    <col min="2070" max="2073" width="4.88671875" style="3" customWidth="1"/>
    <col min="2074" max="2074" width="5.44140625" style="3" customWidth="1"/>
    <col min="2075" max="2079" width="4.88671875" style="3" customWidth="1"/>
    <col min="2080" max="2080" width="2.21875" style="3" customWidth="1"/>
    <col min="2081" max="2081" width="1.44140625" style="3" customWidth="1"/>
    <col min="2082" max="2082" width="1.6640625" style="3" customWidth="1"/>
    <col min="2083" max="2304" width="3.44140625" style="3"/>
    <col min="2305" max="2305" width="1.44140625" style="3" customWidth="1"/>
    <col min="2306" max="2306" width="2.44140625" style="3" customWidth="1"/>
    <col min="2307" max="2307" width="3" style="3" customWidth="1"/>
    <col min="2308" max="2311" width="4.88671875" style="3" customWidth="1"/>
    <col min="2312" max="2312" width="3.88671875" style="3" customWidth="1"/>
    <col min="2313" max="2314" width="4.88671875" style="3" customWidth="1"/>
    <col min="2315" max="2325" width="5.44140625" style="3" customWidth="1"/>
    <col min="2326" max="2329" width="4.88671875" style="3" customWidth="1"/>
    <col min="2330" max="2330" width="5.44140625" style="3" customWidth="1"/>
    <col min="2331" max="2335" width="4.88671875" style="3" customWidth="1"/>
    <col min="2336" max="2336" width="2.21875" style="3" customWidth="1"/>
    <col min="2337" max="2337" width="1.44140625" style="3" customWidth="1"/>
    <col min="2338" max="2338" width="1.6640625" style="3" customWidth="1"/>
    <col min="2339" max="2560" width="3.44140625" style="3"/>
    <col min="2561" max="2561" width="1.44140625" style="3" customWidth="1"/>
    <col min="2562" max="2562" width="2.44140625" style="3" customWidth="1"/>
    <col min="2563" max="2563" width="3" style="3" customWidth="1"/>
    <col min="2564" max="2567" width="4.88671875" style="3" customWidth="1"/>
    <col min="2568" max="2568" width="3.88671875" style="3" customWidth="1"/>
    <col min="2569" max="2570" width="4.88671875" style="3" customWidth="1"/>
    <col min="2571" max="2581" width="5.44140625" style="3" customWidth="1"/>
    <col min="2582" max="2585" width="4.88671875" style="3" customWidth="1"/>
    <col min="2586" max="2586" width="5.44140625" style="3" customWidth="1"/>
    <col min="2587" max="2591" width="4.88671875" style="3" customWidth="1"/>
    <col min="2592" max="2592" width="2.21875" style="3" customWidth="1"/>
    <col min="2593" max="2593" width="1.44140625" style="3" customWidth="1"/>
    <col min="2594" max="2594" width="1.6640625" style="3" customWidth="1"/>
    <col min="2595" max="2816" width="3.44140625" style="3"/>
    <col min="2817" max="2817" width="1.44140625" style="3" customWidth="1"/>
    <col min="2818" max="2818" width="2.44140625" style="3" customWidth="1"/>
    <col min="2819" max="2819" width="3" style="3" customWidth="1"/>
    <col min="2820" max="2823" width="4.88671875" style="3" customWidth="1"/>
    <col min="2824" max="2824" width="3.88671875" style="3" customWidth="1"/>
    <col min="2825" max="2826" width="4.88671875" style="3" customWidth="1"/>
    <col min="2827" max="2837" width="5.44140625" style="3" customWidth="1"/>
    <col min="2838" max="2841" width="4.88671875" style="3" customWidth="1"/>
    <col min="2842" max="2842" width="5.44140625" style="3" customWidth="1"/>
    <col min="2843" max="2847" width="4.88671875" style="3" customWidth="1"/>
    <col min="2848" max="2848" width="2.21875" style="3" customWidth="1"/>
    <col min="2849" max="2849" width="1.44140625" style="3" customWidth="1"/>
    <col min="2850" max="2850" width="1.6640625" style="3" customWidth="1"/>
    <col min="2851" max="3072" width="3.44140625" style="3"/>
    <col min="3073" max="3073" width="1.44140625" style="3" customWidth="1"/>
    <col min="3074" max="3074" width="2.44140625" style="3" customWidth="1"/>
    <col min="3075" max="3075" width="3" style="3" customWidth="1"/>
    <col min="3076" max="3079" width="4.88671875" style="3" customWidth="1"/>
    <col min="3080" max="3080" width="3.88671875" style="3" customWidth="1"/>
    <col min="3081" max="3082" width="4.88671875" style="3" customWidth="1"/>
    <col min="3083" max="3093" width="5.44140625" style="3" customWidth="1"/>
    <col min="3094" max="3097" width="4.88671875" style="3" customWidth="1"/>
    <col min="3098" max="3098" width="5.44140625" style="3" customWidth="1"/>
    <col min="3099" max="3103" width="4.88671875" style="3" customWidth="1"/>
    <col min="3104" max="3104" width="2.21875" style="3" customWidth="1"/>
    <col min="3105" max="3105" width="1.44140625" style="3" customWidth="1"/>
    <col min="3106" max="3106" width="1.6640625" style="3" customWidth="1"/>
    <col min="3107" max="3328" width="3.44140625" style="3"/>
    <col min="3329" max="3329" width="1.44140625" style="3" customWidth="1"/>
    <col min="3330" max="3330" width="2.44140625" style="3" customWidth="1"/>
    <col min="3331" max="3331" width="3" style="3" customWidth="1"/>
    <col min="3332" max="3335" width="4.88671875" style="3" customWidth="1"/>
    <col min="3336" max="3336" width="3.88671875" style="3" customWidth="1"/>
    <col min="3337" max="3338" width="4.88671875" style="3" customWidth="1"/>
    <col min="3339" max="3349" width="5.44140625" style="3" customWidth="1"/>
    <col min="3350" max="3353" width="4.88671875" style="3" customWidth="1"/>
    <col min="3354" max="3354" width="5.44140625" style="3" customWidth="1"/>
    <col min="3355" max="3359" width="4.88671875" style="3" customWidth="1"/>
    <col min="3360" max="3360" width="2.21875" style="3" customWidth="1"/>
    <col min="3361" max="3361" width="1.44140625" style="3" customWidth="1"/>
    <col min="3362" max="3362" width="1.6640625" style="3" customWidth="1"/>
    <col min="3363" max="3584" width="3.44140625" style="3"/>
    <col min="3585" max="3585" width="1.44140625" style="3" customWidth="1"/>
    <col min="3586" max="3586" width="2.44140625" style="3" customWidth="1"/>
    <col min="3587" max="3587" width="3" style="3" customWidth="1"/>
    <col min="3588" max="3591" width="4.88671875" style="3" customWidth="1"/>
    <col min="3592" max="3592" width="3.88671875" style="3" customWidth="1"/>
    <col min="3593" max="3594" width="4.88671875" style="3" customWidth="1"/>
    <col min="3595" max="3605" width="5.44140625" style="3" customWidth="1"/>
    <col min="3606" max="3609" width="4.88671875" style="3" customWidth="1"/>
    <col min="3610" max="3610" width="5.44140625" style="3" customWidth="1"/>
    <col min="3611" max="3615" width="4.88671875" style="3" customWidth="1"/>
    <col min="3616" max="3616" width="2.21875" style="3" customWidth="1"/>
    <col min="3617" max="3617" width="1.44140625" style="3" customWidth="1"/>
    <col min="3618" max="3618" width="1.6640625" style="3" customWidth="1"/>
    <col min="3619" max="3840" width="3.44140625" style="3"/>
    <col min="3841" max="3841" width="1.44140625" style="3" customWidth="1"/>
    <col min="3842" max="3842" width="2.44140625" style="3" customWidth="1"/>
    <col min="3843" max="3843" width="3" style="3" customWidth="1"/>
    <col min="3844" max="3847" width="4.88671875" style="3" customWidth="1"/>
    <col min="3848" max="3848" width="3.88671875" style="3" customWidth="1"/>
    <col min="3849" max="3850" width="4.88671875" style="3" customWidth="1"/>
    <col min="3851" max="3861" width="5.44140625" style="3" customWidth="1"/>
    <col min="3862" max="3865" width="4.88671875" style="3" customWidth="1"/>
    <col min="3866" max="3866" width="5.44140625" style="3" customWidth="1"/>
    <col min="3867" max="3871" width="4.88671875" style="3" customWidth="1"/>
    <col min="3872" max="3872" width="2.21875" style="3" customWidth="1"/>
    <col min="3873" max="3873" width="1.44140625" style="3" customWidth="1"/>
    <col min="3874" max="3874" width="1.6640625" style="3" customWidth="1"/>
    <col min="3875" max="4096" width="3.44140625" style="3"/>
    <col min="4097" max="4097" width="1.44140625" style="3" customWidth="1"/>
    <col min="4098" max="4098" width="2.44140625" style="3" customWidth="1"/>
    <col min="4099" max="4099" width="3" style="3" customWidth="1"/>
    <col min="4100" max="4103" width="4.88671875" style="3" customWidth="1"/>
    <col min="4104" max="4104" width="3.88671875" style="3" customWidth="1"/>
    <col min="4105" max="4106" width="4.88671875" style="3" customWidth="1"/>
    <col min="4107" max="4117" width="5.44140625" style="3" customWidth="1"/>
    <col min="4118" max="4121" width="4.88671875" style="3" customWidth="1"/>
    <col min="4122" max="4122" width="5.44140625" style="3" customWidth="1"/>
    <col min="4123" max="4127" width="4.88671875" style="3" customWidth="1"/>
    <col min="4128" max="4128" width="2.21875" style="3" customWidth="1"/>
    <col min="4129" max="4129" width="1.44140625" style="3" customWidth="1"/>
    <col min="4130" max="4130" width="1.6640625" style="3" customWidth="1"/>
    <col min="4131" max="4352" width="3.44140625" style="3"/>
    <col min="4353" max="4353" width="1.44140625" style="3" customWidth="1"/>
    <col min="4354" max="4354" width="2.44140625" style="3" customWidth="1"/>
    <col min="4355" max="4355" width="3" style="3" customWidth="1"/>
    <col min="4356" max="4359" width="4.88671875" style="3" customWidth="1"/>
    <col min="4360" max="4360" width="3.88671875" style="3" customWidth="1"/>
    <col min="4361" max="4362" width="4.88671875" style="3" customWidth="1"/>
    <col min="4363" max="4373" width="5.44140625" style="3" customWidth="1"/>
    <col min="4374" max="4377" width="4.88671875" style="3" customWidth="1"/>
    <col min="4378" max="4378" width="5.44140625" style="3" customWidth="1"/>
    <col min="4379" max="4383" width="4.88671875" style="3" customWidth="1"/>
    <col min="4384" max="4384" width="2.21875" style="3" customWidth="1"/>
    <col min="4385" max="4385" width="1.44140625" style="3" customWidth="1"/>
    <col min="4386" max="4386" width="1.6640625" style="3" customWidth="1"/>
    <col min="4387" max="4608" width="3.44140625" style="3"/>
    <col min="4609" max="4609" width="1.44140625" style="3" customWidth="1"/>
    <col min="4610" max="4610" width="2.44140625" style="3" customWidth="1"/>
    <col min="4611" max="4611" width="3" style="3" customWidth="1"/>
    <col min="4612" max="4615" width="4.88671875" style="3" customWidth="1"/>
    <col min="4616" max="4616" width="3.88671875" style="3" customWidth="1"/>
    <col min="4617" max="4618" width="4.88671875" style="3" customWidth="1"/>
    <col min="4619" max="4629" width="5.44140625" style="3" customWidth="1"/>
    <col min="4630" max="4633" width="4.88671875" style="3" customWidth="1"/>
    <col min="4634" max="4634" width="5.44140625" style="3" customWidth="1"/>
    <col min="4635" max="4639" width="4.88671875" style="3" customWidth="1"/>
    <col min="4640" max="4640" width="2.21875" style="3" customWidth="1"/>
    <col min="4641" max="4641" width="1.44140625" style="3" customWidth="1"/>
    <col min="4642" max="4642" width="1.6640625" style="3" customWidth="1"/>
    <col min="4643" max="4864" width="3.44140625" style="3"/>
    <col min="4865" max="4865" width="1.44140625" style="3" customWidth="1"/>
    <col min="4866" max="4866" width="2.44140625" style="3" customWidth="1"/>
    <col min="4867" max="4867" width="3" style="3" customWidth="1"/>
    <col min="4868" max="4871" width="4.88671875" style="3" customWidth="1"/>
    <col min="4872" max="4872" width="3.88671875" style="3" customWidth="1"/>
    <col min="4873" max="4874" width="4.88671875" style="3" customWidth="1"/>
    <col min="4875" max="4885" width="5.44140625" style="3" customWidth="1"/>
    <col min="4886" max="4889" width="4.88671875" style="3" customWidth="1"/>
    <col min="4890" max="4890" width="5.44140625" style="3" customWidth="1"/>
    <col min="4891" max="4895" width="4.88671875" style="3" customWidth="1"/>
    <col min="4896" max="4896" width="2.21875" style="3" customWidth="1"/>
    <col min="4897" max="4897" width="1.44140625" style="3" customWidth="1"/>
    <col min="4898" max="4898" width="1.6640625" style="3" customWidth="1"/>
    <col min="4899" max="5120" width="3.44140625" style="3"/>
    <col min="5121" max="5121" width="1.44140625" style="3" customWidth="1"/>
    <col min="5122" max="5122" width="2.44140625" style="3" customWidth="1"/>
    <col min="5123" max="5123" width="3" style="3" customWidth="1"/>
    <col min="5124" max="5127" width="4.88671875" style="3" customWidth="1"/>
    <col min="5128" max="5128" width="3.88671875" style="3" customWidth="1"/>
    <col min="5129" max="5130" width="4.88671875" style="3" customWidth="1"/>
    <col min="5131" max="5141" width="5.44140625" style="3" customWidth="1"/>
    <col min="5142" max="5145" width="4.88671875" style="3" customWidth="1"/>
    <col min="5146" max="5146" width="5.44140625" style="3" customWidth="1"/>
    <col min="5147" max="5151" width="4.88671875" style="3" customWidth="1"/>
    <col min="5152" max="5152" width="2.21875" style="3" customWidth="1"/>
    <col min="5153" max="5153" width="1.44140625" style="3" customWidth="1"/>
    <col min="5154" max="5154" width="1.6640625" style="3" customWidth="1"/>
    <col min="5155" max="5376" width="3.44140625" style="3"/>
    <col min="5377" max="5377" width="1.44140625" style="3" customWidth="1"/>
    <col min="5378" max="5378" width="2.44140625" style="3" customWidth="1"/>
    <col min="5379" max="5379" width="3" style="3" customWidth="1"/>
    <col min="5380" max="5383" width="4.88671875" style="3" customWidth="1"/>
    <col min="5384" max="5384" width="3.88671875" style="3" customWidth="1"/>
    <col min="5385" max="5386" width="4.88671875" style="3" customWidth="1"/>
    <col min="5387" max="5397" width="5.44140625" style="3" customWidth="1"/>
    <col min="5398" max="5401" width="4.88671875" style="3" customWidth="1"/>
    <col min="5402" max="5402" width="5.44140625" style="3" customWidth="1"/>
    <col min="5403" max="5407" width="4.88671875" style="3" customWidth="1"/>
    <col min="5408" max="5408" width="2.21875" style="3" customWidth="1"/>
    <col min="5409" max="5409" width="1.44140625" style="3" customWidth="1"/>
    <col min="5410" max="5410" width="1.6640625" style="3" customWidth="1"/>
    <col min="5411" max="5632" width="3.44140625" style="3"/>
    <col min="5633" max="5633" width="1.44140625" style="3" customWidth="1"/>
    <col min="5634" max="5634" width="2.44140625" style="3" customWidth="1"/>
    <col min="5635" max="5635" width="3" style="3" customWidth="1"/>
    <col min="5636" max="5639" width="4.88671875" style="3" customWidth="1"/>
    <col min="5640" max="5640" width="3.88671875" style="3" customWidth="1"/>
    <col min="5641" max="5642" width="4.88671875" style="3" customWidth="1"/>
    <col min="5643" max="5653" width="5.44140625" style="3" customWidth="1"/>
    <col min="5654" max="5657" width="4.88671875" style="3" customWidth="1"/>
    <col min="5658" max="5658" width="5.44140625" style="3" customWidth="1"/>
    <col min="5659" max="5663" width="4.88671875" style="3" customWidth="1"/>
    <col min="5664" max="5664" width="2.21875" style="3" customWidth="1"/>
    <col min="5665" max="5665" width="1.44140625" style="3" customWidth="1"/>
    <col min="5666" max="5666" width="1.6640625" style="3" customWidth="1"/>
    <col min="5667" max="5888" width="3.44140625" style="3"/>
    <col min="5889" max="5889" width="1.44140625" style="3" customWidth="1"/>
    <col min="5890" max="5890" width="2.44140625" style="3" customWidth="1"/>
    <col min="5891" max="5891" width="3" style="3" customWidth="1"/>
    <col min="5892" max="5895" width="4.88671875" style="3" customWidth="1"/>
    <col min="5896" max="5896" width="3.88671875" style="3" customWidth="1"/>
    <col min="5897" max="5898" width="4.88671875" style="3" customWidth="1"/>
    <col min="5899" max="5909" width="5.44140625" style="3" customWidth="1"/>
    <col min="5910" max="5913" width="4.88671875" style="3" customWidth="1"/>
    <col min="5914" max="5914" width="5.44140625" style="3" customWidth="1"/>
    <col min="5915" max="5919" width="4.88671875" style="3" customWidth="1"/>
    <col min="5920" max="5920" width="2.21875" style="3" customWidth="1"/>
    <col min="5921" max="5921" width="1.44140625" style="3" customWidth="1"/>
    <col min="5922" max="5922" width="1.6640625" style="3" customWidth="1"/>
    <col min="5923" max="6144" width="3.44140625" style="3"/>
    <col min="6145" max="6145" width="1.44140625" style="3" customWidth="1"/>
    <col min="6146" max="6146" width="2.44140625" style="3" customWidth="1"/>
    <col min="6147" max="6147" width="3" style="3" customWidth="1"/>
    <col min="6148" max="6151" width="4.88671875" style="3" customWidth="1"/>
    <col min="6152" max="6152" width="3.88671875" style="3" customWidth="1"/>
    <col min="6153" max="6154" width="4.88671875" style="3" customWidth="1"/>
    <col min="6155" max="6165" width="5.44140625" style="3" customWidth="1"/>
    <col min="6166" max="6169" width="4.88671875" style="3" customWidth="1"/>
    <col min="6170" max="6170" width="5.44140625" style="3" customWidth="1"/>
    <col min="6171" max="6175" width="4.88671875" style="3" customWidth="1"/>
    <col min="6176" max="6176" width="2.21875" style="3" customWidth="1"/>
    <col min="6177" max="6177" width="1.44140625" style="3" customWidth="1"/>
    <col min="6178" max="6178" width="1.6640625" style="3" customWidth="1"/>
    <col min="6179" max="6400" width="3.44140625" style="3"/>
    <col min="6401" max="6401" width="1.44140625" style="3" customWidth="1"/>
    <col min="6402" max="6402" width="2.44140625" style="3" customWidth="1"/>
    <col min="6403" max="6403" width="3" style="3" customWidth="1"/>
    <col min="6404" max="6407" width="4.88671875" style="3" customWidth="1"/>
    <col min="6408" max="6408" width="3.88671875" style="3" customWidth="1"/>
    <col min="6409" max="6410" width="4.88671875" style="3" customWidth="1"/>
    <col min="6411" max="6421" width="5.44140625" style="3" customWidth="1"/>
    <col min="6422" max="6425" width="4.88671875" style="3" customWidth="1"/>
    <col min="6426" max="6426" width="5.44140625" style="3" customWidth="1"/>
    <col min="6427" max="6431" width="4.88671875" style="3" customWidth="1"/>
    <col min="6432" max="6432" width="2.21875" style="3" customWidth="1"/>
    <col min="6433" max="6433" width="1.44140625" style="3" customWidth="1"/>
    <col min="6434" max="6434" width="1.6640625" style="3" customWidth="1"/>
    <col min="6435" max="6656" width="3.44140625" style="3"/>
    <col min="6657" max="6657" width="1.44140625" style="3" customWidth="1"/>
    <col min="6658" max="6658" width="2.44140625" style="3" customWidth="1"/>
    <col min="6659" max="6659" width="3" style="3" customWidth="1"/>
    <col min="6660" max="6663" width="4.88671875" style="3" customWidth="1"/>
    <col min="6664" max="6664" width="3.88671875" style="3" customWidth="1"/>
    <col min="6665" max="6666" width="4.88671875" style="3" customWidth="1"/>
    <col min="6667" max="6677" width="5.44140625" style="3" customWidth="1"/>
    <col min="6678" max="6681" width="4.88671875" style="3" customWidth="1"/>
    <col min="6682" max="6682" width="5.44140625" style="3" customWidth="1"/>
    <col min="6683" max="6687" width="4.88671875" style="3" customWidth="1"/>
    <col min="6688" max="6688" width="2.21875" style="3" customWidth="1"/>
    <col min="6689" max="6689" width="1.44140625" style="3" customWidth="1"/>
    <col min="6690" max="6690" width="1.6640625" style="3" customWidth="1"/>
    <col min="6691" max="6912" width="3.44140625" style="3"/>
    <col min="6913" max="6913" width="1.44140625" style="3" customWidth="1"/>
    <col min="6914" max="6914" width="2.44140625" style="3" customWidth="1"/>
    <col min="6915" max="6915" width="3" style="3" customWidth="1"/>
    <col min="6916" max="6919" width="4.88671875" style="3" customWidth="1"/>
    <col min="6920" max="6920" width="3.88671875" style="3" customWidth="1"/>
    <col min="6921" max="6922" width="4.88671875" style="3" customWidth="1"/>
    <col min="6923" max="6933" width="5.44140625" style="3" customWidth="1"/>
    <col min="6934" max="6937" width="4.88671875" style="3" customWidth="1"/>
    <col min="6938" max="6938" width="5.44140625" style="3" customWidth="1"/>
    <col min="6939" max="6943" width="4.88671875" style="3" customWidth="1"/>
    <col min="6944" max="6944" width="2.21875" style="3" customWidth="1"/>
    <col min="6945" max="6945" width="1.44140625" style="3" customWidth="1"/>
    <col min="6946" max="6946" width="1.6640625" style="3" customWidth="1"/>
    <col min="6947" max="7168" width="3.44140625" style="3"/>
    <col min="7169" max="7169" width="1.44140625" style="3" customWidth="1"/>
    <col min="7170" max="7170" width="2.44140625" style="3" customWidth="1"/>
    <col min="7171" max="7171" width="3" style="3" customWidth="1"/>
    <col min="7172" max="7175" width="4.88671875" style="3" customWidth="1"/>
    <col min="7176" max="7176" width="3.88671875" style="3" customWidth="1"/>
    <col min="7177" max="7178" width="4.88671875" style="3" customWidth="1"/>
    <col min="7179" max="7189" width="5.44140625" style="3" customWidth="1"/>
    <col min="7190" max="7193" width="4.88671875" style="3" customWidth="1"/>
    <col min="7194" max="7194" width="5.44140625" style="3" customWidth="1"/>
    <col min="7195" max="7199" width="4.88671875" style="3" customWidth="1"/>
    <col min="7200" max="7200" width="2.21875" style="3" customWidth="1"/>
    <col min="7201" max="7201" width="1.44140625" style="3" customWidth="1"/>
    <col min="7202" max="7202" width="1.6640625" style="3" customWidth="1"/>
    <col min="7203" max="7424" width="3.44140625" style="3"/>
    <col min="7425" max="7425" width="1.44140625" style="3" customWidth="1"/>
    <col min="7426" max="7426" width="2.44140625" style="3" customWidth="1"/>
    <col min="7427" max="7427" width="3" style="3" customWidth="1"/>
    <col min="7428" max="7431" width="4.88671875" style="3" customWidth="1"/>
    <col min="7432" max="7432" width="3.88671875" style="3" customWidth="1"/>
    <col min="7433" max="7434" width="4.88671875" style="3" customWidth="1"/>
    <col min="7435" max="7445" width="5.44140625" style="3" customWidth="1"/>
    <col min="7446" max="7449" width="4.88671875" style="3" customWidth="1"/>
    <col min="7450" max="7450" width="5.44140625" style="3" customWidth="1"/>
    <col min="7451" max="7455" width="4.88671875" style="3" customWidth="1"/>
    <col min="7456" max="7456" width="2.21875" style="3" customWidth="1"/>
    <col min="7457" max="7457" width="1.44140625" style="3" customWidth="1"/>
    <col min="7458" max="7458" width="1.6640625" style="3" customWidth="1"/>
    <col min="7459" max="7680" width="3.44140625" style="3"/>
    <col min="7681" max="7681" width="1.44140625" style="3" customWidth="1"/>
    <col min="7682" max="7682" width="2.44140625" style="3" customWidth="1"/>
    <col min="7683" max="7683" width="3" style="3" customWidth="1"/>
    <col min="7684" max="7687" width="4.88671875" style="3" customWidth="1"/>
    <col min="7688" max="7688" width="3.88671875" style="3" customWidth="1"/>
    <col min="7689" max="7690" width="4.88671875" style="3" customWidth="1"/>
    <col min="7691" max="7701" width="5.44140625" style="3" customWidth="1"/>
    <col min="7702" max="7705" width="4.88671875" style="3" customWidth="1"/>
    <col min="7706" max="7706" width="5.44140625" style="3" customWidth="1"/>
    <col min="7707" max="7711" width="4.88671875" style="3" customWidth="1"/>
    <col min="7712" max="7712" width="2.21875" style="3" customWidth="1"/>
    <col min="7713" max="7713" width="1.44140625" style="3" customWidth="1"/>
    <col min="7714" max="7714" width="1.6640625" style="3" customWidth="1"/>
    <col min="7715" max="7936" width="3.44140625" style="3"/>
    <col min="7937" max="7937" width="1.44140625" style="3" customWidth="1"/>
    <col min="7938" max="7938" width="2.44140625" style="3" customWidth="1"/>
    <col min="7939" max="7939" width="3" style="3" customWidth="1"/>
    <col min="7940" max="7943" width="4.88671875" style="3" customWidth="1"/>
    <col min="7944" max="7944" width="3.88671875" style="3" customWidth="1"/>
    <col min="7945" max="7946" width="4.88671875" style="3" customWidth="1"/>
    <col min="7947" max="7957" width="5.44140625" style="3" customWidth="1"/>
    <col min="7958" max="7961" width="4.88671875" style="3" customWidth="1"/>
    <col min="7962" max="7962" width="5.44140625" style="3" customWidth="1"/>
    <col min="7963" max="7967" width="4.88671875" style="3" customWidth="1"/>
    <col min="7968" max="7968" width="2.21875" style="3" customWidth="1"/>
    <col min="7969" max="7969" width="1.44140625" style="3" customWidth="1"/>
    <col min="7970" max="7970" width="1.6640625" style="3" customWidth="1"/>
    <col min="7971" max="8192" width="3.44140625" style="3"/>
    <col min="8193" max="8193" width="1.44140625" style="3" customWidth="1"/>
    <col min="8194" max="8194" width="2.44140625" style="3" customWidth="1"/>
    <col min="8195" max="8195" width="3" style="3" customWidth="1"/>
    <col min="8196" max="8199" width="4.88671875" style="3" customWidth="1"/>
    <col min="8200" max="8200" width="3.88671875" style="3" customWidth="1"/>
    <col min="8201" max="8202" width="4.88671875" style="3" customWidth="1"/>
    <col min="8203" max="8213" width="5.44140625" style="3" customWidth="1"/>
    <col min="8214" max="8217" width="4.88671875" style="3" customWidth="1"/>
    <col min="8218" max="8218" width="5.44140625" style="3" customWidth="1"/>
    <col min="8219" max="8223" width="4.88671875" style="3" customWidth="1"/>
    <col min="8224" max="8224" width="2.21875" style="3" customWidth="1"/>
    <col min="8225" max="8225" width="1.44140625" style="3" customWidth="1"/>
    <col min="8226" max="8226" width="1.6640625" style="3" customWidth="1"/>
    <col min="8227" max="8448" width="3.44140625" style="3"/>
    <col min="8449" max="8449" width="1.44140625" style="3" customWidth="1"/>
    <col min="8450" max="8450" width="2.44140625" style="3" customWidth="1"/>
    <col min="8451" max="8451" width="3" style="3" customWidth="1"/>
    <col min="8452" max="8455" width="4.88671875" style="3" customWidth="1"/>
    <col min="8456" max="8456" width="3.88671875" style="3" customWidth="1"/>
    <col min="8457" max="8458" width="4.88671875" style="3" customWidth="1"/>
    <col min="8459" max="8469" width="5.44140625" style="3" customWidth="1"/>
    <col min="8470" max="8473" width="4.88671875" style="3" customWidth="1"/>
    <col min="8474" max="8474" width="5.44140625" style="3" customWidth="1"/>
    <col min="8475" max="8479" width="4.88671875" style="3" customWidth="1"/>
    <col min="8480" max="8480" width="2.21875" style="3" customWidth="1"/>
    <col min="8481" max="8481" width="1.44140625" style="3" customWidth="1"/>
    <col min="8482" max="8482" width="1.6640625" style="3" customWidth="1"/>
    <col min="8483" max="8704" width="3.44140625" style="3"/>
    <col min="8705" max="8705" width="1.44140625" style="3" customWidth="1"/>
    <col min="8706" max="8706" width="2.44140625" style="3" customWidth="1"/>
    <col min="8707" max="8707" width="3" style="3" customWidth="1"/>
    <col min="8708" max="8711" width="4.88671875" style="3" customWidth="1"/>
    <col min="8712" max="8712" width="3.88671875" style="3" customWidth="1"/>
    <col min="8713" max="8714" width="4.88671875" style="3" customWidth="1"/>
    <col min="8715" max="8725" width="5.44140625" style="3" customWidth="1"/>
    <col min="8726" max="8729" width="4.88671875" style="3" customWidth="1"/>
    <col min="8730" max="8730" width="5.44140625" style="3" customWidth="1"/>
    <col min="8731" max="8735" width="4.88671875" style="3" customWidth="1"/>
    <col min="8736" max="8736" width="2.21875" style="3" customWidth="1"/>
    <col min="8737" max="8737" width="1.44140625" style="3" customWidth="1"/>
    <col min="8738" max="8738" width="1.6640625" style="3" customWidth="1"/>
    <col min="8739" max="8960" width="3.44140625" style="3"/>
    <col min="8961" max="8961" width="1.44140625" style="3" customWidth="1"/>
    <col min="8962" max="8962" width="2.44140625" style="3" customWidth="1"/>
    <col min="8963" max="8963" width="3" style="3" customWidth="1"/>
    <col min="8964" max="8967" width="4.88671875" style="3" customWidth="1"/>
    <col min="8968" max="8968" width="3.88671875" style="3" customWidth="1"/>
    <col min="8969" max="8970" width="4.88671875" style="3" customWidth="1"/>
    <col min="8971" max="8981" width="5.44140625" style="3" customWidth="1"/>
    <col min="8982" max="8985" width="4.88671875" style="3" customWidth="1"/>
    <col min="8986" max="8986" width="5.44140625" style="3" customWidth="1"/>
    <col min="8987" max="8991" width="4.88671875" style="3" customWidth="1"/>
    <col min="8992" max="8992" width="2.21875" style="3" customWidth="1"/>
    <col min="8993" max="8993" width="1.44140625" style="3" customWidth="1"/>
    <col min="8994" max="8994" width="1.6640625" style="3" customWidth="1"/>
    <col min="8995" max="9216" width="3.44140625" style="3"/>
    <col min="9217" max="9217" width="1.44140625" style="3" customWidth="1"/>
    <col min="9218" max="9218" width="2.44140625" style="3" customWidth="1"/>
    <col min="9219" max="9219" width="3" style="3" customWidth="1"/>
    <col min="9220" max="9223" width="4.88671875" style="3" customWidth="1"/>
    <col min="9224" max="9224" width="3.88671875" style="3" customWidth="1"/>
    <col min="9225" max="9226" width="4.88671875" style="3" customWidth="1"/>
    <col min="9227" max="9237" width="5.44140625" style="3" customWidth="1"/>
    <col min="9238" max="9241" width="4.88671875" style="3" customWidth="1"/>
    <col min="9242" max="9242" width="5.44140625" style="3" customWidth="1"/>
    <col min="9243" max="9247" width="4.88671875" style="3" customWidth="1"/>
    <col min="9248" max="9248" width="2.21875" style="3" customWidth="1"/>
    <col min="9249" max="9249" width="1.44140625" style="3" customWidth="1"/>
    <col min="9250" max="9250" width="1.6640625" style="3" customWidth="1"/>
    <col min="9251" max="9472" width="3.44140625" style="3"/>
    <col min="9473" max="9473" width="1.44140625" style="3" customWidth="1"/>
    <col min="9474" max="9474" width="2.44140625" style="3" customWidth="1"/>
    <col min="9475" max="9475" width="3" style="3" customWidth="1"/>
    <col min="9476" max="9479" width="4.88671875" style="3" customWidth="1"/>
    <col min="9480" max="9480" width="3.88671875" style="3" customWidth="1"/>
    <col min="9481" max="9482" width="4.88671875" style="3" customWidth="1"/>
    <col min="9483" max="9493" width="5.44140625" style="3" customWidth="1"/>
    <col min="9494" max="9497" width="4.88671875" style="3" customWidth="1"/>
    <col min="9498" max="9498" width="5.44140625" style="3" customWidth="1"/>
    <col min="9499" max="9503" width="4.88671875" style="3" customWidth="1"/>
    <col min="9504" max="9504" width="2.21875" style="3" customWidth="1"/>
    <col min="9505" max="9505" width="1.44140625" style="3" customWidth="1"/>
    <col min="9506" max="9506" width="1.6640625" style="3" customWidth="1"/>
    <col min="9507" max="9728" width="3.44140625" style="3"/>
    <col min="9729" max="9729" width="1.44140625" style="3" customWidth="1"/>
    <col min="9730" max="9730" width="2.44140625" style="3" customWidth="1"/>
    <col min="9731" max="9731" width="3" style="3" customWidth="1"/>
    <col min="9732" max="9735" width="4.88671875" style="3" customWidth="1"/>
    <col min="9736" max="9736" width="3.88671875" style="3" customWidth="1"/>
    <col min="9737" max="9738" width="4.88671875" style="3" customWidth="1"/>
    <col min="9739" max="9749" width="5.44140625" style="3" customWidth="1"/>
    <col min="9750" max="9753" width="4.88671875" style="3" customWidth="1"/>
    <col min="9754" max="9754" width="5.44140625" style="3" customWidth="1"/>
    <col min="9755" max="9759" width="4.88671875" style="3" customWidth="1"/>
    <col min="9760" max="9760" width="2.21875" style="3" customWidth="1"/>
    <col min="9761" max="9761" width="1.44140625" style="3" customWidth="1"/>
    <col min="9762" max="9762" width="1.6640625" style="3" customWidth="1"/>
    <col min="9763" max="9984" width="3.44140625" style="3"/>
    <col min="9985" max="9985" width="1.44140625" style="3" customWidth="1"/>
    <col min="9986" max="9986" width="2.44140625" style="3" customWidth="1"/>
    <col min="9987" max="9987" width="3" style="3" customWidth="1"/>
    <col min="9988" max="9991" width="4.88671875" style="3" customWidth="1"/>
    <col min="9992" max="9992" width="3.88671875" style="3" customWidth="1"/>
    <col min="9993" max="9994" width="4.88671875" style="3" customWidth="1"/>
    <col min="9995" max="10005" width="5.44140625" style="3" customWidth="1"/>
    <col min="10006" max="10009" width="4.88671875" style="3" customWidth="1"/>
    <col min="10010" max="10010" width="5.44140625" style="3" customWidth="1"/>
    <col min="10011" max="10015" width="4.88671875" style="3" customWidth="1"/>
    <col min="10016" max="10016" width="2.21875" style="3" customWidth="1"/>
    <col min="10017" max="10017" width="1.44140625" style="3" customWidth="1"/>
    <col min="10018" max="10018" width="1.6640625" style="3" customWidth="1"/>
    <col min="10019" max="10240" width="3.44140625" style="3"/>
    <col min="10241" max="10241" width="1.44140625" style="3" customWidth="1"/>
    <col min="10242" max="10242" width="2.44140625" style="3" customWidth="1"/>
    <col min="10243" max="10243" width="3" style="3" customWidth="1"/>
    <col min="10244" max="10247" width="4.88671875" style="3" customWidth="1"/>
    <col min="10248" max="10248" width="3.88671875" style="3" customWidth="1"/>
    <col min="10249" max="10250" width="4.88671875" style="3" customWidth="1"/>
    <col min="10251" max="10261" width="5.44140625" style="3" customWidth="1"/>
    <col min="10262" max="10265" width="4.88671875" style="3" customWidth="1"/>
    <col min="10266" max="10266" width="5.44140625" style="3" customWidth="1"/>
    <col min="10267" max="10271" width="4.88671875" style="3" customWidth="1"/>
    <col min="10272" max="10272" width="2.21875" style="3" customWidth="1"/>
    <col min="10273" max="10273" width="1.44140625" style="3" customWidth="1"/>
    <col min="10274" max="10274" width="1.6640625" style="3" customWidth="1"/>
    <col min="10275" max="10496" width="3.44140625" style="3"/>
    <col min="10497" max="10497" width="1.44140625" style="3" customWidth="1"/>
    <col min="10498" max="10498" width="2.44140625" style="3" customWidth="1"/>
    <col min="10499" max="10499" width="3" style="3" customWidth="1"/>
    <col min="10500" max="10503" width="4.88671875" style="3" customWidth="1"/>
    <col min="10504" max="10504" width="3.88671875" style="3" customWidth="1"/>
    <col min="10505" max="10506" width="4.88671875" style="3" customWidth="1"/>
    <col min="10507" max="10517" width="5.44140625" style="3" customWidth="1"/>
    <col min="10518" max="10521" width="4.88671875" style="3" customWidth="1"/>
    <col min="10522" max="10522" width="5.44140625" style="3" customWidth="1"/>
    <col min="10523" max="10527" width="4.88671875" style="3" customWidth="1"/>
    <col min="10528" max="10528" width="2.21875" style="3" customWidth="1"/>
    <col min="10529" max="10529" width="1.44140625" style="3" customWidth="1"/>
    <col min="10530" max="10530" width="1.6640625" style="3" customWidth="1"/>
    <col min="10531" max="10752" width="3.44140625" style="3"/>
    <col min="10753" max="10753" width="1.44140625" style="3" customWidth="1"/>
    <col min="10754" max="10754" width="2.44140625" style="3" customWidth="1"/>
    <col min="10755" max="10755" width="3" style="3" customWidth="1"/>
    <col min="10756" max="10759" width="4.88671875" style="3" customWidth="1"/>
    <col min="10760" max="10760" width="3.88671875" style="3" customWidth="1"/>
    <col min="10761" max="10762" width="4.88671875" style="3" customWidth="1"/>
    <col min="10763" max="10773" width="5.44140625" style="3" customWidth="1"/>
    <col min="10774" max="10777" width="4.88671875" style="3" customWidth="1"/>
    <col min="10778" max="10778" width="5.44140625" style="3" customWidth="1"/>
    <col min="10779" max="10783" width="4.88671875" style="3" customWidth="1"/>
    <col min="10784" max="10784" width="2.21875" style="3" customWidth="1"/>
    <col min="10785" max="10785" width="1.44140625" style="3" customWidth="1"/>
    <col min="10786" max="10786" width="1.6640625" style="3" customWidth="1"/>
    <col min="10787" max="11008" width="3.44140625" style="3"/>
    <col min="11009" max="11009" width="1.44140625" style="3" customWidth="1"/>
    <col min="11010" max="11010" width="2.44140625" style="3" customWidth="1"/>
    <col min="11011" max="11011" width="3" style="3" customWidth="1"/>
    <col min="11012" max="11015" width="4.88671875" style="3" customWidth="1"/>
    <col min="11016" max="11016" width="3.88671875" style="3" customWidth="1"/>
    <col min="11017" max="11018" width="4.88671875" style="3" customWidth="1"/>
    <col min="11019" max="11029" width="5.44140625" style="3" customWidth="1"/>
    <col min="11030" max="11033" width="4.88671875" style="3" customWidth="1"/>
    <col min="11034" max="11034" width="5.44140625" style="3" customWidth="1"/>
    <col min="11035" max="11039" width="4.88671875" style="3" customWidth="1"/>
    <col min="11040" max="11040" width="2.21875" style="3" customWidth="1"/>
    <col min="11041" max="11041" width="1.44140625" style="3" customWidth="1"/>
    <col min="11042" max="11042" width="1.6640625" style="3" customWidth="1"/>
    <col min="11043" max="11264" width="3.44140625" style="3"/>
    <col min="11265" max="11265" width="1.44140625" style="3" customWidth="1"/>
    <col min="11266" max="11266" width="2.44140625" style="3" customWidth="1"/>
    <col min="11267" max="11267" width="3" style="3" customWidth="1"/>
    <col min="11268" max="11271" width="4.88671875" style="3" customWidth="1"/>
    <col min="11272" max="11272" width="3.88671875" style="3" customWidth="1"/>
    <col min="11273" max="11274" width="4.88671875" style="3" customWidth="1"/>
    <col min="11275" max="11285" width="5.44140625" style="3" customWidth="1"/>
    <col min="11286" max="11289" width="4.88671875" style="3" customWidth="1"/>
    <col min="11290" max="11290" width="5.44140625" style="3" customWidth="1"/>
    <col min="11291" max="11295" width="4.88671875" style="3" customWidth="1"/>
    <col min="11296" max="11296" width="2.21875" style="3" customWidth="1"/>
    <col min="11297" max="11297" width="1.44140625" style="3" customWidth="1"/>
    <col min="11298" max="11298" width="1.6640625" style="3" customWidth="1"/>
    <col min="11299" max="11520" width="3.44140625" style="3"/>
    <col min="11521" max="11521" width="1.44140625" style="3" customWidth="1"/>
    <col min="11522" max="11522" width="2.44140625" style="3" customWidth="1"/>
    <col min="11523" max="11523" width="3" style="3" customWidth="1"/>
    <col min="11524" max="11527" width="4.88671875" style="3" customWidth="1"/>
    <col min="11528" max="11528" width="3.88671875" style="3" customWidth="1"/>
    <col min="11529" max="11530" width="4.88671875" style="3" customWidth="1"/>
    <col min="11531" max="11541" width="5.44140625" style="3" customWidth="1"/>
    <col min="11542" max="11545" width="4.88671875" style="3" customWidth="1"/>
    <col min="11546" max="11546" width="5.44140625" style="3" customWidth="1"/>
    <col min="11547" max="11551" width="4.88671875" style="3" customWidth="1"/>
    <col min="11552" max="11552" width="2.21875" style="3" customWidth="1"/>
    <col min="11553" max="11553" width="1.44140625" style="3" customWidth="1"/>
    <col min="11554" max="11554" width="1.6640625" style="3" customWidth="1"/>
    <col min="11555" max="11776" width="3.44140625" style="3"/>
    <col min="11777" max="11777" width="1.44140625" style="3" customWidth="1"/>
    <col min="11778" max="11778" width="2.44140625" style="3" customWidth="1"/>
    <col min="11779" max="11779" width="3" style="3" customWidth="1"/>
    <col min="11780" max="11783" width="4.88671875" style="3" customWidth="1"/>
    <col min="11784" max="11784" width="3.88671875" style="3" customWidth="1"/>
    <col min="11785" max="11786" width="4.88671875" style="3" customWidth="1"/>
    <col min="11787" max="11797" width="5.44140625" style="3" customWidth="1"/>
    <col min="11798" max="11801" width="4.88671875" style="3" customWidth="1"/>
    <col min="11802" max="11802" width="5.44140625" style="3" customWidth="1"/>
    <col min="11803" max="11807" width="4.88671875" style="3" customWidth="1"/>
    <col min="11808" max="11808" width="2.21875" style="3" customWidth="1"/>
    <col min="11809" max="11809" width="1.44140625" style="3" customWidth="1"/>
    <col min="11810" max="11810" width="1.6640625" style="3" customWidth="1"/>
    <col min="11811" max="12032" width="3.44140625" style="3"/>
    <col min="12033" max="12033" width="1.44140625" style="3" customWidth="1"/>
    <col min="12034" max="12034" width="2.44140625" style="3" customWidth="1"/>
    <col min="12035" max="12035" width="3" style="3" customWidth="1"/>
    <col min="12036" max="12039" width="4.88671875" style="3" customWidth="1"/>
    <col min="12040" max="12040" width="3.88671875" style="3" customWidth="1"/>
    <col min="12041" max="12042" width="4.88671875" style="3" customWidth="1"/>
    <col min="12043" max="12053" width="5.44140625" style="3" customWidth="1"/>
    <col min="12054" max="12057" width="4.88671875" style="3" customWidth="1"/>
    <col min="12058" max="12058" width="5.44140625" style="3" customWidth="1"/>
    <col min="12059" max="12063" width="4.88671875" style="3" customWidth="1"/>
    <col min="12064" max="12064" width="2.21875" style="3" customWidth="1"/>
    <col min="12065" max="12065" width="1.44140625" style="3" customWidth="1"/>
    <col min="12066" max="12066" width="1.6640625" style="3" customWidth="1"/>
    <col min="12067" max="12288" width="3.44140625" style="3"/>
    <col min="12289" max="12289" width="1.44140625" style="3" customWidth="1"/>
    <col min="12290" max="12290" width="2.44140625" style="3" customWidth="1"/>
    <col min="12291" max="12291" width="3" style="3" customWidth="1"/>
    <col min="12292" max="12295" width="4.88671875" style="3" customWidth="1"/>
    <col min="12296" max="12296" width="3.88671875" style="3" customWidth="1"/>
    <col min="12297" max="12298" width="4.88671875" style="3" customWidth="1"/>
    <col min="12299" max="12309" width="5.44140625" style="3" customWidth="1"/>
    <col min="12310" max="12313" width="4.88671875" style="3" customWidth="1"/>
    <col min="12314" max="12314" width="5.44140625" style="3" customWidth="1"/>
    <col min="12315" max="12319" width="4.88671875" style="3" customWidth="1"/>
    <col min="12320" max="12320" width="2.21875" style="3" customWidth="1"/>
    <col min="12321" max="12321" width="1.44140625" style="3" customWidth="1"/>
    <col min="12322" max="12322" width="1.6640625" style="3" customWidth="1"/>
    <col min="12323" max="12544" width="3.44140625" style="3"/>
    <col min="12545" max="12545" width="1.44140625" style="3" customWidth="1"/>
    <col min="12546" max="12546" width="2.44140625" style="3" customWidth="1"/>
    <col min="12547" max="12547" width="3" style="3" customWidth="1"/>
    <col min="12548" max="12551" width="4.88671875" style="3" customWidth="1"/>
    <col min="12552" max="12552" width="3.88671875" style="3" customWidth="1"/>
    <col min="12553" max="12554" width="4.88671875" style="3" customWidth="1"/>
    <col min="12555" max="12565" width="5.44140625" style="3" customWidth="1"/>
    <col min="12566" max="12569" width="4.88671875" style="3" customWidth="1"/>
    <col min="12570" max="12570" width="5.44140625" style="3" customWidth="1"/>
    <col min="12571" max="12575" width="4.88671875" style="3" customWidth="1"/>
    <col min="12576" max="12576" width="2.21875" style="3" customWidth="1"/>
    <col min="12577" max="12577" width="1.44140625" style="3" customWidth="1"/>
    <col min="12578" max="12578" width="1.6640625" style="3" customWidth="1"/>
    <col min="12579" max="12800" width="3.44140625" style="3"/>
    <col min="12801" max="12801" width="1.44140625" style="3" customWidth="1"/>
    <col min="12802" max="12802" width="2.44140625" style="3" customWidth="1"/>
    <col min="12803" max="12803" width="3" style="3" customWidth="1"/>
    <col min="12804" max="12807" width="4.88671875" style="3" customWidth="1"/>
    <col min="12808" max="12808" width="3.88671875" style="3" customWidth="1"/>
    <col min="12809" max="12810" width="4.88671875" style="3" customWidth="1"/>
    <col min="12811" max="12821" width="5.44140625" style="3" customWidth="1"/>
    <col min="12822" max="12825" width="4.88671875" style="3" customWidth="1"/>
    <col min="12826" max="12826" width="5.44140625" style="3" customWidth="1"/>
    <col min="12827" max="12831" width="4.88671875" style="3" customWidth="1"/>
    <col min="12832" max="12832" width="2.21875" style="3" customWidth="1"/>
    <col min="12833" max="12833" width="1.44140625" style="3" customWidth="1"/>
    <col min="12834" max="12834" width="1.6640625" style="3" customWidth="1"/>
    <col min="12835" max="13056" width="3.44140625" style="3"/>
    <col min="13057" max="13057" width="1.44140625" style="3" customWidth="1"/>
    <col min="13058" max="13058" width="2.44140625" style="3" customWidth="1"/>
    <col min="13059" max="13059" width="3" style="3" customWidth="1"/>
    <col min="13060" max="13063" width="4.88671875" style="3" customWidth="1"/>
    <col min="13064" max="13064" width="3.88671875" style="3" customWidth="1"/>
    <col min="13065" max="13066" width="4.88671875" style="3" customWidth="1"/>
    <col min="13067" max="13077" width="5.44140625" style="3" customWidth="1"/>
    <col min="13078" max="13081" width="4.88671875" style="3" customWidth="1"/>
    <col min="13082" max="13082" width="5.44140625" style="3" customWidth="1"/>
    <col min="13083" max="13087" width="4.88671875" style="3" customWidth="1"/>
    <col min="13088" max="13088" width="2.21875" style="3" customWidth="1"/>
    <col min="13089" max="13089" width="1.44140625" style="3" customWidth="1"/>
    <col min="13090" max="13090" width="1.6640625" style="3" customWidth="1"/>
    <col min="13091" max="13312" width="3.44140625" style="3"/>
    <col min="13313" max="13313" width="1.44140625" style="3" customWidth="1"/>
    <col min="13314" max="13314" width="2.44140625" style="3" customWidth="1"/>
    <col min="13315" max="13315" width="3" style="3" customWidth="1"/>
    <col min="13316" max="13319" width="4.88671875" style="3" customWidth="1"/>
    <col min="13320" max="13320" width="3.88671875" style="3" customWidth="1"/>
    <col min="13321" max="13322" width="4.88671875" style="3" customWidth="1"/>
    <col min="13323" max="13333" width="5.44140625" style="3" customWidth="1"/>
    <col min="13334" max="13337" width="4.88671875" style="3" customWidth="1"/>
    <col min="13338" max="13338" width="5.44140625" style="3" customWidth="1"/>
    <col min="13339" max="13343" width="4.88671875" style="3" customWidth="1"/>
    <col min="13344" max="13344" width="2.21875" style="3" customWidth="1"/>
    <col min="13345" max="13345" width="1.44140625" style="3" customWidth="1"/>
    <col min="13346" max="13346" width="1.6640625" style="3" customWidth="1"/>
    <col min="13347" max="13568" width="3.44140625" style="3"/>
    <col min="13569" max="13569" width="1.44140625" style="3" customWidth="1"/>
    <col min="13570" max="13570" width="2.44140625" style="3" customWidth="1"/>
    <col min="13571" max="13571" width="3" style="3" customWidth="1"/>
    <col min="13572" max="13575" width="4.88671875" style="3" customWidth="1"/>
    <col min="13576" max="13576" width="3.88671875" style="3" customWidth="1"/>
    <col min="13577" max="13578" width="4.88671875" style="3" customWidth="1"/>
    <col min="13579" max="13589" width="5.44140625" style="3" customWidth="1"/>
    <col min="13590" max="13593" width="4.88671875" style="3" customWidth="1"/>
    <col min="13594" max="13594" width="5.44140625" style="3" customWidth="1"/>
    <col min="13595" max="13599" width="4.88671875" style="3" customWidth="1"/>
    <col min="13600" max="13600" width="2.21875" style="3" customWidth="1"/>
    <col min="13601" max="13601" width="1.44140625" style="3" customWidth="1"/>
    <col min="13602" max="13602" width="1.6640625" style="3" customWidth="1"/>
    <col min="13603" max="13824" width="3.44140625" style="3"/>
    <col min="13825" max="13825" width="1.44140625" style="3" customWidth="1"/>
    <col min="13826" max="13826" width="2.44140625" style="3" customWidth="1"/>
    <col min="13827" max="13827" width="3" style="3" customWidth="1"/>
    <col min="13828" max="13831" width="4.88671875" style="3" customWidth="1"/>
    <col min="13832" max="13832" width="3.88671875" style="3" customWidth="1"/>
    <col min="13833" max="13834" width="4.88671875" style="3" customWidth="1"/>
    <col min="13835" max="13845" width="5.44140625" style="3" customWidth="1"/>
    <col min="13846" max="13849" width="4.88671875" style="3" customWidth="1"/>
    <col min="13850" max="13850" width="5.44140625" style="3" customWidth="1"/>
    <col min="13851" max="13855" width="4.88671875" style="3" customWidth="1"/>
    <col min="13856" max="13856" width="2.21875" style="3" customWidth="1"/>
    <col min="13857" max="13857" width="1.44140625" style="3" customWidth="1"/>
    <col min="13858" max="13858" width="1.6640625" style="3" customWidth="1"/>
    <col min="13859" max="14080" width="3.44140625" style="3"/>
    <col min="14081" max="14081" width="1.44140625" style="3" customWidth="1"/>
    <col min="14082" max="14082" width="2.44140625" style="3" customWidth="1"/>
    <col min="14083" max="14083" width="3" style="3" customWidth="1"/>
    <col min="14084" max="14087" width="4.88671875" style="3" customWidth="1"/>
    <col min="14088" max="14088" width="3.88671875" style="3" customWidth="1"/>
    <col min="14089" max="14090" width="4.88671875" style="3" customWidth="1"/>
    <col min="14091" max="14101" width="5.44140625" style="3" customWidth="1"/>
    <col min="14102" max="14105" width="4.88671875" style="3" customWidth="1"/>
    <col min="14106" max="14106" width="5.44140625" style="3" customWidth="1"/>
    <col min="14107" max="14111" width="4.88671875" style="3" customWidth="1"/>
    <col min="14112" max="14112" width="2.21875" style="3" customWidth="1"/>
    <col min="14113" max="14113" width="1.44140625" style="3" customWidth="1"/>
    <col min="14114" max="14114" width="1.6640625" style="3" customWidth="1"/>
    <col min="14115" max="14336" width="3.44140625" style="3"/>
    <col min="14337" max="14337" width="1.44140625" style="3" customWidth="1"/>
    <col min="14338" max="14338" width="2.44140625" style="3" customWidth="1"/>
    <col min="14339" max="14339" width="3" style="3" customWidth="1"/>
    <col min="14340" max="14343" width="4.88671875" style="3" customWidth="1"/>
    <col min="14344" max="14344" width="3.88671875" style="3" customWidth="1"/>
    <col min="14345" max="14346" width="4.88671875" style="3" customWidth="1"/>
    <col min="14347" max="14357" width="5.44140625" style="3" customWidth="1"/>
    <col min="14358" max="14361" width="4.88671875" style="3" customWidth="1"/>
    <col min="14362" max="14362" width="5.44140625" style="3" customWidth="1"/>
    <col min="14363" max="14367" width="4.88671875" style="3" customWidth="1"/>
    <col min="14368" max="14368" width="2.21875" style="3" customWidth="1"/>
    <col min="14369" max="14369" width="1.44140625" style="3" customWidth="1"/>
    <col min="14370" max="14370" width="1.6640625" style="3" customWidth="1"/>
    <col min="14371" max="14592" width="3.44140625" style="3"/>
    <col min="14593" max="14593" width="1.44140625" style="3" customWidth="1"/>
    <col min="14594" max="14594" width="2.44140625" style="3" customWidth="1"/>
    <col min="14595" max="14595" width="3" style="3" customWidth="1"/>
    <col min="14596" max="14599" width="4.88671875" style="3" customWidth="1"/>
    <col min="14600" max="14600" width="3.88671875" style="3" customWidth="1"/>
    <col min="14601" max="14602" width="4.88671875" style="3" customWidth="1"/>
    <col min="14603" max="14613" width="5.44140625" style="3" customWidth="1"/>
    <col min="14614" max="14617" width="4.88671875" style="3" customWidth="1"/>
    <col min="14618" max="14618" width="5.44140625" style="3" customWidth="1"/>
    <col min="14619" max="14623" width="4.88671875" style="3" customWidth="1"/>
    <col min="14624" max="14624" width="2.21875" style="3" customWidth="1"/>
    <col min="14625" max="14625" width="1.44140625" style="3" customWidth="1"/>
    <col min="14626" max="14626" width="1.6640625" style="3" customWidth="1"/>
    <col min="14627" max="14848" width="3.44140625" style="3"/>
    <col min="14849" max="14849" width="1.44140625" style="3" customWidth="1"/>
    <col min="14850" max="14850" width="2.44140625" style="3" customWidth="1"/>
    <col min="14851" max="14851" width="3" style="3" customWidth="1"/>
    <col min="14852" max="14855" width="4.88671875" style="3" customWidth="1"/>
    <col min="14856" max="14856" width="3.88671875" style="3" customWidth="1"/>
    <col min="14857" max="14858" width="4.88671875" style="3" customWidth="1"/>
    <col min="14859" max="14869" width="5.44140625" style="3" customWidth="1"/>
    <col min="14870" max="14873" width="4.88671875" style="3" customWidth="1"/>
    <col min="14874" max="14874" width="5.44140625" style="3" customWidth="1"/>
    <col min="14875" max="14879" width="4.88671875" style="3" customWidth="1"/>
    <col min="14880" max="14880" width="2.21875" style="3" customWidth="1"/>
    <col min="14881" max="14881" width="1.44140625" style="3" customWidth="1"/>
    <col min="14882" max="14882" width="1.6640625" style="3" customWidth="1"/>
    <col min="14883" max="15104" width="3.44140625" style="3"/>
    <col min="15105" max="15105" width="1.44140625" style="3" customWidth="1"/>
    <col min="15106" max="15106" width="2.44140625" style="3" customWidth="1"/>
    <col min="15107" max="15107" width="3" style="3" customWidth="1"/>
    <col min="15108" max="15111" width="4.88671875" style="3" customWidth="1"/>
    <col min="15112" max="15112" width="3.88671875" style="3" customWidth="1"/>
    <col min="15113" max="15114" width="4.88671875" style="3" customWidth="1"/>
    <col min="15115" max="15125" width="5.44140625" style="3" customWidth="1"/>
    <col min="15126" max="15129" width="4.88671875" style="3" customWidth="1"/>
    <col min="15130" max="15130" width="5.44140625" style="3" customWidth="1"/>
    <col min="15131" max="15135" width="4.88671875" style="3" customWidth="1"/>
    <col min="15136" max="15136" width="2.21875" style="3" customWidth="1"/>
    <col min="15137" max="15137" width="1.44140625" style="3" customWidth="1"/>
    <col min="15138" max="15138" width="1.6640625" style="3" customWidth="1"/>
    <col min="15139" max="15360" width="3.44140625" style="3"/>
    <col min="15361" max="15361" width="1.44140625" style="3" customWidth="1"/>
    <col min="15362" max="15362" width="2.44140625" style="3" customWidth="1"/>
    <col min="15363" max="15363" width="3" style="3" customWidth="1"/>
    <col min="15364" max="15367" width="4.88671875" style="3" customWidth="1"/>
    <col min="15368" max="15368" width="3.88671875" style="3" customWidth="1"/>
    <col min="15369" max="15370" width="4.88671875" style="3" customWidth="1"/>
    <col min="15371" max="15381" width="5.44140625" style="3" customWidth="1"/>
    <col min="15382" max="15385" width="4.88671875" style="3" customWidth="1"/>
    <col min="15386" max="15386" width="5.44140625" style="3" customWidth="1"/>
    <col min="15387" max="15391" width="4.88671875" style="3" customWidth="1"/>
    <col min="15392" max="15392" width="2.21875" style="3" customWidth="1"/>
    <col min="15393" max="15393" width="1.44140625" style="3" customWidth="1"/>
    <col min="15394" max="15394" width="1.6640625" style="3" customWidth="1"/>
    <col min="15395" max="15616" width="3.44140625" style="3"/>
    <col min="15617" max="15617" width="1.44140625" style="3" customWidth="1"/>
    <col min="15618" max="15618" width="2.44140625" style="3" customWidth="1"/>
    <col min="15619" max="15619" width="3" style="3" customWidth="1"/>
    <col min="15620" max="15623" width="4.88671875" style="3" customWidth="1"/>
    <col min="15624" max="15624" width="3.88671875" style="3" customWidth="1"/>
    <col min="15625" max="15626" width="4.88671875" style="3" customWidth="1"/>
    <col min="15627" max="15637" width="5.44140625" style="3" customWidth="1"/>
    <col min="15638" max="15641" width="4.88671875" style="3" customWidth="1"/>
    <col min="15642" max="15642" width="5.44140625" style="3" customWidth="1"/>
    <col min="15643" max="15647" width="4.88671875" style="3" customWidth="1"/>
    <col min="15648" max="15648" width="2.21875" style="3" customWidth="1"/>
    <col min="15649" max="15649" width="1.44140625" style="3" customWidth="1"/>
    <col min="15650" max="15650" width="1.6640625" style="3" customWidth="1"/>
    <col min="15651" max="15872" width="3.44140625" style="3"/>
    <col min="15873" max="15873" width="1.44140625" style="3" customWidth="1"/>
    <col min="15874" max="15874" width="2.44140625" style="3" customWidth="1"/>
    <col min="15875" max="15875" width="3" style="3" customWidth="1"/>
    <col min="15876" max="15879" width="4.88671875" style="3" customWidth="1"/>
    <col min="15880" max="15880" width="3.88671875" style="3" customWidth="1"/>
    <col min="15881" max="15882" width="4.88671875" style="3" customWidth="1"/>
    <col min="15883" max="15893" width="5.44140625" style="3" customWidth="1"/>
    <col min="15894" max="15897" width="4.88671875" style="3" customWidth="1"/>
    <col min="15898" max="15898" width="5.44140625" style="3" customWidth="1"/>
    <col min="15899" max="15903" width="4.88671875" style="3" customWidth="1"/>
    <col min="15904" max="15904" width="2.21875" style="3" customWidth="1"/>
    <col min="15905" max="15905" width="1.44140625" style="3" customWidth="1"/>
    <col min="15906" max="15906" width="1.6640625" style="3" customWidth="1"/>
    <col min="15907" max="16128" width="3.44140625" style="3"/>
    <col min="16129" max="16129" width="1.44140625" style="3" customWidth="1"/>
    <col min="16130" max="16130" width="2.44140625" style="3" customWidth="1"/>
    <col min="16131" max="16131" width="3" style="3" customWidth="1"/>
    <col min="16132" max="16135" width="4.88671875" style="3" customWidth="1"/>
    <col min="16136" max="16136" width="3.88671875" style="3" customWidth="1"/>
    <col min="16137" max="16138" width="4.88671875" style="3" customWidth="1"/>
    <col min="16139" max="16149" width="5.44140625" style="3" customWidth="1"/>
    <col min="16150" max="16153" width="4.88671875" style="3" customWidth="1"/>
    <col min="16154" max="16154" width="5.44140625" style="3" customWidth="1"/>
    <col min="16155" max="16159" width="4.88671875" style="3" customWidth="1"/>
    <col min="16160" max="16160" width="2.21875" style="3" customWidth="1"/>
    <col min="16161" max="16161" width="1.44140625" style="3" customWidth="1"/>
    <col min="16162" max="16162" width="1.6640625" style="3" customWidth="1"/>
    <col min="16163" max="16384" width="3.44140625" style="3"/>
  </cols>
  <sheetData>
    <row r="1" spans="2:32" s="1" customFormat="1" x14ac:dyDescent="0.2"/>
    <row r="2" spans="2:32" s="1" customFormat="1" x14ac:dyDescent="0.2">
      <c r="C2" s="1" t="s">
        <v>1546</v>
      </c>
    </row>
    <row r="3" spans="2:32" s="1" customFormat="1" x14ac:dyDescent="0.2">
      <c r="Y3" s="45" t="s">
        <v>643</v>
      </c>
      <c r="Z3" s="12"/>
      <c r="AA3" s="12" t="s">
        <v>34</v>
      </c>
      <c r="AB3" s="12"/>
      <c r="AC3" s="12" t="s">
        <v>922</v>
      </c>
      <c r="AD3" s="12"/>
      <c r="AE3" s="12" t="s">
        <v>167</v>
      </c>
    </row>
    <row r="4" spans="2:32" s="1" customFormat="1" x14ac:dyDescent="0.2">
      <c r="AE4" s="45"/>
    </row>
    <row r="5" spans="2:32" s="1" customFormat="1" ht="26.25" customHeight="1" x14ac:dyDescent="0.2">
      <c r="C5" s="1568" t="s">
        <v>1547</v>
      </c>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row>
    <row r="6" spans="2:32" s="1" customFormat="1" x14ac:dyDescent="0.2"/>
    <row r="7" spans="2:32" s="1" customFormat="1" ht="27" customHeight="1" x14ac:dyDescent="0.2">
      <c r="B7" s="9"/>
      <c r="C7" s="1551" t="s">
        <v>306</v>
      </c>
      <c r="D7" s="1575"/>
      <c r="E7" s="1575"/>
      <c r="F7" s="1575"/>
      <c r="G7" s="1575"/>
      <c r="H7" s="1575"/>
      <c r="I7" s="1549"/>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1"/>
    </row>
    <row r="8" spans="2:32" ht="27" customHeight="1" x14ac:dyDescent="0.2">
      <c r="B8" s="15"/>
      <c r="C8" s="1550" t="s">
        <v>163</v>
      </c>
      <c r="D8" s="1550"/>
      <c r="E8" s="1550"/>
      <c r="F8" s="1550"/>
      <c r="G8" s="1550"/>
      <c r="H8" s="1551"/>
      <c r="I8" s="758" t="s">
        <v>116</v>
      </c>
      <c r="J8" s="759" t="s">
        <v>1174</v>
      </c>
      <c r="K8" s="759"/>
      <c r="L8" s="759"/>
      <c r="M8" s="759"/>
      <c r="N8" s="760" t="s">
        <v>116</v>
      </c>
      <c r="O8" s="759" t="s">
        <v>1175</v>
      </c>
      <c r="P8" s="759"/>
      <c r="Q8" s="759"/>
      <c r="R8" s="759"/>
      <c r="S8" s="760" t="s">
        <v>116</v>
      </c>
      <c r="T8" s="759" t="s">
        <v>1176</v>
      </c>
      <c r="U8" s="759"/>
      <c r="V8" s="759"/>
      <c r="W8" s="759"/>
      <c r="X8" s="759"/>
      <c r="Y8" s="759"/>
      <c r="Z8" s="759"/>
      <c r="AA8" s="759"/>
      <c r="AB8" s="759"/>
      <c r="AC8" s="759"/>
      <c r="AD8" s="759"/>
      <c r="AE8" s="759"/>
      <c r="AF8" s="17"/>
    </row>
    <row r="9" spans="2:32" ht="27" customHeight="1" x14ac:dyDescent="0.2">
      <c r="B9" s="56"/>
      <c r="C9" s="1558" t="s">
        <v>164</v>
      </c>
      <c r="D9" s="1558"/>
      <c r="E9" s="1558"/>
      <c r="F9" s="1558"/>
      <c r="G9" s="1558"/>
      <c r="H9" s="1559"/>
      <c r="I9" s="761" t="s">
        <v>116</v>
      </c>
      <c r="J9" s="7" t="s">
        <v>1548</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762"/>
      <c r="C10" s="1329"/>
      <c r="D10" s="1329"/>
      <c r="E10" s="1329"/>
      <c r="F10" s="1329"/>
      <c r="G10" s="1329"/>
      <c r="H10" s="1580"/>
      <c r="I10" s="763" t="s">
        <v>116</v>
      </c>
      <c r="J10" s="2" t="s">
        <v>1549</v>
      </c>
      <c r="K10" s="2"/>
      <c r="L10" s="2"/>
      <c r="M10" s="2"/>
      <c r="N10" s="2"/>
      <c r="O10" s="2"/>
      <c r="P10" s="2"/>
      <c r="Q10" s="2"/>
      <c r="R10" s="2"/>
      <c r="S10" s="2"/>
      <c r="T10" s="2"/>
      <c r="U10" s="2"/>
      <c r="V10" s="2"/>
      <c r="W10" s="2"/>
      <c r="X10" s="2"/>
      <c r="Y10" s="2"/>
      <c r="Z10" s="2"/>
      <c r="AA10" s="2"/>
      <c r="AB10" s="2"/>
      <c r="AC10" s="2"/>
      <c r="AD10" s="2"/>
      <c r="AE10" s="2"/>
      <c r="AF10" s="404"/>
    </row>
    <row r="11" spans="2:32" ht="27" customHeight="1" x14ac:dyDescent="0.2">
      <c r="B11" s="764"/>
      <c r="C11" s="1561"/>
      <c r="D11" s="1561"/>
      <c r="E11" s="1561"/>
      <c r="F11" s="1561"/>
      <c r="G11" s="1561"/>
      <c r="H11" s="1562"/>
      <c r="I11" s="765" t="s">
        <v>116</v>
      </c>
      <c r="J11" s="594" t="s">
        <v>1550</v>
      </c>
      <c r="K11" s="594"/>
      <c r="L11" s="594"/>
      <c r="M11" s="594"/>
      <c r="N11" s="594"/>
      <c r="O11" s="594"/>
      <c r="P11" s="594"/>
      <c r="Q11" s="594"/>
      <c r="R11" s="594"/>
      <c r="S11" s="594"/>
      <c r="T11" s="594"/>
      <c r="U11" s="594"/>
      <c r="V11" s="594"/>
      <c r="W11" s="594"/>
      <c r="X11" s="594"/>
      <c r="Y11" s="594"/>
      <c r="Z11" s="594"/>
      <c r="AA11" s="594"/>
      <c r="AB11" s="594"/>
      <c r="AC11" s="594"/>
      <c r="AD11" s="594"/>
      <c r="AE11" s="594"/>
      <c r="AF11" s="60"/>
    </row>
    <row r="12" spans="2:32" s="1" customFormat="1" ht="11.25" customHeight="1" x14ac:dyDescent="0.2"/>
    <row r="13" spans="2:32" s="1" customFormat="1" ht="26.25" customHeight="1" x14ac:dyDescent="0.2">
      <c r="B13" s="6" t="s">
        <v>307</v>
      </c>
      <c r="C13" s="7" t="s">
        <v>308</v>
      </c>
      <c r="D13" s="7"/>
      <c r="E13" s="7"/>
      <c r="F13" s="7"/>
      <c r="G13" s="7"/>
      <c r="H13" s="7"/>
      <c r="I13" s="7"/>
      <c r="J13" s="7"/>
      <c r="K13" s="7"/>
      <c r="L13" s="7"/>
      <c r="M13" s="7"/>
      <c r="N13" s="7"/>
      <c r="O13" s="7"/>
      <c r="P13" s="10"/>
      <c r="Q13" s="766"/>
      <c r="R13" s="7"/>
      <c r="S13" s="7"/>
      <c r="T13" s="7"/>
      <c r="U13" s="7"/>
      <c r="V13" s="7"/>
      <c r="W13" s="7"/>
      <c r="X13" s="7"/>
      <c r="Y13" s="10"/>
      <c r="Z13" s="10"/>
      <c r="AA13" s="10"/>
      <c r="AB13" s="7"/>
      <c r="AC13" s="7"/>
      <c r="AD13" s="7"/>
      <c r="AE13" s="7"/>
      <c r="AF13" s="4"/>
    </row>
    <row r="14" spans="2:32" s="1" customFormat="1" ht="11.25" customHeight="1" x14ac:dyDescent="0.2">
      <c r="B14" s="582"/>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88"/>
    </row>
    <row r="15" spans="2:32" s="1" customFormat="1" ht="27" customHeight="1" x14ac:dyDescent="0.2">
      <c r="B15" s="582"/>
      <c r="C15" s="1462" t="s">
        <v>309</v>
      </c>
      <c r="D15" s="1463"/>
      <c r="E15" s="1463"/>
      <c r="F15" s="1463"/>
      <c r="G15" s="1463"/>
      <c r="H15" s="1463"/>
      <c r="I15" s="582"/>
      <c r="J15" s="767" t="s">
        <v>103</v>
      </c>
      <c r="K15" s="1695" t="s">
        <v>310</v>
      </c>
      <c r="L15" s="1696"/>
      <c r="M15" s="1696"/>
      <c r="N15" s="1696"/>
      <c r="O15" s="1696"/>
      <c r="P15" s="1696"/>
      <c r="Q15" s="1696"/>
      <c r="R15" s="1696"/>
      <c r="S15" s="1696"/>
      <c r="T15" s="1696"/>
      <c r="U15" s="1697"/>
      <c r="V15" s="1338"/>
      <c r="W15" s="1339"/>
      <c r="X15" s="575" t="s">
        <v>89</v>
      </c>
      <c r="Y15" s="12"/>
      <c r="Z15" s="12"/>
      <c r="AA15" s="12"/>
      <c r="AB15" s="588"/>
      <c r="AC15" s="1456"/>
      <c r="AD15" s="1456"/>
      <c r="AE15" s="1556"/>
      <c r="AF15" s="588"/>
    </row>
    <row r="16" spans="2:32" s="1" customFormat="1" ht="27" customHeight="1" x14ac:dyDescent="0.2">
      <c r="B16" s="582"/>
      <c r="C16" s="1462"/>
      <c r="D16" s="1463"/>
      <c r="E16" s="1463"/>
      <c r="F16" s="1463"/>
      <c r="G16" s="1463"/>
      <c r="H16" s="1463"/>
      <c r="I16" s="582"/>
      <c r="J16" s="767" t="s">
        <v>104</v>
      </c>
      <c r="K16" s="1695" t="s">
        <v>311</v>
      </c>
      <c r="L16" s="1696"/>
      <c r="M16" s="1696"/>
      <c r="N16" s="1696"/>
      <c r="O16" s="1696"/>
      <c r="P16" s="1696"/>
      <c r="Q16" s="1696"/>
      <c r="R16" s="1696"/>
      <c r="S16" s="1696"/>
      <c r="T16" s="1696"/>
      <c r="U16" s="1697"/>
      <c r="V16" s="1338"/>
      <c r="W16" s="1339"/>
      <c r="X16" s="575" t="s">
        <v>89</v>
      </c>
      <c r="Z16" s="1645"/>
      <c r="AA16" s="1645"/>
      <c r="AB16" s="588"/>
      <c r="AC16" s="2"/>
      <c r="AD16" s="2"/>
      <c r="AE16" s="583"/>
      <c r="AF16" s="588"/>
    </row>
    <row r="17" spans="2:32" s="1" customFormat="1" ht="27" customHeight="1" x14ac:dyDescent="0.2">
      <c r="B17" s="582"/>
      <c r="C17" s="1462"/>
      <c r="D17" s="1463"/>
      <c r="E17" s="1463"/>
      <c r="F17" s="1463"/>
      <c r="G17" s="1463"/>
      <c r="H17" s="1463"/>
      <c r="I17" s="582"/>
      <c r="J17" s="767" t="s">
        <v>120</v>
      </c>
      <c r="K17" s="1695" t="s">
        <v>312</v>
      </c>
      <c r="L17" s="1696"/>
      <c r="M17" s="1696"/>
      <c r="N17" s="1696"/>
      <c r="O17" s="1696"/>
      <c r="P17" s="1696"/>
      <c r="Q17" s="1696"/>
      <c r="R17" s="1696"/>
      <c r="S17" s="1696"/>
      <c r="T17" s="1696"/>
      <c r="U17" s="1697"/>
      <c r="V17" s="1338"/>
      <c r="W17" s="1339"/>
      <c r="X17" s="575" t="s">
        <v>89</v>
      </c>
      <c r="Z17" s="1645"/>
      <c r="AA17" s="1645"/>
      <c r="AB17" s="588"/>
      <c r="AC17" s="2"/>
      <c r="AD17" s="2"/>
      <c r="AE17" s="583"/>
      <c r="AF17" s="588"/>
    </row>
    <row r="18" spans="2:32" s="1" customFormat="1" ht="27" customHeight="1" x14ac:dyDescent="0.2">
      <c r="B18" s="582"/>
      <c r="C18" s="570"/>
      <c r="D18" s="21"/>
      <c r="E18" s="21"/>
      <c r="F18" s="21"/>
      <c r="G18" s="21"/>
      <c r="H18" s="21"/>
      <c r="I18" s="582"/>
      <c r="J18" s="767" t="s">
        <v>121</v>
      </c>
      <c r="K18" s="1695" t="s">
        <v>313</v>
      </c>
      <c r="L18" s="1696"/>
      <c r="M18" s="1696"/>
      <c r="N18" s="1696"/>
      <c r="O18" s="1696"/>
      <c r="P18" s="1696"/>
      <c r="Q18" s="1696"/>
      <c r="R18" s="1696"/>
      <c r="S18" s="1696"/>
      <c r="T18" s="1696"/>
      <c r="U18" s="1697"/>
      <c r="V18" s="1338"/>
      <c r="W18" s="1339"/>
      <c r="X18" s="575" t="s">
        <v>89</v>
      </c>
      <c r="Z18" s="1645"/>
      <c r="AA18" s="1645"/>
      <c r="AB18" s="588"/>
      <c r="AC18" s="768" t="s">
        <v>1117</v>
      </c>
      <c r="AD18" s="769" t="s">
        <v>441</v>
      </c>
      <c r="AE18" s="770" t="s">
        <v>721</v>
      </c>
      <c r="AF18" s="588"/>
    </row>
    <row r="19" spans="2:32" s="1" customFormat="1" ht="27" customHeight="1" x14ac:dyDescent="0.2">
      <c r="B19" s="582"/>
      <c r="C19" s="1462"/>
      <c r="D19" s="1463"/>
      <c r="E19" s="1463"/>
      <c r="F19" s="1463"/>
      <c r="G19" s="1463"/>
      <c r="H19" s="1463"/>
      <c r="I19" s="582"/>
      <c r="J19" s="767" t="s">
        <v>234</v>
      </c>
      <c r="K19" s="1695" t="s">
        <v>314</v>
      </c>
      <c r="L19" s="1696"/>
      <c r="M19" s="1696"/>
      <c r="N19" s="1696"/>
      <c r="O19" s="1696"/>
      <c r="P19" s="1696"/>
      <c r="Q19" s="1696"/>
      <c r="R19" s="1696"/>
      <c r="S19" s="1696"/>
      <c r="T19" s="1696"/>
      <c r="U19" s="1697"/>
      <c r="V19" s="1338"/>
      <c r="W19" s="1339"/>
      <c r="X19" s="575" t="s">
        <v>60</v>
      </c>
      <c r="Y19" s="1" t="s">
        <v>279</v>
      </c>
      <c r="Z19" s="1645" t="s">
        <v>168</v>
      </c>
      <c r="AA19" s="1645"/>
      <c r="AB19" s="1698"/>
      <c r="AC19" s="763" t="s">
        <v>116</v>
      </c>
      <c r="AD19" s="760" t="s">
        <v>441</v>
      </c>
      <c r="AE19" s="771" t="s">
        <v>116</v>
      </c>
      <c r="AF19" s="588"/>
    </row>
    <row r="20" spans="2:32" s="1" customFormat="1" ht="25.5" customHeight="1" x14ac:dyDescent="0.2">
      <c r="B20" s="582"/>
      <c r="C20" s="591"/>
      <c r="D20" s="8"/>
      <c r="E20" s="8"/>
      <c r="F20" s="8"/>
      <c r="G20" s="8"/>
      <c r="H20" s="8"/>
      <c r="I20" s="591"/>
      <c r="J20" s="8"/>
      <c r="K20" s="8"/>
      <c r="L20" s="8"/>
      <c r="M20" s="8"/>
      <c r="N20" s="8"/>
      <c r="O20" s="8"/>
      <c r="P20" s="8"/>
      <c r="Q20" s="8"/>
      <c r="R20" s="8"/>
      <c r="S20" s="8"/>
      <c r="T20" s="8"/>
      <c r="U20" s="8"/>
      <c r="V20" s="8"/>
      <c r="W20" s="8"/>
      <c r="X20" s="1699" t="s">
        <v>315</v>
      </c>
      <c r="Y20" s="1699"/>
      <c r="Z20" s="1699"/>
      <c r="AA20" s="1699"/>
      <c r="AB20" s="1700"/>
      <c r="AC20" s="8"/>
      <c r="AD20" s="8"/>
      <c r="AE20" s="593"/>
      <c r="AF20" s="588"/>
    </row>
    <row r="21" spans="2:32" s="1" customFormat="1" ht="11.25" customHeight="1" x14ac:dyDescent="0.2">
      <c r="B21" s="582"/>
      <c r="C21" s="582"/>
      <c r="H21" s="588"/>
      <c r="AC21" s="582"/>
      <c r="AE21" s="588"/>
      <c r="AF21" s="588"/>
    </row>
    <row r="22" spans="2:32" s="1" customFormat="1" ht="27" customHeight="1" x14ac:dyDescent="0.2">
      <c r="B22" s="582"/>
      <c r="C22" s="1462" t="s">
        <v>316</v>
      </c>
      <c r="D22" s="1463"/>
      <c r="E22" s="1463"/>
      <c r="F22" s="1463"/>
      <c r="G22" s="1463"/>
      <c r="H22" s="1466"/>
      <c r="J22" s="767" t="s">
        <v>103</v>
      </c>
      <c r="K22" s="1695" t="s">
        <v>310</v>
      </c>
      <c r="L22" s="1696"/>
      <c r="M22" s="1696"/>
      <c r="N22" s="1696"/>
      <c r="O22" s="1696"/>
      <c r="P22" s="1696"/>
      <c r="Q22" s="1696"/>
      <c r="R22" s="1696"/>
      <c r="S22" s="1696"/>
      <c r="T22" s="1696"/>
      <c r="U22" s="1697"/>
      <c r="V22" s="1338"/>
      <c r="W22" s="1339"/>
      <c r="X22" s="575" t="s">
        <v>89</v>
      </c>
      <c r="Y22" s="12"/>
      <c r="Z22" s="12"/>
      <c r="AA22" s="12"/>
      <c r="AC22" s="579"/>
      <c r="AD22" s="2"/>
      <c r="AE22" s="583"/>
      <c r="AF22" s="588"/>
    </row>
    <row r="23" spans="2:32" s="1" customFormat="1" ht="27" customHeight="1" x14ac:dyDescent="0.2">
      <c r="B23" s="582"/>
      <c r="C23" s="1462"/>
      <c r="D23" s="1463"/>
      <c r="E23" s="1463"/>
      <c r="F23" s="1463"/>
      <c r="G23" s="1463"/>
      <c r="H23" s="1466"/>
      <c r="J23" s="767" t="s">
        <v>104</v>
      </c>
      <c r="K23" s="1695" t="s">
        <v>317</v>
      </c>
      <c r="L23" s="1696"/>
      <c r="M23" s="1696"/>
      <c r="N23" s="1696"/>
      <c r="O23" s="1696"/>
      <c r="P23" s="1696"/>
      <c r="Q23" s="1696"/>
      <c r="R23" s="1696"/>
      <c r="S23" s="1696"/>
      <c r="T23" s="1696"/>
      <c r="U23" s="1697"/>
      <c r="V23" s="1338"/>
      <c r="W23" s="1339"/>
      <c r="X23" s="575" t="s">
        <v>89</v>
      </c>
      <c r="Z23" s="772"/>
      <c r="AA23" s="772"/>
      <c r="AC23" s="576"/>
      <c r="AD23" s="12"/>
      <c r="AE23" s="580"/>
      <c r="AF23" s="588"/>
    </row>
    <row r="24" spans="2:32" s="1" customFormat="1" ht="27" customHeight="1" x14ac:dyDescent="0.2">
      <c r="B24" s="582"/>
      <c r="C24" s="570"/>
      <c r="D24" s="21"/>
      <c r="E24" s="21"/>
      <c r="F24" s="21"/>
      <c r="G24" s="21"/>
      <c r="H24" s="571"/>
      <c r="J24" s="767" t="s">
        <v>120</v>
      </c>
      <c r="K24" s="1695" t="s">
        <v>318</v>
      </c>
      <c r="L24" s="1696"/>
      <c r="M24" s="1696"/>
      <c r="N24" s="1696"/>
      <c r="O24" s="1696"/>
      <c r="P24" s="1696"/>
      <c r="Q24" s="1696"/>
      <c r="R24" s="1696"/>
      <c r="S24" s="1696"/>
      <c r="T24" s="1696"/>
      <c r="U24" s="1697"/>
      <c r="V24" s="1338"/>
      <c r="W24" s="1339"/>
      <c r="X24" s="575" t="s">
        <v>89</v>
      </c>
      <c r="Z24" s="772"/>
      <c r="AA24" s="772"/>
      <c r="AC24" s="576"/>
      <c r="AD24" s="12"/>
      <c r="AE24" s="580"/>
      <c r="AF24" s="588"/>
    </row>
    <row r="25" spans="2:32" s="1" customFormat="1" ht="27" customHeight="1" x14ac:dyDescent="0.2">
      <c r="B25" s="582"/>
      <c r="C25" s="570"/>
      <c r="D25" s="21"/>
      <c r="E25" s="21"/>
      <c r="F25" s="21"/>
      <c r="G25" s="21"/>
      <c r="H25" s="571"/>
      <c r="J25" s="767" t="s">
        <v>121</v>
      </c>
      <c r="K25" s="1701" t="s">
        <v>319</v>
      </c>
      <c r="L25" s="1696"/>
      <c r="M25" s="1696"/>
      <c r="N25" s="1696"/>
      <c r="O25" s="1696"/>
      <c r="P25" s="1696"/>
      <c r="Q25" s="1696"/>
      <c r="R25" s="1696"/>
      <c r="S25" s="1696"/>
      <c r="T25" s="1696"/>
      <c r="U25" s="1697"/>
      <c r="V25" s="1338"/>
      <c r="W25" s="1339"/>
      <c r="X25" s="575" t="s">
        <v>89</v>
      </c>
      <c r="Z25" s="772"/>
      <c r="AA25" s="772"/>
      <c r="AC25" s="576"/>
      <c r="AD25" s="12"/>
      <c r="AE25" s="580"/>
      <c r="AF25" s="588"/>
    </row>
    <row r="26" spans="2:32" s="1" customFormat="1" ht="27" customHeight="1" x14ac:dyDescent="0.2">
      <c r="B26" s="582"/>
      <c r="C26" s="570"/>
      <c r="D26" s="21"/>
      <c r="E26" s="21"/>
      <c r="F26" s="21"/>
      <c r="G26" s="21"/>
      <c r="H26" s="571"/>
      <c r="J26" s="767" t="s">
        <v>234</v>
      </c>
      <c r="K26" s="1695" t="s">
        <v>320</v>
      </c>
      <c r="L26" s="1696"/>
      <c r="M26" s="1696"/>
      <c r="N26" s="1696"/>
      <c r="O26" s="1696"/>
      <c r="P26" s="1696"/>
      <c r="Q26" s="1696"/>
      <c r="R26" s="1696"/>
      <c r="S26" s="1696"/>
      <c r="T26" s="1696"/>
      <c r="U26" s="1697"/>
      <c r="V26" s="1338"/>
      <c r="W26" s="1339"/>
      <c r="X26" s="575" t="s">
        <v>89</v>
      </c>
      <c r="Z26" s="772"/>
      <c r="AA26" s="772"/>
      <c r="AC26" s="768" t="s">
        <v>1117</v>
      </c>
      <c r="AD26" s="769" t="s">
        <v>441</v>
      </c>
      <c r="AE26" s="770" t="s">
        <v>721</v>
      </c>
      <c r="AF26" s="588"/>
    </row>
    <row r="27" spans="2:32" s="1" customFormat="1" ht="27" customHeight="1" x14ac:dyDescent="0.2">
      <c r="B27" s="582"/>
      <c r="C27" s="582"/>
      <c r="H27" s="588"/>
      <c r="J27" s="767" t="s">
        <v>289</v>
      </c>
      <c r="K27" s="1695" t="s">
        <v>321</v>
      </c>
      <c r="L27" s="1696"/>
      <c r="M27" s="1696"/>
      <c r="N27" s="1696"/>
      <c r="O27" s="1696"/>
      <c r="P27" s="1696"/>
      <c r="Q27" s="1696"/>
      <c r="R27" s="1696"/>
      <c r="S27" s="1696"/>
      <c r="T27" s="1696"/>
      <c r="U27" s="1697"/>
      <c r="V27" s="1338"/>
      <c r="W27" s="1339"/>
      <c r="X27" s="575" t="s">
        <v>60</v>
      </c>
      <c r="Y27" s="1" t="s">
        <v>279</v>
      </c>
      <c r="Z27" s="1645" t="s">
        <v>168</v>
      </c>
      <c r="AA27" s="1645"/>
      <c r="AC27" s="763" t="s">
        <v>116</v>
      </c>
      <c r="AD27" s="760" t="s">
        <v>441</v>
      </c>
      <c r="AE27" s="771" t="s">
        <v>116</v>
      </c>
      <c r="AF27" s="588"/>
    </row>
    <row r="28" spans="2:32" s="1" customFormat="1" ht="18.75" customHeight="1" x14ac:dyDescent="0.2">
      <c r="B28" s="582"/>
      <c r="C28" s="582"/>
      <c r="H28" s="588"/>
      <c r="J28" s="773"/>
      <c r="K28" s="774"/>
      <c r="L28" s="774"/>
      <c r="M28" s="774"/>
      <c r="N28" s="774"/>
      <c r="O28" s="774"/>
      <c r="P28" s="774"/>
      <c r="Q28" s="774"/>
      <c r="R28" s="774"/>
      <c r="S28" s="774"/>
      <c r="T28" s="774"/>
      <c r="U28" s="774"/>
      <c r="X28" s="1702" t="s">
        <v>322</v>
      </c>
      <c r="Y28" s="1702"/>
      <c r="Z28" s="1702"/>
      <c r="AA28" s="1702"/>
      <c r="AB28" s="1703"/>
      <c r="AC28" s="576"/>
      <c r="AD28" s="12"/>
      <c r="AE28" s="580"/>
      <c r="AF28" s="588"/>
    </row>
    <row r="29" spans="2:32" s="1" customFormat="1" ht="26.25" customHeight="1" x14ac:dyDescent="0.2">
      <c r="B29" s="582"/>
      <c r="C29" s="570"/>
      <c r="D29" s="21"/>
      <c r="E29" s="21"/>
      <c r="F29" s="21"/>
      <c r="G29" s="21"/>
      <c r="H29" s="571"/>
      <c r="J29" s="773"/>
      <c r="K29" s="774"/>
      <c r="L29" s="774"/>
      <c r="M29" s="774"/>
      <c r="N29" s="774"/>
      <c r="O29" s="774"/>
      <c r="P29" s="774"/>
      <c r="Q29" s="774"/>
      <c r="R29" s="774"/>
      <c r="S29" s="774"/>
      <c r="T29" s="774"/>
      <c r="U29" s="774"/>
      <c r="X29" s="12"/>
      <c r="Y29" s="1" t="s">
        <v>279</v>
      </c>
      <c r="Z29" s="1645" t="s">
        <v>166</v>
      </c>
      <c r="AA29" s="1645"/>
      <c r="AC29" s="763" t="s">
        <v>116</v>
      </c>
      <c r="AD29" s="760" t="s">
        <v>441</v>
      </c>
      <c r="AE29" s="771" t="s">
        <v>116</v>
      </c>
      <c r="AF29" s="588"/>
    </row>
    <row r="30" spans="2:32" s="1" customFormat="1" ht="26.25" customHeight="1" x14ac:dyDescent="0.2">
      <c r="B30" s="582"/>
      <c r="C30" s="570"/>
      <c r="D30" s="21"/>
      <c r="E30" s="21"/>
      <c r="F30" s="21"/>
      <c r="G30" s="21"/>
      <c r="H30" s="571"/>
      <c r="J30" s="773"/>
      <c r="K30" s="774"/>
      <c r="L30" s="774"/>
      <c r="M30" s="774"/>
      <c r="N30" s="774"/>
      <c r="O30" s="774"/>
      <c r="P30" s="774"/>
      <c r="Q30" s="774"/>
      <c r="R30" s="774"/>
      <c r="S30" s="774"/>
      <c r="T30" s="774"/>
      <c r="U30" s="1699" t="s">
        <v>323</v>
      </c>
      <c r="V30" s="1699"/>
      <c r="W30" s="1699"/>
      <c r="X30" s="1699"/>
      <c r="Y30" s="1699"/>
      <c r="Z30" s="1699"/>
      <c r="AA30" s="1699"/>
      <c r="AB30" s="1700"/>
      <c r="AC30" s="579"/>
      <c r="AD30" s="2"/>
      <c r="AE30" s="583"/>
      <c r="AF30" s="588"/>
    </row>
    <row r="31" spans="2:32" s="1" customFormat="1" ht="10.5" customHeight="1" x14ac:dyDescent="0.2">
      <c r="B31" s="582"/>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88"/>
    </row>
    <row r="32" spans="2:32" s="1" customFormat="1" ht="27" customHeight="1" x14ac:dyDescent="0.2">
      <c r="B32" s="582"/>
      <c r="C32" s="1462" t="s">
        <v>324</v>
      </c>
      <c r="D32" s="1463"/>
      <c r="E32" s="1463"/>
      <c r="F32" s="1463"/>
      <c r="G32" s="1463"/>
      <c r="H32" s="1466"/>
      <c r="J32" s="767" t="s">
        <v>103</v>
      </c>
      <c r="K32" s="1695" t="s">
        <v>325</v>
      </c>
      <c r="L32" s="1696"/>
      <c r="M32" s="1696"/>
      <c r="N32" s="1696"/>
      <c r="O32" s="1696"/>
      <c r="P32" s="1696"/>
      <c r="Q32" s="1696"/>
      <c r="R32" s="1696"/>
      <c r="S32" s="1696"/>
      <c r="T32" s="1696"/>
      <c r="U32" s="1697"/>
      <c r="V32" s="1338"/>
      <c r="W32" s="1339"/>
      <c r="X32" s="575" t="s">
        <v>167</v>
      </c>
      <c r="Y32" s="12"/>
      <c r="Z32" s="12"/>
      <c r="AA32" s="12"/>
      <c r="AC32" s="579"/>
      <c r="AD32" s="2"/>
      <c r="AE32" s="583"/>
      <c r="AF32" s="588"/>
    </row>
    <row r="33" spans="2:32" s="1" customFormat="1" ht="27" customHeight="1" x14ac:dyDescent="0.2">
      <c r="B33" s="582"/>
      <c r="C33" s="1462"/>
      <c r="D33" s="1463"/>
      <c r="E33" s="1463"/>
      <c r="F33" s="1463"/>
      <c r="G33" s="1463"/>
      <c r="H33" s="1466"/>
      <c r="J33" s="767" t="s">
        <v>104</v>
      </c>
      <c r="K33" s="1695" t="s">
        <v>326</v>
      </c>
      <c r="L33" s="1696"/>
      <c r="M33" s="1696"/>
      <c r="N33" s="1696"/>
      <c r="O33" s="1696"/>
      <c r="P33" s="1696"/>
      <c r="Q33" s="1696"/>
      <c r="R33" s="1696"/>
      <c r="S33" s="1696"/>
      <c r="T33" s="1696"/>
      <c r="U33" s="1697"/>
      <c r="V33" s="1338"/>
      <c r="W33" s="1339"/>
      <c r="X33" s="575" t="s">
        <v>167</v>
      </c>
      <c r="Y33" s="12"/>
      <c r="Z33" s="12"/>
      <c r="AA33" s="12"/>
      <c r="AC33" s="768" t="s">
        <v>1117</v>
      </c>
      <c r="AD33" s="769" t="s">
        <v>441</v>
      </c>
      <c r="AE33" s="770" t="s">
        <v>721</v>
      </c>
      <c r="AF33" s="588"/>
    </row>
    <row r="34" spans="2:32" s="1" customFormat="1" ht="27" customHeight="1" x14ac:dyDescent="0.2">
      <c r="B34" s="582"/>
      <c r="C34" s="570"/>
      <c r="D34" s="21"/>
      <c r="E34" s="21"/>
      <c r="F34" s="21"/>
      <c r="G34" s="21"/>
      <c r="H34" s="571"/>
      <c r="J34" s="767" t="s">
        <v>120</v>
      </c>
      <c r="K34" s="1695" t="s">
        <v>285</v>
      </c>
      <c r="L34" s="1696"/>
      <c r="M34" s="1696"/>
      <c r="N34" s="1696"/>
      <c r="O34" s="1696"/>
      <c r="P34" s="1696"/>
      <c r="Q34" s="1696"/>
      <c r="R34" s="1696"/>
      <c r="S34" s="1696"/>
      <c r="T34" s="1696"/>
      <c r="U34" s="1697"/>
      <c r="V34" s="1338"/>
      <c r="W34" s="1339"/>
      <c r="X34" s="575" t="s">
        <v>60</v>
      </c>
      <c r="Y34" s="1" t="s">
        <v>279</v>
      </c>
      <c r="Z34" s="1645" t="s">
        <v>165</v>
      </c>
      <c r="AA34" s="1645"/>
      <c r="AC34" s="763" t="s">
        <v>116</v>
      </c>
      <c r="AD34" s="760" t="s">
        <v>441</v>
      </c>
      <c r="AE34" s="771" t="s">
        <v>116</v>
      </c>
      <c r="AF34" s="588"/>
    </row>
    <row r="35" spans="2:32" s="1" customFormat="1" ht="18.75" customHeight="1" x14ac:dyDescent="0.2">
      <c r="B35" s="582"/>
      <c r="C35" s="570"/>
      <c r="D35" s="21"/>
      <c r="E35" s="21"/>
      <c r="F35" s="21"/>
      <c r="G35" s="21"/>
      <c r="H35" s="571"/>
      <c r="J35" s="773"/>
      <c r="K35" s="774"/>
      <c r="L35" s="774"/>
      <c r="M35" s="774"/>
      <c r="N35" s="774"/>
      <c r="O35" s="774"/>
      <c r="P35" s="774"/>
      <c r="Q35" s="774"/>
      <c r="R35" s="774"/>
      <c r="S35" s="774"/>
      <c r="T35" s="774"/>
      <c r="U35" s="774"/>
      <c r="X35" s="1702" t="s">
        <v>322</v>
      </c>
      <c r="Y35" s="1702"/>
      <c r="Z35" s="1702"/>
      <c r="AA35" s="1702"/>
      <c r="AB35" s="1703"/>
      <c r="AC35" s="576"/>
      <c r="AD35" s="12"/>
      <c r="AE35" s="580"/>
      <c r="AF35" s="588"/>
    </row>
    <row r="36" spans="2:32" s="1" customFormat="1" ht="22.5" customHeight="1" x14ac:dyDescent="0.2">
      <c r="B36" s="582"/>
      <c r="C36" s="570"/>
      <c r="D36" s="21"/>
      <c r="E36" s="21"/>
      <c r="F36" s="21"/>
      <c r="G36" s="21"/>
      <c r="H36" s="571"/>
      <c r="J36" s="773"/>
      <c r="K36" s="774"/>
      <c r="L36" s="774"/>
      <c r="M36" s="774"/>
      <c r="N36" s="774"/>
      <c r="O36" s="774"/>
      <c r="P36" s="774"/>
      <c r="Q36" s="774"/>
      <c r="R36" s="774"/>
      <c r="S36" s="774"/>
      <c r="T36" s="774"/>
      <c r="U36" s="774"/>
      <c r="X36" s="12"/>
      <c r="Y36" s="1" t="s">
        <v>279</v>
      </c>
      <c r="Z36" s="1645" t="s">
        <v>327</v>
      </c>
      <c r="AA36" s="1645"/>
      <c r="AC36" s="763" t="s">
        <v>116</v>
      </c>
      <c r="AD36" s="760" t="s">
        <v>441</v>
      </c>
      <c r="AE36" s="771" t="s">
        <v>116</v>
      </c>
      <c r="AF36" s="588"/>
    </row>
    <row r="37" spans="2:32" s="1" customFormat="1" ht="26.25" customHeight="1" x14ac:dyDescent="0.2">
      <c r="B37" s="582"/>
      <c r="C37" s="570"/>
      <c r="D37" s="21"/>
      <c r="E37" s="21"/>
      <c r="F37" s="21"/>
      <c r="G37" s="21"/>
      <c r="H37" s="21"/>
      <c r="I37" s="582"/>
      <c r="J37" s="773"/>
      <c r="K37" s="774"/>
      <c r="L37" s="774"/>
      <c r="M37" s="774"/>
      <c r="N37" s="774"/>
      <c r="O37" s="774"/>
      <c r="P37" s="774"/>
      <c r="Q37" s="774"/>
      <c r="R37" s="774"/>
      <c r="S37" s="774"/>
      <c r="T37" s="774"/>
      <c r="U37" s="774"/>
      <c r="X37" s="1702" t="s">
        <v>323</v>
      </c>
      <c r="Y37" s="1702"/>
      <c r="Z37" s="1702"/>
      <c r="AA37" s="1702"/>
      <c r="AB37" s="1703"/>
      <c r="AC37" s="563"/>
      <c r="AD37" s="564"/>
      <c r="AE37" s="565"/>
      <c r="AF37" s="588"/>
    </row>
    <row r="38" spans="2:32" s="779" customFormat="1" ht="27" customHeight="1" x14ac:dyDescent="0.2">
      <c r="B38" s="775"/>
      <c r="C38" s="776"/>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68" t="s">
        <v>1117</v>
      </c>
      <c r="AD38" s="769" t="s">
        <v>441</v>
      </c>
      <c r="AE38" s="770" t="s">
        <v>721</v>
      </c>
      <c r="AF38" s="778"/>
    </row>
    <row r="39" spans="2:32" s="1" customFormat="1" ht="27" customHeight="1" x14ac:dyDescent="0.2">
      <c r="B39" s="582"/>
      <c r="C39" s="1462" t="s">
        <v>328</v>
      </c>
      <c r="D39" s="1463"/>
      <c r="E39" s="1463"/>
      <c r="F39" s="1463"/>
      <c r="G39" s="1463"/>
      <c r="H39" s="1463"/>
      <c r="I39" s="1463"/>
      <c r="J39" s="1463"/>
      <c r="K39" s="1463"/>
      <c r="L39" s="1463"/>
      <c r="M39" s="1463"/>
      <c r="N39" s="1463"/>
      <c r="O39" s="1463"/>
      <c r="P39" s="1463"/>
      <c r="Q39" s="1463"/>
      <c r="R39" s="1463"/>
      <c r="S39" s="1463"/>
      <c r="T39" s="1463"/>
      <c r="U39" s="1463"/>
      <c r="V39" s="1463"/>
      <c r="W39" s="1463"/>
      <c r="X39" s="1463"/>
      <c r="Y39" s="1463"/>
      <c r="Z39" s="1463"/>
      <c r="AA39" s="1463"/>
      <c r="AC39" s="763" t="s">
        <v>116</v>
      </c>
      <c r="AD39" s="760" t="s">
        <v>441</v>
      </c>
      <c r="AE39" s="771" t="s">
        <v>116</v>
      </c>
      <c r="AF39" s="588"/>
    </row>
    <row r="40" spans="2:32" s="1" customFormat="1" ht="6.75" customHeight="1" x14ac:dyDescent="0.2">
      <c r="B40" s="582"/>
      <c r="C40" s="591"/>
      <c r="D40" s="8"/>
      <c r="E40" s="8"/>
      <c r="F40" s="8"/>
      <c r="G40" s="8"/>
      <c r="H40" s="8"/>
      <c r="I40" s="8"/>
      <c r="J40" s="8"/>
      <c r="K40" s="8"/>
      <c r="L40" s="8"/>
      <c r="M40" s="8"/>
      <c r="N40" s="8"/>
      <c r="O40" s="8"/>
      <c r="P40" s="8"/>
      <c r="Q40" s="8"/>
      <c r="R40" s="8"/>
      <c r="S40" s="8"/>
      <c r="T40" s="8"/>
      <c r="U40" s="8"/>
      <c r="V40" s="8"/>
      <c r="W40" s="8"/>
      <c r="X40" s="8"/>
      <c r="Y40" s="8"/>
      <c r="Z40" s="8"/>
      <c r="AA40" s="8"/>
      <c r="AB40" s="8"/>
      <c r="AC40" s="591"/>
      <c r="AD40" s="8"/>
      <c r="AE40" s="593"/>
      <c r="AF40" s="588"/>
    </row>
    <row r="41" spans="2:32" s="1" customFormat="1" ht="27" customHeight="1" x14ac:dyDescent="0.2">
      <c r="B41" s="582"/>
      <c r="C41" s="6"/>
      <c r="D41" s="7"/>
      <c r="E41" s="7"/>
      <c r="F41" s="7"/>
      <c r="G41" s="7"/>
      <c r="H41" s="7"/>
      <c r="I41" s="7"/>
      <c r="J41" s="7"/>
      <c r="K41" s="7"/>
      <c r="L41" s="7"/>
      <c r="M41" s="7"/>
      <c r="N41" s="7"/>
      <c r="O41" s="7"/>
      <c r="P41" s="7"/>
      <c r="Q41" s="7"/>
      <c r="R41" s="7"/>
      <c r="S41" s="7"/>
      <c r="T41" s="7"/>
      <c r="U41" s="7"/>
      <c r="V41" s="7"/>
      <c r="W41" s="7"/>
      <c r="X41" s="7"/>
      <c r="Y41" s="7"/>
      <c r="Z41" s="7"/>
      <c r="AA41" s="7"/>
      <c r="AB41" s="7"/>
      <c r="AC41" s="768" t="s">
        <v>1117</v>
      </c>
      <c r="AD41" s="769" t="s">
        <v>441</v>
      </c>
      <c r="AE41" s="770" t="s">
        <v>721</v>
      </c>
      <c r="AF41" s="588"/>
    </row>
    <row r="42" spans="2:32" s="1" customFormat="1" ht="27" customHeight="1" x14ac:dyDescent="0.2">
      <c r="B42" s="582"/>
      <c r="C42" s="1462" t="s">
        <v>329</v>
      </c>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C42" s="763" t="s">
        <v>116</v>
      </c>
      <c r="AD42" s="760" t="s">
        <v>441</v>
      </c>
      <c r="AE42" s="771" t="s">
        <v>116</v>
      </c>
      <c r="AF42" s="588"/>
    </row>
    <row r="43" spans="2:32" s="1" customFormat="1" ht="27" customHeight="1" x14ac:dyDescent="0.2">
      <c r="B43" s="582"/>
      <c r="C43" s="1462" t="s">
        <v>330</v>
      </c>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C43" s="576"/>
      <c r="AD43" s="12"/>
      <c r="AE43" s="580"/>
      <c r="AF43" s="588"/>
    </row>
    <row r="44" spans="2:32" s="1" customFormat="1" ht="6.75" customHeight="1" x14ac:dyDescent="0.2">
      <c r="B44" s="582"/>
      <c r="C44" s="591"/>
      <c r="D44" s="8"/>
      <c r="E44" s="8"/>
      <c r="F44" s="8"/>
      <c r="G44" s="8"/>
      <c r="H44" s="8"/>
      <c r="I44" s="8"/>
      <c r="J44" s="8"/>
      <c r="K44" s="8"/>
      <c r="L44" s="8"/>
      <c r="M44" s="8"/>
      <c r="N44" s="8"/>
      <c r="O44" s="8"/>
      <c r="P44" s="8"/>
      <c r="Q44" s="8"/>
      <c r="R44" s="8"/>
      <c r="S44" s="8"/>
      <c r="T44" s="8"/>
      <c r="U44" s="8"/>
      <c r="V44" s="8"/>
      <c r="W44" s="8"/>
      <c r="X44" s="8"/>
      <c r="Y44" s="8"/>
      <c r="Z44" s="8"/>
      <c r="AA44" s="8"/>
      <c r="AB44" s="8"/>
      <c r="AC44" s="591"/>
      <c r="AD44" s="8"/>
      <c r="AE44" s="593"/>
      <c r="AF44" s="588"/>
    </row>
    <row r="45" spans="2:32" s="1" customFormat="1" ht="10.5" customHeight="1" x14ac:dyDescent="0.2">
      <c r="B45" s="591"/>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593"/>
    </row>
    <row r="46" spans="2:32" s="1" customFormat="1" ht="10.5" customHeight="1" x14ac:dyDescent="0.2"/>
    <row r="47" spans="2:32" s="780" customFormat="1" ht="33.75" customHeight="1" x14ac:dyDescent="0.15">
      <c r="C47" s="1463" t="s">
        <v>331</v>
      </c>
      <c r="D47" s="1463"/>
      <c r="E47" s="1463"/>
      <c r="F47" s="1463"/>
      <c r="G47" s="1463"/>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row>
    <row r="48" spans="2:32" s="780" customFormat="1" ht="33.75" customHeight="1" x14ac:dyDescent="0.15">
      <c r="C48" s="1463" t="s">
        <v>332</v>
      </c>
      <c r="D48" s="1463"/>
      <c r="E48" s="1463"/>
      <c r="F48" s="1463"/>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row>
    <row r="49" spans="3:31" s="1" customFormat="1" ht="18" customHeight="1" x14ac:dyDescent="0.2">
      <c r="C49" s="1329" t="s">
        <v>333</v>
      </c>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row>
    <row r="50" spans="3:31" s="1" customFormat="1" ht="18" customHeight="1" x14ac:dyDescent="0.2">
      <c r="C50" s="1329" t="s">
        <v>334</v>
      </c>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row>
    <row r="51" spans="3:31" s="780" customFormat="1" ht="54.75" customHeight="1" x14ac:dyDescent="0.15">
      <c r="C51" s="1463" t="s">
        <v>863</v>
      </c>
      <c r="D51" s="1463"/>
      <c r="E51" s="1463"/>
      <c r="F51" s="1463"/>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row>
    <row r="52" spans="3:31" s="780" customFormat="1" ht="42.75" customHeight="1" x14ac:dyDescent="0.15">
      <c r="C52" s="1463" t="s">
        <v>864</v>
      </c>
      <c r="D52" s="1463"/>
      <c r="E52" s="1463"/>
      <c r="F52" s="1463"/>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row>
    <row r="53" spans="3:31" s="780" customFormat="1" ht="18" customHeight="1" x14ac:dyDescent="0.15">
      <c r="C53" s="1329" t="s">
        <v>335</v>
      </c>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row>
    <row r="54" spans="3:31" s="780" customFormat="1" ht="29.25" customHeight="1" x14ac:dyDescent="0.15">
      <c r="C54" s="1463" t="s">
        <v>169</v>
      </c>
      <c r="D54" s="1463"/>
      <c r="E54" s="1463"/>
      <c r="F54" s="1463"/>
      <c r="G54" s="1463"/>
      <c r="H54" s="1463"/>
      <c r="I54" s="1463"/>
      <c r="J54" s="1463"/>
      <c r="K54" s="1463"/>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printOptions horizontalCentered="1"/>
  <pageMargins left="0.70866141732283472" right="0.39370078740157483" top="0.51181102362204722" bottom="0.35433070866141736" header="0.31496062992125984" footer="0.31496062992125984"/>
  <pageSetup paperSize="9" scale="6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CD36C8-3977-43E1-925B-AF844B6E1D86}">
          <x14:formula1>
            <xm:f>"□,■"</xm:f>
          </x14:formula1>
          <xm:sqref>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AE29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WMQ29 WWM29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AE42 KA42 TW42 ADS42 ANO42 AXK42 BHG42 BRC42 CAY42 CKU42 CUQ42 DEM42 DOI42 DYE42 EIA42 ERW42 FBS42 FLO42 FVK42 GFG42 GPC42 GYY42 HIU42 HSQ42 ICM42 IMI42 IWE42 JGA42 JPW42 JZS42 KJO42 KTK42 LDG42 LNC42 LWY42 MGU42 MQQ42 NAM42 NKI42 NUE42 OEA42 ONW42 OXS42 PHO42 PRK42 QBG42 QLC42 QUY42 REU42 ROQ42 RYM42 SII42 SSE42 TCA42 TLW42 TVS42 UFO42 UPK42 UZG42 VJC42 VSY42 WCU42 WMQ42 WWM42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3F0B1-C62C-4B80-866E-E90866350A3C}">
  <sheetPr>
    <tabColor rgb="FFFFFF00"/>
    <pageSetUpPr fitToPage="1"/>
  </sheetPr>
  <dimension ref="A1:AF46"/>
  <sheetViews>
    <sheetView view="pageBreakPreview" zoomScale="70" zoomScaleNormal="100" zoomScaleSheetLayoutView="70" workbookViewId="0"/>
  </sheetViews>
  <sheetFormatPr defaultColWidth="3.44140625" defaultRowHeight="13.2" x14ac:dyDescent="0.2"/>
  <cols>
    <col min="1" max="1" width="1.44140625" style="3" customWidth="1"/>
    <col min="2" max="2" width="2.44140625" style="3" customWidth="1"/>
    <col min="3" max="3" width="3" style="598" customWidth="1"/>
    <col min="4" max="5" width="4.88671875" style="3" customWidth="1"/>
    <col min="6" max="24" width="4.77734375" style="3" customWidth="1"/>
    <col min="25" max="31" width="4.88671875" style="3" customWidth="1"/>
    <col min="32" max="32" width="2.21875" style="3" customWidth="1"/>
    <col min="33" max="33" width="1.44140625" style="3" customWidth="1"/>
    <col min="34" max="256" width="3.44140625" style="3"/>
    <col min="257" max="257" width="1.44140625" style="3" customWidth="1"/>
    <col min="258" max="258" width="2.44140625" style="3" customWidth="1"/>
    <col min="259" max="259" width="3" style="3" customWidth="1"/>
    <col min="260" max="261" width="4.88671875" style="3" customWidth="1"/>
    <col min="262" max="280" width="4.77734375" style="3" customWidth="1"/>
    <col min="281" max="287" width="4.88671875" style="3" customWidth="1"/>
    <col min="288" max="288" width="2.21875" style="3" customWidth="1"/>
    <col min="289" max="289" width="1.44140625" style="3" customWidth="1"/>
    <col min="290" max="512" width="3.44140625" style="3"/>
    <col min="513" max="513" width="1.44140625" style="3" customWidth="1"/>
    <col min="514" max="514" width="2.44140625" style="3" customWidth="1"/>
    <col min="515" max="515" width="3" style="3" customWidth="1"/>
    <col min="516" max="517" width="4.88671875" style="3" customWidth="1"/>
    <col min="518" max="536" width="4.77734375" style="3" customWidth="1"/>
    <col min="537" max="543" width="4.88671875" style="3" customWidth="1"/>
    <col min="544" max="544" width="2.21875" style="3" customWidth="1"/>
    <col min="545" max="545" width="1.44140625" style="3" customWidth="1"/>
    <col min="546" max="768" width="3.44140625" style="3"/>
    <col min="769" max="769" width="1.44140625" style="3" customWidth="1"/>
    <col min="770" max="770" width="2.44140625" style="3" customWidth="1"/>
    <col min="771" max="771" width="3" style="3" customWidth="1"/>
    <col min="772" max="773" width="4.88671875" style="3" customWidth="1"/>
    <col min="774" max="792" width="4.77734375" style="3" customWidth="1"/>
    <col min="793" max="799" width="4.88671875" style="3" customWidth="1"/>
    <col min="800" max="800" width="2.21875" style="3" customWidth="1"/>
    <col min="801" max="801" width="1.44140625" style="3" customWidth="1"/>
    <col min="802" max="1024" width="3.44140625" style="3"/>
    <col min="1025" max="1025" width="1.44140625" style="3" customWidth="1"/>
    <col min="1026" max="1026" width="2.44140625" style="3" customWidth="1"/>
    <col min="1027" max="1027" width="3" style="3" customWidth="1"/>
    <col min="1028" max="1029" width="4.88671875" style="3" customWidth="1"/>
    <col min="1030" max="1048" width="4.77734375" style="3" customWidth="1"/>
    <col min="1049" max="1055" width="4.88671875" style="3" customWidth="1"/>
    <col min="1056" max="1056" width="2.21875" style="3" customWidth="1"/>
    <col min="1057" max="1057" width="1.44140625" style="3" customWidth="1"/>
    <col min="1058" max="1280" width="3.44140625" style="3"/>
    <col min="1281" max="1281" width="1.44140625" style="3" customWidth="1"/>
    <col min="1282" max="1282" width="2.44140625" style="3" customWidth="1"/>
    <col min="1283" max="1283" width="3" style="3" customWidth="1"/>
    <col min="1284" max="1285" width="4.88671875" style="3" customWidth="1"/>
    <col min="1286" max="1304" width="4.77734375" style="3" customWidth="1"/>
    <col min="1305" max="1311" width="4.88671875" style="3" customWidth="1"/>
    <col min="1312" max="1312" width="2.21875" style="3" customWidth="1"/>
    <col min="1313" max="1313" width="1.44140625" style="3" customWidth="1"/>
    <col min="1314" max="1536" width="3.44140625" style="3"/>
    <col min="1537" max="1537" width="1.44140625" style="3" customWidth="1"/>
    <col min="1538" max="1538" width="2.44140625" style="3" customWidth="1"/>
    <col min="1539" max="1539" width="3" style="3" customWidth="1"/>
    <col min="1540" max="1541" width="4.88671875" style="3" customWidth="1"/>
    <col min="1542" max="1560" width="4.77734375" style="3" customWidth="1"/>
    <col min="1561" max="1567" width="4.88671875" style="3" customWidth="1"/>
    <col min="1568" max="1568" width="2.21875" style="3" customWidth="1"/>
    <col min="1569" max="1569" width="1.44140625" style="3" customWidth="1"/>
    <col min="1570" max="1792" width="3.44140625" style="3"/>
    <col min="1793" max="1793" width="1.44140625" style="3" customWidth="1"/>
    <col min="1794" max="1794" width="2.44140625" style="3" customWidth="1"/>
    <col min="1795" max="1795" width="3" style="3" customWidth="1"/>
    <col min="1796" max="1797" width="4.88671875" style="3" customWidth="1"/>
    <col min="1798" max="1816" width="4.77734375" style="3" customWidth="1"/>
    <col min="1817" max="1823" width="4.88671875" style="3" customWidth="1"/>
    <col min="1824" max="1824" width="2.21875" style="3" customWidth="1"/>
    <col min="1825" max="1825" width="1.44140625" style="3" customWidth="1"/>
    <col min="1826" max="2048" width="3.44140625" style="3"/>
    <col min="2049" max="2049" width="1.44140625" style="3" customWidth="1"/>
    <col min="2050" max="2050" width="2.44140625" style="3" customWidth="1"/>
    <col min="2051" max="2051" width="3" style="3" customWidth="1"/>
    <col min="2052" max="2053" width="4.88671875" style="3" customWidth="1"/>
    <col min="2054" max="2072" width="4.77734375" style="3" customWidth="1"/>
    <col min="2073" max="2079" width="4.88671875" style="3" customWidth="1"/>
    <col min="2080" max="2080" width="2.21875" style="3" customWidth="1"/>
    <col min="2081" max="2081" width="1.44140625" style="3" customWidth="1"/>
    <col min="2082" max="2304" width="3.44140625" style="3"/>
    <col min="2305" max="2305" width="1.44140625" style="3" customWidth="1"/>
    <col min="2306" max="2306" width="2.44140625" style="3" customWidth="1"/>
    <col min="2307" max="2307" width="3" style="3" customWidth="1"/>
    <col min="2308" max="2309" width="4.88671875" style="3" customWidth="1"/>
    <col min="2310" max="2328" width="4.77734375" style="3" customWidth="1"/>
    <col min="2329" max="2335" width="4.88671875" style="3" customWidth="1"/>
    <col min="2336" max="2336" width="2.21875" style="3" customWidth="1"/>
    <col min="2337" max="2337" width="1.44140625" style="3" customWidth="1"/>
    <col min="2338" max="2560" width="3.44140625" style="3"/>
    <col min="2561" max="2561" width="1.44140625" style="3" customWidth="1"/>
    <col min="2562" max="2562" width="2.44140625" style="3" customWidth="1"/>
    <col min="2563" max="2563" width="3" style="3" customWidth="1"/>
    <col min="2564" max="2565" width="4.88671875" style="3" customWidth="1"/>
    <col min="2566" max="2584" width="4.77734375" style="3" customWidth="1"/>
    <col min="2585" max="2591" width="4.88671875" style="3" customWidth="1"/>
    <col min="2592" max="2592" width="2.21875" style="3" customWidth="1"/>
    <col min="2593" max="2593" width="1.44140625" style="3" customWidth="1"/>
    <col min="2594" max="2816" width="3.44140625" style="3"/>
    <col min="2817" max="2817" width="1.44140625" style="3" customWidth="1"/>
    <col min="2818" max="2818" width="2.44140625" style="3" customWidth="1"/>
    <col min="2819" max="2819" width="3" style="3" customWidth="1"/>
    <col min="2820" max="2821" width="4.88671875" style="3" customWidth="1"/>
    <col min="2822" max="2840" width="4.77734375" style="3" customWidth="1"/>
    <col min="2841" max="2847" width="4.88671875" style="3" customWidth="1"/>
    <col min="2848" max="2848" width="2.21875" style="3" customWidth="1"/>
    <col min="2849" max="2849" width="1.44140625" style="3" customWidth="1"/>
    <col min="2850" max="3072" width="3.44140625" style="3"/>
    <col min="3073" max="3073" width="1.44140625" style="3" customWidth="1"/>
    <col min="3074" max="3074" width="2.44140625" style="3" customWidth="1"/>
    <col min="3075" max="3075" width="3" style="3" customWidth="1"/>
    <col min="3076" max="3077" width="4.88671875" style="3" customWidth="1"/>
    <col min="3078" max="3096" width="4.77734375" style="3" customWidth="1"/>
    <col min="3097" max="3103" width="4.88671875" style="3" customWidth="1"/>
    <col min="3104" max="3104" width="2.21875" style="3" customWidth="1"/>
    <col min="3105" max="3105" width="1.44140625" style="3" customWidth="1"/>
    <col min="3106" max="3328" width="3.44140625" style="3"/>
    <col min="3329" max="3329" width="1.44140625" style="3" customWidth="1"/>
    <col min="3330" max="3330" width="2.44140625" style="3" customWidth="1"/>
    <col min="3331" max="3331" width="3" style="3" customWidth="1"/>
    <col min="3332" max="3333" width="4.88671875" style="3" customWidth="1"/>
    <col min="3334" max="3352" width="4.77734375" style="3" customWidth="1"/>
    <col min="3353" max="3359" width="4.88671875" style="3" customWidth="1"/>
    <col min="3360" max="3360" width="2.21875" style="3" customWidth="1"/>
    <col min="3361" max="3361" width="1.44140625" style="3" customWidth="1"/>
    <col min="3362" max="3584" width="3.44140625" style="3"/>
    <col min="3585" max="3585" width="1.44140625" style="3" customWidth="1"/>
    <col min="3586" max="3586" width="2.44140625" style="3" customWidth="1"/>
    <col min="3587" max="3587" width="3" style="3" customWidth="1"/>
    <col min="3588" max="3589" width="4.88671875" style="3" customWidth="1"/>
    <col min="3590" max="3608" width="4.77734375" style="3" customWidth="1"/>
    <col min="3609" max="3615" width="4.88671875" style="3" customWidth="1"/>
    <col min="3616" max="3616" width="2.21875" style="3" customWidth="1"/>
    <col min="3617" max="3617" width="1.44140625" style="3" customWidth="1"/>
    <col min="3618" max="3840" width="3.44140625" style="3"/>
    <col min="3841" max="3841" width="1.44140625" style="3" customWidth="1"/>
    <col min="3842" max="3842" width="2.44140625" style="3" customWidth="1"/>
    <col min="3843" max="3843" width="3" style="3" customWidth="1"/>
    <col min="3844" max="3845" width="4.88671875" style="3" customWidth="1"/>
    <col min="3846" max="3864" width="4.77734375" style="3" customWidth="1"/>
    <col min="3865" max="3871" width="4.88671875" style="3" customWidth="1"/>
    <col min="3872" max="3872" width="2.21875" style="3" customWidth="1"/>
    <col min="3873" max="3873" width="1.44140625" style="3" customWidth="1"/>
    <col min="3874" max="4096" width="3.44140625" style="3"/>
    <col min="4097" max="4097" width="1.44140625" style="3" customWidth="1"/>
    <col min="4098" max="4098" width="2.44140625" style="3" customWidth="1"/>
    <col min="4099" max="4099" width="3" style="3" customWidth="1"/>
    <col min="4100" max="4101" width="4.88671875" style="3" customWidth="1"/>
    <col min="4102" max="4120" width="4.77734375" style="3" customWidth="1"/>
    <col min="4121" max="4127" width="4.88671875" style="3" customWidth="1"/>
    <col min="4128" max="4128" width="2.21875" style="3" customWidth="1"/>
    <col min="4129" max="4129" width="1.44140625" style="3" customWidth="1"/>
    <col min="4130" max="4352" width="3.44140625" style="3"/>
    <col min="4353" max="4353" width="1.44140625" style="3" customWidth="1"/>
    <col min="4354" max="4354" width="2.44140625" style="3" customWidth="1"/>
    <col min="4355" max="4355" width="3" style="3" customWidth="1"/>
    <col min="4356" max="4357" width="4.88671875" style="3" customWidth="1"/>
    <col min="4358" max="4376" width="4.77734375" style="3" customWidth="1"/>
    <col min="4377" max="4383" width="4.88671875" style="3" customWidth="1"/>
    <col min="4384" max="4384" width="2.21875" style="3" customWidth="1"/>
    <col min="4385" max="4385" width="1.44140625" style="3" customWidth="1"/>
    <col min="4386" max="4608" width="3.44140625" style="3"/>
    <col min="4609" max="4609" width="1.44140625" style="3" customWidth="1"/>
    <col min="4610" max="4610" width="2.44140625" style="3" customWidth="1"/>
    <col min="4611" max="4611" width="3" style="3" customWidth="1"/>
    <col min="4612" max="4613" width="4.88671875" style="3" customWidth="1"/>
    <col min="4614" max="4632" width="4.77734375" style="3" customWidth="1"/>
    <col min="4633" max="4639" width="4.88671875" style="3" customWidth="1"/>
    <col min="4640" max="4640" width="2.21875" style="3" customWidth="1"/>
    <col min="4641" max="4641" width="1.44140625" style="3" customWidth="1"/>
    <col min="4642" max="4864" width="3.44140625" style="3"/>
    <col min="4865" max="4865" width="1.44140625" style="3" customWidth="1"/>
    <col min="4866" max="4866" width="2.44140625" style="3" customWidth="1"/>
    <col min="4867" max="4867" width="3" style="3" customWidth="1"/>
    <col min="4868" max="4869" width="4.88671875" style="3" customWidth="1"/>
    <col min="4870" max="4888" width="4.77734375" style="3" customWidth="1"/>
    <col min="4889" max="4895" width="4.88671875" style="3" customWidth="1"/>
    <col min="4896" max="4896" width="2.21875" style="3" customWidth="1"/>
    <col min="4897" max="4897" width="1.44140625" style="3" customWidth="1"/>
    <col min="4898" max="5120" width="3.44140625" style="3"/>
    <col min="5121" max="5121" width="1.44140625" style="3" customWidth="1"/>
    <col min="5122" max="5122" width="2.44140625" style="3" customWidth="1"/>
    <col min="5123" max="5123" width="3" style="3" customWidth="1"/>
    <col min="5124" max="5125" width="4.88671875" style="3" customWidth="1"/>
    <col min="5126" max="5144" width="4.77734375" style="3" customWidth="1"/>
    <col min="5145" max="5151" width="4.88671875" style="3" customWidth="1"/>
    <col min="5152" max="5152" width="2.21875" style="3" customWidth="1"/>
    <col min="5153" max="5153" width="1.44140625" style="3" customWidth="1"/>
    <col min="5154" max="5376" width="3.44140625" style="3"/>
    <col min="5377" max="5377" width="1.44140625" style="3" customWidth="1"/>
    <col min="5378" max="5378" width="2.44140625" style="3" customWidth="1"/>
    <col min="5379" max="5379" width="3" style="3" customWidth="1"/>
    <col min="5380" max="5381" width="4.88671875" style="3" customWidth="1"/>
    <col min="5382" max="5400" width="4.77734375" style="3" customWidth="1"/>
    <col min="5401" max="5407" width="4.88671875" style="3" customWidth="1"/>
    <col min="5408" max="5408" width="2.21875" style="3" customWidth="1"/>
    <col min="5409" max="5409" width="1.44140625" style="3" customWidth="1"/>
    <col min="5410" max="5632" width="3.44140625" style="3"/>
    <col min="5633" max="5633" width="1.44140625" style="3" customWidth="1"/>
    <col min="5634" max="5634" width="2.44140625" style="3" customWidth="1"/>
    <col min="5635" max="5635" width="3" style="3" customWidth="1"/>
    <col min="5636" max="5637" width="4.88671875" style="3" customWidth="1"/>
    <col min="5638" max="5656" width="4.77734375" style="3" customWidth="1"/>
    <col min="5657" max="5663" width="4.88671875" style="3" customWidth="1"/>
    <col min="5664" max="5664" width="2.21875" style="3" customWidth="1"/>
    <col min="5665" max="5665" width="1.44140625" style="3" customWidth="1"/>
    <col min="5666" max="5888" width="3.44140625" style="3"/>
    <col min="5889" max="5889" width="1.44140625" style="3" customWidth="1"/>
    <col min="5890" max="5890" width="2.44140625" style="3" customWidth="1"/>
    <col min="5891" max="5891" width="3" style="3" customWidth="1"/>
    <col min="5892" max="5893" width="4.88671875" style="3" customWidth="1"/>
    <col min="5894" max="5912" width="4.77734375" style="3" customWidth="1"/>
    <col min="5913" max="5919" width="4.88671875" style="3" customWidth="1"/>
    <col min="5920" max="5920" width="2.21875" style="3" customWidth="1"/>
    <col min="5921" max="5921" width="1.44140625" style="3" customWidth="1"/>
    <col min="5922" max="6144" width="3.44140625" style="3"/>
    <col min="6145" max="6145" width="1.44140625" style="3" customWidth="1"/>
    <col min="6146" max="6146" width="2.44140625" style="3" customWidth="1"/>
    <col min="6147" max="6147" width="3" style="3" customWidth="1"/>
    <col min="6148" max="6149" width="4.88671875" style="3" customWidth="1"/>
    <col min="6150" max="6168" width="4.77734375" style="3" customWidth="1"/>
    <col min="6169" max="6175" width="4.88671875" style="3" customWidth="1"/>
    <col min="6176" max="6176" width="2.21875" style="3" customWidth="1"/>
    <col min="6177" max="6177" width="1.44140625" style="3" customWidth="1"/>
    <col min="6178" max="6400" width="3.44140625" style="3"/>
    <col min="6401" max="6401" width="1.44140625" style="3" customWidth="1"/>
    <col min="6402" max="6402" width="2.44140625" style="3" customWidth="1"/>
    <col min="6403" max="6403" width="3" style="3" customWidth="1"/>
    <col min="6404" max="6405" width="4.88671875" style="3" customWidth="1"/>
    <col min="6406" max="6424" width="4.77734375" style="3" customWidth="1"/>
    <col min="6425" max="6431" width="4.88671875" style="3" customWidth="1"/>
    <col min="6432" max="6432" width="2.21875" style="3" customWidth="1"/>
    <col min="6433" max="6433" width="1.44140625" style="3" customWidth="1"/>
    <col min="6434" max="6656" width="3.44140625" style="3"/>
    <col min="6657" max="6657" width="1.44140625" style="3" customWidth="1"/>
    <col min="6658" max="6658" width="2.44140625" style="3" customWidth="1"/>
    <col min="6659" max="6659" width="3" style="3" customWidth="1"/>
    <col min="6660" max="6661" width="4.88671875" style="3" customWidth="1"/>
    <col min="6662" max="6680" width="4.77734375" style="3" customWidth="1"/>
    <col min="6681" max="6687" width="4.88671875" style="3" customWidth="1"/>
    <col min="6688" max="6688" width="2.21875" style="3" customWidth="1"/>
    <col min="6689" max="6689" width="1.44140625" style="3" customWidth="1"/>
    <col min="6690" max="6912" width="3.44140625" style="3"/>
    <col min="6913" max="6913" width="1.44140625" style="3" customWidth="1"/>
    <col min="6914" max="6914" width="2.44140625" style="3" customWidth="1"/>
    <col min="6915" max="6915" width="3" style="3" customWidth="1"/>
    <col min="6916" max="6917" width="4.88671875" style="3" customWidth="1"/>
    <col min="6918" max="6936" width="4.77734375" style="3" customWidth="1"/>
    <col min="6937" max="6943" width="4.88671875" style="3" customWidth="1"/>
    <col min="6944" max="6944" width="2.21875" style="3" customWidth="1"/>
    <col min="6945" max="6945" width="1.44140625" style="3" customWidth="1"/>
    <col min="6946" max="7168" width="3.44140625" style="3"/>
    <col min="7169" max="7169" width="1.44140625" style="3" customWidth="1"/>
    <col min="7170" max="7170" width="2.44140625" style="3" customWidth="1"/>
    <col min="7171" max="7171" width="3" style="3" customWidth="1"/>
    <col min="7172" max="7173" width="4.88671875" style="3" customWidth="1"/>
    <col min="7174" max="7192" width="4.77734375" style="3" customWidth="1"/>
    <col min="7193" max="7199" width="4.88671875" style="3" customWidth="1"/>
    <col min="7200" max="7200" width="2.21875" style="3" customWidth="1"/>
    <col min="7201" max="7201" width="1.44140625" style="3" customWidth="1"/>
    <col min="7202" max="7424" width="3.44140625" style="3"/>
    <col min="7425" max="7425" width="1.44140625" style="3" customWidth="1"/>
    <col min="7426" max="7426" width="2.44140625" style="3" customWidth="1"/>
    <col min="7427" max="7427" width="3" style="3" customWidth="1"/>
    <col min="7428" max="7429" width="4.88671875" style="3" customWidth="1"/>
    <col min="7430" max="7448" width="4.77734375" style="3" customWidth="1"/>
    <col min="7449" max="7455" width="4.88671875" style="3" customWidth="1"/>
    <col min="7456" max="7456" width="2.21875" style="3" customWidth="1"/>
    <col min="7457" max="7457" width="1.44140625" style="3" customWidth="1"/>
    <col min="7458" max="7680" width="3.44140625" style="3"/>
    <col min="7681" max="7681" width="1.44140625" style="3" customWidth="1"/>
    <col min="7682" max="7682" width="2.44140625" style="3" customWidth="1"/>
    <col min="7683" max="7683" width="3" style="3" customWidth="1"/>
    <col min="7684" max="7685" width="4.88671875" style="3" customWidth="1"/>
    <col min="7686" max="7704" width="4.77734375" style="3" customWidth="1"/>
    <col min="7705" max="7711" width="4.88671875" style="3" customWidth="1"/>
    <col min="7712" max="7712" width="2.21875" style="3" customWidth="1"/>
    <col min="7713" max="7713" width="1.44140625" style="3" customWidth="1"/>
    <col min="7714" max="7936" width="3.44140625" style="3"/>
    <col min="7937" max="7937" width="1.44140625" style="3" customWidth="1"/>
    <col min="7938" max="7938" width="2.44140625" style="3" customWidth="1"/>
    <col min="7939" max="7939" width="3" style="3" customWidth="1"/>
    <col min="7940" max="7941" width="4.88671875" style="3" customWidth="1"/>
    <col min="7942" max="7960" width="4.77734375" style="3" customWidth="1"/>
    <col min="7961" max="7967" width="4.88671875" style="3" customWidth="1"/>
    <col min="7968" max="7968" width="2.21875" style="3" customWidth="1"/>
    <col min="7969" max="7969" width="1.44140625" style="3" customWidth="1"/>
    <col min="7970" max="8192" width="3.44140625" style="3"/>
    <col min="8193" max="8193" width="1.44140625" style="3" customWidth="1"/>
    <col min="8194" max="8194" width="2.44140625" style="3" customWidth="1"/>
    <col min="8195" max="8195" width="3" style="3" customWidth="1"/>
    <col min="8196" max="8197" width="4.88671875" style="3" customWidth="1"/>
    <col min="8198" max="8216" width="4.77734375" style="3" customWidth="1"/>
    <col min="8217" max="8223" width="4.88671875" style="3" customWidth="1"/>
    <col min="8224" max="8224" width="2.21875" style="3" customWidth="1"/>
    <col min="8225" max="8225" width="1.44140625" style="3" customWidth="1"/>
    <col min="8226" max="8448" width="3.44140625" style="3"/>
    <col min="8449" max="8449" width="1.44140625" style="3" customWidth="1"/>
    <col min="8450" max="8450" width="2.44140625" style="3" customWidth="1"/>
    <col min="8451" max="8451" width="3" style="3" customWidth="1"/>
    <col min="8452" max="8453" width="4.88671875" style="3" customWidth="1"/>
    <col min="8454" max="8472" width="4.77734375" style="3" customWidth="1"/>
    <col min="8473" max="8479" width="4.88671875" style="3" customWidth="1"/>
    <col min="8480" max="8480" width="2.21875" style="3" customWidth="1"/>
    <col min="8481" max="8481" width="1.44140625" style="3" customWidth="1"/>
    <col min="8482" max="8704" width="3.44140625" style="3"/>
    <col min="8705" max="8705" width="1.44140625" style="3" customWidth="1"/>
    <col min="8706" max="8706" width="2.44140625" style="3" customWidth="1"/>
    <col min="8707" max="8707" width="3" style="3" customWidth="1"/>
    <col min="8708" max="8709" width="4.88671875" style="3" customWidth="1"/>
    <col min="8710" max="8728" width="4.77734375" style="3" customWidth="1"/>
    <col min="8729" max="8735" width="4.88671875" style="3" customWidth="1"/>
    <col min="8736" max="8736" width="2.21875" style="3" customWidth="1"/>
    <col min="8737" max="8737" width="1.44140625" style="3" customWidth="1"/>
    <col min="8738" max="8960" width="3.44140625" style="3"/>
    <col min="8961" max="8961" width="1.44140625" style="3" customWidth="1"/>
    <col min="8962" max="8962" width="2.44140625" style="3" customWidth="1"/>
    <col min="8963" max="8963" width="3" style="3" customWidth="1"/>
    <col min="8964" max="8965" width="4.88671875" style="3" customWidth="1"/>
    <col min="8966" max="8984" width="4.77734375" style="3" customWidth="1"/>
    <col min="8985" max="8991" width="4.88671875" style="3" customWidth="1"/>
    <col min="8992" max="8992" width="2.21875" style="3" customWidth="1"/>
    <col min="8993" max="8993" width="1.44140625" style="3" customWidth="1"/>
    <col min="8994" max="9216" width="3.44140625" style="3"/>
    <col min="9217" max="9217" width="1.44140625" style="3" customWidth="1"/>
    <col min="9218" max="9218" width="2.44140625" style="3" customWidth="1"/>
    <col min="9219" max="9219" width="3" style="3" customWidth="1"/>
    <col min="9220" max="9221" width="4.88671875" style="3" customWidth="1"/>
    <col min="9222" max="9240" width="4.77734375" style="3" customWidth="1"/>
    <col min="9241" max="9247" width="4.88671875" style="3" customWidth="1"/>
    <col min="9248" max="9248" width="2.21875" style="3" customWidth="1"/>
    <col min="9249" max="9249" width="1.44140625" style="3" customWidth="1"/>
    <col min="9250" max="9472" width="3.44140625" style="3"/>
    <col min="9473" max="9473" width="1.44140625" style="3" customWidth="1"/>
    <col min="9474" max="9474" width="2.44140625" style="3" customWidth="1"/>
    <col min="9475" max="9475" width="3" style="3" customWidth="1"/>
    <col min="9476" max="9477" width="4.88671875" style="3" customWidth="1"/>
    <col min="9478" max="9496" width="4.77734375" style="3" customWidth="1"/>
    <col min="9497" max="9503" width="4.88671875" style="3" customWidth="1"/>
    <col min="9504" max="9504" width="2.21875" style="3" customWidth="1"/>
    <col min="9505" max="9505" width="1.44140625" style="3" customWidth="1"/>
    <col min="9506" max="9728" width="3.44140625" style="3"/>
    <col min="9729" max="9729" width="1.44140625" style="3" customWidth="1"/>
    <col min="9730" max="9730" width="2.44140625" style="3" customWidth="1"/>
    <col min="9731" max="9731" width="3" style="3" customWidth="1"/>
    <col min="9732" max="9733" width="4.88671875" style="3" customWidth="1"/>
    <col min="9734" max="9752" width="4.77734375" style="3" customWidth="1"/>
    <col min="9753" max="9759" width="4.88671875" style="3" customWidth="1"/>
    <col min="9760" max="9760" width="2.21875" style="3" customWidth="1"/>
    <col min="9761" max="9761" width="1.44140625" style="3" customWidth="1"/>
    <col min="9762" max="9984" width="3.44140625" style="3"/>
    <col min="9985" max="9985" width="1.44140625" style="3" customWidth="1"/>
    <col min="9986" max="9986" width="2.44140625" style="3" customWidth="1"/>
    <col min="9987" max="9987" width="3" style="3" customWidth="1"/>
    <col min="9988" max="9989" width="4.88671875" style="3" customWidth="1"/>
    <col min="9990" max="10008" width="4.77734375" style="3" customWidth="1"/>
    <col min="10009" max="10015" width="4.88671875" style="3" customWidth="1"/>
    <col min="10016" max="10016" width="2.21875" style="3" customWidth="1"/>
    <col min="10017" max="10017" width="1.44140625" style="3" customWidth="1"/>
    <col min="10018" max="10240" width="3.44140625" style="3"/>
    <col min="10241" max="10241" width="1.44140625" style="3" customWidth="1"/>
    <col min="10242" max="10242" width="2.44140625" style="3" customWidth="1"/>
    <col min="10243" max="10243" width="3" style="3" customWidth="1"/>
    <col min="10244" max="10245" width="4.88671875" style="3" customWidth="1"/>
    <col min="10246" max="10264" width="4.77734375" style="3" customWidth="1"/>
    <col min="10265" max="10271" width="4.88671875" style="3" customWidth="1"/>
    <col min="10272" max="10272" width="2.21875" style="3" customWidth="1"/>
    <col min="10273" max="10273" width="1.44140625" style="3" customWidth="1"/>
    <col min="10274" max="10496" width="3.44140625" style="3"/>
    <col min="10497" max="10497" width="1.44140625" style="3" customWidth="1"/>
    <col min="10498" max="10498" width="2.44140625" style="3" customWidth="1"/>
    <col min="10499" max="10499" width="3" style="3" customWidth="1"/>
    <col min="10500" max="10501" width="4.88671875" style="3" customWidth="1"/>
    <col min="10502" max="10520" width="4.77734375" style="3" customWidth="1"/>
    <col min="10521" max="10527" width="4.88671875" style="3" customWidth="1"/>
    <col min="10528" max="10528" width="2.21875" style="3" customWidth="1"/>
    <col min="10529" max="10529" width="1.44140625" style="3" customWidth="1"/>
    <col min="10530" max="10752" width="3.44140625" style="3"/>
    <col min="10753" max="10753" width="1.44140625" style="3" customWidth="1"/>
    <col min="10754" max="10754" width="2.44140625" style="3" customWidth="1"/>
    <col min="10755" max="10755" width="3" style="3" customWidth="1"/>
    <col min="10756" max="10757" width="4.88671875" style="3" customWidth="1"/>
    <col min="10758" max="10776" width="4.77734375" style="3" customWidth="1"/>
    <col min="10777" max="10783" width="4.88671875" style="3" customWidth="1"/>
    <col min="10784" max="10784" width="2.21875" style="3" customWidth="1"/>
    <col min="10785" max="10785" width="1.44140625" style="3" customWidth="1"/>
    <col min="10786" max="11008" width="3.44140625" style="3"/>
    <col min="11009" max="11009" width="1.44140625" style="3" customWidth="1"/>
    <col min="11010" max="11010" width="2.44140625" style="3" customWidth="1"/>
    <col min="11011" max="11011" width="3" style="3" customWidth="1"/>
    <col min="11012" max="11013" width="4.88671875" style="3" customWidth="1"/>
    <col min="11014" max="11032" width="4.77734375" style="3" customWidth="1"/>
    <col min="11033" max="11039" width="4.88671875" style="3" customWidth="1"/>
    <col min="11040" max="11040" width="2.21875" style="3" customWidth="1"/>
    <col min="11041" max="11041" width="1.44140625" style="3" customWidth="1"/>
    <col min="11042" max="11264" width="3.44140625" style="3"/>
    <col min="11265" max="11265" width="1.44140625" style="3" customWidth="1"/>
    <col min="11266" max="11266" width="2.44140625" style="3" customWidth="1"/>
    <col min="11267" max="11267" width="3" style="3" customWidth="1"/>
    <col min="11268" max="11269" width="4.88671875" style="3" customWidth="1"/>
    <col min="11270" max="11288" width="4.77734375" style="3" customWidth="1"/>
    <col min="11289" max="11295" width="4.88671875" style="3" customWidth="1"/>
    <col min="11296" max="11296" width="2.21875" style="3" customWidth="1"/>
    <col min="11297" max="11297" width="1.44140625" style="3" customWidth="1"/>
    <col min="11298" max="11520" width="3.44140625" style="3"/>
    <col min="11521" max="11521" width="1.44140625" style="3" customWidth="1"/>
    <col min="11522" max="11522" width="2.44140625" style="3" customWidth="1"/>
    <col min="11523" max="11523" width="3" style="3" customWidth="1"/>
    <col min="11524" max="11525" width="4.88671875" style="3" customWidth="1"/>
    <col min="11526" max="11544" width="4.77734375" style="3" customWidth="1"/>
    <col min="11545" max="11551" width="4.88671875" style="3" customWidth="1"/>
    <col min="11552" max="11552" width="2.21875" style="3" customWidth="1"/>
    <col min="11553" max="11553" width="1.44140625" style="3" customWidth="1"/>
    <col min="11554" max="11776" width="3.44140625" style="3"/>
    <col min="11777" max="11777" width="1.44140625" style="3" customWidth="1"/>
    <col min="11778" max="11778" width="2.44140625" style="3" customWidth="1"/>
    <col min="11779" max="11779" width="3" style="3" customWidth="1"/>
    <col min="11780" max="11781" width="4.88671875" style="3" customWidth="1"/>
    <col min="11782" max="11800" width="4.77734375" style="3" customWidth="1"/>
    <col min="11801" max="11807" width="4.88671875" style="3" customWidth="1"/>
    <col min="11808" max="11808" width="2.21875" style="3" customWidth="1"/>
    <col min="11809" max="11809" width="1.44140625" style="3" customWidth="1"/>
    <col min="11810" max="12032" width="3.44140625" style="3"/>
    <col min="12033" max="12033" width="1.44140625" style="3" customWidth="1"/>
    <col min="12034" max="12034" width="2.44140625" style="3" customWidth="1"/>
    <col min="12035" max="12035" width="3" style="3" customWidth="1"/>
    <col min="12036" max="12037" width="4.88671875" style="3" customWidth="1"/>
    <col min="12038" max="12056" width="4.77734375" style="3" customWidth="1"/>
    <col min="12057" max="12063" width="4.88671875" style="3" customWidth="1"/>
    <col min="12064" max="12064" width="2.21875" style="3" customWidth="1"/>
    <col min="12065" max="12065" width="1.44140625" style="3" customWidth="1"/>
    <col min="12066" max="12288" width="3.44140625" style="3"/>
    <col min="12289" max="12289" width="1.44140625" style="3" customWidth="1"/>
    <col min="12290" max="12290" width="2.44140625" style="3" customWidth="1"/>
    <col min="12291" max="12291" width="3" style="3" customWidth="1"/>
    <col min="12292" max="12293" width="4.88671875" style="3" customWidth="1"/>
    <col min="12294" max="12312" width="4.77734375" style="3" customWidth="1"/>
    <col min="12313" max="12319" width="4.88671875" style="3" customWidth="1"/>
    <col min="12320" max="12320" width="2.21875" style="3" customWidth="1"/>
    <col min="12321" max="12321" width="1.44140625" style="3" customWidth="1"/>
    <col min="12322" max="12544" width="3.44140625" style="3"/>
    <col min="12545" max="12545" width="1.44140625" style="3" customWidth="1"/>
    <col min="12546" max="12546" width="2.44140625" style="3" customWidth="1"/>
    <col min="12547" max="12547" width="3" style="3" customWidth="1"/>
    <col min="12548" max="12549" width="4.88671875" style="3" customWidth="1"/>
    <col min="12550" max="12568" width="4.77734375" style="3" customWidth="1"/>
    <col min="12569" max="12575" width="4.88671875" style="3" customWidth="1"/>
    <col min="12576" max="12576" width="2.21875" style="3" customWidth="1"/>
    <col min="12577" max="12577" width="1.44140625" style="3" customWidth="1"/>
    <col min="12578" max="12800" width="3.44140625" style="3"/>
    <col min="12801" max="12801" width="1.44140625" style="3" customWidth="1"/>
    <col min="12802" max="12802" width="2.44140625" style="3" customWidth="1"/>
    <col min="12803" max="12803" width="3" style="3" customWidth="1"/>
    <col min="12804" max="12805" width="4.88671875" style="3" customWidth="1"/>
    <col min="12806" max="12824" width="4.77734375" style="3" customWidth="1"/>
    <col min="12825" max="12831" width="4.88671875" style="3" customWidth="1"/>
    <col min="12832" max="12832" width="2.21875" style="3" customWidth="1"/>
    <col min="12833" max="12833" width="1.44140625" style="3" customWidth="1"/>
    <col min="12834" max="13056" width="3.44140625" style="3"/>
    <col min="13057" max="13057" width="1.44140625" style="3" customWidth="1"/>
    <col min="13058" max="13058" width="2.44140625" style="3" customWidth="1"/>
    <col min="13059" max="13059" width="3" style="3" customWidth="1"/>
    <col min="13060" max="13061" width="4.88671875" style="3" customWidth="1"/>
    <col min="13062" max="13080" width="4.77734375" style="3" customWidth="1"/>
    <col min="13081" max="13087" width="4.88671875" style="3" customWidth="1"/>
    <col min="13088" max="13088" width="2.21875" style="3" customWidth="1"/>
    <col min="13089" max="13089" width="1.44140625" style="3" customWidth="1"/>
    <col min="13090" max="13312" width="3.44140625" style="3"/>
    <col min="13313" max="13313" width="1.44140625" style="3" customWidth="1"/>
    <col min="13314" max="13314" width="2.44140625" style="3" customWidth="1"/>
    <col min="13315" max="13315" width="3" style="3" customWidth="1"/>
    <col min="13316" max="13317" width="4.88671875" style="3" customWidth="1"/>
    <col min="13318" max="13336" width="4.77734375" style="3" customWidth="1"/>
    <col min="13337" max="13343" width="4.88671875" style="3" customWidth="1"/>
    <col min="13344" max="13344" width="2.21875" style="3" customWidth="1"/>
    <col min="13345" max="13345" width="1.44140625" style="3" customWidth="1"/>
    <col min="13346" max="13568" width="3.44140625" style="3"/>
    <col min="13569" max="13569" width="1.44140625" style="3" customWidth="1"/>
    <col min="13570" max="13570" width="2.44140625" style="3" customWidth="1"/>
    <col min="13571" max="13571" width="3" style="3" customWidth="1"/>
    <col min="13572" max="13573" width="4.88671875" style="3" customWidth="1"/>
    <col min="13574" max="13592" width="4.77734375" style="3" customWidth="1"/>
    <col min="13593" max="13599" width="4.88671875" style="3" customWidth="1"/>
    <col min="13600" max="13600" width="2.21875" style="3" customWidth="1"/>
    <col min="13601" max="13601" width="1.44140625" style="3" customWidth="1"/>
    <col min="13602" max="13824" width="3.44140625" style="3"/>
    <col min="13825" max="13825" width="1.44140625" style="3" customWidth="1"/>
    <col min="13826" max="13826" width="2.44140625" style="3" customWidth="1"/>
    <col min="13827" max="13827" width="3" style="3" customWidth="1"/>
    <col min="13828" max="13829" width="4.88671875" style="3" customWidth="1"/>
    <col min="13830" max="13848" width="4.77734375" style="3" customWidth="1"/>
    <col min="13849" max="13855" width="4.88671875" style="3" customWidth="1"/>
    <col min="13856" max="13856" width="2.21875" style="3" customWidth="1"/>
    <col min="13857" max="13857" width="1.44140625" style="3" customWidth="1"/>
    <col min="13858" max="14080" width="3.44140625" style="3"/>
    <col min="14081" max="14081" width="1.44140625" style="3" customWidth="1"/>
    <col min="14082" max="14082" width="2.44140625" style="3" customWidth="1"/>
    <col min="14083" max="14083" width="3" style="3" customWidth="1"/>
    <col min="14084" max="14085" width="4.88671875" style="3" customWidth="1"/>
    <col min="14086" max="14104" width="4.77734375" style="3" customWidth="1"/>
    <col min="14105" max="14111" width="4.88671875" style="3" customWidth="1"/>
    <col min="14112" max="14112" width="2.21875" style="3" customWidth="1"/>
    <col min="14113" max="14113" width="1.44140625" style="3" customWidth="1"/>
    <col min="14114" max="14336" width="3.44140625" style="3"/>
    <col min="14337" max="14337" width="1.44140625" style="3" customWidth="1"/>
    <col min="14338" max="14338" width="2.44140625" style="3" customWidth="1"/>
    <col min="14339" max="14339" width="3" style="3" customWidth="1"/>
    <col min="14340" max="14341" width="4.88671875" style="3" customWidth="1"/>
    <col min="14342" max="14360" width="4.77734375" style="3" customWidth="1"/>
    <col min="14361" max="14367" width="4.88671875" style="3" customWidth="1"/>
    <col min="14368" max="14368" width="2.21875" style="3" customWidth="1"/>
    <col min="14369" max="14369" width="1.44140625" style="3" customWidth="1"/>
    <col min="14370" max="14592" width="3.44140625" style="3"/>
    <col min="14593" max="14593" width="1.44140625" style="3" customWidth="1"/>
    <col min="14594" max="14594" width="2.44140625" style="3" customWidth="1"/>
    <col min="14595" max="14595" width="3" style="3" customWidth="1"/>
    <col min="14596" max="14597" width="4.88671875" style="3" customWidth="1"/>
    <col min="14598" max="14616" width="4.77734375" style="3" customWidth="1"/>
    <col min="14617" max="14623" width="4.88671875" style="3" customWidth="1"/>
    <col min="14624" max="14624" width="2.21875" style="3" customWidth="1"/>
    <col min="14625" max="14625" width="1.44140625" style="3" customWidth="1"/>
    <col min="14626" max="14848" width="3.44140625" style="3"/>
    <col min="14849" max="14849" width="1.44140625" style="3" customWidth="1"/>
    <col min="14850" max="14850" width="2.44140625" style="3" customWidth="1"/>
    <col min="14851" max="14851" width="3" style="3" customWidth="1"/>
    <col min="14852" max="14853" width="4.88671875" style="3" customWidth="1"/>
    <col min="14854" max="14872" width="4.77734375" style="3" customWidth="1"/>
    <col min="14873" max="14879" width="4.88671875" style="3" customWidth="1"/>
    <col min="14880" max="14880" width="2.21875" style="3" customWidth="1"/>
    <col min="14881" max="14881" width="1.44140625" style="3" customWidth="1"/>
    <col min="14882" max="15104" width="3.44140625" style="3"/>
    <col min="15105" max="15105" width="1.44140625" style="3" customWidth="1"/>
    <col min="15106" max="15106" width="2.44140625" style="3" customWidth="1"/>
    <col min="15107" max="15107" width="3" style="3" customWidth="1"/>
    <col min="15108" max="15109" width="4.88671875" style="3" customWidth="1"/>
    <col min="15110" max="15128" width="4.77734375" style="3" customWidth="1"/>
    <col min="15129" max="15135" width="4.88671875" style="3" customWidth="1"/>
    <col min="15136" max="15136" width="2.21875" style="3" customWidth="1"/>
    <col min="15137" max="15137" width="1.44140625" style="3" customWidth="1"/>
    <col min="15138" max="15360" width="3.44140625" style="3"/>
    <col min="15361" max="15361" width="1.44140625" style="3" customWidth="1"/>
    <col min="15362" max="15362" width="2.44140625" style="3" customWidth="1"/>
    <col min="15363" max="15363" width="3" style="3" customWidth="1"/>
    <col min="15364" max="15365" width="4.88671875" style="3" customWidth="1"/>
    <col min="15366" max="15384" width="4.77734375" style="3" customWidth="1"/>
    <col min="15385" max="15391" width="4.88671875" style="3" customWidth="1"/>
    <col min="15392" max="15392" width="2.21875" style="3" customWidth="1"/>
    <col min="15393" max="15393" width="1.44140625" style="3" customWidth="1"/>
    <col min="15394" max="15616" width="3.44140625" style="3"/>
    <col min="15617" max="15617" width="1.44140625" style="3" customWidth="1"/>
    <col min="15618" max="15618" width="2.44140625" style="3" customWidth="1"/>
    <col min="15619" max="15619" width="3" style="3" customWidth="1"/>
    <col min="15620" max="15621" width="4.88671875" style="3" customWidth="1"/>
    <col min="15622" max="15640" width="4.77734375" style="3" customWidth="1"/>
    <col min="15641" max="15647" width="4.88671875" style="3" customWidth="1"/>
    <col min="15648" max="15648" width="2.21875" style="3" customWidth="1"/>
    <col min="15649" max="15649" width="1.44140625" style="3" customWidth="1"/>
    <col min="15650" max="15872" width="3.44140625" style="3"/>
    <col min="15873" max="15873" width="1.44140625" style="3" customWidth="1"/>
    <col min="15874" max="15874" width="2.44140625" style="3" customWidth="1"/>
    <col min="15875" max="15875" width="3" style="3" customWidth="1"/>
    <col min="15876" max="15877" width="4.88671875" style="3" customWidth="1"/>
    <col min="15878" max="15896" width="4.77734375" style="3" customWidth="1"/>
    <col min="15897" max="15903" width="4.88671875" style="3" customWidth="1"/>
    <col min="15904" max="15904" width="2.21875" style="3" customWidth="1"/>
    <col min="15905" max="15905" width="1.44140625" style="3" customWidth="1"/>
    <col min="15906" max="16128" width="3.44140625" style="3"/>
    <col min="16129" max="16129" width="1.44140625" style="3" customWidth="1"/>
    <col min="16130" max="16130" width="2.44140625" style="3" customWidth="1"/>
    <col min="16131" max="16131" width="3" style="3" customWidth="1"/>
    <col min="16132" max="16133" width="4.88671875" style="3" customWidth="1"/>
    <col min="16134" max="16152" width="4.77734375" style="3" customWidth="1"/>
    <col min="16153" max="16159" width="4.88671875" style="3" customWidth="1"/>
    <col min="16160" max="16160" width="2.21875" style="3" customWidth="1"/>
    <col min="16161" max="16161" width="1.44140625" style="3" customWidth="1"/>
    <col min="16162" max="16384" width="3.44140625" style="3"/>
  </cols>
  <sheetData>
    <row r="1" spans="2:32" s="1" customFormat="1" x14ac:dyDescent="0.2"/>
    <row r="2" spans="2:32" s="1" customFormat="1" x14ac:dyDescent="0.2">
      <c r="C2" s="1" t="s">
        <v>1551</v>
      </c>
    </row>
    <row r="3" spans="2:32" s="1" customFormat="1" x14ac:dyDescent="0.2">
      <c r="Y3" s="45" t="s">
        <v>643</v>
      </c>
      <c r="Z3" s="12"/>
      <c r="AA3" s="12" t="s">
        <v>34</v>
      </c>
      <c r="AB3" s="12"/>
      <c r="AC3" s="12" t="s">
        <v>922</v>
      </c>
      <c r="AD3" s="12"/>
      <c r="AE3" s="12" t="s">
        <v>167</v>
      </c>
    </row>
    <row r="4" spans="2:32" s="1" customFormat="1" x14ac:dyDescent="0.2">
      <c r="AE4" s="45"/>
    </row>
    <row r="5" spans="2:32" s="1" customFormat="1" ht="27" customHeight="1" x14ac:dyDescent="0.2">
      <c r="B5" s="1568" t="s">
        <v>1552</v>
      </c>
      <c r="C5" s="1568"/>
      <c r="D5" s="1568"/>
      <c r="E5" s="1568"/>
      <c r="F5" s="1568"/>
      <c r="G5" s="1568"/>
      <c r="H5" s="1568"/>
      <c r="I5" s="1568"/>
      <c r="J5" s="1568"/>
      <c r="K5" s="1568"/>
      <c r="L5" s="1568"/>
      <c r="M5" s="1568"/>
      <c r="N5" s="1568"/>
      <c r="O5" s="1568"/>
      <c r="P5" s="1568"/>
      <c r="Q5" s="1568"/>
      <c r="R5" s="1568"/>
      <c r="S5" s="1568"/>
      <c r="T5" s="1568"/>
      <c r="U5" s="1568"/>
      <c r="V5" s="1568"/>
      <c r="W5" s="1568"/>
      <c r="X5" s="1568"/>
      <c r="Y5" s="1568"/>
      <c r="Z5" s="1568"/>
      <c r="AA5" s="1568"/>
      <c r="AB5" s="1568"/>
      <c r="AC5" s="1568"/>
      <c r="AD5" s="1568"/>
      <c r="AE5" s="1568"/>
      <c r="AF5" s="1568"/>
    </row>
    <row r="6" spans="2:32" s="1" customFormat="1" x14ac:dyDescent="0.2"/>
    <row r="7" spans="2:32" s="1" customFormat="1" ht="27" customHeight="1" x14ac:dyDescent="0.2">
      <c r="B7" s="9"/>
      <c r="C7" s="1551" t="s">
        <v>306</v>
      </c>
      <c r="D7" s="1575"/>
      <c r="E7" s="1575"/>
      <c r="F7" s="1575"/>
      <c r="G7" s="1575"/>
      <c r="H7" s="1575"/>
      <c r="I7" s="1338"/>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40"/>
    </row>
    <row r="8" spans="2:32" ht="27" customHeight="1" x14ac:dyDescent="0.2">
      <c r="B8" s="15"/>
      <c r="C8" s="1550" t="s">
        <v>163</v>
      </c>
      <c r="D8" s="1550"/>
      <c r="E8" s="1550"/>
      <c r="F8" s="1550"/>
      <c r="G8" s="1550"/>
      <c r="H8" s="1551"/>
      <c r="I8" s="758" t="s">
        <v>116</v>
      </c>
      <c r="J8" s="759" t="s">
        <v>1174</v>
      </c>
      <c r="K8" s="759"/>
      <c r="L8" s="759"/>
      <c r="M8" s="759"/>
      <c r="N8" s="760" t="s">
        <v>116</v>
      </c>
      <c r="O8" s="759" t="s">
        <v>1175</v>
      </c>
      <c r="P8" s="759"/>
      <c r="Q8" s="759"/>
      <c r="R8" s="759"/>
      <c r="S8" s="760" t="s">
        <v>116</v>
      </c>
      <c r="T8" s="759" t="s">
        <v>1176</v>
      </c>
      <c r="U8" s="759"/>
      <c r="V8" s="759"/>
      <c r="W8" s="759"/>
      <c r="X8" s="759"/>
      <c r="Y8" s="759"/>
      <c r="Z8" s="759"/>
      <c r="AA8" s="759"/>
      <c r="AB8" s="759"/>
      <c r="AC8" s="759"/>
      <c r="AD8" s="759"/>
      <c r="AE8" s="759"/>
      <c r="AF8" s="17"/>
    </row>
    <row r="9" spans="2:32" ht="27" customHeight="1" x14ac:dyDescent="0.2">
      <c r="B9" s="56"/>
      <c r="C9" s="1558" t="s">
        <v>164</v>
      </c>
      <c r="D9" s="1558"/>
      <c r="E9" s="1558"/>
      <c r="F9" s="1558"/>
      <c r="G9" s="1558"/>
      <c r="H9" s="1559"/>
      <c r="I9" s="760" t="s">
        <v>116</v>
      </c>
      <c r="J9" s="1" t="s">
        <v>1553</v>
      </c>
      <c r="K9" s="7"/>
      <c r="L9" s="7"/>
      <c r="M9" s="7"/>
      <c r="N9" s="7"/>
      <c r="O9" s="7"/>
      <c r="P9" s="7"/>
      <c r="Q9" s="7"/>
      <c r="R9" s="7"/>
      <c r="S9" s="7"/>
      <c r="T9" s="7"/>
      <c r="U9" s="7"/>
      <c r="V9" s="7"/>
      <c r="W9" s="7"/>
      <c r="X9" s="7"/>
      <c r="Y9" s="7"/>
      <c r="Z9" s="7"/>
      <c r="AA9" s="7"/>
      <c r="AB9" s="7"/>
      <c r="AC9" s="7"/>
      <c r="AD9" s="7"/>
      <c r="AE9" s="7"/>
      <c r="AF9" s="58"/>
    </row>
    <row r="10" spans="2:32" ht="27" customHeight="1" x14ac:dyDescent="0.2">
      <c r="B10" s="762"/>
      <c r="C10" s="1329"/>
      <c r="D10" s="1329"/>
      <c r="E10" s="1329"/>
      <c r="F10" s="1329"/>
      <c r="G10" s="1329"/>
      <c r="H10" s="1580"/>
      <c r="I10" s="760" t="s">
        <v>116</v>
      </c>
      <c r="J10" s="2" t="s">
        <v>1554</v>
      </c>
      <c r="K10" s="1"/>
      <c r="L10" s="1"/>
      <c r="M10" s="1"/>
      <c r="N10" s="1"/>
      <c r="O10" s="1"/>
      <c r="P10" s="1"/>
      <c r="Q10" s="1"/>
      <c r="R10" s="1"/>
      <c r="S10" s="1"/>
      <c r="T10" s="1"/>
      <c r="U10" s="1"/>
      <c r="V10" s="1"/>
      <c r="W10" s="1"/>
      <c r="X10" s="1"/>
      <c r="Y10" s="1"/>
      <c r="Z10" s="1"/>
      <c r="AA10" s="1"/>
      <c r="AB10" s="1"/>
      <c r="AC10" s="1"/>
      <c r="AD10" s="1"/>
      <c r="AE10" s="1"/>
      <c r="AF10" s="404"/>
    </row>
    <row r="11" spans="2:32" ht="27" customHeight="1" x14ac:dyDescent="0.2">
      <c r="B11" s="764"/>
      <c r="C11" s="1561"/>
      <c r="D11" s="1561"/>
      <c r="E11" s="1561"/>
      <c r="F11" s="1561"/>
      <c r="G11" s="1561"/>
      <c r="H11" s="1562"/>
      <c r="I11" s="765" t="s">
        <v>116</v>
      </c>
      <c r="J11" s="594" t="s">
        <v>1555</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307</v>
      </c>
      <c r="C14" s="7" t="s">
        <v>336</v>
      </c>
      <c r="D14" s="7"/>
      <c r="E14" s="7"/>
      <c r="F14" s="7"/>
      <c r="G14" s="7"/>
      <c r="H14" s="10"/>
      <c r="I14" s="7"/>
      <c r="J14" s="7"/>
      <c r="K14" s="7"/>
      <c r="L14" s="7"/>
      <c r="M14" s="7"/>
      <c r="N14" s="7"/>
      <c r="O14" s="7"/>
      <c r="P14" s="10"/>
      <c r="Q14" s="766"/>
      <c r="R14" s="7"/>
      <c r="S14" s="7"/>
      <c r="T14" s="7"/>
      <c r="U14" s="7"/>
      <c r="V14" s="7"/>
      <c r="W14" s="7"/>
      <c r="X14" s="7"/>
      <c r="Y14" s="10"/>
      <c r="Z14" s="10"/>
      <c r="AA14" s="10"/>
      <c r="AB14" s="7"/>
      <c r="AC14" s="7"/>
      <c r="AD14" s="7"/>
      <c r="AE14" s="7"/>
      <c r="AF14" s="4"/>
    </row>
    <row r="15" spans="2:32" s="1" customFormat="1" ht="11.25" customHeight="1" x14ac:dyDescent="0.2">
      <c r="B15" s="582"/>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88"/>
    </row>
    <row r="16" spans="2:32" s="1" customFormat="1" ht="11.25" customHeight="1" x14ac:dyDescent="0.2">
      <c r="B16" s="582"/>
      <c r="C16" s="582"/>
      <c r="AC16" s="582"/>
      <c r="AE16" s="588"/>
      <c r="AF16" s="588"/>
    </row>
    <row r="17" spans="2:32" s="1" customFormat="1" ht="33.75" customHeight="1" x14ac:dyDescent="0.2">
      <c r="B17" s="582"/>
      <c r="C17" s="596"/>
      <c r="D17" s="1" t="s">
        <v>337</v>
      </c>
      <c r="M17" s="45"/>
      <c r="Y17" s="2"/>
      <c r="Z17" s="2"/>
      <c r="AC17" s="582"/>
      <c r="AE17" s="583"/>
      <c r="AF17" s="588"/>
    </row>
    <row r="18" spans="2:32" s="1" customFormat="1" ht="27" customHeight="1" x14ac:dyDescent="0.2">
      <c r="B18" s="582"/>
      <c r="C18" s="570"/>
      <c r="D18" s="781"/>
      <c r="E18" s="767" t="s">
        <v>338</v>
      </c>
      <c r="F18" s="1704" t="s">
        <v>339</v>
      </c>
      <c r="G18" s="1704"/>
      <c r="H18" s="1704"/>
      <c r="I18" s="1704"/>
      <c r="J18" s="1704"/>
      <c r="K18" s="1704"/>
      <c r="L18" s="1704"/>
      <c r="M18" s="1704"/>
      <c r="N18" s="1704"/>
      <c r="O18" s="1704"/>
      <c r="P18" s="1704"/>
      <c r="Q18" s="1704"/>
      <c r="R18" s="1704"/>
      <c r="S18" s="1704"/>
      <c r="T18" s="1704"/>
      <c r="U18" s="1704"/>
      <c r="V18" s="1704"/>
      <c r="W18" s="1704"/>
      <c r="X18" s="1704"/>
      <c r="Y18" s="1692"/>
      <c r="Z18" s="1693"/>
      <c r="AA18" s="575" t="s">
        <v>89</v>
      </c>
      <c r="AC18" s="582"/>
      <c r="AE18" s="580"/>
      <c r="AF18" s="588"/>
    </row>
    <row r="19" spans="2:32" s="1" customFormat="1" ht="27" customHeight="1" x14ac:dyDescent="0.2">
      <c r="B19" s="582"/>
      <c r="C19" s="570"/>
      <c r="D19" s="782"/>
      <c r="E19" s="767" t="s">
        <v>340</v>
      </c>
      <c r="F19" s="1441" t="s">
        <v>341</v>
      </c>
      <c r="G19" s="1441"/>
      <c r="H19" s="1441"/>
      <c r="I19" s="1441"/>
      <c r="J19" s="1441"/>
      <c r="K19" s="1441"/>
      <c r="L19" s="1441"/>
      <c r="M19" s="1441"/>
      <c r="N19" s="1441"/>
      <c r="O19" s="1441"/>
      <c r="P19" s="1441"/>
      <c r="Q19" s="1441"/>
      <c r="R19" s="1441"/>
      <c r="S19" s="1441"/>
      <c r="T19" s="1441"/>
      <c r="U19" s="1441"/>
      <c r="V19" s="1441"/>
      <c r="W19" s="1441"/>
      <c r="X19" s="1441"/>
      <c r="Y19" s="1705"/>
      <c r="Z19" s="1706"/>
      <c r="AA19" s="575" t="s">
        <v>89</v>
      </c>
      <c r="AC19" s="582"/>
      <c r="AE19" s="583"/>
      <c r="AF19" s="588"/>
    </row>
    <row r="20" spans="2:32" s="1" customFormat="1" ht="27" customHeight="1" x14ac:dyDescent="0.2">
      <c r="B20" s="582"/>
      <c r="C20" s="570"/>
      <c r="D20" s="782"/>
      <c r="E20" s="767" t="s">
        <v>250</v>
      </c>
      <c r="F20" s="1441" t="s">
        <v>342</v>
      </c>
      <c r="G20" s="1441"/>
      <c r="H20" s="1441"/>
      <c r="I20" s="1441"/>
      <c r="J20" s="1441"/>
      <c r="K20" s="1441"/>
      <c r="L20" s="1441"/>
      <c r="M20" s="1441"/>
      <c r="N20" s="1441"/>
      <c r="O20" s="1441"/>
      <c r="P20" s="1441"/>
      <c r="Q20" s="1441"/>
      <c r="R20" s="1441"/>
      <c r="S20" s="1441"/>
      <c r="T20" s="1441"/>
      <c r="U20" s="1441"/>
      <c r="V20" s="1441"/>
      <c r="W20" s="1441"/>
      <c r="X20" s="1441"/>
      <c r="Y20" s="1705"/>
      <c r="Z20" s="1706"/>
      <c r="AA20" s="565" t="s">
        <v>343</v>
      </c>
      <c r="AC20" s="582"/>
      <c r="AE20" s="588"/>
      <c r="AF20" s="588"/>
    </row>
    <row r="21" spans="2:32" s="1" customFormat="1" ht="27" customHeight="1" x14ac:dyDescent="0.2">
      <c r="B21" s="582"/>
      <c r="C21" s="596"/>
      <c r="D21" s="781"/>
      <c r="E21" s="767" t="s">
        <v>253</v>
      </c>
      <c r="F21" s="1704" t="s">
        <v>344</v>
      </c>
      <c r="G21" s="1704"/>
      <c r="H21" s="1704"/>
      <c r="I21" s="1704"/>
      <c r="J21" s="1704"/>
      <c r="K21" s="1704"/>
      <c r="L21" s="1704"/>
      <c r="M21" s="1704"/>
      <c r="N21" s="1704"/>
      <c r="O21" s="1704"/>
      <c r="P21" s="1704"/>
      <c r="Q21" s="1704"/>
      <c r="R21" s="1704"/>
      <c r="S21" s="1704"/>
      <c r="T21" s="1704"/>
      <c r="U21" s="1704"/>
      <c r="V21" s="1704"/>
      <c r="W21" s="1704"/>
      <c r="X21" s="1704"/>
      <c r="Y21" s="1692"/>
      <c r="Z21" s="1693"/>
      <c r="AA21" s="575" t="s">
        <v>89</v>
      </c>
      <c r="AC21" s="582"/>
      <c r="AE21" s="588"/>
      <c r="AF21" s="588"/>
    </row>
    <row r="22" spans="2:32" s="1" customFormat="1" ht="27" customHeight="1" x14ac:dyDescent="0.2">
      <c r="B22" s="582"/>
      <c r="C22" s="570"/>
      <c r="D22" s="781"/>
      <c r="E22" s="767" t="s">
        <v>345</v>
      </c>
      <c r="F22" s="1704" t="s">
        <v>346</v>
      </c>
      <c r="G22" s="1704"/>
      <c r="H22" s="1704"/>
      <c r="I22" s="1704"/>
      <c r="J22" s="1704"/>
      <c r="K22" s="1704"/>
      <c r="L22" s="1704"/>
      <c r="M22" s="1704"/>
      <c r="N22" s="1704"/>
      <c r="O22" s="1704"/>
      <c r="P22" s="1704"/>
      <c r="Q22" s="1704"/>
      <c r="R22" s="1704"/>
      <c r="S22" s="1704"/>
      <c r="T22" s="1704"/>
      <c r="U22" s="1704"/>
      <c r="V22" s="1704"/>
      <c r="W22" s="1704"/>
      <c r="X22" s="1704"/>
      <c r="Y22" s="1692"/>
      <c r="Z22" s="1693"/>
      <c r="AA22" s="575" t="s">
        <v>343</v>
      </c>
      <c r="AC22" s="582"/>
      <c r="AE22" s="583"/>
      <c r="AF22" s="588"/>
    </row>
    <row r="23" spans="2:32" s="1" customFormat="1" ht="11.25" customHeight="1" x14ac:dyDescent="0.2">
      <c r="B23" s="582"/>
      <c r="C23" s="596"/>
      <c r="D23" s="774"/>
      <c r="E23" s="773"/>
      <c r="H23" s="774"/>
      <c r="K23" s="774"/>
      <c r="L23" s="774"/>
      <c r="M23" s="774"/>
      <c r="N23" s="774"/>
      <c r="O23" s="774"/>
      <c r="P23" s="774"/>
      <c r="Q23" s="774"/>
      <c r="T23" s="12"/>
      <c r="U23" s="12"/>
      <c r="V23" s="782"/>
      <c r="W23" s="782"/>
      <c r="Z23" s="2"/>
      <c r="AA23" s="2"/>
      <c r="AC23" s="582"/>
      <c r="AE23" s="583"/>
      <c r="AF23" s="588"/>
    </row>
    <row r="24" spans="2:32" s="1" customFormat="1" ht="27" customHeight="1" x14ac:dyDescent="0.2">
      <c r="B24" s="582"/>
      <c r="C24" s="596"/>
      <c r="D24" s="1" t="s">
        <v>347</v>
      </c>
      <c r="E24" s="12"/>
      <c r="H24" s="774"/>
      <c r="K24" s="774"/>
      <c r="L24" s="774"/>
      <c r="M24" s="774"/>
      <c r="N24" s="774"/>
      <c r="O24" s="774"/>
      <c r="P24" s="774"/>
      <c r="Q24" s="774"/>
      <c r="T24" s="12"/>
      <c r="U24" s="12"/>
      <c r="V24" s="782"/>
      <c r="W24" s="782"/>
      <c r="Z24" s="12"/>
      <c r="AA24" s="12"/>
      <c r="AC24" s="582"/>
      <c r="AE24" s="583"/>
      <c r="AF24" s="588"/>
    </row>
    <row r="25" spans="2:32" s="1" customFormat="1" ht="27" customHeight="1" x14ac:dyDescent="0.2">
      <c r="B25" s="582"/>
      <c r="C25" s="570"/>
      <c r="D25" s="781"/>
      <c r="E25" s="767" t="s">
        <v>338</v>
      </c>
      <c r="F25" s="1704" t="s">
        <v>339</v>
      </c>
      <c r="G25" s="1704"/>
      <c r="H25" s="1704"/>
      <c r="I25" s="1704"/>
      <c r="J25" s="1704"/>
      <c r="K25" s="1704"/>
      <c r="L25" s="1704"/>
      <c r="M25" s="1704"/>
      <c r="N25" s="1704"/>
      <c r="O25" s="1704"/>
      <c r="P25" s="1704"/>
      <c r="Q25" s="1704"/>
      <c r="R25" s="1704"/>
      <c r="S25" s="1704"/>
      <c r="T25" s="1704"/>
      <c r="U25" s="1704"/>
      <c r="V25" s="1704"/>
      <c r="W25" s="1704"/>
      <c r="X25" s="1704"/>
      <c r="Y25" s="1338"/>
      <c r="Z25" s="1339"/>
      <c r="AA25" s="575" t="s">
        <v>89</v>
      </c>
      <c r="AB25" s="12"/>
      <c r="AC25" s="582"/>
      <c r="AE25" s="583"/>
      <c r="AF25" s="588"/>
    </row>
    <row r="26" spans="2:32" s="1" customFormat="1" ht="27" customHeight="1" x14ac:dyDescent="0.2">
      <c r="B26" s="582"/>
      <c r="C26" s="596"/>
      <c r="D26" s="781"/>
      <c r="E26" s="767" t="s">
        <v>340</v>
      </c>
      <c r="F26" s="1704" t="s">
        <v>348</v>
      </c>
      <c r="G26" s="1704"/>
      <c r="H26" s="1704"/>
      <c r="I26" s="1704"/>
      <c r="J26" s="1704"/>
      <c r="K26" s="1704"/>
      <c r="L26" s="1704"/>
      <c r="M26" s="1704"/>
      <c r="N26" s="1704"/>
      <c r="O26" s="1704"/>
      <c r="P26" s="1704"/>
      <c r="Q26" s="1704"/>
      <c r="R26" s="1704"/>
      <c r="S26" s="1704"/>
      <c r="T26" s="1704"/>
      <c r="U26" s="1704"/>
      <c r="V26" s="1704"/>
      <c r="W26" s="1704"/>
      <c r="X26" s="1704"/>
      <c r="Y26" s="1338"/>
      <c r="Z26" s="1339"/>
      <c r="AA26" s="575" t="s">
        <v>89</v>
      </c>
      <c r="AB26" s="12"/>
      <c r="AC26" s="582"/>
      <c r="AE26" s="583"/>
      <c r="AF26" s="588"/>
    </row>
    <row r="27" spans="2:32" s="1" customFormat="1" ht="27" customHeight="1" x14ac:dyDescent="0.2">
      <c r="B27" s="582"/>
      <c r="C27" s="596"/>
      <c r="D27" s="781"/>
      <c r="E27" s="767" t="s">
        <v>250</v>
      </c>
      <c r="F27" s="1704" t="s">
        <v>349</v>
      </c>
      <c r="G27" s="1704"/>
      <c r="H27" s="1704"/>
      <c r="I27" s="1704"/>
      <c r="J27" s="1704"/>
      <c r="K27" s="1704"/>
      <c r="L27" s="1704"/>
      <c r="M27" s="1704"/>
      <c r="N27" s="1704"/>
      <c r="O27" s="1704"/>
      <c r="P27" s="1704"/>
      <c r="Q27" s="1704"/>
      <c r="R27" s="1704"/>
      <c r="S27" s="1704"/>
      <c r="T27" s="1704"/>
      <c r="U27" s="1704"/>
      <c r="V27" s="1704"/>
      <c r="W27" s="1704"/>
      <c r="X27" s="1704"/>
      <c r="Y27" s="1338"/>
      <c r="Z27" s="1339"/>
      <c r="AA27" s="575" t="s">
        <v>89</v>
      </c>
      <c r="AB27" s="12"/>
      <c r="AC27" s="582"/>
      <c r="AE27" s="583"/>
      <c r="AF27" s="588"/>
    </row>
    <row r="28" spans="2:32" s="1" customFormat="1" ht="27" customHeight="1" x14ac:dyDescent="0.2">
      <c r="B28" s="582"/>
      <c r="C28" s="596"/>
      <c r="D28" s="781"/>
      <c r="E28" s="767" t="s">
        <v>253</v>
      </c>
      <c r="F28" s="1704" t="s">
        <v>350</v>
      </c>
      <c r="G28" s="1704"/>
      <c r="H28" s="1704"/>
      <c r="I28" s="1704"/>
      <c r="J28" s="1704"/>
      <c r="K28" s="1704"/>
      <c r="L28" s="1704"/>
      <c r="M28" s="1704"/>
      <c r="N28" s="1704"/>
      <c r="O28" s="1704"/>
      <c r="P28" s="1704"/>
      <c r="Q28" s="1704"/>
      <c r="R28" s="1704"/>
      <c r="S28" s="1704"/>
      <c r="T28" s="1704"/>
      <c r="U28" s="1704"/>
      <c r="V28" s="1704"/>
      <c r="W28" s="1704"/>
      <c r="X28" s="1704"/>
      <c r="Y28" s="1338"/>
      <c r="Z28" s="1339"/>
      <c r="AA28" s="575" t="s">
        <v>89</v>
      </c>
      <c r="AB28" s="12"/>
      <c r="AC28" s="582"/>
      <c r="AE28" s="583"/>
      <c r="AF28" s="588"/>
    </row>
    <row r="29" spans="2:32" s="1" customFormat="1" ht="27" customHeight="1" x14ac:dyDescent="0.2">
      <c r="B29" s="582"/>
      <c r="C29" s="596"/>
      <c r="D29" s="781"/>
      <c r="E29" s="767" t="s">
        <v>345</v>
      </c>
      <c r="F29" s="1704" t="s">
        <v>351</v>
      </c>
      <c r="G29" s="1704"/>
      <c r="H29" s="1704"/>
      <c r="I29" s="1704"/>
      <c r="J29" s="1704"/>
      <c r="K29" s="1704"/>
      <c r="L29" s="1704"/>
      <c r="M29" s="1704"/>
      <c r="N29" s="1704"/>
      <c r="O29" s="1704"/>
      <c r="P29" s="1704"/>
      <c r="Q29" s="1704"/>
      <c r="R29" s="1704"/>
      <c r="S29" s="1704"/>
      <c r="T29" s="1704"/>
      <c r="U29" s="1704"/>
      <c r="V29" s="1704"/>
      <c r="W29" s="1704"/>
      <c r="X29" s="1704"/>
      <c r="Y29" s="1338"/>
      <c r="Z29" s="1339"/>
      <c r="AA29" s="575" t="s">
        <v>343</v>
      </c>
      <c r="AB29" s="12"/>
      <c r="AC29" s="582"/>
      <c r="AE29" s="583"/>
      <c r="AF29" s="588"/>
    </row>
    <row r="30" spans="2:32" s="1" customFormat="1" ht="33.75" customHeight="1" x14ac:dyDescent="0.2">
      <c r="B30" s="582"/>
      <c r="C30" s="596"/>
      <c r="D30" s="577"/>
      <c r="F30" s="773"/>
      <c r="G30" s="774"/>
      <c r="H30" s="774"/>
      <c r="I30" s="774"/>
      <c r="J30" s="774"/>
      <c r="K30" s="774"/>
      <c r="L30" s="774"/>
      <c r="M30" s="774"/>
      <c r="N30" s="774"/>
      <c r="O30" s="774"/>
      <c r="P30" s="774"/>
      <c r="Q30" s="774"/>
      <c r="T30" s="12"/>
      <c r="U30" s="12"/>
      <c r="V30" s="783"/>
      <c r="W30" s="783"/>
      <c r="Y30" s="2"/>
      <c r="Z30" s="2"/>
      <c r="AC30" s="768" t="s">
        <v>1117</v>
      </c>
      <c r="AD30" s="769" t="s">
        <v>441</v>
      </c>
      <c r="AE30" s="770" t="s">
        <v>721</v>
      </c>
      <c r="AF30" s="588"/>
    </row>
    <row r="31" spans="2:32" s="1" customFormat="1" ht="33.75" customHeight="1" x14ac:dyDescent="0.2">
      <c r="B31" s="582"/>
      <c r="C31" s="596"/>
      <c r="D31" s="1430" t="s">
        <v>865</v>
      </c>
      <c r="E31" s="1430"/>
      <c r="F31" s="1430"/>
      <c r="G31" s="1430"/>
      <c r="H31" s="1430"/>
      <c r="I31" s="1430"/>
      <c r="J31" s="1430"/>
      <c r="K31" s="1430"/>
      <c r="L31" s="1430"/>
      <c r="M31" s="1430"/>
      <c r="N31" s="1430"/>
      <c r="O31" s="1430"/>
      <c r="P31" s="1430"/>
      <c r="Q31" s="1430"/>
      <c r="R31" s="1430"/>
      <c r="S31" s="1430"/>
      <c r="T31" s="1430"/>
      <c r="U31" s="1430"/>
      <c r="V31" s="1430"/>
      <c r="W31" s="1430"/>
      <c r="X31" s="1430"/>
      <c r="Y31" s="1430"/>
      <c r="Z31" s="1430"/>
      <c r="AA31" s="1430"/>
      <c r="AB31" s="12" t="s">
        <v>279</v>
      </c>
      <c r="AC31" s="763" t="s">
        <v>116</v>
      </c>
      <c r="AD31" s="760" t="s">
        <v>441</v>
      </c>
      <c r="AE31" s="771" t="s">
        <v>116</v>
      </c>
      <c r="AF31" s="588"/>
    </row>
    <row r="32" spans="2:32" s="1" customFormat="1" ht="33.75" customHeight="1" x14ac:dyDescent="0.2">
      <c r="B32" s="582"/>
      <c r="C32" s="596"/>
      <c r="D32" s="577"/>
      <c r="AC32" s="582"/>
      <c r="AE32" s="583"/>
      <c r="AF32" s="588"/>
    </row>
    <row r="33" spans="1:32" s="1" customFormat="1" ht="10.5" customHeight="1" x14ac:dyDescent="0.2">
      <c r="B33" s="582"/>
      <c r="C33" s="591"/>
      <c r="D33" s="8"/>
      <c r="E33" s="8"/>
      <c r="F33" s="8"/>
      <c r="G33" s="8"/>
      <c r="H33" s="8"/>
      <c r="AC33" s="582"/>
      <c r="AE33" s="588"/>
      <c r="AF33" s="588"/>
    </row>
    <row r="34" spans="1:32" s="1" customFormat="1" ht="11.25" customHeight="1" x14ac:dyDescent="0.2">
      <c r="B34" s="582"/>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88"/>
    </row>
    <row r="35" spans="1:32" s="1" customFormat="1" ht="27" customHeight="1" x14ac:dyDescent="0.2">
      <c r="B35" s="582"/>
      <c r="C35" s="582"/>
      <c r="AC35" s="768" t="s">
        <v>1117</v>
      </c>
      <c r="AD35" s="769" t="s">
        <v>441</v>
      </c>
      <c r="AE35" s="770" t="s">
        <v>721</v>
      </c>
      <c r="AF35" s="588"/>
    </row>
    <row r="36" spans="1:32" s="1" customFormat="1" ht="27" customHeight="1" x14ac:dyDescent="0.2">
      <c r="B36" s="582"/>
      <c r="C36" s="1462" t="s">
        <v>352</v>
      </c>
      <c r="D36" s="1463"/>
      <c r="E36" s="1463"/>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C36" s="763" t="s">
        <v>116</v>
      </c>
      <c r="AD36" s="760" t="s">
        <v>441</v>
      </c>
      <c r="AE36" s="771" t="s">
        <v>116</v>
      </c>
      <c r="AF36" s="588"/>
    </row>
    <row r="37" spans="1:32" s="1" customFormat="1" ht="11.25" customHeight="1" x14ac:dyDescent="0.2">
      <c r="B37" s="582"/>
      <c r="C37" s="591"/>
      <c r="D37" s="8"/>
      <c r="E37" s="8"/>
      <c r="F37" s="8"/>
      <c r="G37" s="8"/>
      <c r="H37" s="8"/>
      <c r="I37" s="8"/>
      <c r="J37" s="8"/>
      <c r="K37" s="8"/>
      <c r="L37" s="8"/>
      <c r="M37" s="8"/>
      <c r="N37" s="8"/>
      <c r="O37" s="8"/>
      <c r="P37" s="8"/>
      <c r="Q37" s="8"/>
      <c r="R37" s="8"/>
      <c r="S37" s="8"/>
      <c r="T37" s="8"/>
      <c r="U37" s="8"/>
      <c r="V37" s="8"/>
      <c r="W37" s="8"/>
      <c r="X37" s="8"/>
      <c r="Y37" s="8"/>
      <c r="Z37" s="8"/>
      <c r="AA37" s="8"/>
      <c r="AB37" s="8"/>
      <c r="AC37" s="591"/>
      <c r="AD37" s="8"/>
      <c r="AE37" s="593"/>
      <c r="AF37" s="588"/>
    </row>
    <row r="38" spans="1:32" s="1" customFormat="1" ht="11.25" customHeight="1" x14ac:dyDescent="0.2">
      <c r="A38" s="588"/>
      <c r="B38" s="591"/>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593"/>
    </row>
    <row r="39" spans="1:32" s="1" customFormat="1" ht="18" customHeight="1" x14ac:dyDescent="0.2">
      <c r="C39" s="1558" t="s">
        <v>353</v>
      </c>
      <c r="D39" s="1329"/>
      <c r="E39" s="1329"/>
      <c r="F39" s="1329"/>
      <c r="G39" s="1329"/>
      <c r="H39" s="1329"/>
      <c r="I39" s="1329"/>
      <c r="J39" s="1329"/>
      <c r="K39" s="1329"/>
      <c r="L39" s="1329"/>
      <c r="M39" s="1329"/>
      <c r="N39" s="1329"/>
      <c r="O39" s="1329"/>
      <c r="P39" s="1329"/>
      <c r="Q39" s="1329"/>
      <c r="R39" s="1329"/>
      <c r="S39" s="1329"/>
      <c r="T39" s="1329"/>
      <c r="U39" s="1329"/>
      <c r="V39" s="1329"/>
      <c r="W39" s="1329"/>
      <c r="X39" s="1329"/>
      <c r="Y39" s="1329"/>
      <c r="Z39" s="1329"/>
      <c r="AA39" s="1329"/>
      <c r="AB39" s="1329"/>
      <c r="AC39" s="1329"/>
      <c r="AD39" s="1329"/>
      <c r="AE39" s="1329"/>
    </row>
    <row r="40" spans="1:32" s="780" customFormat="1" ht="61.5" customHeight="1" x14ac:dyDescent="0.15">
      <c r="C40" s="1463" t="s">
        <v>866</v>
      </c>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3"/>
      <c r="AA40" s="1463"/>
      <c r="AB40" s="1463"/>
      <c r="AC40" s="1463"/>
      <c r="AD40" s="1463"/>
      <c r="AE40" s="1463"/>
    </row>
    <row r="41" spans="1:32" s="780" customFormat="1" ht="52.5" customHeight="1" x14ac:dyDescent="0.15">
      <c r="C41" s="1463" t="s">
        <v>867</v>
      </c>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row>
    <row r="42" spans="1:32" s="780" customFormat="1" ht="18.75" customHeight="1" x14ac:dyDescent="0.15">
      <c r="C42" s="1463" t="s">
        <v>354</v>
      </c>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row>
    <row r="43" spans="1:32" s="780" customFormat="1" ht="18.75" customHeight="1" x14ac:dyDescent="0.15">
      <c r="C43" s="1463" t="s">
        <v>355</v>
      </c>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row>
    <row r="44" spans="1:32" s="780" customFormat="1" ht="18.75" customHeight="1" x14ac:dyDescent="0.15">
      <c r="C44" s="1463" t="s">
        <v>356</v>
      </c>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3"/>
      <c r="AA44" s="1463"/>
      <c r="AB44" s="1463"/>
      <c r="AC44" s="1463"/>
      <c r="AD44" s="1463"/>
      <c r="AE44" s="1463"/>
    </row>
    <row r="45" spans="1:32" s="780" customFormat="1" ht="29.25" customHeight="1" x14ac:dyDescent="0.15">
      <c r="C45" s="1463" t="s">
        <v>169</v>
      </c>
      <c r="D45" s="1463"/>
      <c r="E45" s="1463"/>
      <c r="F45" s="1463"/>
      <c r="G45" s="1463"/>
      <c r="H45" s="1463"/>
      <c r="I45" s="1463"/>
      <c r="J45" s="1463"/>
      <c r="K45" s="1463"/>
      <c r="L45" s="1463"/>
      <c r="M45" s="1463"/>
      <c r="N45" s="1463"/>
      <c r="O45" s="1463"/>
      <c r="P45" s="1463"/>
      <c r="Q45" s="1463"/>
      <c r="R45" s="1463"/>
      <c r="S45" s="1463"/>
      <c r="T45" s="1463"/>
      <c r="U45" s="1463"/>
      <c r="V45" s="1463"/>
      <c r="W45" s="1463"/>
      <c r="X45" s="1463"/>
      <c r="Y45" s="1463"/>
      <c r="Z45" s="1463"/>
      <c r="AA45" s="1463"/>
      <c r="AB45" s="1463"/>
      <c r="AC45" s="1463"/>
      <c r="AD45" s="1463"/>
      <c r="AE45" s="1463"/>
    </row>
    <row r="46" spans="1:32" s="784" customFormat="1" ht="15.75" customHeight="1" x14ac:dyDescent="0.15">
      <c r="D46" s="780"/>
      <c r="E46" s="780"/>
      <c r="F46" s="780"/>
      <c r="G46" s="780"/>
      <c r="H46" s="780"/>
      <c r="I46" s="780"/>
      <c r="J46" s="780"/>
      <c r="K46" s="780"/>
      <c r="L46" s="780"/>
      <c r="M46" s="780"/>
      <c r="N46" s="780"/>
      <c r="O46" s="780"/>
      <c r="P46" s="780"/>
      <c r="Q46" s="780"/>
      <c r="R46" s="780"/>
      <c r="S46" s="780"/>
      <c r="T46" s="780"/>
      <c r="U46" s="780"/>
      <c r="V46" s="780"/>
      <c r="W46" s="780"/>
      <c r="X46" s="780"/>
      <c r="Y46" s="780"/>
      <c r="Z46" s="780"/>
      <c r="AA46" s="780"/>
      <c r="AB46" s="780"/>
      <c r="AC46" s="780"/>
      <c r="AD46" s="780"/>
      <c r="AE46" s="780"/>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JE8:JE11 TA8:TA11 ACW8:ACW11 AMS8:AMS11 AWO8:AWO11 BGK8:BGK11 BQG8:BQG11 CAC8:CAC11 CJY8:CJY11 CTU8:CTU11 DDQ8:DDQ11 DNM8:DNM11 DXI8:DXI11 EHE8:EHE11 ERA8:ERA11 FAW8:FAW11 FKS8:FKS11 FUO8:FUO11 GEK8:GEK11 GOG8:GOG11 GYC8:GYC11 HHY8:HHY11 HRU8:HRU11 IBQ8:IBQ11 ILM8:ILM11 IVI8:IVI11 JFE8:JFE11 JPA8:JPA11 JYW8:JYW11 KIS8:KIS11 KSO8:KSO11 LCK8:LCK11 LMG8:LMG11 LWC8:LWC11 MFY8:MFY11 MPU8:MPU11 MZQ8:MZQ11 NJM8:NJM11 NTI8:NTI11 ODE8:ODE11 ONA8:ONA11 OWW8:OWW11 PGS8:PGS11 PQO8:PQO11 QAK8:QAK11 QKG8:QKG11 QUC8:QUC11 RDY8:RDY11 RNU8:RNU11 RXQ8:RXQ11 SHM8:SHM11 SRI8:SRI11 TBE8:TBE11 TLA8:TLA11 TUW8:TUW11 UES8:UES11 UOO8:UOO11 UYK8:UYK11 VIG8:VIG11 VSC8:VSC11 WBY8:WBY11 WLU8:WLU11 WVQ8:WVQ11 I65544:I65547 JE65544:JE65547 TA65544:TA65547 ACW65544:ACW65547 AMS65544:AMS65547 AWO65544:AWO65547 BGK65544:BGK65547 BQG65544:BQG65547 CAC65544:CAC65547 CJY65544:CJY65547 CTU65544:CTU65547 DDQ65544:DDQ65547 DNM65544:DNM65547 DXI65544:DXI65547 EHE65544:EHE65547 ERA65544:ERA65547 FAW65544:FAW65547 FKS65544:FKS65547 FUO65544:FUO65547 GEK65544:GEK65547 GOG65544:GOG65547 GYC65544:GYC65547 HHY65544:HHY65547 HRU65544:HRU65547 IBQ65544:IBQ65547 ILM65544:ILM65547 IVI65544:IVI65547 JFE65544:JFE65547 JPA65544:JPA65547 JYW65544:JYW65547 KIS65544:KIS65547 KSO65544:KSO65547 LCK65544:LCK65547 LMG65544:LMG65547 LWC65544:LWC65547 MFY65544:MFY65547 MPU65544:MPU65547 MZQ65544:MZQ65547 NJM65544:NJM65547 NTI65544:NTI65547 ODE65544:ODE65547 ONA65544:ONA65547 OWW65544:OWW65547 PGS65544:PGS65547 PQO65544:PQO65547 QAK65544:QAK65547 QKG65544:QKG65547 QUC65544:QUC65547 RDY65544:RDY65547 RNU65544:RNU65547 RXQ65544:RXQ65547 SHM65544:SHM65547 SRI65544:SRI65547 TBE65544:TBE65547 TLA65544:TLA65547 TUW65544:TUW65547 UES65544:UES65547 UOO65544:UOO65547 UYK65544:UYK65547 VIG65544:VIG65547 VSC65544:VSC65547 WBY65544:WBY65547 WLU65544:WLU65547 WVQ65544:WVQ65547 I131080:I131083 JE131080:JE131083 TA131080:TA131083 ACW131080:ACW131083 AMS131080:AMS131083 AWO131080:AWO131083 BGK131080:BGK131083 BQG131080:BQG131083 CAC131080:CAC131083 CJY131080:CJY131083 CTU131080:CTU131083 DDQ131080:DDQ131083 DNM131080:DNM131083 DXI131080:DXI131083 EHE131080:EHE131083 ERA131080:ERA131083 FAW131080:FAW131083 FKS131080:FKS131083 FUO131080:FUO131083 GEK131080:GEK131083 GOG131080:GOG131083 GYC131080:GYC131083 HHY131080:HHY131083 HRU131080:HRU131083 IBQ131080:IBQ131083 ILM131080:ILM131083 IVI131080:IVI131083 JFE131080:JFE131083 JPA131080:JPA131083 JYW131080:JYW131083 KIS131080:KIS131083 KSO131080:KSO131083 LCK131080:LCK131083 LMG131080:LMG131083 LWC131080:LWC131083 MFY131080:MFY131083 MPU131080:MPU131083 MZQ131080:MZQ131083 NJM131080:NJM131083 NTI131080:NTI131083 ODE131080:ODE131083 ONA131080:ONA131083 OWW131080:OWW131083 PGS131080:PGS131083 PQO131080:PQO131083 QAK131080:QAK131083 QKG131080:QKG131083 QUC131080:QUC131083 RDY131080:RDY131083 RNU131080:RNU131083 RXQ131080:RXQ131083 SHM131080:SHM131083 SRI131080:SRI131083 TBE131080:TBE131083 TLA131080:TLA131083 TUW131080:TUW131083 UES131080:UES131083 UOO131080:UOO131083 UYK131080:UYK131083 VIG131080:VIG131083 VSC131080:VSC131083 WBY131080:WBY131083 WLU131080:WLU131083 WVQ131080:WVQ131083 I196616:I196619 JE196616:JE196619 TA196616:TA196619 ACW196616:ACW196619 AMS196616:AMS196619 AWO196616:AWO196619 BGK196616:BGK196619 BQG196616:BQG196619 CAC196616:CAC196619 CJY196616:CJY196619 CTU196616:CTU196619 DDQ196616:DDQ196619 DNM196616:DNM196619 DXI196616:DXI196619 EHE196616:EHE196619 ERA196616:ERA196619 FAW196616:FAW196619 FKS196616:FKS196619 FUO196616:FUO196619 GEK196616:GEK196619 GOG196616:GOG196619 GYC196616:GYC196619 HHY196616:HHY196619 HRU196616:HRU196619 IBQ196616:IBQ196619 ILM196616:ILM196619 IVI196616:IVI196619 JFE196616:JFE196619 JPA196616:JPA196619 JYW196616:JYW196619 KIS196616:KIS196619 KSO196616:KSO196619 LCK196616:LCK196619 LMG196616:LMG196619 LWC196616:LWC196619 MFY196616:MFY196619 MPU196616:MPU196619 MZQ196616:MZQ196619 NJM196616:NJM196619 NTI196616:NTI196619 ODE196616:ODE196619 ONA196616:ONA196619 OWW196616:OWW196619 PGS196616:PGS196619 PQO196616:PQO196619 QAK196616:QAK196619 QKG196616:QKG196619 QUC196616:QUC196619 RDY196616:RDY196619 RNU196616:RNU196619 RXQ196616:RXQ196619 SHM196616:SHM196619 SRI196616:SRI196619 TBE196616:TBE196619 TLA196616:TLA196619 TUW196616:TUW196619 UES196616:UES196619 UOO196616:UOO196619 UYK196616:UYK196619 VIG196616:VIG196619 VSC196616:VSC196619 WBY196616:WBY196619 WLU196616:WLU196619 WVQ196616:WVQ196619 I262152:I262155 JE262152:JE262155 TA262152:TA262155 ACW262152:ACW262155 AMS262152:AMS262155 AWO262152:AWO262155 BGK262152:BGK262155 BQG262152:BQG262155 CAC262152:CAC262155 CJY262152:CJY262155 CTU262152:CTU262155 DDQ262152:DDQ262155 DNM262152:DNM262155 DXI262152:DXI262155 EHE262152:EHE262155 ERA262152:ERA262155 FAW262152:FAW262155 FKS262152:FKS262155 FUO262152:FUO262155 GEK262152:GEK262155 GOG262152:GOG262155 GYC262152:GYC262155 HHY262152:HHY262155 HRU262152:HRU262155 IBQ262152:IBQ262155 ILM262152:ILM262155 IVI262152:IVI262155 JFE262152:JFE262155 JPA262152:JPA262155 JYW262152:JYW262155 KIS262152:KIS262155 KSO262152:KSO262155 LCK262152:LCK262155 LMG262152:LMG262155 LWC262152:LWC262155 MFY262152:MFY262155 MPU262152:MPU262155 MZQ262152:MZQ262155 NJM262152:NJM262155 NTI262152:NTI262155 ODE262152:ODE262155 ONA262152:ONA262155 OWW262152:OWW262155 PGS262152:PGS262155 PQO262152:PQO262155 QAK262152:QAK262155 QKG262152:QKG262155 QUC262152:QUC262155 RDY262152:RDY262155 RNU262152:RNU262155 RXQ262152:RXQ262155 SHM262152:SHM262155 SRI262152:SRI262155 TBE262152:TBE262155 TLA262152:TLA262155 TUW262152:TUW262155 UES262152:UES262155 UOO262152:UOO262155 UYK262152:UYK262155 VIG262152:VIG262155 VSC262152:VSC262155 WBY262152:WBY262155 WLU262152:WLU262155 WVQ262152:WVQ262155 I327688:I327691 JE327688:JE327691 TA327688:TA327691 ACW327688:ACW327691 AMS327688:AMS327691 AWO327688:AWO327691 BGK327688:BGK327691 BQG327688:BQG327691 CAC327688:CAC327691 CJY327688:CJY327691 CTU327688:CTU327691 DDQ327688:DDQ327691 DNM327688:DNM327691 DXI327688:DXI327691 EHE327688:EHE327691 ERA327688:ERA327691 FAW327688:FAW327691 FKS327688:FKS327691 FUO327688:FUO327691 GEK327688:GEK327691 GOG327688:GOG327691 GYC327688:GYC327691 HHY327688:HHY327691 HRU327688:HRU327691 IBQ327688:IBQ327691 ILM327688:ILM327691 IVI327688:IVI327691 JFE327688:JFE327691 JPA327688:JPA327691 JYW327688:JYW327691 KIS327688:KIS327691 KSO327688:KSO327691 LCK327688:LCK327691 LMG327688:LMG327691 LWC327688:LWC327691 MFY327688:MFY327691 MPU327688:MPU327691 MZQ327688:MZQ327691 NJM327688:NJM327691 NTI327688:NTI327691 ODE327688:ODE327691 ONA327688:ONA327691 OWW327688:OWW327691 PGS327688:PGS327691 PQO327688:PQO327691 QAK327688:QAK327691 QKG327688:QKG327691 QUC327688:QUC327691 RDY327688:RDY327691 RNU327688:RNU327691 RXQ327688:RXQ327691 SHM327688:SHM327691 SRI327688:SRI327691 TBE327688:TBE327691 TLA327688:TLA327691 TUW327688:TUW327691 UES327688:UES327691 UOO327688:UOO327691 UYK327688:UYK327691 VIG327688:VIG327691 VSC327688:VSC327691 WBY327688:WBY327691 WLU327688:WLU327691 WVQ327688:WVQ327691 I393224:I393227 JE393224:JE393227 TA393224:TA393227 ACW393224:ACW393227 AMS393224:AMS393227 AWO393224:AWO393227 BGK393224:BGK393227 BQG393224:BQG393227 CAC393224:CAC393227 CJY393224:CJY393227 CTU393224:CTU393227 DDQ393224:DDQ393227 DNM393224:DNM393227 DXI393224:DXI393227 EHE393224:EHE393227 ERA393224:ERA393227 FAW393224:FAW393227 FKS393224:FKS393227 FUO393224:FUO393227 GEK393224:GEK393227 GOG393224:GOG393227 GYC393224:GYC393227 HHY393224:HHY393227 HRU393224:HRU393227 IBQ393224:IBQ393227 ILM393224:ILM393227 IVI393224:IVI393227 JFE393224:JFE393227 JPA393224:JPA393227 JYW393224:JYW393227 KIS393224:KIS393227 KSO393224:KSO393227 LCK393224:LCK393227 LMG393224:LMG393227 LWC393224:LWC393227 MFY393224:MFY393227 MPU393224:MPU393227 MZQ393224:MZQ393227 NJM393224:NJM393227 NTI393224:NTI393227 ODE393224:ODE393227 ONA393224:ONA393227 OWW393224:OWW393227 PGS393224:PGS393227 PQO393224:PQO393227 QAK393224:QAK393227 QKG393224:QKG393227 QUC393224:QUC393227 RDY393224:RDY393227 RNU393224:RNU393227 RXQ393224:RXQ393227 SHM393224:SHM393227 SRI393224:SRI393227 TBE393224:TBE393227 TLA393224:TLA393227 TUW393224:TUW393227 UES393224:UES393227 UOO393224:UOO393227 UYK393224:UYK393227 VIG393224:VIG393227 VSC393224:VSC393227 WBY393224:WBY393227 WLU393224:WLU393227 WVQ393224:WVQ393227 I458760:I458763 JE458760:JE458763 TA458760:TA458763 ACW458760:ACW458763 AMS458760:AMS458763 AWO458760:AWO458763 BGK458760:BGK458763 BQG458760:BQG458763 CAC458760:CAC458763 CJY458760:CJY458763 CTU458760:CTU458763 DDQ458760:DDQ458763 DNM458760:DNM458763 DXI458760:DXI458763 EHE458760:EHE458763 ERA458760:ERA458763 FAW458760:FAW458763 FKS458760:FKS458763 FUO458760:FUO458763 GEK458760:GEK458763 GOG458760:GOG458763 GYC458760:GYC458763 HHY458760:HHY458763 HRU458760:HRU458763 IBQ458760:IBQ458763 ILM458760:ILM458763 IVI458760:IVI458763 JFE458760:JFE458763 JPA458760:JPA458763 JYW458760:JYW458763 KIS458760:KIS458763 KSO458760:KSO458763 LCK458760:LCK458763 LMG458760:LMG458763 LWC458760:LWC458763 MFY458760:MFY458763 MPU458760:MPU458763 MZQ458760:MZQ458763 NJM458760:NJM458763 NTI458760:NTI458763 ODE458760:ODE458763 ONA458760:ONA458763 OWW458760:OWW458763 PGS458760:PGS458763 PQO458760:PQO458763 QAK458760:QAK458763 QKG458760:QKG458763 QUC458760:QUC458763 RDY458760:RDY458763 RNU458760:RNU458763 RXQ458760:RXQ458763 SHM458760:SHM458763 SRI458760:SRI458763 TBE458760:TBE458763 TLA458760:TLA458763 TUW458760:TUW458763 UES458760:UES458763 UOO458760:UOO458763 UYK458760:UYK458763 VIG458760:VIG458763 VSC458760:VSC458763 WBY458760:WBY458763 WLU458760:WLU458763 WVQ458760:WVQ458763 I524296:I524299 JE524296:JE524299 TA524296:TA524299 ACW524296:ACW524299 AMS524296:AMS524299 AWO524296:AWO524299 BGK524296:BGK524299 BQG524296:BQG524299 CAC524296:CAC524299 CJY524296:CJY524299 CTU524296:CTU524299 DDQ524296:DDQ524299 DNM524296:DNM524299 DXI524296:DXI524299 EHE524296:EHE524299 ERA524296:ERA524299 FAW524296:FAW524299 FKS524296:FKS524299 FUO524296:FUO524299 GEK524296:GEK524299 GOG524296:GOG524299 GYC524296:GYC524299 HHY524296:HHY524299 HRU524296:HRU524299 IBQ524296:IBQ524299 ILM524296:ILM524299 IVI524296:IVI524299 JFE524296:JFE524299 JPA524296:JPA524299 JYW524296:JYW524299 KIS524296:KIS524299 KSO524296:KSO524299 LCK524296:LCK524299 LMG524296:LMG524299 LWC524296:LWC524299 MFY524296:MFY524299 MPU524296:MPU524299 MZQ524296:MZQ524299 NJM524296:NJM524299 NTI524296:NTI524299 ODE524296:ODE524299 ONA524296:ONA524299 OWW524296:OWW524299 PGS524296:PGS524299 PQO524296:PQO524299 QAK524296:QAK524299 QKG524296:QKG524299 QUC524296:QUC524299 RDY524296:RDY524299 RNU524296:RNU524299 RXQ524296:RXQ524299 SHM524296:SHM524299 SRI524296:SRI524299 TBE524296:TBE524299 TLA524296:TLA524299 TUW524296:TUW524299 UES524296:UES524299 UOO524296:UOO524299 UYK524296:UYK524299 VIG524296:VIG524299 VSC524296:VSC524299 WBY524296:WBY524299 WLU524296:WLU524299 WVQ524296:WVQ524299 I589832:I589835 JE589832:JE589835 TA589832:TA589835 ACW589832:ACW589835 AMS589832:AMS589835 AWO589832:AWO589835 BGK589832:BGK589835 BQG589832:BQG589835 CAC589832:CAC589835 CJY589832:CJY589835 CTU589832:CTU589835 DDQ589832:DDQ589835 DNM589832:DNM589835 DXI589832:DXI589835 EHE589832:EHE589835 ERA589832:ERA589835 FAW589832:FAW589835 FKS589832:FKS589835 FUO589832:FUO589835 GEK589832:GEK589835 GOG589832:GOG589835 GYC589832:GYC589835 HHY589832:HHY589835 HRU589832:HRU589835 IBQ589832:IBQ589835 ILM589832:ILM589835 IVI589832:IVI589835 JFE589832:JFE589835 JPA589832:JPA589835 JYW589832:JYW589835 KIS589832:KIS589835 KSO589832:KSO589835 LCK589832:LCK589835 LMG589832:LMG589835 LWC589832:LWC589835 MFY589832:MFY589835 MPU589832:MPU589835 MZQ589832:MZQ589835 NJM589832:NJM589835 NTI589832:NTI589835 ODE589832:ODE589835 ONA589832:ONA589835 OWW589832:OWW589835 PGS589832:PGS589835 PQO589832:PQO589835 QAK589832:QAK589835 QKG589832:QKG589835 QUC589832:QUC589835 RDY589832:RDY589835 RNU589832:RNU589835 RXQ589832:RXQ589835 SHM589832:SHM589835 SRI589832:SRI589835 TBE589832:TBE589835 TLA589832:TLA589835 TUW589832:TUW589835 UES589832:UES589835 UOO589832:UOO589835 UYK589832:UYK589835 VIG589832:VIG589835 VSC589832:VSC589835 WBY589832:WBY589835 WLU589832:WLU589835 WVQ589832:WVQ589835 I655368:I655371 JE655368:JE655371 TA655368:TA655371 ACW655368:ACW655371 AMS655368:AMS655371 AWO655368:AWO655371 BGK655368:BGK655371 BQG655368:BQG655371 CAC655368:CAC655371 CJY655368:CJY655371 CTU655368:CTU655371 DDQ655368:DDQ655371 DNM655368:DNM655371 DXI655368:DXI655371 EHE655368:EHE655371 ERA655368:ERA655371 FAW655368:FAW655371 FKS655368:FKS655371 FUO655368:FUO655371 GEK655368:GEK655371 GOG655368:GOG655371 GYC655368:GYC655371 HHY655368:HHY655371 HRU655368:HRU655371 IBQ655368:IBQ655371 ILM655368:ILM655371 IVI655368:IVI655371 JFE655368:JFE655371 JPA655368:JPA655371 JYW655368:JYW655371 KIS655368:KIS655371 KSO655368:KSO655371 LCK655368:LCK655371 LMG655368:LMG655371 LWC655368:LWC655371 MFY655368:MFY655371 MPU655368:MPU655371 MZQ655368:MZQ655371 NJM655368:NJM655371 NTI655368:NTI655371 ODE655368:ODE655371 ONA655368:ONA655371 OWW655368:OWW655371 PGS655368:PGS655371 PQO655368:PQO655371 QAK655368:QAK655371 QKG655368:QKG655371 QUC655368:QUC655371 RDY655368:RDY655371 RNU655368:RNU655371 RXQ655368:RXQ655371 SHM655368:SHM655371 SRI655368:SRI655371 TBE655368:TBE655371 TLA655368:TLA655371 TUW655368:TUW655371 UES655368:UES655371 UOO655368:UOO655371 UYK655368:UYK655371 VIG655368:VIG655371 VSC655368:VSC655371 WBY655368:WBY655371 WLU655368:WLU655371 WVQ655368:WVQ655371 I720904:I720907 JE720904:JE720907 TA720904:TA720907 ACW720904:ACW720907 AMS720904:AMS720907 AWO720904:AWO720907 BGK720904:BGK720907 BQG720904:BQG720907 CAC720904:CAC720907 CJY720904:CJY720907 CTU720904:CTU720907 DDQ720904:DDQ720907 DNM720904:DNM720907 DXI720904:DXI720907 EHE720904:EHE720907 ERA720904:ERA720907 FAW720904:FAW720907 FKS720904:FKS720907 FUO720904:FUO720907 GEK720904:GEK720907 GOG720904:GOG720907 GYC720904:GYC720907 HHY720904:HHY720907 HRU720904:HRU720907 IBQ720904:IBQ720907 ILM720904:ILM720907 IVI720904:IVI720907 JFE720904:JFE720907 JPA720904:JPA720907 JYW720904:JYW720907 KIS720904:KIS720907 KSO720904:KSO720907 LCK720904:LCK720907 LMG720904:LMG720907 LWC720904:LWC720907 MFY720904:MFY720907 MPU720904:MPU720907 MZQ720904:MZQ720907 NJM720904:NJM720907 NTI720904:NTI720907 ODE720904:ODE720907 ONA720904:ONA720907 OWW720904:OWW720907 PGS720904:PGS720907 PQO720904:PQO720907 QAK720904:QAK720907 QKG720904:QKG720907 QUC720904:QUC720907 RDY720904:RDY720907 RNU720904:RNU720907 RXQ720904:RXQ720907 SHM720904:SHM720907 SRI720904:SRI720907 TBE720904:TBE720907 TLA720904:TLA720907 TUW720904:TUW720907 UES720904:UES720907 UOO720904:UOO720907 UYK720904:UYK720907 VIG720904:VIG720907 VSC720904:VSC720907 WBY720904:WBY720907 WLU720904:WLU720907 WVQ720904:WVQ720907 I786440:I786443 JE786440:JE786443 TA786440:TA786443 ACW786440:ACW786443 AMS786440:AMS786443 AWO786440:AWO786443 BGK786440:BGK786443 BQG786440:BQG786443 CAC786440:CAC786443 CJY786440:CJY786443 CTU786440:CTU786443 DDQ786440:DDQ786443 DNM786440:DNM786443 DXI786440:DXI786443 EHE786440:EHE786443 ERA786440:ERA786443 FAW786440:FAW786443 FKS786440:FKS786443 FUO786440:FUO786443 GEK786440:GEK786443 GOG786440:GOG786443 GYC786440:GYC786443 HHY786440:HHY786443 HRU786440:HRU786443 IBQ786440:IBQ786443 ILM786440:ILM786443 IVI786440:IVI786443 JFE786440:JFE786443 JPA786440:JPA786443 JYW786440:JYW786443 KIS786440:KIS786443 KSO786440:KSO786443 LCK786440:LCK786443 LMG786440:LMG786443 LWC786440:LWC786443 MFY786440:MFY786443 MPU786440:MPU786443 MZQ786440:MZQ786443 NJM786440:NJM786443 NTI786440:NTI786443 ODE786440:ODE786443 ONA786440:ONA786443 OWW786440:OWW786443 PGS786440:PGS786443 PQO786440:PQO786443 QAK786440:QAK786443 QKG786440:QKG786443 QUC786440:QUC786443 RDY786440:RDY786443 RNU786440:RNU786443 RXQ786440:RXQ786443 SHM786440:SHM786443 SRI786440:SRI786443 TBE786440:TBE786443 TLA786440:TLA786443 TUW786440:TUW786443 UES786440:UES786443 UOO786440:UOO786443 UYK786440:UYK786443 VIG786440:VIG786443 VSC786440:VSC786443 WBY786440:WBY786443 WLU786440:WLU786443 WVQ786440:WVQ786443 I851976:I851979 JE851976:JE851979 TA851976:TA851979 ACW851976:ACW851979 AMS851976:AMS851979 AWO851976:AWO851979 BGK851976:BGK851979 BQG851976:BQG851979 CAC851976:CAC851979 CJY851976:CJY851979 CTU851976:CTU851979 DDQ851976:DDQ851979 DNM851976:DNM851979 DXI851976:DXI851979 EHE851976:EHE851979 ERA851976:ERA851979 FAW851976:FAW851979 FKS851976:FKS851979 FUO851976:FUO851979 GEK851976:GEK851979 GOG851976:GOG851979 GYC851976:GYC851979 HHY851976:HHY851979 HRU851976:HRU851979 IBQ851976:IBQ851979 ILM851976:ILM851979 IVI851976:IVI851979 JFE851976:JFE851979 JPA851976:JPA851979 JYW851976:JYW851979 KIS851976:KIS851979 KSO851976:KSO851979 LCK851976:LCK851979 LMG851976:LMG851979 LWC851976:LWC851979 MFY851976:MFY851979 MPU851976:MPU851979 MZQ851976:MZQ851979 NJM851976:NJM851979 NTI851976:NTI851979 ODE851976:ODE851979 ONA851976:ONA851979 OWW851976:OWW851979 PGS851976:PGS851979 PQO851976:PQO851979 QAK851976:QAK851979 QKG851976:QKG851979 QUC851976:QUC851979 RDY851976:RDY851979 RNU851976:RNU851979 RXQ851976:RXQ851979 SHM851976:SHM851979 SRI851976:SRI851979 TBE851976:TBE851979 TLA851976:TLA851979 TUW851976:TUW851979 UES851976:UES851979 UOO851976:UOO851979 UYK851976:UYK851979 VIG851976:VIG851979 VSC851976:VSC851979 WBY851976:WBY851979 WLU851976:WLU851979 WVQ851976:WVQ851979 I917512:I917515 JE917512:JE917515 TA917512:TA917515 ACW917512:ACW917515 AMS917512:AMS917515 AWO917512:AWO917515 BGK917512:BGK917515 BQG917512:BQG917515 CAC917512:CAC917515 CJY917512:CJY917515 CTU917512:CTU917515 DDQ917512:DDQ917515 DNM917512:DNM917515 DXI917512:DXI917515 EHE917512:EHE917515 ERA917512:ERA917515 FAW917512:FAW917515 FKS917512:FKS917515 FUO917512:FUO917515 GEK917512:GEK917515 GOG917512:GOG917515 GYC917512:GYC917515 HHY917512:HHY917515 HRU917512:HRU917515 IBQ917512:IBQ917515 ILM917512:ILM917515 IVI917512:IVI917515 JFE917512:JFE917515 JPA917512:JPA917515 JYW917512:JYW917515 KIS917512:KIS917515 KSO917512:KSO917515 LCK917512:LCK917515 LMG917512:LMG917515 LWC917512:LWC917515 MFY917512:MFY917515 MPU917512:MPU917515 MZQ917512:MZQ917515 NJM917512:NJM917515 NTI917512:NTI917515 ODE917512:ODE917515 ONA917512:ONA917515 OWW917512:OWW917515 PGS917512:PGS917515 PQO917512:PQO917515 QAK917512:QAK917515 QKG917512:QKG917515 QUC917512:QUC917515 RDY917512:RDY917515 RNU917512:RNU917515 RXQ917512:RXQ917515 SHM917512:SHM917515 SRI917512:SRI917515 TBE917512:TBE917515 TLA917512:TLA917515 TUW917512:TUW917515 UES917512:UES917515 UOO917512:UOO917515 UYK917512:UYK917515 VIG917512:VIG917515 VSC917512:VSC917515 WBY917512:WBY917515 WLU917512:WLU917515 WVQ917512:WVQ917515 I983048:I983051 JE983048:JE983051 TA983048:TA983051 ACW983048:ACW983051 AMS983048:AMS983051 AWO983048:AWO983051 BGK983048:BGK983051 BQG983048:BQG983051 CAC983048:CAC983051 CJY983048:CJY983051 CTU983048:CTU983051 DDQ983048:DDQ983051 DNM983048:DNM983051 DXI983048:DXI983051 EHE983048:EHE983051 ERA983048:ERA983051 FAW983048:FAW983051 FKS983048:FKS983051 FUO983048:FUO983051 GEK983048:GEK983051 GOG983048:GOG983051 GYC983048:GYC983051 HHY983048:HHY983051 HRU983048:HRU983051 IBQ983048:IBQ983051 ILM983048:ILM983051 IVI983048:IVI983051 JFE983048:JFE983051 JPA983048:JPA983051 JYW983048:JYW983051 KIS983048:KIS983051 KSO983048:KSO983051 LCK983048:LCK983051 LMG983048:LMG983051 LWC983048:LWC983051 MFY983048:MFY983051 MPU983048:MPU983051 MZQ983048:MZQ983051 NJM983048:NJM983051 NTI983048:NTI983051 ODE983048:ODE983051 ONA983048:ONA983051 OWW983048:OWW983051 PGS983048:PGS983051 PQO983048:PQO983051 QAK983048:QAK983051 QKG983048:QKG983051 QUC983048:QUC983051 RDY983048:RDY983051 RNU983048:RNU983051 RXQ983048:RXQ983051 SHM983048:SHM983051 SRI983048:SRI983051 TBE983048:TBE983051 TLA983048:TLA983051 TUW983048:TUW983051 UES983048:UES983051 UOO983048:UOO983051 UYK983048:UYK983051 VIG983048:VIG983051 VSC983048:VSC983051 WBY983048:WBY983051 WLU983048:WLU983051 WVQ983048:WVQ983051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xr:uid="{6986CC7A-3AEB-42D9-AACC-35D73FD1D5CC}">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3AA4-C2CA-47CA-9D5A-B1CD83DB69AE}">
  <sheetPr>
    <tabColor rgb="FFFFFF00"/>
    <pageSetUpPr fitToPage="1"/>
  </sheetPr>
  <dimension ref="B1:AD122"/>
  <sheetViews>
    <sheetView view="pageBreakPreview" zoomScale="70" zoomScaleNormal="100" zoomScaleSheetLayoutView="70" workbookViewId="0">
      <selection activeCell="AM70" sqref="AM70"/>
    </sheetView>
  </sheetViews>
  <sheetFormatPr defaultColWidth="3.44140625" defaultRowHeight="13.2" x14ac:dyDescent="0.2"/>
  <cols>
    <col min="1" max="1" width="1.21875" style="3" customWidth="1"/>
    <col min="2" max="2" width="4.109375" style="598" customWidth="1"/>
    <col min="3" max="29" width="4.33203125" style="3" customWidth="1"/>
    <col min="30" max="30" width="0.77734375" style="3" customWidth="1"/>
    <col min="31" max="256" width="3.44140625" style="3"/>
    <col min="257" max="257" width="1.21875" style="3" customWidth="1"/>
    <col min="258" max="258" width="4.109375" style="3" customWidth="1"/>
    <col min="259" max="285" width="4.33203125" style="3" customWidth="1"/>
    <col min="286" max="286" width="0.77734375" style="3" customWidth="1"/>
    <col min="287" max="512" width="3.44140625" style="3"/>
    <col min="513" max="513" width="1.21875" style="3" customWidth="1"/>
    <col min="514" max="514" width="4.109375" style="3" customWidth="1"/>
    <col min="515" max="541" width="4.33203125" style="3" customWidth="1"/>
    <col min="542" max="542" width="0.77734375" style="3" customWidth="1"/>
    <col min="543" max="768" width="3.44140625" style="3"/>
    <col min="769" max="769" width="1.21875" style="3" customWidth="1"/>
    <col min="770" max="770" width="4.109375" style="3" customWidth="1"/>
    <col min="771" max="797" width="4.33203125" style="3" customWidth="1"/>
    <col min="798" max="798" width="0.77734375" style="3" customWidth="1"/>
    <col min="799" max="1024" width="3.44140625" style="3"/>
    <col min="1025" max="1025" width="1.21875" style="3" customWidth="1"/>
    <col min="1026" max="1026" width="4.109375" style="3" customWidth="1"/>
    <col min="1027" max="1053" width="4.33203125" style="3" customWidth="1"/>
    <col min="1054" max="1054" width="0.77734375" style="3" customWidth="1"/>
    <col min="1055" max="1280" width="3.44140625" style="3"/>
    <col min="1281" max="1281" width="1.21875" style="3" customWidth="1"/>
    <col min="1282" max="1282" width="4.109375" style="3" customWidth="1"/>
    <col min="1283" max="1309" width="4.33203125" style="3" customWidth="1"/>
    <col min="1310" max="1310" width="0.77734375" style="3" customWidth="1"/>
    <col min="1311" max="1536" width="3.44140625" style="3"/>
    <col min="1537" max="1537" width="1.21875" style="3" customWidth="1"/>
    <col min="1538" max="1538" width="4.109375" style="3" customWidth="1"/>
    <col min="1539" max="1565" width="4.33203125" style="3" customWidth="1"/>
    <col min="1566" max="1566" width="0.77734375" style="3" customWidth="1"/>
    <col min="1567" max="1792" width="3.44140625" style="3"/>
    <col min="1793" max="1793" width="1.21875" style="3" customWidth="1"/>
    <col min="1794" max="1794" width="4.109375" style="3" customWidth="1"/>
    <col min="1795" max="1821" width="4.33203125" style="3" customWidth="1"/>
    <col min="1822" max="1822" width="0.77734375" style="3" customWidth="1"/>
    <col min="1823" max="2048" width="3.44140625" style="3"/>
    <col min="2049" max="2049" width="1.21875" style="3" customWidth="1"/>
    <col min="2050" max="2050" width="4.109375" style="3" customWidth="1"/>
    <col min="2051" max="2077" width="4.33203125" style="3" customWidth="1"/>
    <col min="2078" max="2078" width="0.77734375" style="3" customWidth="1"/>
    <col min="2079" max="2304" width="3.44140625" style="3"/>
    <col min="2305" max="2305" width="1.21875" style="3" customWidth="1"/>
    <col min="2306" max="2306" width="4.109375" style="3" customWidth="1"/>
    <col min="2307" max="2333" width="4.33203125" style="3" customWidth="1"/>
    <col min="2334" max="2334" width="0.77734375" style="3" customWidth="1"/>
    <col min="2335" max="2560" width="3.44140625" style="3"/>
    <col min="2561" max="2561" width="1.21875" style="3" customWidth="1"/>
    <col min="2562" max="2562" width="4.109375" style="3" customWidth="1"/>
    <col min="2563" max="2589" width="4.33203125" style="3" customWidth="1"/>
    <col min="2590" max="2590" width="0.77734375" style="3" customWidth="1"/>
    <col min="2591" max="2816" width="3.44140625" style="3"/>
    <col min="2817" max="2817" width="1.21875" style="3" customWidth="1"/>
    <col min="2818" max="2818" width="4.109375" style="3" customWidth="1"/>
    <col min="2819" max="2845" width="4.33203125" style="3" customWidth="1"/>
    <col min="2846" max="2846" width="0.77734375" style="3" customWidth="1"/>
    <col min="2847" max="3072" width="3.44140625" style="3"/>
    <col min="3073" max="3073" width="1.21875" style="3" customWidth="1"/>
    <col min="3074" max="3074" width="4.109375" style="3" customWidth="1"/>
    <col min="3075" max="3101" width="4.33203125" style="3" customWidth="1"/>
    <col min="3102" max="3102" width="0.77734375" style="3" customWidth="1"/>
    <col min="3103" max="3328" width="3.44140625" style="3"/>
    <col min="3329" max="3329" width="1.21875" style="3" customWidth="1"/>
    <col min="3330" max="3330" width="4.109375" style="3" customWidth="1"/>
    <col min="3331" max="3357" width="4.33203125" style="3" customWidth="1"/>
    <col min="3358" max="3358" width="0.77734375" style="3" customWidth="1"/>
    <col min="3359" max="3584" width="3.44140625" style="3"/>
    <col min="3585" max="3585" width="1.21875" style="3" customWidth="1"/>
    <col min="3586" max="3586" width="4.109375" style="3" customWidth="1"/>
    <col min="3587" max="3613" width="4.33203125" style="3" customWidth="1"/>
    <col min="3614" max="3614" width="0.77734375" style="3" customWidth="1"/>
    <col min="3615" max="3840" width="3.44140625" style="3"/>
    <col min="3841" max="3841" width="1.21875" style="3" customWidth="1"/>
    <col min="3842" max="3842" width="4.109375" style="3" customWidth="1"/>
    <col min="3843" max="3869" width="4.33203125" style="3" customWidth="1"/>
    <col min="3870" max="3870" width="0.77734375" style="3" customWidth="1"/>
    <col min="3871" max="4096" width="3.44140625" style="3"/>
    <col min="4097" max="4097" width="1.21875" style="3" customWidth="1"/>
    <col min="4098" max="4098" width="4.109375" style="3" customWidth="1"/>
    <col min="4099" max="4125" width="4.33203125" style="3" customWidth="1"/>
    <col min="4126" max="4126" width="0.77734375" style="3" customWidth="1"/>
    <col min="4127" max="4352" width="3.44140625" style="3"/>
    <col min="4353" max="4353" width="1.21875" style="3" customWidth="1"/>
    <col min="4354" max="4354" width="4.109375" style="3" customWidth="1"/>
    <col min="4355" max="4381" width="4.33203125" style="3" customWidth="1"/>
    <col min="4382" max="4382" width="0.77734375" style="3" customWidth="1"/>
    <col min="4383" max="4608" width="3.44140625" style="3"/>
    <col min="4609" max="4609" width="1.21875" style="3" customWidth="1"/>
    <col min="4610" max="4610" width="4.109375" style="3" customWidth="1"/>
    <col min="4611" max="4637" width="4.33203125" style="3" customWidth="1"/>
    <col min="4638" max="4638" width="0.77734375" style="3" customWidth="1"/>
    <col min="4639" max="4864" width="3.44140625" style="3"/>
    <col min="4865" max="4865" width="1.21875" style="3" customWidth="1"/>
    <col min="4866" max="4866" width="4.109375" style="3" customWidth="1"/>
    <col min="4867" max="4893" width="4.33203125" style="3" customWidth="1"/>
    <col min="4894" max="4894" width="0.77734375" style="3" customWidth="1"/>
    <col min="4895" max="5120" width="3.44140625" style="3"/>
    <col min="5121" max="5121" width="1.21875" style="3" customWidth="1"/>
    <col min="5122" max="5122" width="4.109375" style="3" customWidth="1"/>
    <col min="5123" max="5149" width="4.33203125" style="3" customWidth="1"/>
    <col min="5150" max="5150" width="0.77734375" style="3" customWidth="1"/>
    <col min="5151" max="5376" width="3.44140625" style="3"/>
    <col min="5377" max="5377" width="1.21875" style="3" customWidth="1"/>
    <col min="5378" max="5378" width="4.109375" style="3" customWidth="1"/>
    <col min="5379" max="5405" width="4.33203125" style="3" customWidth="1"/>
    <col min="5406" max="5406" width="0.77734375" style="3" customWidth="1"/>
    <col min="5407" max="5632" width="3.44140625" style="3"/>
    <col min="5633" max="5633" width="1.21875" style="3" customWidth="1"/>
    <col min="5634" max="5634" width="4.109375" style="3" customWidth="1"/>
    <col min="5635" max="5661" width="4.33203125" style="3" customWidth="1"/>
    <col min="5662" max="5662" width="0.77734375" style="3" customWidth="1"/>
    <col min="5663" max="5888" width="3.44140625" style="3"/>
    <col min="5889" max="5889" width="1.21875" style="3" customWidth="1"/>
    <col min="5890" max="5890" width="4.109375" style="3" customWidth="1"/>
    <col min="5891" max="5917" width="4.33203125" style="3" customWidth="1"/>
    <col min="5918" max="5918" width="0.77734375" style="3" customWidth="1"/>
    <col min="5919" max="6144" width="3.44140625" style="3"/>
    <col min="6145" max="6145" width="1.21875" style="3" customWidth="1"/>
    <col min="6146" max="6146" width="4.109375" style="3" customWidth="1"/>
    <col min="6147" max="6173" width="4.33203125" style="3" customWidth="1"/>
    <col min="6174" max="6174" width="0.77734375" style="3" customWidth="1"/>
    <col min="6175" max="6400" width="3.44140625" style="3"/>
    <col min="6401" max="6401" width="1.21875" style="3" customWidth="1"/>
    <col min="6402" max="6402" width="4.109375" style="3" customWidth="1"/>
    <col min="6403" max="6429" width="4.33203125" style="3" customWidth="1"/>
    <col min="6430" max="6430" width="0.77734375" style="3" customWidth="1"/>
    <col min="6431" max="6656" width="3.44140625" style="3"/>
    <col min="6657" max="6657" width="1.21875" style="3" customWidth="1"/>
    <col min="6658" max="6658" width="4.109375" style="3" customWidth="1"/>
    <col min="6659" max="6685" width="4.33203125" style="3" customWidth="1"/>
    <col min="6686" max="6686" width="0.77734375" style="3" customWidth="1"/>
    <col min="6687" max="6912" width="3.44140625" style="3"/>
    <col min="6913" max="6913" width="1.21875" style="3" customWidth="1"/>
    <col min="6914" max="6914" width="4.109375" style="3" customWidth="1"/>
    <col min="6915" max="6941" width="4.33203125" style="3" customWidth="1"/>
    <col min="6942" max="6942" width="0.77734375" style="3" customWidth="1"/>
    <col min="6943" max="7168" width="3.44140625" style="3"/>
    <col min="7169" max="7169" width="1.21875" style="3" customWidth="1"/>
    <col min="7170" max="7170" width="4.109375" style="3" customWidth="1"/>
    <col min="7171" max="7197" width="4.33203125" style="3" customWidth="1"/>
    <col min="7198" max="7198" width="0.77734375" style="3" customWidth="1"/>
    <col min="7199" max="7424" width="3.44140625" style="3"/>
    <col min="7425" max="7425" width="1.21875" style="3" customWidth="1"/>
    <col min="7426" max="7426" width="4.109375" style="3" customWidth="1"/>
    <col min="7427" max="7453" width="4.33203125" style="3" customWidth="1"/>
    <col min="7454" max="7454" width="0.77734375" style="3" customWidth="1"/>
    <col min="7455" max="7680" width="3.44140625" style="3"/>
    <col min="7681" max="7681" width="1.21875" style="3" customWidth="1"/>
    <col min="7682" max="7682" width="4.109375" style="3" customWidth="1"/>
    <col min="7683" max="7709" width="4.33203125" style="3" customWidth="1"/>
    <col min="7710" max="7710" width="0.77734375" style="3" customWidth="1"/>
    <col min="7711" max="7936" width="3.44140625" style="3"/>
    <col min="7937" max="7937" width="1.21875" style="3" customWidth="1"/>
    <col min="7938" max="7938" width="4.109375" style="3" customWidth="1"/>
    <col min="7939" max="7965" width="4.33203125" style="3" customWidth="1"/>
    <col min="7966" max="7966" width="0.77734375" style="3" customWidth="1"/>
    <col min="7967" max="8192" width="3.44140625" style="3"/>
    <col min="8193" max="8193" width="1.21875" style="3" customWidth="1"/>
    <col min="8194" max="8194" width="4.109375" style="3" customWidth="1"/>
    <col min="8195" max="8221" width="4.33203125" style="3" customWidth="1"/>
    <col min="8222" max="8222" width="0.77734375" style="3" customWidth="1"/>
    <col min="8223" max="8448" width="3.44140625" style="3"/>
    <col min="8449" max="8449" width="1.21875" style="3" customWidth="1"/>
    <col min="8450" max="8450" width="4.109375" style="3" customWidth="1"/>
    <col min="8451" max="8477" width="4.33203125" style="3" customWidth="1"/>
    <col min="8478" max="8478" width="0.77734375" style="3" customWidth="1"/>
    <col min="8479" max="8704" width="3.44140625" style="3"/>
    <col min="8705" max="8705" width="1.21875" style="3" customWidth="1"/>
    <col min="8706" max="8706" width="4.109375" style="3" customWidth="1"/>
    <col min="8707" max="8733" width="4.33203125" style="3" customWidth="1"/>
    <col min="8734" max="8734" width="0.77734375" style="3" customWidth="1"/>
    <col min="8735" max="8960" width="3.44140625" style="3"/>
    <col min="8961" max="8961" width="1.21875" style="3" customWidth="1"/>
    <col min="8962" max="8962" width="4.109375" style="3" customWidth="1"/>
    <col min="8963" max="8989" width="4.33203125" style="3" customWidth="1"/>
    <col min="8990" max="8990" width="0.77734375" style="3" customWidth="1"/>
    <col min="8991" max="9216" width="3.44140625" style="3"/>
    <col min="9217" max="9217" width="1.21875" style="3" customWidth="1"/>
    <col min="9218" max="9218" width="4.109375" style="3" customWidth="1"/>
    <col min="9219" max="9245" width="4.33203125" style="3" customWidth="1"/>
    <col min="9246" max="9246" width="0.77734375" style="3" customWidth="1"/>
    <col min="9247" max="9472" width="3.44140625" style="3"/>
    <col min="9473" max="9473" width="1.21875" style="3" customWidth="1"/>
    <col min="9474" max="9474" width="4.109375" style="3" customWidth="1"/>
    <col min="9475" max="9501" width="4.33203125" style="3" customWidth="1"/>
    <col min="9502" max="9502" width="0.77734375" style="3" customWidth="1"/>
    <col min="9503" max="9728" width="3.44140625" style="3"/>
    <col min="9729" max="9729" width="1.21875" style="3" customWidth="1"/>
    <col min="9730" max="9730" width="4.109375" style="3" customWidth="1"/>
    <col min="9731" max="9757" width="4.33203125" style="3" customWidth="1"/>
    <col min="9758" max="9758" width="0.77734375" style="3" customWidth="1"/>
    <col min="9759" max="9984" width="3.44140625" style="3"/>
    <col min="9985" max="9985" width="1.21875" style="3" customWidth="1"/>
    <col min="9986" max="9986" width="4.109375" style="3" customWidth="1"/>
    <col min="9987" max="10013" width="4.33203125" style="3" customWidth="1"/>
    <col min="10014" max="10014" width="0.77734375" style="3" customWidth="1"/>
    <col min="10015" max="10240" width="3.44140625" style="3"/>
    <col min="10241" max="10241" width="1.21875" style="3" customWidth="1"/>
    <col min="10242" max="10242" width="4.109375" style="3" customWidth="1"/>
    <col min="10243" max="10269" width="4.33203125" style="3" customWidth="1"/>
    <col min="10270" max="10270" width="0.77734375" style="3" customWidth="1"/>
    <col min="10271" max="10496" width="3.44140625" style="3"/>
    <col min="10497" max="10497" width="1.21875" style="3" customWidth="1"/>
    <col min="10498" max="10498" width="4.109375" style="3" customWidth="1"/>
    <col min="10499" max="10525" width="4.33203125" style="3" customWidth="1"/>
    <col min="10526" max="10526" width="0.77734375" style="3" customWidth="1"/>
    <col min="10527" max="10752" width="3.44140625" style="3"/>
    <col min="10753" max="10753" width="1.21875" style="3" customWidth="1"/>
    <col min="10754" max="10754" width="4.109375" style="3" customWidth="1"/>
    <col min="10755" max="10781" width="4.33203125" style="3" customWidth="1"/>
    <col min="10782" max="10782" width="0.77734375" style="3" customWidth="1"/>
    <col min="10783" max="11008" width="3.44140625" style="3"/>
    <col min="11009" max="11009" width="1.21875" style="3" customWidth="1"/>
    <col min="11010" max="11010" width="4.109375" style="3" customWidth="1"/>
    <col min="11011" max="11037" width="4.33203125" style="3" customWidth="1"/>
    <col min="11038" max="11038" width="0.77734375" style="3" customWidth="1"/>
    <col min="11039" max="11264" width="3.44140625" style="3"/>
    <col min="11265" max="11265" width="1.21875" style="3" customWidth="1"/>
    <col min="11266" max="11266" width="4.109375" style="3" customWidth="1"/>
    <col min="11267" max="11293" width="4.33203125" style="3" customWidth="1"/>
    <col min="11294" max="11294" width="0.77734375" style="3" customWidth="1"/>
    <col min="11295" max="11520" width="3.44140625" style="3"/>
    <col min="11521" max="11521" width="1.21875" style="3" customWidth="1"/>
    <col min="11522" max="11522" width="4.109375" style="3" customWidth="1"/>
    <col min="11523" max="11549" width="4.33203125" style="3" customWidth="1"/>
    <col min="11550" max="11550" width="0.77734375" style="3" customWidth="1"/>
    <col min="11551" max="11776" width="3.44140625" style="3"/>
    <col min="11777" max="11777" width="1.21875" style="3" customWidth="1"/>
    <col min="11778" max="11778" width="4.109375" style="3" customWidth="1"/>
    <col min="11779" max="11805" width="4.33203125" style="3" customWidth="1"/>
    <col min="11806" max="11806" width="0.77734375" style="3" customWidth="1"/>
    <col min="11807" max="12032" width="3.44140625" style="3"/>
    <col min="12033" max="12033" width="1.21875" style="3" customWidth="1"/>
    <col min="12034" max="12034" width="4.109375" style="3" customWidth="1"/>
    <col min="12035" max="12061" width="4.33203125" style="3" customWidth="1"/>
    <col min="12062" max="12062" width="0.77734375" style="3" customWidth="1"/>
    <col min="12063" max="12288" width="3.44140625" style="3"/>
    <col min="12289" max="12289" width="1.21875" style="3" customWidth="1"/>
    <col min="12290" max="12290" width="4.109375" style="3" customWidth="1"/>
    <col min="12291" max="12317" width="4.33203125" style="3" customWidth="1"/>
    <col min="12318" max="12318" width="0.77734375" style="3" customWidth="1"/>
    <col min="12319" max="12544" width="3.44140625" style="3"/>
    <col min="12545" max="12545" width="1.21875" style="3" customWidth="1"/>
    <col min="12546" max="12546" width="4.109375" style="3" customWidth="1"/>
    <col min="12547" max="12573" width="4.33203125" style="3" customWidth="1"/>
    <col min="12574" max="12574" width="0.77734375" style="3" customWidth="1"/>
    <col min="12575" max="12800" width="3.44140625" style="3"/>
    <col min="12801" max="12801" width="1.21875" style="3" customWidth="1"/>
    <col min="12802" max="12802" width="4.109375" style="3" customWidth="1"/>
    <col min="12803" max="12829" width="4.33203125" style="3" customWidth="1"/>
    <col min="12830" max="12830" width="0.77734375" style="3" customWidth="1"/>
    <col min="12831" max="13056" width="3.44140625" style="3"/>
    <col min="13057" max="13057" width="1.21875" style="3" customWidth="1"/>
    <col min="13058" max="13058" width="4.109375" style="3" customWidth="1"/>
    <col min="13059" max="13085" width="4.33203125" style="3" customWidth="1"/>
    <col min="13086" max="13086" width="0.77734375" style="3" customWidth="1"/>
    <col min="13087" max="13312" width="3.44140625" style="3"/>
    <col min="13313" max="13313" width="1.21875" style="3" customWidth="1"/>
    <col min="13314" max="13314" width="4.109375" style="3" customWidth="1"/>
    <col min="13315" max="13341" width="4.33203125" style="3" customWidth="1"/>
    <col min="13342" max="13342" width="0.77734375" style="3" customWidth="1"/>
    <col min="13343" max="13568" width="3.44140625" style="3"/>
    <col min="13569" max="13569" width="1.21875" style="3" customWidth="1"/>
    <col min="13570" max="13570" width="4.109375" style="3" customWidth="1"/>
    <col min="13571" max="13597" width="4.33203125" style="3" customWidth="1"/>
    <col min="13598" max="13598" width="0.77734375" style="3" customWidth="1"/>
    <col min="13599" max="13824" width="3.44140625" style="3"/>
    <col min="13825" max="13825" width="1.21875" style="3" customWidth="1"/>
    <col min="13826" max="13826" width="4.109375" style="3" customWidth="1"/>
    <col min="13827" max="13853" width="4.33203125" style="3" customWidth="1"/>
    <col min="13854" max="13854" width="0.77734375" style="3" customWidth="1"/>
    <col min="13855" max="14080" width="3.44140625" style="3"/>
    <col min="14081" max="14081" width="1.21875" style="3" customWidth="1"/>
    <col min="14082" max="14082" width="4.109375" style="3" customWidth="1"/>
    <col min="14083" max="14109" width="4.33203125" style="3" customWidth="1"/>
    <col min="14110" max="14110" width="0.77734375" style="3" customWidth="1"/>
    <col min="14111" max="14336" width="3.44140625" style="3"/>
    <col min="14337" max="14337" width="1.21875" style="3" customWidth="1"/>
    <col min="14338" max="14338" width="4.109375" style="3" customWidth="1"/>
    <col min="14339" max="14365" width="4.33203125" style="3" customWidth="1"/>
    <col min="14366" max="14366" width="0.77734375" style="3" customWidth="1"/>
    <col min="14367" max="14592" width="3.44140625" style="3"/>
    <col min="14593" max="14593" width="1.21875" style="3" customWidth="1"/>
    <col min="14594" max="14594" width="4.109375" style="3" customWidth="1"/>
    <col min="14595" max="14621" width="4.33203125" style="3" customWidth="1"/>
    <col min="14622" max="14622" width="0.77734375" style="3" customWidth="1"/>
    <col min="14623" max="14848" width="3.44140625" style="3"/>
    <col min="14849" max="14849" width="1.21875" style="3" customWidth="1"/>
    <col min="14850" max="14850" width="4.109375" style="3" customWidth="1"/>
    <col min="14851" max="14877" width="4.33203125" style="3" customWidth="1"/>
    <col min="14878" max="14878" width="0.77734375" style="3" customWidth="1"/>
    <col min="14879" max="15104" width="3.44140625" style="3"/>
    <col min="15105" max="15105" width="1.21875" style="3" customWidth="1"/>
    <col min="15106" max="15106" width="4.109375" style="3" customWidth="1"/>
    <col min="15107" max="15133" width="4.33203125" style="3" customWidth="1"/>
    <col min="15134" max="15134" width="0.77734375" style="3" customWidth="1"/>
    <col min="15135" max="15360" width="3.44140625" style="3"/>
    <col min="15361" max="15361" width="1.21875" style="3" customWidth="1"/>
    <col min="15362" max="15362" width="4.109375" style="3" customWidth="1"/>
    <col min="15363" max="15389" width="4.33203125" style="3" customWidth="1"/>
    <col min="15390" max="15390" width="0.77734375" style="3" customWidth="1"/>
    <col min="15391" max="15616" width="3.44140625" style="3"/>
    <col min="15617" max="15617" width="1.21875" style="3" customWidth="1"/>
    <col min="15618" max="15618" width="4.109375" style="3" customWidth="1"/>
    <col min="15619" max="15645" width="4.33203125" style="3" customWidth="1"/>
    <col min="15646" max="15646" width="0.77734375" style="3" customWidth="1"/>
    <col min="15647" max="15872" width="3.44140625" style="3"/>
    <col min="15873" max="15873" width="1.21875" style="3" customWidth="1"/>
    <col min="15874" max="15874" width="4.109375" style="3" customWidth="1"/>
    <col min="15875" max="15901" width="4.33203125" style="3" customWidth="1"/>
    <col min="15902" max="15902" width="0.77734375" style="3" customWidth="1"/>
    <col min="15903" max="16128" width="3.44140625" style="3"/>
    <col min="16129" max="16129" width="1.21875" style="3" customWidth="1"/>
    <col min="16130" max="16130" width="4.109375" style="3" customWidth="1"/>
    <col min="16131" max="16157" width="4.33203125" style="3" customWidth="1"/>
    <col min="16158" max="16158" width="0.77734375" style="3" customWidth="1"/>
    <col min="16159" max="16384" width="3.44140625" style="3"/>
  </cols>
  <sheetData>
    <row r="1" spans="2:29" s="1" customFormat="1" ht="10.5" customHeight="1" x14ac:dyDescent="0.2"/>
    <row r="2" spans="2:29" s="1" customFormat="1" x14ac:dyDescent="0.2">
      <c r="B2" s="1" t="s">
        <v>1577</v>
      </c>
    </row>
    <row r="3" spans="2:29" s="1" customFormat="1" x14ac:dyDescent="0.2">
      <c r="W3" s="45" t="s">
        <v>643</v>
      </c>
      <c r="X3" s="12"/>
      <c r="Y3" s="12" t="s">
        <v>34</v>
      </c>
      <c r="Z3" s="12"/>
      <c r="AA3" s="12" t="s">
        <v>383</v>
      </c>
      <c r="AB3" s="12"/>
      <c r="AC3" s="12" t="s">
        <v>167</v>
      </c>
    </row>
    <row r="4" spans="2:29" s="1" customFormat="1" ht="4.5" customHeight="1" x14ac:dyDescent="0.2"/>
    <row r="5" spans="2:29" s="1" customFormat="1" ht="15.75" customHeight="1" x14ac:dyDescent="0.2">
      <c r="B5" s="1568" t="s">
        <v>1578</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row>
    <row r="6" spans="2:29" s="1" customFormat="1" x14ac:dyDescent="0.2"/>
    <row r="7" spans="2:29" s="1" customFormat="1" ht="30" customHeight="1" x14ac:dyDescent="0.2">
      <c r="B7" s="1554" t="s">
        <v>274</v>
      </c>
      <c r="C7" s="1554"/>
      <c r="D7" s="1554"/>
      <c r="E7" s="1554"/>
      <c r="F7" s="1338"/>
      <c r="G7" s="1549"/>
      <c r="H7" s="1550"/>
      <c r="I7" s="1550"/>
      <c r="J7" s="1550"/>
      <c r="K7" s="1550"/>
      <c r="L7" s="1550"/>
      <c r="M7" s="1550"/>
      <c r="N7" s="1550"/>
      <c r="O7" s="1550"/>
      <c r="P7" s="1550"/>
      <c r="Q7" s="1550"/>
      <c r="R7" s="1550"/>
      <c r="S7" s="1550"/>
      <c r="T7" s="1550"/>
      <c r="U7" s="1550"/>
      <c r="V7" s="1550"/>
      <c r="W7" s="1550"/>
      <c r="X7" s="1550"/>
      <c r="Y7" s="1550"/>
      <c r="Z7" s="1550"/>
      <c r="AA7" s="1550"/>
      <c r="AB7" s="1550"/>
      <c r="AC7" s="1551"/>
    </row>
    <row r="8" spans="2:29" ht="30" customHeight="1" x14ac:dyDescent="0.2">
      <c r="B8" s="1338" t="s">
        <v>93</v>
      </c>
      <c r="C8" s="1339"/>
      <c r="D8" s="1339"/>
      <c r="E8" s="1339"/>
      <c r="F8" s="1339"/>
      <c r="G8" s="758" t="s">
        <v>116</v>
      </c>
      <c r="H8" s="759" t="s">
        <v>1174</v>
      </c>
      <c r="I8" s="759"/>
      <c r="J8" s="759"/>
      <c r="K8" s="759"/>
      <c r="L8" s="786" t="s">
        <v>116</v>
      </c>
      <c r="M8" s="759" t="s">
        <v>1175</v>
      </c>
      <c r="N8" s="759"/>
      <c r="O8" s="759"/>
      <c r="P8" s="759"/>
      <c r="Q8" s="786" t="s">
        <v>116</v>
      </c>
      <c r="R8" s="759" t="s">
        <v>1176</v>
      </c>
      <c r="S8" s="759"/>
      <c r="T8" s="759"/>
      <c r="U8" s="759"/>
      <c r="V8" s="759"/>
      <c r="W8" s="759"/>
      <c r="X8" s="759"/>
      <c r="Y8" s="759"/>
      <c r="Z8" s="759"/>
      <c r="AA8" s="759"/>
      <c r="AB8" s="759"/>
      <c r="AC8" s="785"/>
    </row>
    <row r="9" spans="2:29" ht="30" customHeight="1" x14ac:dyDescent="0.2">
      <c r="B9" s="1338" t="s">
        <v>173</v>
      </c>
      <c r="C9" s="1339"/>
      <c r="D9" s="1339"/>
      <c r="E9" s="1339"/>
      <c r="F9" s="1339"/>
      <c r="G9" s="758" t="s">
        <v>116</v>
      </c>
      <c r="H9" s="759" t="s">
        <v>1579</v>
      </c>
      <c r="I9" s="759"/>
      <c r="J9" s="759"/>
      <c r="K9" s="759"/>
      <c r="L9" s="759"/>
      <c r="M9" s="759"/>
      <c r="N9" s="759"/>
      <c r="O9" s="759"/>
      <c r="P9" s="759"/>
      <c r="Q9" s="786" t="s">
        <v>116</v>
      </c>
      <c r="R9" s="759" t="s">
        <v>1580</v>
      </c>
      <c r="S9" s="759"/>
      <c r="T9" s="759"/>
      <c r="U9" s="594"/>
      <c r="V9" s="594"/>
      <c r="W9" s="759"/>
      <c r="X9" s="759"/>
      <c r="Y9" s="759"/>
      <c r="Z9" s="759"/>
      <c r="AA9" s="759"/>
      <c r="AB9" s="759"/>
      <c r="AC9" s="785"/>
    </row>
    <row r="10" spans="2:29" s="1" customFormat="1" x14ac:dyDescent="0.2"/>
    <row r="11" spans="2:29" s="1" customFormat="1" ht="26.25" customHeight="1" x14ac:dyDescent="0.2">
      <c r="B11" s="6" t="s">
        <v>275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582"/>
      <c r="C12" s="803"/>
      <c r="D12" s="804"/>
      <c r="E12" s="804"/>
      <c r="F12" s="804"/>
      <c r="G12" s="803"/>
      <c r="H12" s="804"/>
      <c r="I12" s="804"/>
      <c r="J12" s="804"/>
      <c r="K12" s="804"/>
      <c r="L12" s="804"/>
      <c r="M12" s="804"/>
      <c r="N12" s="804"/>
      <c r="O12" s="804"/>
      <c r="P12" s="804"/>
      <c r="Q12" s="804"/>
      <c r="R12" s="804"/>
      <c r="S12" s="804"/>
      <c r="T12" s="804"/>
      <c r="U12" s="804"/>
      <c r="V12" s="804"/>
      <c r="W12" s="804"/>
      <c r="X12" s="804"/>
      <c r="Y12" s="804"/>
      <c r="Z12" s="804"/>
      <c r="AA12" s="805" t="s">
        <v>1117</v>
      </c>
      <c r="AB12" s="769" t="s">
        <v>441</v>
      </c>
      <c r="AC12" s="770" t="s">
        <v>721</v>
      </c>
    </row>
    <row r="13" spans="2:29" s="1" customFormat="1" ht="20.25" customHeight="1" x14ac:dyDescent="0.2">
      <c r="B13" s="582"/>
      <c r="C13" s="1707" t="s">
        <v>276</v>
      </c>
      <c r="D13" s="1708"/>
      <c r="E13" s="1708"/>
      <c r="F13" s="1709"/>
      <c r="G13" s="806"/>
      <c r="H13" s="767" t="s">
        <v>103</v>
      </c>
      <c r="I13" s="1710" t="s">
        <v>277</v>
      </c>
      <c r="J13" s="1347"/>
      <c r="K13" s="1347"/>
      <c r="L13" s="1347"/>
      <c r="M13" s="1347"/>
      <c r="N13" s="1347"/>
      <c r="O13" s="1347"/>
      <c r="P13" s="1347"/>
      <c r="Q13" s="1347"/>
      <c r="R13" s="1347"/>
      <c r="S13" s="1347"/>
      <c r="T13" s="1347"/>
      <c r="U13" s="1348"/>
      <c r="V13" s="782"/>
      <c r="W13" s="782"/>
      <c r="X13" s="782"/>
      <c r="Y13" s="782"/>
      <c r="Z13" s="806"/>
      <c r="AA13" s="763" t="s">
        <v>116</v>
      </c>
      <c r="AB13" s="760" t="s">
        <v>441</v>
      </c>
      <c r="AC13" s="771" t="s">
        <v>116</v>
      </c>
    </row>
    <row r="14" spans="2:29" s="1" customFormat="1" ht="20.25" customHeight="1" x14ac:dyDescent="0.2">
      <c r="B14" s="596"/>
      <c r="C14" s="807"/>
      <c r="D14" s="782"/>
      <c r="E14" s="782"/>
      <c r="F14" s="808"/>
      <c r="G14" s="806"/>
      <c r="H14" s="767" t="s">
        <v>104</v>
      </c>
      <c r="I14" s="1640" t="s">
        <v>278</v>
      </c>
      <c r="J14" s="1641"/>
      <c r="K14" s="1641"/>
      <c r="L14" s="1641"/>
      <c r="M14" s="1641"/>
      <c r="N14" s="1641"/>
      <c r="O14" s="1641"/>
      <c r="P14" s="1641"/>
      <c r="Q14" s="1641"/>
      <c r="R14" s="1641"/>
      <c r="S14" s="1692"/>
      <c r="T14" s="1693"/>
      <c r="U14" s="809" t="s">
        <v>89</v>
      </c>
      <c r="V14" s="773" t="s">
        <v>279</v>
      </c>
      <c r="W14" s="1712" t="s">
        <v>280</v>
      </c>
      <c r="X14" s="1712"/>
      <c r="Y14" s="1712"/>
      <c r="Z14" s="806"/>
      <c r="AA14" s="763" t="s">
        <v>116</v>
      </c>
      <c r="AB14" s="760" t="s">
        <v>441</v>
      </c>
      <c r="AC14" s="771" t="s">
        <v>116</v>
      </c>
    </row>
    <row r="15" spans="2:29" s="1" customFormat="1" ht="20.25" customHeight="1" x14ac:dyDescent="0.2">
      <c r="B15" s="596"/>
      <c r="C15" s="807"/>
      <c r="D15" s="782"/>
      <c r="E15" s="782"/>
      <c r="F15" s="808"/>
      <c r="G15" s="806"/>
      <c r="H15" s="767" t="s">
        <v>120</v>
      </c>
      <c r="I15" s="1710" t="s">
        <v>281</v>
      </c>
      <c r="J15" s="1347"/>
      <c r="K15" s="1347"/>
      <c r="L15" s="1347"/>
      <c r="M15" s="1347"/>
      <c r="N15" s="1347"/>
      <c r="O15" s="1347"/>
      <c r="P15" s="1347"/>
      <c r="Q15" s="1347"/>
      <c r="R15" s="1348"/>
      <c r="S15" s="1692"/>
      <c r="T15" s="1693"/>
      <c r="U15" s="809" t="s">
        <v>89</v>
      </c>
      <c r="V15" s="773" t="s">
        <v>279</v>
      </c>
      <c r="W15" s="1712" t="s">
        <v>280</v>
      </c>
      <c r="X15" s="1712"/>
      <c r="Y15" s="1712"/>
      <c r="Z15" s="806"/>
      <c r="AA15" s="763" t="s">
        <v>116</v>
      </c>
      <c r="AB15" s="760" t="s">
        <v>441</v>
      </c>
      <c r="AC15" s="771" t="s">
        <v>116</v>
      </c>
    </row>
    <row r="16" spans="2:29" s="1" customFormat="1" x14ac:dyDescent="0.2">
      <c r="B16" s="582"/>
      <c r="C16" s="810"/>
      <c r="D16" s="811"/>
      <c r="E16" s="811"/>
      <c r="F16" s="812"/>
      <c r="G16" s="811"/>
      <c r="H16" s="813"/>
      <c r="I16" s="811"/>
      <c r="J16" s="811"/>
      <c r="K16" s="811"/>
      <c r="L16" s="811"/>
      <c r="M16" s="811"/>
      <c r="N16" s="811"/>
      <c r="O16" s="811"/>
      <c r="P16" s="811"/>
      <c r="Q16" s="811"/>
      <c r="R16" s="811"/>
      <c r="S16" s="811"/>
      <c r="T16" s="811"/>
      <c r="U16" s="811"/>
      <c r="V16" s="811"/>
      <c r="W16" s="811"/>
      <c r="X16" s="811"/>
      <c r="Y16" s="811"/>
      <c r="Z16" s="811"/>
      <c r="AA16" s="810"/>
      <c r="AB16" s="811"/>
      <c r="AC16" s="812"/>
    </row>
    <row r="17" spans="2:29" s="1" customFormat="1" ht="10.5" customHeight="1" x14ac:dyDescent="0.2">
      <c r="B17" s="582"/>
      <c r="C17" s="803"/>
      <c r="D17" s="804"/>
      <c r="E17" s="804"/>
      <c r="F17" s="804"/>
      <c r="G17" s="803"/>
      <c r="H17" s="814"/>
      <c r="I17" s="804"/>
      <c r="J17" s="804"/>
      <c r="K17" s="804"/>
      <c r="L17" s="804"/>
      <c r="M17" s="804"/>
      <c r="N17" s="804"/>
      <c r="O17" s="804"/>
      <c r="P17" s="804"/>
      <c r="Q17" s="804"/>
      <c r="R17" s="804"/>
      <c r="S17" s="804"/>
      <c r="T17" s="804"/>
      <c r="U17" s="804"/>
      <c r="V17" s="804"/>
      <c r="W17" s="804"/>
      <c r="X17" s="804"/>
      <c r="Y17" s="804"/>
      <c r="Z17" s="804"/>
      <c r="AA17" s="803"/>
      <c r="AB17" s="804"/>
      <c r="AC17" s="815"/>
    </row>
    <row r="18" spans="2:29" s="1" customFormat="1" ht="18" customHeight="1" x14ac:dyDescent="0.2">
      <c r="B18" s="596"/>
      <c r="C18" s="1713" t="s">
        <v>282</v>
      </c>
      <c r="D18" s="1645"/>
      <c r="E18" s="1645"/>
      <c r="F18" s="1698"/>
      <c r="G18" s="806"/>
      <c r="H18" s="767" t="s">
        <v>103</v>
      </c>
      <c r="I18" s="1642" t="s">
        <v>283</v>
      </c>
      <c r="J18" s="1643"/>
      <c r="K18" s="1643"/>
      <c r="L18" s="1643"/>
      <c r="M18" s="1643"/>
      <c r="N18" s="1643"/>
      <c r="O18" s="1643"/>
      <c r="P18" s="1643"/>
      <c r="Q18" s="1643"/>
      <c r="R18" s="1644"/>
      <c r="S18" s="1692"/>
      <c r="T18" s="1693"/>
      <c r="U18" s="809" t="s">
        <v>89</v>
      </c>
      <c r="V18" s="773"/>
      <c r="W18" s="773"/>
      <c r="X18" s="773"/>
      <c r="Y18" s="773"/>
      <c r="Z18" s="806"/>
      <c r="AA18" s="768" t="s">
        <v>1117</v>
      </c>
      <c r="AB18" s="769" t="s">
        <v>441</v>
      </c>
      <c r="AC18" s="770" t="s">
        <v>721</v>
      </c>
    </row>
    <row r="19" spans="2:29" s="1" customFormat="1" ht="18" customHeight="1" x14ac:dyDescent="0.2">
      <c r="B19" s="596"/>
      <c r="C19" s="1713"/>
      <c r="D19" s="1645"/>
      <c r="E19" s="1645"/>
      <c r="F19" s="1698"/>
      <c r="G19" s="806"/>
      <c r="H19" s="767" t="s">
        <v>104</v>
      </c>
      <c r="I19" s="1642" t="s">
        <v>284</v>
      </c>
      <c r="J19" s="1643"/>
      <c r="K19" s="1643"/>
      <c r="L19" s="1643"/>
      <c r="M19" s="1643"/>
      <c r="N19" s="1643"/>
      <c r="O19" s="1643"/>
      <c r="P19" s="1643"/>
      <c r="Q19" s="1643"/>
      <c r="R19" s="1644"/>
      <c r="S19" s="1692"/>
      <c r="T19" s="1693"/>
      <c r="U19" s="809" t="s">
        <v>89</v>
      </c>
      <c r="V19" s="806"/>
      <c r="W19" s="1711"/>
      <c r="X19" s="1645"/>
      <c r="Y19" s="1645"/>
      <c r="Z19" s="806"/>
      <c r="AA19" s="816"/>
      <c r="AB19" s="806"/>
      <c r="AC19" s="817"/>
    </row>
    <row r="20" spans="2:29" s="1" customFormat="1" ht="18" customHeight="1" x14ac:dyDescent="0.2">
      <c r="B20" s="596"/>
      <c r="C20" s="807"/>
      <c r="D20" s="782"/>
      <c r="E20" s="782"/>
      <c r="F20" s="808"/>
      <c r="G20" s="806"/>
      <c r="H20" s="767" t="s">
        <v>120</v>
      </c>
      <c r="I20" s="1642" t="s">
        <v>285</v>
      </c>
      <c r="J20" s="1643"/>
      <c r="K20" s="1643"/>
      <c r="L20" s="1643"/>
      <c r="M20" s="1643"/>
      <c r="N20" s="1643"/>
      <c r="O20" s="1643"/>
      <c r="P20" s="1643"/>
      <c r="Q20" s="1643"/>
      <c r="R20" s="1644"/>
      <c r="S20" s="1692"/>
      <c r="T20" s="1693"/>
      <c r="U20" s="809" t="s">
        <v>60</v>
      </c>
      <c r="V20" s="806" t="s">
        <v>279</v>
      </c>
      <c r="W20" s="1714" t="s">
        <v>286</v>
      </c>
      <c r="X20" s="1712"/>
      <c r="Y20" s="1712"/>
      <c r="Z20" s="806"/>
      <c r="AA20" s="763" t="s">
        <v>116</v>
      </c>
      <c r="AB20" s="760" t="s">
        <v>441</v>
      </c>
      <c r="AC20" s="771" t="s">
        <v>116</v>
      </c>
    </row>
    <row r="21" spans="2:29" s="1" customFormat="1" ht="18" customHeight="1" x14ac:dyDescent="0.2">
      <c r="B21" s="596"/>
      <c r="C21" s="807"/>
      <c r="D21" s="782"/>
      <c r="E21" s="782"/>
      <c r="F21" s="808"/>
      <c r="G21" s="806"/>
      <c r="H21" s="767" t="s">
        <v>121</v>
      </c>
      <c r="I21" s="1640" t="s">
        <v>287</v>
      </c>
      <c r="J21" s="1641"/>
      <c r="K21" s="1641"/>
      <c r="L21" s="1641"/>
      <c r="M21" s="1641"/>
      <c r="N21" s="1641"/>
      <c r="O21" s="1641"/>
      <c r="P21" s="1641"/>
      <c r="Q21" s="1641"/>
      <c r="R21" s="1641"/>
      <c r="S21" s="1692"/>
      <c r="T21" s="1693"/>
      <c r="U21" s="809" t="s">
        <v>89</v>
      </c>
      <c r="V21" s="806"/>
      <c r="W21" s="818"/>
      <c r="X21" s="783"/>
      <c r="Y21" s="783"/>
      <c r="Z21" s="806"/>
      <c r="AA21" s="798"/>
      <c r="AB21" s="773"/>
      <c r="AC21" s="819"/>
    </row>
    <row r="22" spans="2:29" s="1" customFormat="1" ht="27" customHeight="1" x14ac:dyDescent="0.2">
      <c r="B22" s="596"/>
      <c r="C22" s="807"/>
      <c r="D22" s="782"/>
      <c r="E22" s="782"/>
      <c r="F22" s="808"/>
      <c r="G22" s="806"/>
      <c r="H22" s="767" t="s">
        <v>234</v>
      </c>
      <c r="I22" s="1640" t="s">
        <v>288</v>
      </c>
      <c r="J22" s="1641"/>
      <c r="K22" s="1641"/>
      <c r="L22" s="1641"/>
      <c r="M22" s="1641"/>
      <c r="N22" s="1641"/>
      <c r="O22" s="1641"/>
      <c r="P22" s="1641"/>
      <c r="Q22" s="1641"/>
      <c r="R22" s="1641"/>
      <c r="S22" s="1692"/>
      <c r="T22" s="1693"/>
      <c r="U22" s="809" t="s">
        <v>89</v>
      </c>
      <c r="V22" s="773"/>
      <c r="W22" s="781"/>
      <c r="X22" s="781"/>
      <c r="Y22" s="781"/>
      <c r="Z22" s="806"/>
      <c r="AA22" s="816"/>
      <c r="AB22" s="806"/>
      <c r="AC22" s="817"/>
    </row>
    <row r="23" spans="2:29" s="1" customFormat="1" ht="18" customHeight="1" x14ac:dyDescent="0.2">
      <c r="B23" s="582"/>
      <c r="C23" s="807"/>
      <c r="D23" s="782"/>
      <c r="E23" s="782"/>
      <c r="F23" s="808"/>
      <c r="G23" s="806"/>
      <c r="H23" s="767" t="s">
        <v>289</v>
      </c>
      <c r="I23" s="1642" t="s">
        <v>290</v>
      </c>
      <c r="J23" s="1643"/>
      <c r="K23" s="1643"/>
      <c r="L23" s="1643"/>
      <c r="M23" s="1643"/>
      <c r="N23" s="1643"/>
      <c r="O23" s="1643"/>
      <c r="P23" s="1643"/>
      <c r="Q23" s="1643"/>
      <c r="R23" s="1644"/>
      <c r="S23" s="1692"/>
      <c r="T23" s="1693"/>
      <c r="U23" s="809" t="s">
        <v>60</v>
      </c>
      <c r="V23" s="773" t="s">
        <v>279</v>
      </c>
      <c r="W23" s="1712" t="s">
        <v>168</v>
      </c>
      <c r="X23" s="1712"/>
      <c r="Y23" s="1712"/>
      <c r="Z23" s="772"/>
      <c r="AA23" s="763" t="s">
        <v>116</v>
      </c>
      <c r="AB23" s="760" t="s">
        <v>441</v>
      </c>
      <c r="AC23" s="771" t="s">
        <v>116</v>
      </c>
    </row>
    <row r="24" spans="2:29" s="1" customFormat="1" x14ac:dyDescent="0.2">
      <c r="B24" s="582"/>
      <c r="C24" s="810"/>
      <c r="D24" s="811"/>
      <c r="E24" s="811"/>
      <c r="F24" s="812"/>
      <c r="G24" s="811"/>
      <c r="H24" s="811"/>
      <c r="I24" s="811"/>
      <c r="J24" s="811"/>
      <c r="K24" s="811"/>
      <c r="L24" s="811"/>
      <c r="M24" s="811"/>
      <c r="N24" s="811"/>
      <c r="O24" s="811"/>
      <c r="P24" s="811"/>
      <c r="Q24" s="811"/>
      <c r="R24" s="811"/>
      <c r="S24" s="811"/>
      <c r="T24" s="811"/>
      <c r="U24" s="811"/>
      <c r="V24" s="811"/>
      <c r="W24" s="811"/>
      <c r="X24" s="811"/>
      <c r="Y24" s="811"/>
      <c r="Z24" s="811"/>
      <c r="AA24" s="810"/>
      <c r="AB24" s="811"/>
      <c r="AC24" s="812"/>
    </row>
    <row r="25" spans="2:29" s="1" customFormat="1" ht="10.5" customHeight="1" x14ac:dyDescent="0.2">
      <c r="B25" s="582"/>
      <c r="C25" s="803"/>
      <c r="D25" s="804"/>
      <c r="E25" s="804"/>
      <c r="F25" s="815"/>
      <c r="G25" s="804"/>
      <c r="H25" s="804"/>
      <c r="I25" s="804"/>
      <c r="J25" s="804"/>
      <c r="K25" s="804"/>
      <c r="L25" s="804"/>
      <c r="M25" s="804"/>
      <c r="N25" s="804"/>
      <c r="O25" s="804"/>
      <c r="P25" s="804"/>
      <c r="Q25" s="804"/>
      <c r="R25" s="804"/>
      <c r="S25" s="804"/>
      <c r="T25" s="804"/>
      <c r="U25" s="804"/>
      <c r="V25" s="804"/>
      <c r="W25" s="804"/>
      <c r="X25" s="804"/>
      <c r="Y25" s="804"/>
      <c r="Z25" s="804"/>
      <c r="AA25" s="803"/>
      <c r="AB25" s="804"/>
      <c r="AC25" s="815"/>
    </row>
    <row r="26" spans="2:29" s="1" customFormat="1" ht="18" customHeight="1" x14ac:dyDescent="0.2">
      <c r="B26" s="596"/>
      <c r="C26" s="1713" t="s">
        <v>291</v>
      </c>
      <c r="D26" s="1645"/>
      <c r="E26" s="1645"/>
      <c r="F26" s="1698"/>
      <c r="G26" s="806"/>
      <c r="H26" s="1692" t="s">
        <v>292</v>
      </c>
      <c r="I26" s="1693"/>
      <c r="J26" s="1693"/>
      <c r="K26" s="1693"/>
      <c r="L26" s="1693"/>
      <c r="M26" s="1693"/>
      <c r="N26" s="1693"/>
      <c r="O26" s="1693"/>
      <c r="P26" s="1693"/>
      <c r="Q26" s="1693"/>
      <c r="R26" s="1693"/>
      <c r="S26" s="1693"/>
      <c r="T26" s="1693"/>
      <c r="U26" s="1693"/>
      <c r="V26" s="1693"/>
      <c r="W26" s="1694"/>
      <c r="X26" s="806"/>
      <c r="Y26" s="806"/>
      <c r="Z26" s="806"/>
      <c r="AA26" s="768" t="s">
        <v>1117</v>
      </c>
      <c r="AB26" s="769" t="s">
        <v>441</v>
      </c>
      <c r="AC26" s="770" t="s">
        <v>721</v>
      </c>
    </row>
    <row r="27" spans="2:29" s="1" customFormat="1" ht="18" customHeight="1" x14ac:dyDescent="0.2">
      <c r="B27" s="596"/>
      <c r="C27" s="807"/>
      <c r="D27" s="782"/>
      <c r="E27" s="782"/>
      <c r="F27" s="808"/>
      <c r="G27" s="806"/>
      <c r="H27" s="1692"/>
      <c r="I27" s="1693"/>
      <c r="J27" s="1693"/>
      <c r="K27" s="1693"/>
      <c r="L27" s="1693"/>
      <c r="M27" s="1693"/>
      <c r="N27" s="1693"/>
      <c r="O27" s="1693"/>
      <c r="P27" s="1693"/>
      <c r="Q27" s="1693"/>
      <c r="R27" s="1693"/>
      <c r="S27" s="1693"/>
      <c r="T27" s="1693"/>
      <c r="U27" s="1693"/>
      <c r="V27" s="1693"/>
      <c r="W27" s="1694"/>
      <c r="X27" s="806"/>
      <c r="Y27" s="806"/>
      <c r="Z27" s="806"/>
      <c r="AA27" s="816"/>
      <c r="AB27" s="806"/>
      <c r="AC27" s="817"/>
    </row>
    <row r="28" spans="2:29" s="1" customFormat="1" ht="18" customHeight="1" x14ac:dyDescent="0.2">
      <c r="B28" s="582"/>
      <c r="C28" s="816"/>
      <c r="D28" s="806"/>
      <c r="E28" s="806"/>
      <c r="F28" s="817"/>
      <c r="G28" s="806"/>
      <c r="H28" s="1692"/>
      <c r="I28" s="1693"/>
      <c r="J28" s="1693"/>
      <c r="K28" s="1693"/>
      <c r="L28" s="1693"/>
      <c r="M28" s="1693"/>
      <c r="N28" s="1693"/>
      <c r="O28" s="1693"/>
      <c r="P28" s="1693"/>
      <c r="Q28" s="1693"/>
      <c r="R28" s="1693"/>
      <c r="S28" s="1693"/>
      <c r="T28" s="1693"/>
      <c r="U28" s="1693"/>
      <c r="V28" s="1693"/>
      <c r="W28" s="1694"/>
      <c r="X28" s="806"/>
      <c r="Y28" s="806"/>
      <c r="Z28" s="806"/>
      <c r="AA28" s="763" t="s">
        <v>116</v>
      </c>
      <c r="AB28" s="760" t="s">
        <v>441</v>
      </c>
      <c r="AC28" s="771" t="s">
        <v>116</v>
      </c>
    </row>
    <row r="29" spans="2:29" s="1" customFormat="1" ht="10.5" customHeight="1" x14ac:dyDescent="0.2">
      <c r="B29" s="582"/>
      <c r="C29" s="810"/>
      <c r="D29" s="811"/>
      <c r="E29" s="811"/>
      <c r="F29" s="812"/>
      <c r="G29" s="811"/>
      <c r="H29" s="813"/>
      <c r="I29" s="813"/>
      <c r="J29" s="813"/>
      <c r="K29" s="813"/>
      <c r="L29" s="813"/>
      <c r="M29" s="813"/>
      <c r="N29" s="813"/>
      <c r="O29" s="813"/>
      <c r="P29" s="813"/>
      <c r="Q29" s="813"/>
      <c r="R29" s="813"/>
      <c r="S29" s="813"/>
      <c r="T29" s="813"/>
      <c r="U29" s="813"/>
      <c r="V29" s="813"/>
      <c r="W29" s="813"/>
      <c r="X29" s="811"/>
      <c r="Y29" s="811"/>
      <c r="Z29" s="811"/>
      <c r="AA29" s="810"/>
      <c r="AB29" s="811"/>
      <c r="AC29" s="812"/>
    </row>
    <row r="30" spans="2:29" s="1" customFormat="1" ht="10.5" customHeight="1" x14ac:dyDescent="0.2">
      <c r="B30" s="582"/>
      <c r="C30" s="803"/>
      <c r="D30" s="804"/>
      <c r="E30" s="804"/>
      <c r="F30" s="815"/>
      <c r="G30" s="804"/>
      <c r="H30" s="814"/>
      <c r="I30" s="814"/>
      <c r="J30" s="814"/>
      <c r="K30" s="814"/>
      <c r="L30" s="814"/>
      <c r="M30" s="814"/>
      <c r="N30" s="814"/>
      <c r="O30" s="814"/>
      <c r="P30" s="814"/>
      <c r="Q30" s="814"/>
      <c r="R30" s="814"/>
      <c r="S30" s="814"/>
      <c r="T30" s="814"/>
      <c r="U30" s="814"/>
      <c r="V30" s="814"/>
      <c r="W30" s="814"/>
      <c r="X30" s="804"/>
      <c r="Y30" s="804"/>
      <c r="Z30" s="804"/>
      <c r="AA30" s="803"/>
      <c r="AB30" s="804"/>
      <c r="AC30" s="815"/>
    </row>
    <row r="31" spans="2:29" s="1" customFormat="1" ht="15.75" customHeight="1" x14ac:dyDescent="0.2">
      <c r="B31" s="582"/>
      <c r="C31" s="1713" t="s">
        <v>293</v>
      </c>
      <c r="D31" s="1645"/>
      <c r="E31" s="1645"/>
      <c r="F31" s="1698"/>
      <c r="G31" s="806"/>
      <c r="H31" s="773"/>
      <c r="I31" s="773"/>
      <c r="J31" s="773"/>
      <c r="K31" s="773"/>
      <c r="L31" s="773"/>
      <c r="M31" s="773"/>
      <c r="N31" s="773"/>
      <c r="O31" s="773"/>
      <c r="P31" s="1715" t="s">
        <v>170</v>
      </c>
      <c r="Q31" s="1716"/>
      <c r="R31" s="1715" t="s">
        <v>171</v>
      </c>
      <c r="S31" s="1716"/>
      <c r="T31" s="1715" t="s">
        <v>172</v>
      </c>
      <c r="U31" s="1716"/>
      <c r="V31" s="806"/>
      <c r="W31" s="806"/>
      <c r="X31" s="806"/>
      <c r="Y31" s="806"/>
      <c r="Z31" s="806"/>
      <c r="AA31" s="768" t="s">
        <v>1117</v>
      </c>
      <c r="AB31" s="769" t="s">
        <v>441</v>
      </c>
      <c r="AC31" s="770" t="s">
        <v>721</v>
      </c>
    </row>
    <row r="32" spans="2:29" s="1" customFormat="1" ht="26.25" customHeight="1" x14ac:dyDescent="0.2">
      <c r="B32" s="582"/>
      <c r="C32" s="1713"/>
      <c r="D32" s="1645"/>
      <c r="E32" s="1645"/>
      <c r="F32" s="1698"/>
      <c r="G32" s="806"/>
      <c r="H32" s="1717" t="s">
        <v>103</v>
      </c>
      <c r="I32" s="1719" t="s">
        <v>294</v>
      </c>
      <c r="J32" s="1720"/>
      <c r="K32" s="1720"/>
      <c r="L32" s="1720"/>
      <c r="M32" s="1720"/>
      <c r="N32" s="1720"/>
      <c r="O32" s="1721"/>
      <c r="P32" s="1692" t="s">
        <v>94</v>
      </c>
      <c r="Q32" s="1694"/>
      <c r="R32" s="1692" t="s">
        <v>94</v>
      </c>
      <c r="S32" s="1694"/>
      <c r="T32" s="1692" t="s">
        <v>94</v>
      </c>
      <c r="U32" s="1694"/>
      <c r="V32" s="1725" t="s">
        <v>279</v>
      </c>
      <c r="W32" s="1726" t="s">
        <v>1581</v>
      </c>
      <c r="X32" s="1726"/>
      <c r="Y32" s="1726"/>
      <c r="Z32" s="806"/>
      <c r="AA32" s="1555" t="s">
        <v>116</v>
      </c>
      <c r="AB32" s="1456" t="s">
        <v>441</v>
      </c>
      <c r="AC32" s="1556" t="s">
        <v>116</v>
      </c>
    </row>
    <row r="33" spans="2:29" s="1" customFormat="1" ht="26.25" customHeight="1" x14ac:dyDescent="0.2">
      <c r="B33" s="582"/>
      <c r="C33" s="820"/>
      <c r="D33" s="772"/>
      <c r="E33" s="772"/>
      <c r="F33" s="821"/>
      <c r="G33" s="806"/>
      <c r="H33" s="1718"/>
      <c r="I33" s="1722"/>
      <c r="J33" s="1723"/>
      <c r="K33" s="1723"/>
      <c r="L33" s="1723"/>
      <c r="M33" s="1723"/>
      <c r="N33" s="1723"/>
      <c r="O33" s="1724"/>
      <c r="P33" s="765" t="s">
        <v>116</v>
      </c>
      <c r="Q33" s="822" t="s">
        <v>116</v>
      </c>
      <c r="R33" s="765" t="s">
        <v>116</v>
      </c>
      <c r="S33" s="822" t="s">
        <v>116</v>
      </c>
      <c r="T33" s="765" t="s">
        <v>116</v>
      </c>
      <c r="U33" s="822" t="s">
        <v>116</v>
      </c>
      <c r="V33" s="1725"/>
      <c r="W33" s="1726"/>
      <c r="X33" s="1726"/>
      <c r="Y33" s="1726"/>
      <c r="Z33" s="806"/>
      <c r="AA33" s="1555"/>
      <c r="AB33" s="1456"/>
      <c r="AC33" s="1556"/>
    </row>
    <row r="34" spans="2:29" s="1" customFormat="1" ht="10.5" customHeight="1" x14ac:dyDescent="0.2">
      <c r="B34" s="597"/>
      <c r="C34" s="823"/>
      <c r="D34" s="823"/>
      <c r="E34" s="823"/>
      <c r="F34" s="824"/>
      <c r="G34" s="825"/>
      <c r="H34" s="813"/>
      <c r="I34" s="825"/>
      <c r="J34" s="825"/>
      <c r="K34" s="825"/>
      <c r="L34" s="825"/>
      <c r="M34" s="825"/>
      <c r="N34" s="825"/>
      <c r="O34" s="825"/>
      <c r="P34" s="825"/>
      <c r="Q34" s="825"/>
      <c r="R34" s="825"/>
      <c r="S34" s="811"/>
      <c r="T34" s="811"/>
      <c r="U34" s="813"/>
      <c r="V34" s="825"/>
      <c r="W34" s="825"/>
      <c r="X34" s="825"/>
      <c r="Y34" s="825"/>
      <c r="Z34" s="825"/>
      <c r="AA34" s="826"/>
      <c r="AB34" s="813"/>
      <c r="AC34" s="819"/>
    </row>
    <row r="35" spans="2:29" s="1" customFormat="1" ht="9.75" customHeight="1" x14ac:dyDescent="0.2">
      <c r="B35" s="582"/>
      <c r="AC35" s="4"/>
    </row>
    <row r="36" spans="2:29" s="1" customFormat="1" ht="26.25" customHeight="1" x14ac:dyDescent="0.2">
      <c r="B36" s="582" t="s">
        <v>295</v>
      </c>
      <c r="AC36" s="593"/>
    </row>
    <row r="37" spans="2:29" s="1" customFormat="1" x14ac:dyDescent="0.2">
      <c r="B37" s="582"/>
      <c r="C37" s="803"/>
      <c r="D37" s="804"/>
      <c r="E37" s="804"/>
      <c r="F37" s="815"/>
      <c r="G37" s="803"/>
      <c r="H37" s="804"/>
      <c r="I37" s="804"/>
      <c r="J37" s="804"/>
      <c r="K37" s="804"/>
      <c r="L37" s="804"/>
      <c r="M37" s="804"/>
      <c r="N37" s="804"/>
      <c r="O37" s="804"/>
      <c r="P37" s="804"/>
      <c r="Q37" s="804"/>
      <c r="R37" s="804"/>
      <c r="S37" s="804"/>
      <c r="T37" s="804"/>
      <c r="U37" s="804"/>
      <c r="V37" s="804"/>
      <c r="W37" s="804"/>
      <c r="X37" s="804"/>
      <c r="Y37" s="804"/>
      <c r="Z37" s="815"/>
      <c r="AA37" s="805" t="s">
        <v>1117</v>
      </c>
      <c r="AB37" s="827" t="s">
        <v>441</v>
      </c>
      <c r="AC37" s="770" t="s">
        <v>721</v>
      </c>
    </row>
    <row r="38" spans="2:29" s="1" customFormat="1" ht="19.5" customHeight="1" x14ac:dyDescent="0.2">
      <c r="B38" s="582"/>
      <c r="C38" s="1707" t="s">
        <v>276</v>
      </c>
      <c r="D38" s="1708"/>
      <c r="E38" s="1708"/>
      <c r="F38" s="1709"/>
      <c r="G38" s="816"/>
      <c r="H38" s="767" t="s">
        <v>103</v>
      </c>
      <c r="I38" s="1710" t="s">
        <v>296</v>
      </c>
      <c r="J38" s="1347"/>
      <c r="K38" s="1347"/>
      <c r="L38" s="1347"/>
      <c r="M38" s="1347"/>
      <c r="N38" s="1347"/>
      <c r="O38" s="1347"/>
      <c r="P38" s="1347"/>
      <c r="Q38" s="1347"/>
      <c r="R38" s="1347"/>
      <c r="S38" s="1347"/>
      <c r="T38" s="1347"/>
      <c r="U38" s="1348"/>
      <c r="V38" s="782"/>
      <c r="W38" s="782"/>
      <c r="X38" s="782"/>
      <c r="Y38" s="782"/>
      <c r="Z38" s="817"/>
      <c r="AA38" s="763" t="s">
        <v>116</v>
      </c>
      <c r="AB38" s="760" t="s">
        <v>441</v>
      </c>
      <c r="AC38" s="771" t="s">
        <v>116</v>
      </c>
    </row>
    <row r="39" spans="2:29" s="1" customFormat="1" ht="18" customHeight="1" x14ac:dyDescent="0.2">
      <c r="B39" s="596"/>
      <c r="C39" s="1707"/>
      <c r="D39" s="1708"/>
      <c r="E39" s="1708"/>
      <c r="F39" s="1709"/>
      <c r="G39" s="816"/>
      <c r="H39" s="828" t="s">
        <v>104</v>
      </c>
      <c r="I39" s="1727" t="s">
        <v>297</v>
      </c>
      <c r="J39" s="1728"/>
      <c r="K39" s="1728"/>
      <c r="L39" s="1728"/>
      <c r="M39" s="1728"/>
      <c r="N39" s="1728"/>
      <c r="O39" s="1728"/>
      <c r="P39" s="1728"/>
      <c r="Q39" s="1728"/>
      <c r="R39" s="1728"/>
      <c r="S39" s="1729"/>
      <c r="T39" s="1730"/>
      <c r="U39" s="819" t="s">
        <v>89</v>
      </c>
      <c r="V39" s="773" t="s">
        <v>279</v>
      </c>
      <c r="W39" s="1712" t="s">
        <v>280</v>
      </c>
      <c r="X39" s="1712"/>
      <c r="Y39" s="1712"/>
      <c r="Z39" s="817"/>
      <c r="AA39" s="763" t="s">
        <v>116</v>
      </c>
      <c r="AB39" s="760" t="s">
        <v>441</v>
      </c>
      <c r="AC39" s="771" t="s">
        <v>116</v>
      </c>
    </row>
    <row r="40" spans="2:29" s="1" customFormat="1" ht="18" customHeight="1" x14ac:dyDescent="0.2">
      <c r="B40" s="596"/>
      <c r="C40" s="807"/>
      <c r="D40" s="782"/>
      <c r="E40" s="782"/>
      <c r="F40" s="808"/>
      <c r="G40" s="816"/>
      <c r="H40" s="767" t="s">
        <v>120</v>
      </c>
      <c r="I40" s="1710" t="s">
        <v>298</v>
      </c>
      <c r="J40" s="1347"/>
      <c r="K40" s="1347"/>
      <c r="L40" s="1347"/>
      <c r="M40" s="1347"/>
      <c r="N40" s="1347"/>
      <c r="O40" s="1347"/>
      <c r="P40" s="1347"/>
      <c r="Q40" s="1347"/>
      <c r="R40" s="1348"/>
      <c r="S40" s="1647"/>
      <c r="T40" s="1692"/>
      <c r="U40" s="809" t="s">
        <v>89</v>
      </c>
      <c r="V40" s="773" t="s">
        <v>279</v>
      </c>
      <c r="W40" s="1712" t="s">
        <v>280</v>
      </c>
      <c r="X40" s="1712"/>
      <c r="Y40" s="1712"/>
      <c r="Z40" s="817"/>
      <c r="AA40" s="763" t="s">
        <v>116</v>
      </c>
      <c r="AB40" s="760" t="s">
        <v>441</v>
      </c>
      <c r="AC40" s="771" t="s">
        <v>116</v>
      </c>
    </row>
    <row r="41" spans="2:29" s="1" customFormat="1" ht="10.5" customHeight="1" x14ac:dyDescent="0.2">
      <c r="B41" s="582"/>
      <c r="C41" s="810"/>
      <c r="D41" s="811"/>
      <c r="E41" s="811"/>
      <c r="F41" s="812"/>
      <c r="G41" s="810"/>
      <c r="H41" s="813"/>
      <c r="I41" s="829"/>
      <c r="J41" s="829"/>
      <c r="K41" s="829"/>
      <c r="L41" s="829"/>
      <c r="M41" s="829"/>
      <c r="N41" s="829"/>
      <c r="O41" s="829"/>
      <c r="P41" s="829"/>
      <c r="Q41" s="829"/>
      <c r="R41" s="829"/>
      <c r="S41" s="811"/>
      <c r="T41" s="811"/>
      <c r="U41" s="811"/>
      <c r="V41" s="811"/>
      <c r="W41" s="811"/>
      <c r="X41" s="811"/>
      <c r="Y41" s="811"/>
      <c r="Z41" s="812"/>
      <c r="AA41" s="810"/>
      <c r="AB41" s="811"/>
      <c r="AC41" s="812"/>
    </row>
    <row r="42" spans="2:29" s="1" customFormat="1" x14ac:dyDescent="0.2">
      <c r="B42" s="582"/>
      <c r="C42" s="803"/>
      <c r="D42" s="804"/>
      <c r="E42" s="804"/>
      <c r="F42" s="804"/>
      <c r="G42" s="804"/>
      <c r="H42" s="814"/>
      <c r="I42" s="830"/>
      <c r="J42" s="830"/>
      <c r="K42" s="830"/>
      <c r="L42" s="830"/>
      <c r="M42" s="830"/>
      <c r="N42" s="830"/>
      <c r="O42" s="830"/>
      <c r="P42" s="830"/>
      <c r="Q42" s="830"/>
      <c r="R42" s="830"/>
      <c r="S42" s="804"/>
      <c r="T42" s="804"/>
      <c r="U42" s="804"/>
      <c r="V42" s="804"/>
      <c r="W42" s="804"/>
      <c r="X42" s="804"/>
      <c r="Y42" s="804"/>
      <c r="Z42" s="804"/>
      <c r="AA42" s="805" t="s">
        <v>1117</v>
      </c>
      <c r="AB42" s="827" t="s">
        <v>441</v>
      </c>
      <c r="AC42" s="831" t="s">
        <v>721</v>
      </c>
    </row>
    <row r="43" spans="2:29" s="1" customFormat="1" ht="19.5" customHeight="1" x14ac:dyDescent="0.2">
      <c r="B43" s="582"/>
      <c r="C43" s="1722" t="s">
        <v>299</v>
      </c>
      <c r="D43" s="1723"/>
      <c r="E43" s="1723"/>
      <c r="F43" s="1723"/>
      <c r="G43" s="1723"/>
      <c r="H43" s="1723"/>
      <c r="I43" s="1723"/>
      <c r="J43" s="1723"/>
      <c r="K43" s="1723"/>
      <c r="L43" s="1723"/>
      <c r="M43" s="1723"/>
      <c r="N43" s="1723"/>
      <c r="O43" s="1723"/>
      <c r="P43" s="1723"/>
      <c r="Q43" s="1723"/>
      <c r="R43" s="1723"/>
      <c r="S43" s="1723"/>
      <c r="T43" s="1723"/>
      <c r="U43" s="1723"/>
      <c r="V43" s="1723"/>
      <c r="W43" s="1723"/>
      <c r="X43" s="1723"/>
      <c r="Y43" s="1723"/>
      <c r="Z43" s="1724"/>
      <c r="AA43" s="763" t="s">
        <v>116</v>
      </c>
      <c r="AB43" s="760" t="s">
        <v>441</v>
      </c>
      <c r="AC43" s="771" t="s">
        <v>116</v>
      </c>
    </row>
    <row r="44" spans="2:29" s="1" customFormat="1" ht="10.5" customHeight="1" x14ac:dyDescent="0.2">
      <c r="B44" s="582"/>
      <c r="C44" s="803"/>
      <c r="D44" s="804"/>
      <c r="E44" s="804"/>
      <c r="F44" s="804"/>
      <c r="G44" s="803"/>
      <c r="H44" s="804"/>
      <c r="I44" s="804"/>
      <c r="J44" s="804"/>
      <c r="K44" s="804"/>
      <c r="L44" s="804"/>
      <c r="M44" s="804"/>
      <c r="N44" s="804"/>
      <c r="O44" s="804"/>
      <c r="P44" s="804"/>
      <c r="Q44" s="804"/>
      <c r="R44" s="804"/>
      <c r="S44" s="804"/>
      <c r="T44" s="804"/>
      <c r="U44" s="804"/>
      <c r="V44" s="804"/>
      <c r="W44" s="804"/>
      <c r="X44" s="804"/>
      <c r="Y44" s="804"/>
      <c r="Z44" s="815"/>
      <c r="AA44" s="804"/>
      <c r="AB44" s="804"/>
      <c r="AC44" s="815"/>
    </row>
    <row r="45" spans="2:29" s="1" customFormat="1" ht="18" customHeight="1" x14ac:dyDescent="0.2">
      <c r="B45" s="596"/>
      <c r="C45" s="1707" t="s">
        <v>300</v>
      </c>
      <c r="D45" s="1708"/>
      <c r="E45" s="1708"/>
      <c r="F45" s="1709"/>
      <c r="G45" s="806"/>
      <c r="H45" s="767" t="s">
        <v>103</v>
      </c>
      <c r="I45" s="1642" t="s">
        <v>301</v>
      </c>
      <c r="J45" s="1643"/>
      <c r="K45" s="1643"/>
      <c r="L45" s="1643"/>
      <c r="M45" s="1643"/>
      <c r="N45" s="1643"/>
      <c r="O45" s="1643"/>
      <c r="P45" s="1643"/>
      <c r="Q45" s="1643"/>
      <c r="R45" s="1644"/>
      <c r="S45" s="1692"/>
      <c r="T45" s="1693"/>
      <c r="U45" s="809" t="s">
        <v>89</v>
      </c>
      <c r="V45" s="773"/>
      <c r="W45" s="773"/>
      <c r="X45" s="773"/>
      <c r="Y45" s="773"/>
      <c r="Z45" s="806"/>
      <c r="AA45" s="768" t="s">
        <v>1117</v>
      </c>
      <c r="AB45" s="769" t="s">
        <v>441</v>
      </c>
      <c r="AC45" s="770" t="s">
        <v>721</v>
      </c>
    </row>
    <row r="46" spans="2:29" s="1" customFormat="1" ht="18" customHeight="1" x14ac:dyDescent="0.2">
      <c r="B46" s="596"/>
      <c r="C46" s="1707"/>
      <c r="D46" s="1708"/>
      <c r="E46" s="1708"/>
      <c r="F46" s="1709"/>
      <c r="G46" s="806"/>
      <c r="H46" s="767" t="s">
        <v>104</v>
      </c>
      <c r="I46" s="1642" t="s">
        <v>302</v>
      </c>
      <c r="J46" s="1643"/>
      <c r="K46" s="1643"/>
      <c r="L46" s="1643"/>
      <c r="M46" s="1643"/>
      <c r="N46" s="1643"/>
      <c r="O46" s="1643"/>
      <c r="P46" s="1643"/>
      <c r="Q46" s="1643"/>
      <c r="R46" s="1644"/>
      <c r="S46" s="1692"/>
      <c r="T46" s="1693"/>
      <c r="U46" s="809" t="s">
        <v>89</v>
      </c>
      <c r="V46" s="806"/>
      <c r="W46" s="1711"/>
      <c r="X46" s="1645"/>
      <c r="Y46" s="1645"/>
      <c r="Z46" s="806"/>
      <c r="AA46" s="816"/>
      <c r="AB46" s="806"/>
      <c r="AC46" s="817"/>
    </row>
    <row r="47" spans="2:29" s="1" customFormat="1" ht="18" customHeight="1" x14ac:dyDescent="0.2">
      <c r="B47" s="596"/>
      <c r="C47" s="807"/>
      <c r="D47" s="782"/>
      <c r="E47" s="782"/>
      <c r="F47" s="808"/>
      <c r="G47" s="806"/>
      <c r="H47" s="767" t="s">
        <v>120</v>
      </c>
      <c r="I47" s="1642" t="s">
        <v>285</v>
      </c>
      <c r="J47" s="1643"/>
      <c r="K47" s="1643"/>
      <c r="L47" s="1643"/>
      <c r="M47" s="1643"/>
      <c r="N47" s="1643"/>
      <c r="O47" s="1643"/>
      <c r="P47" s="1643"/>
      <c r="Q47" s="1643"/>
      <c r="R47" s="1644"/>
      <c r="S47" s="1692"/>
      <c r="T47" s="1693"/>
      <c r="U47" s="809" t="s">
        <v>60</v>
      </c>
      <c r="V47" s="806" t="s">
        <v>279</v>
      </c>
      <c r="W47" s="1714" t="s">
        <v>286</v>
      </c>
      <c r="X47" s="1712"/>
      <c r="Y47" s="1712"/>
      <c r="Z47" s="806"/>
      <c r="AA47" s="763" t="s">
        <v>116</v>
      </c>
      <c r="AB47" s="760" t="s">
        <v>441</v>
      </c>
      <c r="AC47" s="771" t="s">
        <v>116</v>
      </c>
    </row>
    <row r="48" spans="2:29" s="1" customFormat="1" ht="18" customHeight="1" x14ac:dyDescent="0.2">
      <c r="B48" s="596"/>
      <c r="C48" s="807"/>
      <c r="D48" s="782"/>
      <c r="E48" s="782"/>
      <c r="F48" s="808"/>
      <c r="G48" s="806"/>
      <c r="H48" s="767" t="s">
        <v>121</v>
      </c>
      <c r="I48" s="1640" t="s">
        <v>287</v>
      </c>
      <c r="J48" s="1641"/>
      <c r="K48" s="1641"/>
      <c r="L48" s="1641"/>
      <c r="M48" s="1641"/>
      <c r="N48" s="1641"/>
      <c r="O48" s="1641"/>
      <c r="P48" s="1641"/>
      <c r="Q48" s="1641"/>
      <c r="R48" s="1641"/>
      <c r="S48" s="1692"/>
      <c r="T48" s="1693"/>
      <c r="U48" s="809" t="s">
        <v>89</v>
      </c>
      <c r="V48" s="806"/>
      <c r="W48" s="818"/>
      <c r="X48" s="783"/>
      <c r="Y48" s="783"/>
      <c r="Z48" s="806"/>
      <c r="AA48" s="798"/>
      <c r="AB48" s="773"/>
      <c r="AC48" s="819"/>
    </row>
    <row r="49" spans="2:30" s="1" customFormat="1" ht="27" customHeight="1" x14ac:dyDescent="0.2">
      <c r="B49" s="596"/>
      <c r="C49" s="807"/>
      <c r="D49" s="782"/>
      <c r="E49" s="782"/>
      <c r="F49" s="808"/>
      <c r="G49" s="806"/>
      <c r="H49" s="767" t="s">
        <v>234</v>
      </c>
      <c r="I49" s="1640" t="s">
        <v>303</v>
      </c>
      <c r="J49" s="1641"/>
      <c r="K49" s="1641"/>
      <c r="L49" s="1641"/>
      <c r="M49" s="1641"/>
      <c r="N49" s="1641"/>
      <c r="O49" s="1641"/>
      <c r="P49" s="1641"/>
      <c r="Q49" s="1641"/>
      <c r="R49" s="1641"/>
      <c r="S49" s="1692"/>
      <c r="T49" s="1693"/>
      <c r="U49" s="809" t="s">
        <v>89</v>
      </c>
      <c r="V49" s="773"/>
      <c r="W49" s="781"/>
      <c r="X49" s="781"/>
      <c r="Y49" s="781"/>
      <c r="Z49" s="806"/>
      <c r="AA49" s="816"/>
      <c r="AB49" s="806"/>
      <c r="AC49" s="817"/>
    </row>
    <row r="50" spans="2:30" s="1" customFormat="1" ht="18" customHeight="1" x14ac:dyDescent="0.2">
      <c r="B50" s="582"/>
      <c r="C50" s="816"/>
      <c r="D50" s="806"/>
      <c r="E50" s="806"/>
      <c r="F50" s="817"/>
      <c r="G50" s="806"/>
      <c r="H50" s="767" t="s">
        <v>289</v>
      </c>
      <c r="I50" s="1642" t="s">
        <v>290</v>
      </c>
      <c r="J50" s="1643"/>
      <c r="K50" s="1643"/>
      <c r="L50" s="1643"/>
      <c r="M50" s="1643"/>
      <c r="N50" s="1643"/>
      <c r="O50" s="1643"/>
      <c r="P50" s="1643"/>
      <c r="Q50" s="1643"/>
      <c r="R50" s="1644"/>
      <c r="S50" s="1692"/>
      <c r="T50" s="1693"/>
      <c r="U50" s="809" t="s">
        <v>60</v>
      </c>
      <c r="V50" s="806" t="s">
        <v>279</v>
      </c>
      <c r="W50" s="1712" t="s">
        <v>168</v>
      </c>
      <c r="X50" s="1712"/>
      <c r="Y50" s="1712"/>
      <c r="Z50" s="772"/>
      <c r="AA50" s="763" t="s">
        <v>116</v>
      </c>
      <c r="AB50" s="760" t="s">
        <v>441</v>
      </c>
      <c r="AC50" s="771" t="s">
        <v>116</v>
      </c>
    </row>
    <row r="51" spans="2:30" s="1" customFormat="1" x14ac:dyDescent="0.2">
      <c r="B51" s="582"/>
      <c r="C51" s="810"/>
      <c r="D51" s="811"/>
      <c r="E51" s="811"/>
      <c r="F51" s="812"/>
      <c r="G51" s="811"/>
      <c r="H51" s="811"/>
      <c r="I51" s="811"/>
      <c r="J51" s="811"/>
      <c r="K51" s="811"/>
      <c r="L51" s="811"/>
      <c r="M51" s="811"/>
      <c r="N51" s="811"/>
      <c r="O51" s="811"/>
      <c r="P51" s="811"/>
      <c r="Q51" s="811"/>
      <c r="R51" s="811"/>
      <c r="S51" s="811"/>
      <c r="T51" s="811"/>
      <c r="U51" s="811"/>
      <c r="V51" s="811"/>
      <c r="W51" s="811"/>
      <c r="X51" s="811"/>
      <c r="Y51" s="811"/>
      <c r="Z51" s="811"/>
      <c r="AA51" s="810"/>
      <c r="AB51" s="811"/>
      <c r="AC51" s="812"/>
    </row>
    <row r="52" spans="2:30" s="1" customFormat="1" ht="10.5" customHeight="1" x14ac:dyDescent="0.2">
      <c r="B52" s="582"/>
      <c r="C52" s="803"/>
      <c r="D52" s="804"/>
      <c r="E52" s="804"/>
      <c r="F52" s="804"/>
      <c r="G52" s="803"/>
      <c r="H52" s="804"/>
      <c r="I52" s="804"/>
      <c r="J52" s="804"/>
      <c r="K52" s="804"/>
      <c r="L52" s="804"/>
      <c r="M52" s="804"/>
      <c r="N52" s="804"/>
      <c r="O52" s="804"/>
      <c r="P52" s="804"/>
      <c r="Q52" s="804"/>
      <c r="R52" s="804"/>
      <c r="S52" s="804"/>
      <c r="T52" s="804"/>
      <c r="U52" s="804"/>
      <c r="V52" s="804"/>
      <c r="W52" s="804"/>
      <c r="X52" s="804"/>
      <c r="Y52" s="804"/>
      <c r="Z52" s="815"/>
      <c r="AA52" s="803"/>
      <c r="AB52" s="804"/>
      <c r="AC52" s="815"/>
    </row>
    <row r="53" spans="2:30" s="1" customFormat="1" ht="18" customHeight="1" x14ac:dyDescent="0.2">
      <c r="B53" s="596"/>
      <c r="C53" s="1713" t="s">
        <v>304</v>
      </c>
      <c r="D53" s="1645"/>
      <c r="E53" s="1645"/>
      <c r="F53" s="1698"/>
      <c r="G53" s="816"/>
      <c r="H53" s="1692" t="s">
        <v>292</v>
      </c>
      <c r="I53" s="1693"/>
      <c r="J53" s="1693"/>
      <c r="K53" s="1693"/>
      <c r="L53" s="1693"/>
      <c r="M53" s="1693"/>
      <c r="N53" s="1693"/>
      <c r="O53" s="1693"/>
      <c r="P53" s="1693"/>
      <c r="Q53" s="1693"/>
      <c r="R53" s="1693"/>
      <c r="S53" s="1693"/>
      <c r="T53" s="1693"/>
      <c r="U53" s="1693"/>
      <c r="V53" s="1693"/>
      <c r="W53" s="1694"/>
      <c r="X53" s="806"/>
      <c r="Y53" s="806"/>
      <c r="Z53" s="817"/>
      <c r="AA53" s="768" t="s">
        <v>1117</v>
      </c>
      <c r="AB53" s="769" t="s">
        <v>441</v>
      </c>
      <c r="AC53" s="770" t="s">
        <v>721</v>
      </c>
    </row>
    <row r="54" spans="2:30" s="1" customFormat="1" ht="18" customHeight="1" x14ac:dyDescent="0.2">
      <c r="B54" s="596"/>
      <c r="C54" s="807"/>
      <c r="D54" s="782"/>
      <c r="E54" s="782"/>
      <c r="F54" s="808"/>
      <c r="G54" s="816"/>
      <c r="H54" s="1692"/>
      <c r="I54" s="1693"/>
      <c r="J54" s="1693"/>
      <c r="K54" s="1693"/>
      <c r="L54" s="1693"/>
      <c r="M54" s="1693"/>
      <c r="N54" s="1693"/>
      <c r="O54" s="1693"/>
      <c r="P54" s="1693"/>
      <c r="Q54" s="1693"/>
      <c r="R54" s="1693"/>
      <c r="S54" s="1693"/>
      <c r="T54" s="1693"/>
      <c r="U54" s="1693"/>
      <c r="V54" s="1693"/>
      <c r="W54" s="1694"/>
      <c r="X54" s="806"/>
      <c r="Y54" s="806"/>
      <c r="Z54" s="817"/>
      <c r="AA54" s="816"/>
      <c r="AB54" s="806"/>
      <c r="AC54" s="817"/>
    </row>
    <row r="55" spans="2:30" s="1" customFormat="1" ht="18" customHeight="1" x14ac:dyDescent="0.2">
      <c r="B55" s="582"/>
      <c r="C55" s="816"/>
      <c r="D55" s="806"/>
      <c r="E55" s="806"/>
      <c r="F55" s="817"/>
      <c r="G55" s="816"/>
      <c r="H55" s="1692"/>
      <c r="I55" s="1693"/>
      <c r="J55" s="1693"/>
      <c r="K55" s="1693"/>
      <c r="L55" s="1693"/>
      <c r="M55" s="1693"/>
      <c r="N55" s="1693"/>
      <c r="O55" s="1693"/>
      <c r="P55" s="1693"/>
      <c r="Q55" s="1693"/>
      <c r="R55" s="1693"/>
      <c r="S55" s="1693"/>
      <c r="T55" s="1693"/>
      <c r="U55" s="1693"/>
      <c r="V55" s="1693"/>
      <c r="W55" s="1694"/>
      <c r="X55" s="806"/>
      <c r="Y55" s="806"/>
      <c r="Z55" s="806"/>
      <c r="AA55" s="763" t="s">
        <v>116</v>
      </c>
      <c r="AB55" s="760" t="s">
        <v>441</v>
      </c>
      <c r="AC55" s="771" t="s">
        <v>116</v>
      </c>
    </row>
    <row r="56" spans="2:30" s="1" customFormat="1" ht="10.5" customHeight="1" x14ac:dyDescent="0.2">
      <c r="B56" s="582"/>
      <c r="C56" s="810"/>
      <c r="D56" s="811"/>
      <c r="E56" s="811"/>
      <c r="F56" s="812"/>
      <c r="G56" s="811"/>
      <c r="H56" s="813"/>
      <c r="I56" s="813"/>
      <c r="J56" s="813"/>
      <c r="K56" s="813"/>
      <c r="L56" s="813"/>
      <c r="M56" s="813"/>
      <c r="N56" s="813"/>
      <c r="O56" s="813"/>
      <c r="P56" s="813"/>
      <c r="Q56" s="813"/>
      <c r="R56" s="813"/>
      <c r="S56" s="813"/>
      <c r="T56" s="813"/>
      <c r="U56" s="813"/>
      <c r="V56" s="813"/>
      <c r="W56" s="813"/>
      <c r="X56" s="811"/>
      <c r="Y56" s="811"/>
      <c r="Z56" s="811"/>
      <c r="AA56" s="810"/>
      <c r="AB56" s="811"/>
      <c r="AC56" s="812"/>
    </row>
    <row r="57" spans="2:30" s="1" customFormat="1" ht="9.75" customHeight="1" x14ac:dyDescent="0.2">
      <c r="B57" s="582"/>
      <c r="C57" s="803"/>
      <c r="D57" s="804"/>
      <c r="E57" s="804"/>
      <c r="F57" s="815"/>
      <c r="G57" s="804"/>
      <c r="H57" s="814"/>
      <c r="I57" s="814"/>
      <c r="J57" s="814"/>
      <c r="K57" s="814"/>
      <c r="L57" s="814"/>
      <c r="M57" s="814"/>
      <c r="N57" s="814"/>
      <c r="O57" s="814"/>
      <c r="P57" s="814"/>
      <c r="Q57" s="814"/>
      <c r="R57" s="814"/>
      <c r="S57" s="814"/>
      <c r="T57" s="814"/>
      <c r="U57" s="814"/>
      <c r="V57" s="814"/>
      <c r="W57" s="814"/>
      <c r="X57" s="804"/>
      <c r="Y57" s="804"/>
      <c r="Z57" s="804"/>
      <c r="AA57" s="803"/>
      <c r="AB57" s="804"/>
      <c r="AC57" s="815"/>
    </row>
    <row r="58" spans="2:30" s="1" customFormat="1" ht="18" customHeight="1" x14ac:dyDescent="0.2">
      <c r="B58" s="582"/>
      <c r="C58" s="1713" t="s">
        <v>305</v>
      </c>
      <c r="D58" s="1645"/>
      <c r="E58" s="1645"/>
      <c r="F58" s="1698"/>
      <c r="G58" s="806"/>
      <c r="H58" s="773"/>
      <c r="I58" s="773"/>
      <c r="J58" s="773"/>
      <c r="K58" s="773"/>
      <c r="L58" s="773"/>
      <c r="M58" s="773"/>
      <c r="N58" s="773"/>
      <c r="O58" s="773"/>
      <c r="P58" s="1715" t="s">
        <v>170</v>
      </c>
      <c r="Q58" s="1716"/>
      <c r="R58" s="1715" t="s">
        <v>171</v>
      </c>
      <c r="S58" s="1716"/>
      <c r="T58" s="1715" t="s">
        <v>172</v>
      </c>
      <c r="U58" s="1716"/>
      <c r="V58" s="806"/>
      <c r="W58" s="806"/>
      <c r="X58" s="806"/>
      <c r="Y58" s="806"/>
      <c r="Z58" s="806"/>
      <c r="AA58" s="768" t="s">
        <v>1117</v>
      </c>
      <c r="AB58" s="769" t="s">
        <v>441</v>
      </c>
      <c r="AC58" s="770" t="s">
        <v>721</v>
      </c>
    </row>
    <row r="59" spans="2:30" s="1" customFormat="1" ht="26.25" customHeight="1" x14ac:dyDescent="0.2">
      <c r="B59" s="570"/>
      <c r="C59" s="1713"/>
      <c r="D59" s="1645"/>
      <c r="E59" s="1645"/>
      <c r="F59" s="1698"/>
      <c r="G59" s="806"/>
      <c r="H59" s="1717" t="s">
        <v>103</v>
      </c>
      <c r="I59" s="1720" t="s">
        <v>294</v>
      </c>
      <c r="J59" s="1720"/>
      <c r="K59" s="1720"/>
      <c r="L59" s="1720"/>
      <c r="M59" s="1720"/>
      <c r="N59" s="1720"/>
      <c r="O59" s="1721"/>
      <c r="P59" s="1692" t="s">
        <v>94</v>
      </c>
      <c r="Q59" s="1694"/>
      <c r="R59" s="1692" t="s">
        <v>94</v>
      </c>
      <c r="S59" s="1694"/>
      <c r="T59" s="1729" t="s">
        <v>94</v>
      </c>
      <c r="U59" s="1731"/>
      <c r="V59" s="1725" t="s">
        <v>279</v>
      </c>
      <c r="W59" s="1726" t="s">
        <v>1581</v>
      </c>
      <c r="X59" s="1726"/>
      <c r="Y59" s="1726"/>
      <c r="Z59" s="806"/>
      <c r="AA59" s="1555" t="s">
        <v>116</v>
      </c>
      <c r="AB59" s="1456" t="s">
        <v>441</v>
      </c>
      <c r="AC59" s="1556" t="s">
        <v>116</v>
      </c>
    </row>
    <row r="60" spans="2:30" s="1" customFormat="1" ht="26.25" customHeight="1" x14ac:dyDescent="0.2">
      <c r="B60" s="570"/>
      <c r="C60" s="820"/>
      <c r="D60" s="772"/>
      <c r="E60" s="772"/>
      <c r="F60" s="821"/>
      <c r="G60" s="806"/>
      <c r="H60" s="1718"/>
      <c r="I60" s="1723"/>
      <c r="J60" s="1723"/>
      <c r="K60" s="1723"/>
      <c r="L60" s="1723"/>
      <c r="M60" s="1723"/>
      <c r="N60" s="1723"/>
      <c r="O60" s="1724"/>
      <c r="P60" s="765" t="s">
        <v>116</v>
      </c>
      <c r="Q60" s="822" t="s">
        <v>116</v>
      </c>
      <c r="R60" s="765" t="s">
        <v>116</v>
      </c>
      <c r="S60" s="822" t="s">
        <v>116</v>
      </c>
      <c r="T60" s="765" t="s">
        <v>116</v>
      </c>
      <c r="U60" s="822" t="s">
        <v>116</v>
      </c>
      <c r="V60" s="1725"/>
      <c r="W60" s="1726"/>
      <c r="X60" s="1726"/>
      <c r="Y60" s="1726"/>
      <c r="Z60" s="806"/>
      <c r="AA60" s="1555"/>
      <c r="AB60" s="1456"/>
      <c r="AC60" s="1556"/>
    </row>
    <row r="61" spans="2:30" s="1" customFormat="1" ht="10.5" customHeight="1" x14ac:dyDescent="0.2">
      <c r="B61" s="597"/>
      <c r="C61" s="823"/>
      <c r="D61" s="823"/>
      <c r="E61" s="823"/>
      <c r="F61" s="824"/>
      <c r="G61" s="825"/>
      <c r="H61" s="813"/>
      <c r="I61" s="825"/>
      <c r="J61" s="825"/>
      <c r="K61" s="825"/>
      <c r="L61" s="825"/>
      <c r="M61" s="825"/>
      <c r="N61" s="825"/>
      <c r="O61" s="825"/>
      <c r="P61" s="825"/>
      <c r="Q61" s="825"/>
      <c r="R61" s="825"/>
      <c r="S61" s="811"/>
      <c r="T61" s="811"/>
      <c r="U61" s="813"/>
      <c r="V61" s="825"/>
      <c r="W61" s="825"/>
      <c r="X61" s="825"/>
      <c r="Y61" s="825"/>
      <c r="Z61" s="825"/>
      <c r="AA61" s="826"/>
      <c r="AB61" s="813"/>
      <c r="AC61" s="832"/>
    </row>
    <row r="62" spans="2:30" ht="8.25" customHeight="1" x14ac:dyDescent="0.2"/>
    <row r="63" spans="2:30" ht="42.75" customHeight="1" x14ac:dyDescent="0.2">
      <c r="B63" s="1585" t="s">
        <v>2061</v>
      </c>
      <c r="C63" s="1585"/>
      <c r="D63" s="1585"/>
      <c r="E63" s="1585"/>
      <c r="F63" s="1585"/>
      <c r="G63" s="1585"/>
      <c r="H63" s="1585"/>
      <c r="I63" s="1585"/>
      <c r="J63" s="1585"/>
      <c r="K63" s="1585"/>
      <c r="L63" s="1585"/>
      <c r="M63" s="1585"/>
      <c r="N63" s="1585"/>
      <c r="O63" s="1585"/>
      <c r="P63" s="1585"/>
      <c r="Q63" s="1585"/>
      <c r="R63" s="1585"/>
      <c r="S63" s="1585"/>
      <c r="T63" s="1585"/>
      <c r="U63" s="1585"/>
      <c r="V63" s="1585"/>
      <c r="W63" s="1585"/>
      <c r="X63" s="1585"/>
      <c r="Y63" s="1585"/>
      <c r="Z63" s="1585"/>
      <c r="AA63" s="1585"/>
      <c r="AB63" s="1585"/>
      <c r="AC63" s="1585"/>
      <c r="AD63" s="833"/>
    </row>
    <row r="64" spans="2:30" ht="19.5" customHeight="1" x14ac:dyDescent="0.2">
      <c r="B64" s="1585" t="s">
        <v>871</v>
      </c>
      <c r="C64" s="1585"/>
      <c r="D64" s="1585"/>
      <c r="E64" s="1585"/>
      <c r="F64" s="1585"/>
      <c r="G64" s="1585"/>
      <c r="H64" s="1585"/>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833"/>
    </row>
    <row r="65" spans="2:29" ht="46.95" customHeight="1" x14ac:dyDescent="0.2">
      <c r="B65" s="1585" t="s">
        <v>2059</v>
      </c>
      <c r="C65" s="1585"/>
      <c r="D65" s="1585"/>
      <c r="E65" s="1585"/>
      <c r="F65" s="1585"/>
      <c r="G65" s="1585"/>
      <c r="H65" s="1585"/>
      <c r="I65" s="1585"/>
      <c r="J65" s="1585"/>
      <c r="K65" s="1585"/>
      <c r="L65" s="1585"/>
      <c r="M65" s="1585"/>
      <c r="N65" s="1585"/>
      <c r="O65" s="1585"/>
      <c r="P65" s="1585"/>
      <c r="Q65" s="1585"/>
      <c r="R65" s="1585"/>
      <c r="S65" s="1585"/>
      <c r="T65" s="1585"/>
      <c r="U65" s="1585"/>
      <c r="V65" s="1585"/>
      <c r="W65" s="1585"/>
      <c r="X65" s="1585"/>
      <c r="Y65" s="1585"/>
      <c r="Z65" s="1585"/>
      <c r="AA65" s="1585"/>
      <c r="AB65" s="1585"/>
      <c r="AC65" s="1585"/>
    </row>
    <row r="66" spans="2:29" ht="46.95" customHeight="1" x14ac:dyDescent="0.2">
      <c r="B66" s="1585" t="s">
        <v>2060</v>
      </c>
      <c r="C66" s="1585"/>
      <c r="D66" s="1585"/>
      <c r="E66" s="1585"/>
      <c r="F66" s="1585"/>
      <c r="G66" s="1585"/>
      <c r="H66" s="1585"/>
      <c r="I66" s="1585"/>
      <c r="J66" s="1585"/>
      <c r="K66" s="1585"/>
      <c r="L66" s="1585"/>
      <c r="M66" s="1585"/>
      <c r="N66" s="1585"/>
      <c r="O66" s="1585"/>
      <c r="P66" s="1585"/>
      <c r="Q66" s="1585"/>
      <c r="R66" s="1585"/>
      <c r="S66" s="1585"/>
      <c r="T66" s="1585"/>
      <c r="U66" s="1585"/>
      <c r="V66" s="1585"/>
      <c r="W66" s="1585"/>
      <c r="X66" s="1585"/>
      <c r="Y66" s="1585"/>
      <c r="Z66" s="1585"/>
      <c r="AA66" s="1585"/>
      <c r="AB66" s="1585"/>
      <c r="AC66" s="158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printOptions horizontalCentered="1"/>
  <pageMargins left="0.70866141732283472" right="0.39370078740157483" top="0.51181102362204722" bottom="0.35433070866141736" header="0.31496062992125984" footer="0.31496062992125984"/>
  <pageSetup paperSize="9" scale="6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1B9CDC8-962B-4A09-949E-3F2D184305AD}">
          <x14:formula1>
            <xm:f>"□,■"</xm:f>
          </x14:formula1>
          <xm:sqref>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AA13:AA15 JW13:JW15 TS13:TS15 ADO13:ADO15 ANK13:ANK15 AXG13:AXG15 BHC13:BHC15 BQY13:BQY15 CAU13:CAU15 CKQ13:CKQ15 CUM13:CUM15 DEI13:DEI15 DOE13:DOE15 DYA13:DYA15 EHW13:EHW15 ERS13:ERS15 FBO13:FBO15 FLK13:FLK15 FVG13:FVG15 GFC13:GFC15 GOY13:GOY15 GYU13:GYU15 HIQ13:HIQ15 HSM13:HSM15 ICI13:ICI15 IME13:IME15 IWA13:IWA15 JFW13:JFW15 JPS13:JPS15 JZO13:JZO15 KJK13:KJK15 KTG13:KTG15 LDC13:LDC15 LMY13:LMY15 LWU13:LWU15 MGQ13:MGQ15 MQM13:MQM15 NAI13:NAI15 NKE13:NKE15 NUA13:NUA15 ODW13:ODW15 ONS13:ONS15 OXO13:OXO15 PHK13:PHK15 PRG13:PRG15 QBC13:QBC15 QKY13:QKY15 QUU13:QUU15 REQ13:REQ15 ROM13:ROM15 RYI13:RYI15 SIE13:SIE15 SSA13:SSA15 TBW13:TBW15 TLS13:TLS15 TVO13:TVO15 UFK13:UFK15 UPG13:UPG15 UZC13:UZC15 VIY13:VIY15 VSU13:VSU15 WCQ13:WCQ15 WMM13:WMM15 WWI13:WWI15 AA65549:AA65551 JW65549:JW65551 TS65549:TS65551 ADO65549:ADO65551 ANK65549:ANK65551 AXG65549:AXG65551 BHC65549:BHC65551 BQY65549:BQY65551 CAU65549:CAU65551 CKQ65549:CKQ65551 CUM65549:CUM65551 DEI65549:DEI65551 DOE65549:DOE65551 DYA65549:DYA65551 EHW65549:EHW65551 ERS65549:ERS65551 FBO65549:FBO65551 FLK65549:FLK65551 FVG65549:FVG65551 GFC65549:GFC65551 GOY65549:GOY65551 GYU65549:GYU65551 HIQ65549:HIQ65551 HSM65549:HSM65551 ICI65549:ICI65551 IME65549:IME65551 IWA65549:IWA65551 JFW65549:JFW65551 JPS65549:JPS65551 JZO65549:JZO65551 KJK65549:KJK65551 KTG65549:KTG65551 LDC65549:LDC65551 LMY65549:LMY65551 LWU65549:LWU65551 MGQ65549:MGQ65551 MQM65549:MQM65551 NAI65549:NAI65551 NKE65549:NKE65551 NUA65549:NUA65551 ODW65549:ODW65551 ONS65549:ONS65551 OXO65549:OXO65551 PHK65549:PHK65551 PRG65549:PRG65551 QBC65549:QBC65551 QKY65549:QKY65551 QUU65549:QUU65551 REQ65549:REQ65551 ROM65549:ROM65551 RYI65549:RYI65551 SIE65549:SIE65551 SSA65549:SSA65551 TBW65549:TBW65551 TLS65549:TLS65551 TVO65549:TVO65551 UFK65549:UFK65551 UPG65549:UPG65551 UZC65549:UZC65551 VIY65549:VIY65551 VSU65549:VSU65551 WCQ65549:WCQ65551 WMM65549:WMM65551 WWI65549:WWI65551 AA131085:AA131087 JW131085:JW131087 TS131085:TS131087 ADO131085:ADO131087 ANK131085:ANK131087 AXG131085:AXG131087 BHC131085:BHC131087 BQY131085:BQY131087 CAU131085:CAU131087 CKQ131085:CKQ131087 CUM131085:CUM131087 DEI131085:DEI131087 DOE131085:DOE131087 DYA131085:DYA131087 EHW131085:EHW131087 ERS131085:ERS131087 FBO131085:FBO131087 FLK131085:FLK131087 FVG131085:FVG131087 GFC131085:GFC131087 GOY131085:GOY131087 GYU131085:GYU131087 HIQ131085:HIQ131087 HSM131085:HSM131087 ICI131085:ICI131087 IME131085:IME131087 IWA131085:IWA131087 JFW131085:JFW131087 JPS131085:JPS131087 JZO131085:JZO131087 KJK131085:KJK131087 KTG131085:KTG131087 LDC131085:LDC131087 LMY131085:LMY131087 LWU131085:LWU131087 MGQ131085:MGQ131087 MQM131085:MQM131087 NAI131085:NAI131087 NKE131085:NKE131087 NUA131085:NUA131087 ODW131085:ODW131087 ONS131085:ONS131087 OXO131085:OXO131087 PHK131085:PHK131087 PRG131085:PRG131087 QBC131085:QBC131087 QKY131085:QKY131087 QUU131085:QUU131087 REQ131085:REQ131087 ROM131085:ROM131087 RYI131085:RYI131087 SIE131085:SIE131087 SSA131085:SSA131087 TBW131085:TBW131087 TLS131085:TLS131087 TVO131085:TVO131087 UFK131085:UFK131087 UPG131085:UPG131087 UZC131085:UZC131087 VIY131085:VIY131087 VSU131085:VSU131087 WCQ131085:WCQ131087 WMM131085:WMM131087 WWI131085:WWI131087 AA196621:AA196623 JW196621:JW196623 TS196621:TS196623 ADO196621:ADO196623 ANK196621:ANK196623 AXG196621:AXG196623 BHC196621:BHC196623 BQY196621:BQY196623 CAU196621:CAU196623 CKQ196621:CKQ196623 CUM196621:CUM196623 DEI196621:DEI196623 DOE196621:DOE196623 DYA196621:DYA196623 EHW196621:EHW196623 ERS196621:ERS196623 FBO196621:FBO196623 FLK196621:FLK196623 FVG196621:FVG196623 GFC196621:GFC196623 GOY196621:GOY196623 GYU196621:GYU196623 HIQ196621:HIQ196623 HSM196621:HSM196623 ICI196621:ICI196623 IME196621:IME196623 IWA196621:IWA196623 JFW196621:JFW196623 JPS196621:JPS196623 JZO196621:JZO196623 KJK196621:KJK196623 KTG196621:KTG196623 LDC196621:LDC196623 LMY196621:LMY196623 LWU196621:LWU196623 MGQ196621:MGQ196623 MQM196621:MQM196623 NAI196621:NAI196623 NKE196621:NKE196623 NUA196621:NUA196623 ODW196621:ODW196623 ONS196621:ONS196623 OXO196621:OXO196623 PHK196621:PHK196623 PRG196621:PRG196623 QBC196621:QBC196623 QKY196621:QKY196623 QUU196621:QUU196623 REQ196621:REQ196623 ROM196621:ROM196623 RYI196621:RYI196623 SIE196621:SIE196623 SSA196621:SSA196623 TBW196621:TBW196623 TLS196621:TLS196623 TVO196621:TVO196623 UFK196621:UFK196623 UPG196621:UPG196623 UZC196621:UZC196623 VIY196621:VIY196623 VSU196621:VSU196623 WCQ196621:WCQ196623 WMM196621:WMM196623 WWI196621:WWI196623 AA262157:AA262159 JW262157:JW262159 TS262157:TS262159 ADO262157:ADO262159 ANK262157:ANK262159 AXG262157:AXG262159 BHC262157:BHC262159 BQY262157:BQY262159 CAU262157:CAU262159 CKQ262157:CKQ262159 CUM262157:CUM262159 DEI262157:DEI262159 DOE262157:DOE262159 DYA262157:DYA262159 EHW262157:EHW262159 ERS262157:ERS262159 FBO262157:FBO262159 FLK262157:FLK262159 FVG262157:FVG262159 GFC262157:GFC262159 GOY262157:GOY262159 GYU262157:GYU262159 HIQ262157:HIQ262159 HSM262157:HSM262159 ICI262157:ICI262159 IME262157:IME262159 IWA262157:IWA262159 JFW262157:JFW262159 JPS262157:JPS262159 JZO262157:JZO262159 KJK262157:KJK262159 KTG262157:KTG262159 LDC262157:LDC262159 LMY262157:LMY262159 LWU262157:LWU262159 MGQ262157:MGQ262159 MQM262157:MQM262159 NAI262157:NAI262159 NKE262157:NKE262159 NUA262157:NUA262159 ODW262157:ODW262159 ONS262157:ONS262159 OXO262157:OXO262159 PHK262157:PHK262159 PRG262157:PRG262159 QBC262157:QBC262159 QKY262157:QKY262159 QUU262157:QUU262159 REQ262157:REQ262159 ROM262157:ROM262159 RYI262157:RYI262159 SIE262157:SIE262159 SSA262157:SSA262159 TBW262157:TBW262159 TLS262157:TLS262159 TVO262157:TVO262159 UFK262157:UFK262159 UPG262157:UPG262159 UZC262157:UZC262159 VIY262157:VIY262159 VSU262157:VSU262159 WCQ262157:WCQ262159 WMM262157:WMM262159 WWI262157:WWI262159 AA327693:AA327695 JW327693:JW327695 TS327693:TS327695 ADO327693:ADO327695 ANK327693:ANK327695 AXG327693:AXG327695 BHC327693:BHC327695 BQY327693:BQY327695 CAU327693:CAU327695 CKQ327693:CKQ327695 CUM327693:CUM327695 DEI327693:DEI327695 DOE327693:DOE327695 DYA327693:DYA327695 EHW327693:EHW327695 ERS327693:ERS327695 FBO327693:FBO327695 FLK327693:FLK327695 FVG327693:FVG327695 GFC327693:GFC327695 GOY327693:GOY327695 GYU327693:GYU327695 HIQ327693:HIQ327695 HSM327693:HSM327695 ICI327693:ICI327695 IME327693:IME327695 IWA327693:IWA327695 JFW327693:JFW327695 JPS327693:JPS327695 JZO327693:JZO327695 KJK327693:KJK327695 KTG327693:KTG327695 LDC327693:LDC327695 LMY327693:LMY327695 LWU327693:LWU327695 MGQ327693:MGQ327695 MQM327693:MQM327695 NAI327693:NAI327695 NKE327693:NKE327695 NUA327693:NUA327695 ODW327693:ODW327695 ONS327693:ONS327695 OXO327693:OXO327695 PHK327693:PHK327695 PRG327693:PRG327695 QBC327693:QBC327695 QKY327693:QKY327695 QUU327693:QUU327695 REQ327693:REQ327695 ROM327693:ROM327695 RYI327693:RYI327695 SIE327693:SIE327695 SSA327693:SSA327695 TBW327693:TBW327695 TLS327693:TLS327695 TVO327693:TVO327695 UFK327693:UFK327695 UPG327693:UPG327695 UZC327693:UZC327695 VIY327693:VIY327695 VSU327693:VSU327695 WCQ327693:WCQ327695 WMM327693:WMM327695 WWI327693:WWI327695 AA393229:AA393231 JW393229:JW393231 TS393229:TS393231 ADO393229:ADO393231 ANK393229:ANK393231 AXG393229:AXG393231 BHC393229:BHC393231 BQY393229:BQY393231 CAU393229:CAU393231 CKQ393229:CKQ393231 CUM393229:CUM393231 DEI393229:DEI393231 DOE393229:DOE393231 DYA393229:DYA393231 EHW393229:EHW393231 ERS393229:ERS393231 FBO393229:FBO393231 FLK393229:FLK393231 FVG393229:FVG393231 GFC393229:GFC393231 GOY393229:GOY393231 GYU393229:GYU393231 HIQ393229:HIQ393231 HSM393229:HSM393231 ICI393229:ICI393231 IME393229:IME393231 IWA393229:IWA393231 JFW393229:JFW393231 JPS393229:JPS393231 JZO393229:JZO393231 KJK393229:KJK393231 KTG393229:KTG393231 LDC393229:LDC393231 LMY393229:LMY393231 LWU393229:LWU393231 MGQ393229:MGQ393231 MQM393229:MQM393231 NAI393229:NAI393231 NKE393229:NKE393231 NUA393229:NUA393231 ODW393229:ODW393231 ONS393229:ONS393231 OXO393229:OXO393231 PHK393229:PHK393231 PRG393229:PRG393231 QBC393229:QBC393231 QKY393229:QKY393231 QUU393229:QUU393231 REQ393229:REQ393231 ROM393229:ROM393231 RYI393229:RYI393231 SIE393229:SIE393231 SSA393229:SSA393231 TBW393229:TBW393231 TLS393229:TLS393231 TVO393229:TVO393231 UFK393229:UFK393231 UPG393229:UPG393231 UZC393229:UZC393231 VIY393229:VIY393231 VSU393229:VSU393231 WCQ393229:WCQ393231 WMM393229:WMM393231 WWI393229:WWI393231 AA458765:AA458767 JW458765:JW458767 TS458765:TS458767 ADO458765:ADO458767 ANK458765:ANK458767 AXG458765:AXG458767 BHC458765:BHC458767 BQY458765:BQY458767 CAU458765:CAU458767 CKQ458765:CKQ458767 CUM458765:CUM458767 DEI458765:DEI458767 DOE458765:DOE458767 DYA458765:DYA458767 EHW458765:EHW458767 ERS458765:ERS458767 FBO458765:FBO458767 FLK458765:FLK458767 FVG458765:FVG458767 GFC458765:GFC458767 GOY458765:GOY458767 GYU458765:GYU458767 HIQ458765:HIQ458767 HSM458765:HSM458767 ICI458765:ICI458767 IME458765:IME458767 IWA458765:IWA458767 JFW458765:JFW458767 JPS458765:JPS458767 JZO458765:JZO458767 KJK458765:KJK458767 KTG458765:KTG458767 LDC458765:LDC458767 LMY458765:LMY458767 LWU458765:LWU458767 MGQ458765:MGQ458767 MQM458765:MQM458767 NAI458765:NAI458767 NKE458765:NKE458767 NUA458765:NUA458767 ODW458765:ODW458767 ONS458765:ONS458767 OXO458765:OXO458767 PHK458765:PHK458767 PRG458765:PRG458767 QBC458765:QBC458767 QKY458765:QKY458767 QUU458765:QUU458767 REQ458765:REQ458767 ROM458765:ROM458767 RYI458765:RYI458767 SIE458765:SIE458767 SSA458765:SSA458767 TBW458765:TBW458767 TLS458765:TLS458767 TVO458765:TVO458767 UFK458765:UFK458767 UPG458765:UPG458767 UZC458765:UZC458767 VIY458765:VIY458767 VSU458765:VSU458767 WCQ458765:WCQ458767 WMM458765:WMM458767 WWI458765:WWI458767 AA524301:AA524303 JW524301:JW524303 TS524301:TS524303 ADO524301:ADO524303 ANK524301:ANK524303 AXG524301:AXG524303 BHC524301:BHC524303 BQY524301:BQY524303 CAU524301:CAU524303 CKQ524301:CKQ524303 CUM524301:CUM524303 DEI524301:DEI524303 DOE524301:DOE524303 DYA524301:DYA524303 EHW524301:EHW524303 ERS524301:ERS524303 FBO524301:FBO524303 FLK524301:FLK524303 FVG524301:FVG524303 GFC524301:GFC524303 GOY524301:GOY524303 GYU524301:GYU524303 HIQ524301:HIQ524303 HSM524301:HSM524303 ICI524301:ICI524303 IME524301:IME524303 IWA524301:IWA524303 JFW524301:JFW524303 JPS524301:JPS524303 JZO524301:JZO524303 KJK524301:KJK524303 KTG524301:KTG524303 LDC524301:LDC524303 LMY524301:LMY524303 LWU524301:LWU524303 MGQ524301:MGQ524303 MQM524301:MQM524303 NAI524301:NAI524303 NKE524301:NKE524303 NUA524301:NUA524303 ODW524301:ODW524303 ONS524301:ONS524303 OXO524301:OXO524303 PHK524301:PHK524303 PRG524301:PRG524303 QBC524301:QBC524303 QKY524301:QKY524303 QUU524301:QUU524303 REQ524301:REQ524303 ROM524301:ROM524303 RYI524301:RYI524303 SIE524301:SIE524303 SSA524301:SSA524303 TBW524301:TBW524303 TLS524301:TLS524303 TVO524301:TVO524303 UFK524301:UFK524303 UPG524301:UPG524303 UZC524301:UZC524303 VIY524301:VIY524303 VSU524301:VSU524303 WCQ524301:WCQ524303 WMM524301:WMM524303 WWI524301:WWI524303 AA589837:AA589839 JW589837:JW589839 TS589837:TS589839 ADO589837:ADO589839 ANK589837:ANK589839 AXG589837:AXG589839 BHC589837:BHC589839 BQY589837:BQY589839 CAU589837:CAU589839 CKQ589837:CKQ589839 CUM589837:CUM589839 DEI589837:DEI589839 DOE589837:DOE589839 DYA589837:DYA589839 EHW589837:EHW589839 ERS589837:ERS589839 FBO589837:FBO589839 FLK589837:FLK589839 FVG589837:FVG589839 GFC589837:GFC589839 GOY589837:GOY589839 GYU589837:GYU589839 HIQ589837:HIQ589839 HSM589837:HSM589839 ICI589837:ICI589839 IME589837:IME589839 IWA589837:IWA589839 JFW589837:JFW589839 JPS589837:JPS589839 JZO589837:JZO589839 KJK589837:KJK589839 KTG589837:KTG589839 LDC589837:LDC589839 LMY589837:LMY589839 LWU589837:LWU589839 MGQ589837:MGQ589839 MQM589837:MQM589839 NAI589837:NAI589839 NKE589837:NKE589839 NUA589837:NUA589839 ODW589837:ODW589839 ONS589837:ONS589839 OXO589837:OXO589839 PHK589837:PHK589839 PRG589837:PRG589839 QBC589837:QBC589839 QKY589837:QKY589839 QUU589837:QUU589839 REQ589837:REQ589839 ROM589837:ROM589839 RYI589837:RYI589839 SIE589837:SIE589839 SSA589837:SSA589839 TBW589837:TBW589839 TLS589837:TLS589839 TVO589837:TVO589839 UFK589837:UFK589839 UPG589837:UPG589839 UZC589837:UZC589839 VIY589837:VIY589839 VSU589837:VSU589839 WCQ589837:WCQ589839 WMM589837:WMM589839 WWI589837:WWI589839 AA655373:AA655375 JW655373:JW655375 TS655373:TS655375 ADO655373:ADO655375 ANK655373:ANK655375 AXG655373:AXG655375 BHC655373:BHC655375 BQY655373:BQY655375 CAU655373:CAU655375 CKQ655373:CKQ655375 CUM655373:CUM655375 DEI655373:DEI655375 DOE655373:DOE655375 DYA655373:DYA655375 EHW655373:EHW655375 ERS655373:ERS655375 FBO655373:FBO655375 FLK655373:FLK655375 FVG655373:FVG655375 GFC655373:GFC655375 GOY655373:GOY655375 GYU655373:GYU655375 HIQ655373:HIQ655375 HSM655373:HSM655375 ICI655373:ICI655375 IME655373:IME655375 IWA655373:IWA655375 JFW655373:JFW655375 JPS655373:JPS655375 JZO655373:JZO655375 KJK655373:KJK655375 KTG655373:KTG655375 LDC655373:LDC655375 LMY655373:LMY655375 LWU655373:LWU655375 MGQ655373:MGQ655375 MQM655373:MQM655375 NAI655373:NAI655375 NKE655373:NKE655375 NUA655373:NUA655375 ODW655373:ODW655375 ONS655373:ONS655375 OXO655373:OXO655375 PHK655373:PHK655375 PRG655373:PRG655375 QBC655373:QBC655375 QKY655373:QKY655375 QUU655373:QUU655375 REQ655373:REQ655375 ROM655373:ROM655375 RYI655373:RYI655375 SIE655373:SIE655375 SSA655373:SSA655375 TBW655373:TBW655375 TLS655373:TLS655375 TVO655373:TVO655375 UFK655373:UFK655375 UPG655373:UPG655375 UZC655373:UZC655375 VIY655373:VIY655375 VSU655373:VSU655375 WCQ655373:WCQ655375 WMM655373:WMM655375 WWI655373:WWI655375 AA720909:AA720911 JW720909:JW720911 TS720909:TS720911 ADO720909:ADO720911 ANK720909:ANK720911 AXG720909:AXG720911 BHC720909:BHC720911 BQY720909:BQY720911 CAU720909:CAU720911 CKQ720909:CKQ720911 CUM720909:CUM720911 DEI720909:DEI720911 DOE720909:DOE720911 DYA720909:DYA720911 EHW720909:EHW720911 ERS720909:ERS720911 FBO720909:FBO720911 FLK720909:FLK720911 FVG720909:FVG720911 GFC720909:GFC720911 GOY720909:GOY720911 GYU720909:GYU720911 HIQ720909:HIQ720911 HSM720909:HSM720911 ICI720909:ICI720911 IME720909:IME720911 IWA720909:IWA720911 JFW720909:JFW720911 JPS720909:JPS720911 JZO720909:JZO720911 KJK720909:KJK720911 KTG720909:KTG720911 LDC720909:LDC720911 LMY720909:LMY720911 LWU720909:LWU720911 MGQ720909:MGQ720911 MQM720909:MQM720911 NAI720909:NAI720911 NKE720909:NKE720911 NUA720909:NUA720911 ODW720909:ODW720911 ONS720909:ONS720911 OXO720909:OXO720911 PHK720909:PHK720911 PRG720909:PRG720911 QBC720909:QBC720911 QKY720909:QKY720911 QUU720909:QUU720911 REQ720909:REQ720911 ROM720909:ROM720911 RYI720909:RYI720911 SIE720909:SIE720911 SSA720909:SSA720911 TBW720909:TBW720911 TLS720909:TLS720911 TVO720909:TVO720911 UFK720909:UFK720911 UPG720909:UPG720911 UZC720909:UZC720911 VIY720909:VIY720911 VSU720909:VSU720911 WCQ720909:WCQ720911 WMM720909:WMM720911 WWI720909:WWI720911 AA786445:AA786447 JW786445:JW786447 TS786445:TS786447 ADO786445:ADO786447 ANK786445:ANK786447 AXG786445:AXG786447 BHC786445:BHC786447 BQY786445:BQY786447 CAU786445:CAU786447 CKQ786445:CKQ786447 CUM786445:CUM786447 DEI786445:DEI786447 DOE786445:DOE786447 DYA786445:DYA786447 EHW786445:EHW786447 ERS786445:ERS786447 FBO786445:FBO786447 FLK786445:FLK786447 FVG786445:FVG786447 GFC786445:GFC786447 GOY786445:GOY786447 GYU786445:GYU786447 HIQ786445:HIQ786447 HSM786445:HSM786447 ICI786445:ICI786447 IME786445:IME786447 IWA786445:IWA786447 JFW786445:JFW786447 JPS786445:JPS786447 JZO786445:JZO786447 KJK786445:KJK786447 KTG786445:KTG786447 LDC786445:LDC786447 LMY786445:LMY786447 LWU786445:LWU786447 MGQ786445:MGQ786447 MQM786445:MQM786447 NAI786445:NAI786447 NKE786445:NKE786447 NUA786445:NUA786447 ODW786445:ODW786447 ONS786445:ONS786447 OXO786445:OXO786447 PHK786445:PHK786447 PRG786445:PRG786447 QBC786445:QBC786447 QKY786445:QKY786447 QUU786445:QUU786447 REQ786445:REQ786447 ROM786445:ROM786447 RYI786445:RYI786447 SIE786445:SIE786447 SSA786445:SSA786447 TBW786445:TBW786447 TLS786445:TLS786447 TVO786445:TVO786447 UFK786445:UFK786447 UPG786445:UPG786447 UZC786445:UZC786447 VIY786445:VIY786447 VSU786445:VSU786447 WCQ786445:WCQ786447 WMM786445:WMM786447 WWI786445:WWI786447 AA851981:AA851983 JW851981:JW851983 TS851981:TS851983 ADO851981:ADO851983 ANK851981:ANK851983 AXG851981:AXG851983 BHC851981:BHC851983 BQY851981:BQY851983 CAU851981:CAU851983 CKQ851981:CKQ851983 CUM851981:CUM851983 DEI851981:DEI851983 DOE851981:DOE851983 DYA851981:DYA851983 EHW851981:EHW851983 ERS851981:ERS851983 FBO851981:FBO851983 FLK851981:FLK851983 FVG851981:FVG851983 GFC851981:GFC851983 GOY851981:GOY851983 GYU851981:GYU851983 HIQ851981:HIQ851983 HSM851981:HSM851983 ICI851981:ICI851983 IME851981:IME851983 IWA851981:IWA851983 JFW851981:JFW851983 JPS851981:JPS851983 JZO851981:JZO851983 KJK851981:KJK851983 KTG851981:KTG851983 LDC851981:LDC851983 LMY851981:LMY851983 LWU851981:LWU851983 MGQ851981:MGQ851983 MQM851981:MQM851983 NAI851981:NAI851983 NKE851981:NKE851983 NUA851981:NUA851983 ODW851981:ODW851983 ONS851981:ONS851983 OXO851981:OXO851983 PHK851981:PHK851983 PRG851981:PRG851983 QBC851981:QBC851983 QKY851981:QKY851983 QUU851981:QUU851983 REQ851981:REQ851983 ROM851981:ROM851983 RYI851981:RYI851983 SIE851981:SIE851983 SSA851981:SSA851983 TBW851981:TBW851983 TLS851981:TLS851983 TVO851981:TVO851983 UFK851981:UFK851983 UPG851981:UPG851983 UZC851981:UZC851983 VIY851981:VIY851983 VSU851981:VSU851983 WCQ851981:WCQ851983 WMM851981:WMM851983 WWI851981:WWI851983 AA917517:AA917519 JW917517:JW917519 TS917517:TS917519 ADO917517:ADO917519 ANK917517:ANK917519 AXG917517:AXG917519 BHC917517:BHC917519 BQY917517:BQY917519 CAU917517:CAU917519 CKQ917517:CKQ917519 CUM917517:CUM917519 DEI917517:DEI917519 DOE917517:DOE917519 DYA917517:DYA917519 EHW917517:EHW917519 ERS917517:ERS917519 FBO917517:FBO917519 FLK917517:FLK917519 FVG917517:FVG917519 GFC917517:GFC917519 GOY917517:GOY917519 GYU917517:GYU917519 HIQ917517:HIQ917519 HSM917517:HSM917519 ICI917517:ICI917519 IME917517:IME917519 IWA917517:IWA917519 JFW917517:JFW917519 JPS917517:JPS917519 JZO917517:JZO917519 KJK917517:KJK917519 KTG917517:KTG917519 LDC917517:LDC917519 LMY917517:LMY917519 LWU917517:LWU917519 MGQ917517:MGQ917519 MQM917517:MQM917519 NAI917517:NAI917519 NKE917517:NKE917519 NUA917517:NUA917519 ODW917517:ODW917519 ONS917517:ONS917519 OXO917517:OXO917519 PHK917517:PHK917519 PRG917517:PRG917519 QBC917517:QBC917519 QKY917517:QKY917519 QUU917517:QUU917519 REQ917517:REQ917519 ROM917517:ROM917519 RYI917517:RYI917519 SIE917517:SIE917519 SSA917517:SSA917519 TBW917517:TBW917519 TLS917517:TLS917519 TVO917517:TVO917519 UFK917517:UFK917519 UPG917517:UPG917519 UZC917517:UZC917519 VIY917517:VIY917519 VSU917517:VSU917519 WCQ917517:WCQ917519 WMM917517:WMM917519 WWI917517:WWI917519 AA983053:AA983055 JW983053:JW983055 TS983053:TS983055 ADO983053:ADO983055 ANK983053:ANK983055 AXG983053:AXG983055 BHC983053:BHC983055 BQY983053:BQY983055 CAU983053:CAU983055 CKQ983053:CKQ983055 CUM983053:CUM983055 DEI983053:DEI983055 DOE983053:DOE983055 DYA983053:DYA983055 EHW983053:EHW983055 ERS983053:ERS983055 FBO983053:FBO983055 FLK983053:FLK983055 FVG983053:FVG983055 GFC983053:GFC983055 GOY983053:GOY983055 GYU983053:GYU983055 HIQ983053:HIQ983055 HSM983053:HSM983055 ICI983053:ICI983055 IME983053:IME983055 IWA983053:IWA983055 JFW983053:JFW983055 JPS983053:JPS983055 JZO983053:JZO983055 KJK983053:KJK983055 KTG983053:KTG983055 LDC983053:LDC983055 LMY983053:LMY983055 LWU983053:LWU983055 MGQ983053:MGQ983055 MQM983053:MQM983055 NAI983053:NAI983055 NKE983053:NKE983055 NUA983053:NUA983055 ODW983053:ODW983055 ONS983053:ONS983055 OXO983053:OXO983055 PHK983053:PHK983055 PRG983053:PRG983055 QBC983053:QBC983055 QKY983053:QKY983055 QUU983053:QUU983055 REQ983053:REQ983055 ROM983053:ROM983055 RYI983053:RYI983055 SIE983053:SIE983055 SSA983053:SSA983055 TBW983053:TBW983055 TLS983053:TLS983055 TVO983053:TVO983055 UFK983053:UFK983055 UPG983053:UPG983055 UZC983053:UZC983055 VIY983053:VIY983055 VSU983053:VSU983055 WCQ983053:WCQ983055 WMM983053:WMM983055 WWI983053:WWI983055 AC13:AC15 JY13:JY15 TU13:TU15 ADQ13:ADQ15 ANM13:ANM15 AXI13:AXI15 BHE13:BHE15 BRA13:BRA15 CAW13:CAW15 CKS13:CKS15 CUO13:CUO15 DEK13:DEK15 DOG13:DOG15 DYC13:DYC15 EHY13:EHY15 ERU13:ERU15 FBQ13:FBQ15 FLM13:FLM15 FVI13:FVI15 GFE13:GFE15 GPA13:GPA15 GYW13:GYW15 HIS13:HIS15 HSO13:HSO15 ICK13:ICK15 IMG13:IMG15 IWC13:IWC15 JFY13:JFY15 JPU13:JPU15 JZQ13:JZQ15 KJM13:KJM15 KTI13:KTI15 LDE13:LDE15 LNA13:LNA15 LWW13:LWW15 MGS13:MGS15 MQO13:MQO15 NAK13:NAK15 NKG13:NKG15 NUC13:NUC15 ODY13:ODY15 ONU13:ONU15 OXQ13:OXQ15 PHM13:PHM15 PRI13:PRI15 QBE13:QBE15 QLA13:QLA15 QUW13:QUW15 RES13:RES15 ROO13:ROO15 RYK13:RYK15 SIG13:SIG15 SSC13:SSC15 TBY13:TBY15 TLU13:TLU15 TVQ13:TVQ15 UFM13:UFM15 UPI13:UPI15 UZE13:UZE15 VJA13:VJA15 VSW13:VSW15 WCS13:WCS15 WMO13:WMO15 WWK13:WWK15 AC65549:AC65551 JY65549:JY65551 TU65549:TU65551 ADQ65549:ADQ65551 ANM65549:ANM65551 AXI65549:AXI65551 BHE65549:BHE65551 BRA65549:BRA65551 CAW65549:CAW65551 CKS65549:CKS65551 CUO65549:CUO65551 DEK65549:DEK65551 DOG65549:DOG65551 DYC65549:DYC65551 EHY65549:EHY65551 ERU65549:ERU65551 FBQ65549:FBQ65551 FLM65549:FLM65551 FVI65549:FVI65551 GFE65549:GFE65551 GPA65549:GPA65551 GYW65549:GYW65551 HIS65549:HIS65551 HSO65549:HSO65551 ICK65549:ICK65551 IMG65549:IMG65551 IWC65549:IWC65551 JFY65549:JFY65551 JPU65549:JPU65551 JZQ65549:JZQ65551 KJM65549:KJM65551 KTI65549:KTI65551 LDE65549:LDE65551 LNA65549:LNA65551 LWW65549:LWW65551 MGS65549:MGS65551 MQO65549:MQO65551 NAK65549:NAK65551 NKG65549:NKG65551 NUC65549:NUC65551 ODY65549:ODY65551 ONU65549:ONU65551 OXQ65549:OXQ65551 PHM65549:PHM65551 PRI65549:PRI65551 QBE65549:QBE65551 QLA65549:QLA65551 QUW65549:QUW65551 RES65549:RES65551 ROO65549:ROO65551 RYK65549:RYK65551 SIG65549:SIG65551 SSC65549:SSC65551 TBY65549:TBY65551 TLU65549:TLU65551 TVQ65549:TVQ65551 UFM65549:UFM65551 UPI65549:UPI65551 UZE65549:UZE65551 VJA65549:VJA65551 VSW65549:VSW65551 WCS65549:WCS65551 WMO65549:WMO65551 WWK65549:WWK65551 AC131085:AC131087 JY131085:JY131087 TU131085:TU131087 ADQ131085:ADQ131087 ANM131085:ANM131087 AXI131085:AXI131087 BHE131085:BHE131087 BRA131085:BRA131087 CAW131085:CAW131087 CKS131085:CKS131087 CUO131085:CUO131087 DEK131085:DEK131087 DOG131085:DOG131087 DYC131085:DYC131087 EHY131085:EHY131087 ERU131085:ERU131087 FBQ131085:FBQ131087 FLM131085:FLM131087 FVI131085:FVI131087 GFE131085:GFE131087 GPA131085:GPA131087 GYW131085:GYW131087 HIS131085:HIS131087 HSO131085:HSO131087 ICK131085:ICK131087 IMG131085:IMG131087 IWC131085:IWC131087 JFY131085:JFY131087 JPU131085:JPU131087 JZQ131085:JZQ131087 KJM131085:KJM131087 KTI131085:KTI131087 LDE131085:LDE131087 LNA131085:LNA131087 LWW131085:LWW131087 MGS131085:MGS131087 MQO131085:MQO131087 NAK131085:NAK131087 NKG131085:NKG131087 NUC131085:NUC131087 ODY131085:ODY131087 ONU131085:ONU131087 OXQ131085:OXQ131087 PHM131085:PHM131087 PRI131085:PRI131087 QBE131085:QBE131087 QLA131085:QLA131087 QUW131085:QUW131087 RES131085:RES131087 ROO131085:ROO131087 RYK131085:RYK131087 SIG131085:SIG131087 SSC131085:SSC131087 TBY131085:TBY131087 TLU131085:TLU131087 TVQ131085:TVQ131087 UFM131085:UFM131087 UPI131085:UPI131087 UZE131085:UZE131087 VJA131085:VJA131087 VSW131085:VSW131087 WCS131085:WCS131087 WMO131085:WMO131087 WWK131085:WWK131087 AC196621:AC196623 JY196621:JY196623 TU196621:TU196623 ADQ196621:ADQ196623 ANM196621:ANM196623 AXI196621:AXI196623 BHE196621:BHE196623 BRA196621:BRA196623 CAW196621:CAW196623 CKS196621:CKS196623 CUO196621:CUO196623 DEK196621:DEK196623 DOG196621:DOG196623 DYC196621:DYC196623 EHY196621:EHY196623 ERU196621:ERU196623 FBQ196621:FBQ196623 FLM196621:FLM196623 FVI196621:FVI196623 GFE196621:GFE196623 GPA196621:GPA196623 GYW196621:GYW196623 HIS196621:HIS196623 HSO196621:HSO196623 ICK196621:ICK196623 IMG196621:IMG196623 IWC196621:IWC196623 JFY196621:JFY196623 JPU196621:JPU196623 JZQ196621:JZQ196623 KJM196621:KJM196623 KTI196621:KTI196623 LDE196621:LDE196623 LNA196621:LNA196623 LWW196621:LWW196623 MGS196621:MGS196623 MQO196621:MQO196623 NAK196621:NAK196623 NKG196621:NKG196623 NUC196621:NUC196623 ODY196621:ODY196623 ONU196621:ONU196623 OXQ196621:OXQ196623 PHM196621:PHM196623 PRI196621:PRI196623 QBE196621:QBE196623 QLA196621:QLA196623 QUW196621:QUW196623 RES196621:RES196623 ROO196621:ROO196623 RYK196621:RYK196623 SIG196621:SIG196623 SSC196621:SSC196623 TBY196621:TBY196623 TLU196621:TLU196623 TVQ196621:TVQ196623 UFM196621:UFM196623 UPI196621:UPI196623 UZE196621:UZE196623 VJA196621:VJA196623 VSW196621:VSW196623 WCS196621:WCS196623 WMO196621:WMO196623 WWK196621:WWK196623 AC262157:AC262159 JY262157:JY262159 TU262157:TU262159 ADQ262157:ADQ262159 ANM262157:ANM262159 AXI262157:AXI262159 BHE262157:BHE262159 BRA262157:BRA262159 CAW262157:CAW262159 CKS262157:CKS262159 CUO262157:CUO262159 DEK262157:DEK262159 DOG262157:DOG262159 DYC262157:DYC262159 EHY262157:EHY262159 ERU262157:ERU262159 FBQ262157:FBQ262159 FLM262157:FLM262159 FVI262157:FVI262159 GFE262157:GFE262159 GPA262157:GPA262159 GYW262157:GYW262159 HIS262157:HIS262159 HSO262157:HSO262159 ICK262157:ICK262159 IMG262157:IMG262159 IWC262157:IWC262159 JFY262157:JFY262159 JPU262157:JPU262159 JZQ262157:JZQ262159 KJM262157:KJM262159 KTI262157:KTI262159 LDE262157:LDE262159 LNA262157:LNA262159 LWW262157:LWW262159 MGS262157:MGS262159 MQO262157:MQO262159 NAK262157:NAK262159 NKG262157:NKG262159 NUC262157:NUC262159 ODY262157:ODY262159 ONU262157:ONU262159 OXQ262157:OXQ262159 PHM262157:PHM262159 PRI262157:PRI262159 QBE262157:QBE262159 QLA262157:QLA262159 QUW262157:QUW262159 RES262157:RES262159 ROO262157:ROO262159 RYK262157:RYK262159 SIG262157:SIG262159 SSC262157:SSC262159 TBY262157:TBY262159 TLU262157:TLU262159 TVQ262157:TVQ262159 UFM262157:UFM262159 UPI262157:UPI262159 UZE262157:UZE262159 VJA262157:VJA262159 VSW262157:VSW262159 WCS262157:WCS262159 WMO262157:WMO262159 WWK262157:WWK262159 AC327693:AC327695 JY327693:JY327695 TU327693:TU327695 ADQ327693:ADQ327695 ANM327693:ANM327695 AXI327693:AXI327695 BHE327693:BHE327695 BRA327693:BRA327695 CAW327693:CAW327695 CKS327693:CKS327695 CUO327693:CUO327695 DEK327693:DEK327695 DOG327693:DOG327695 DYC327693:DYC327695 EHY327693:EHY327695 ERU327693:ERU327695 FBQ327693:FBQ327695 FLM327693:FLM327695 FVI327693:FVI327695 GFE327693:GFE327695 GPA327693:GPA327695 GYW327693:GYW327695 HIS327693:HIS327695 HSO327693:HSO327695 ICK327693:ICK327695 IMG327693:IMG327695 IWC327693:IWC327695 JFY327693:JFY327695 JPU327693:JPU327695 JZQ327693:JZQ327695 KJM327693:KJM327695 KTI327693:KTI327695 LDE327693:LDE327695 LNA327693:LNA327695 LWW327693:LWW327695 MGS327693:MGS327695 MQO327693:MQO327695 NAK327693:NAK327695 NKG327693:NKG327695 NUC327693:NUC327695 ODY327693:ODY327695 ONU327693:ONU327695 OXQ327693:OXQ327695 PHM327693:PHM327695 PRI327693:PRI327695 QBE327693:QBE327695 QLA327693:QLA327695 QUW327693:QUW327695 RES327693:RES327695 ROO327693:ROO327695 RYK327693:RYK327695 SIG327693:SIG327695 SSC327693:SSC327695 TBY327693:TBY327695 TLU327693:TLU327695 TVQ327693:TVQ327695 UFM327693:UFM327695 UPI327693:UPI327695 UZE327693:UZE327695 VJA327693:VJA327695 VSW327693:VSW327695 WCS327693:WCS327695 WMO327693:WMO327695 WWK327693:WWK327695 AC393229:AC393231 JY393229:JY393231 TU393229:TU393231 ADQ393229:ADQ393231 ANM393229:ANM393231 AXI393229:AXI393231 BHE393229:BHE393231 BRA393229:BRA393231 CAW393229:CAW393231 CKS393229:CKS393231 CUO393229:CUO393231 DEK393229:DEK393231 DOG393229:DOG393231 DYC393229:DYC393231 EHY393229:EHY393231 ERU393229:ERU393231 FBQ393229:FBQ393231 FLM393229:FLM393231 FVI393229:FVI393231 GFE393229:GFE393231 GPA393229:GPA393231 GYW393229:GYW393231 HIS393229:HIS393231 HSO393229:HSO393231 ICK393229:ICK393231 IMG393229:IMG393231 IWC393229:IWC393231 JFY393229:JFY393231 JPU393229:JPU393231 JZQ393229:JZQ393231 KJM393229:KJM393231 KTI393229:KTI393231 LDE393229:LDE393231 LNA393229:LNA393231 LWW393229:LWW393231 MGS393229:MGS393231 MQO393229:MQO393231 NAK393229:NAK393231 NKG393229:NKG393231 NUC393229:NUC393231 ODY393229:ODY393231 ONU393229:ONU393231 OXQ393229:OXQ393231 PHM393229:PHM393231 PRI393229:PRI393231 QBE393229:QBE393231 QLA393229:QLA393231 QUW393229:QUW393231 RES393229:RES393231 ROO393229:ROO393231 RYK393229:RYK393231 SIG393229:SIG393231 SSC393229:SSC393231 TBY393229:TBY393231 TLU393229:TLU393231 TVQ393229:TVQ393231 UFM393229:UFM393231 UPI393229:UPI393231 UZE393229:UZE393231 VJA393229:VJA393231 VSW393229:VSW393231 WCS393229:WCS393231 WMO393229:WMO393231 WWK393229:WWK393231 AC458765:AC458767 JY458765:JY458767 TU458765:TU458767 ADQ458765:ADQ458767 ANM458765:ANM458767 AXI458765:AXI458767 BHE458765:BHE458767 BRA458765:BRA458767 CAW458765:CAW458767 CKS458765:CKS458767 CUO458765:CUO458767 DEK458765:DEK458767 DOG458765:DOG458767 DYC458765:DYC458767 EHY458765:EHY458767 ERU458765:ERU458767 FBQ458765:FBQ458767 FLM458765:FLM458767 FVI458765:FVI458767 GFE458765:GFE458767 GPA458765:GPA458767 GYW458765:GYW458767 HIS458765:HIS458767 HSO458765:HSO458767 ICK458765:ICK458767 IMG458765:IMG458767 IWC458765:IWC458767 JFY458765:JFY458767 JPU458765:JPU458767 JZQ458765:JZQ458767 KJM458765:KJM458767 KTI458765:KTI458767 LDE458765:LDE458767 LNA458765:LNA458767 LWW458765:LWW458767 MGS458765:MGS458767 MQO458765:MQO458767 NAK458765:NAK458767 NKG458765:NKG458767 NUC458765:NUC458767 ODY458765:ODY458767 ONU458765:ONU458767 OXQ458765:OXQ458767 PHM458765:PHM458767 PRI458765:PRI458767 QBE458765:QBE458767 QLA458765:QLA458767 QUW458765:QUW458767 RES458765:RES458767 ROO458765:ROO458767 RYK458765:RYK458767 SIG458765:SIG458767 SSC458765:SSC458767 TBY458765:TBY458767 TLU458765:TLU458767 TVQ458765:TVQ458767 UFM458765:UFM458767 UPI458765:UPI458767 UZE458765:UZE458767 VJA458765:VJA458767 VSW458765:VSW458767 WCS458765:WCS458767 WMO458765:WMO458767 WWK458765:WWK458767 AC524301:AC524303 JY524301:JY524303 TU524301:TU524303 ADQ524301:ADQ524303 ANM524301:ANM524303 AXI524301:AXI524303 BHE524301:BHE524303 BRA524301:BRA524303 CAW524301:CAW524303 CKS524301:CKS524303 CUO524301:CUO524303 DEK524301:DEK524303 DOG524301:DOG524303 DYC524301:DYC524303 EHY524301:EHY524303 ERU524301:ERU524303 FBQ524301:FBQ524303 FLM524301:FLM524303 FVI524301:FVI524303 GFE524301:GFE524303 GPA524301:GPA524303 GYW524301:GYW524303 HIS524301:HIS524303 HSO524301:HSO524303 ICK524301:ICK524303 IMG524301:IMG524303 IWC524301:IWC524303 JFY524301:JFY524303 JPU524301:JPU524303 JZQ524301:JZQ524303 KJM524301:KJM524303 KTI524301:KTI524303 LDE524301:LDE524303 LNA524301:LNA524303 LWW524301:LWW524303 MGS524301:MGS524303 MQO524301:MQO524303 NAK524301:NAK524303 NKG524301:NKG524303 NUC524301:NUC524303 ODY524301:ODY524303 ONU524301:ONU524303 OXQ524301:OXQ524303 PHM524301:PHM524303 PRI524301:PRI524303 QBE524301:QBE524303 QLA524301:QLA524303 QUW524301:QUW524303 RES524301:RES524303 ROO524301:ROO524303 RYK524301:RYK524303 SIG524301:SIG524303 SSC524301:SSC524303 TBY524301:TBY524303 TLU524301:TLU524303 TVQ524301:TVQ524303 UFM524301:UFM524303 UPI524301:UPI524303 UZE524301:UZE524303 VJA524301:VJA524303 VSW524301:VSW524303 WCS524301:WCS524303 WMO524301:WMO524303 WWK524301:WWK524303 AC589837:AC589839 JY589837:JY589839 TU589837:TU589839 ADQ589837:ADQ589839 ANM589837:ANM589839 AXI589837:AXI589839 BHE589837:BHE589839 BRA589837:BRA589839 CAW589837:CAW589839 CKS589837:CKS589839 CUO589837:CUO589839 DEK589837:DEK589839 DOG589837:DOG589839 DYC589837:DYC589839 EHY589837:EHY589839 ERU589837:ERU589839 FBQ589837:FBQ589839 FLM589837:FLM589839 FVI589837:FVI589839 GFE589837:GFE589839 GPA589837:GPA589839 GYW589837:GYW589839 HIS589837:HIS589839 HSO589837:HSO589839 ICK589837:ICK589839 IMG589837:IMG589839 IWC589837:IWC589839 JFY589837:JFY589839 JPU589837:JPU589839 JZQ589837:JZQ589839 KJM589837:KJM589839 KTI589837:KTI589839 LDE589837:LDE589839 LNA589837:LNA589839 LWW589837:LWW589839 MGS589837:MGS589839 MQO589837:MQO589839 NAK589837:NAK589839 NKG589837:NKG589839 NUC589837:NUC589839 ODY589837:ODY589839 ONU589837:ONU589839 OXQ589837:OXQ589839 PHM589837:PHM589839 PRI589837:PRI589839 QBE589837:QBE589839 QLA589837:QLA589839 QUW589837:QUW589839 RES589837:RES589839 ROO589837:ROO589839 RYK589837:RYK589839 SIG589837:SIG589839 SSC589837:SSC589839 TBY589837:TBY589839 TLU589837:TLU589839 TVQ589837:TVQ589839 UFM589837:UFM589839 UPI589837:UPI589839 UZE589837:UZE589839 VJA589837:VJA589839 VSW589837:VSW589839 WCS589837:WCS589839 WMO589837:WMO589839 WWK589837:WWK589839 AC655373:AC655375 JY655373:JY655375 TU655373:TU655375 ADQ655373:ADQ655375 ANM655373:ANM655375 AXI655373:AXI655375 BHE655373:BHE655375 BRA655373:BRA655375 CAW655373:CAW655375 CKS655373:CKS655375 CUO655373:CUO655375 DEK655373:DEK655375 DOG655373:DOG655375 DYC655373:DYC655375 EHY655373:EHY655375 ERU655373:ERU655375 FBQ655373:FBQ655375 FLM655373:FLM655375 FVI655373:FVI655375 GFE655373:GFE655375 GPA655373:GPA655375 GYW655373:GYW655375 HIS655373:HIS655375 HSO655373:HSO655375 ICK655373:ICK655375 IMG655373:IMG655375 IWC655373:IWC655375 JFY655373:JFY655375 JPU655373:JPU655375 JZQ655373:JZQ655375 KJM655373:KJM655375 KTI655373:KTI655375 LDE655373:LDE655375 LNA655373:LNA655375 LWW655373:LWW655375 MGS655373:MGS655375 MQO655373:MQO655375 NAK655373:NAK655375 NKG655373:NKG655375 NUC655373:NUC655375 ODY655373:ODY655375 ONU655373:ONU655375 OXQ655373:OXQ655375 PHM655373:PHM655375 PRI655373:PRI655375 QBE655373:QBE655375 QLA655373:QLA655375 QUW655373:QUW655375 RES655373:RES655375 ROO655373:ROO655375 RYK655373:RYK655375 SIG655373:SIG655375 SSC655373:SSC655375 TBY655373:TBY655375 TLU655373:TLU655375 TVQ655373:TVQ655375 UFM655373:UFM655375 UPI655373:UPI655375 UZE655373:UZE655375 VJA655373:VJA655375 VSW655373:VSW655375 WCS655373:WCS655375 WMO655373:WMO655375 WWK655373:WWK655375 AC720909:AC720911 JY720909:JY720911 TU720909:TU720911 ADQ720909:ADQ720911 ANM720909:ANM720911 AXI720909:AXI720911 BHE720909:BHE720911 BRA720909:BRA720911 CAW720909:CAW720911 CKS720909:CKS720911 CUO720909:CUO720911 DEK720909:DEK720911 DOG720909:DOG720911 DYC720909:DYC720911 EHY720909:EHY720911 ERU720909:ERU720911 FBQ720909:FBQ720911 FLM720909:FLM720911 FVI720909:FVI720911 GFE720909:GFE720911 GPA720909:GPA720911 GYW720909:GYW720911 HIS720909:HIS720911 HSO720909:HSO720911 ICK720909:ICK720911 IMG720909:IMG720911 IWC720909:IWC720911 JFY720909:JFY720911 JPU720909:JPU720911 JZQ720909:JZQ720911 KJM720909:KJM720911 KTI720909:KTI720911 LDE720909:LDE720911 LNA720909:LNA720911 LWW720909:LWW720911 MGS720909:MGS720911 MQO720909:MQO720911 NAK720909:NAK720911 NKG720909:NKG720911 NUC720909:NUC720911 ODY720909:ODY720911 ONU720909:ONU720911 OXQ720909:OXQ720911 PHM720909:PHM720911 PRI720909:PRI720911 QBE720909:QBE720911 QLA720909:QLA720911 QUW720909:QUW720911 RES720909:RES720911 ROO720909:ROO720911 RYK720909:RYK720911 SIG720909:SIG720911 SSC720909:SSC720911 TBY720909:TBY720911 TLU720909:TLU720911 TVQ720909:TVQ720911 UFM720909:UFM720911 UPI720909:UPI720911 UZE720909:UZE720911 VJA720909:VJA720911 VSW720909:VSW720911 WCS720909:WCS720911 WMO720909:WMO720911 WWK720909:WWK720911 AC786445:AC786447 JY786445:JY786447 TU786445:TU786447 ADQ786445:ADQ786447 ANM786445:ANM786447 AXI786445:AXI786447 BHE786445:BHE786447 BRA786445:BRA786447 CAW786445:CAW786447 CKS786445:CKS786447 CUO786445:CUO786447 DEK786445:DEK786447 DOG786445:DOG786447 DYC786445:DYC786447 EHY786445:EHY786447 ERU786445:ERU786447 FBQ786445:FBQ786447 FLM786445:FLM786447 FVI786445:FVI786447 GFE786445:GFE786447 GPA786445:GPA786447 GYW786445:GYW786447 HIS786445:HIS786447 HSO786445:HSO786447 ICK786445:ICK786447 IMG786445:IMG786447 IWC786445:IWC786447 JFY786445:JFY786447 JPU786445:JPU786447 JZQ786445:JZQ786447 KJM786445:KJM786447 KTI786445:KTI786447 LDE786445:LDE786447 LNA786445:LNA786447 LWW786445:LWW786447 MGS786445:MGS786447 MQO786445:MQO786447 NAK786445:NAK786447 NKG786445:NKG786447 NUC786445:NUC786447 ODY786445:ODY786447 ONU786445:ONU786447 OXQ786445:OXQ786447 PHM786445:PHM786447 PRI786445:PRI786447 QBE786445:QBE786447 QLA786445:QLA786447 QUW786445:QUW786447 RES786445:RES786447 ROO786445:ROO786447 RYK786445:RYK786447 SIG786445:SIG786447 SSC786445:SSC786447 TBY786445:TBY786447 TLU786445:TLU786447 TVQ786445:TVQ786447 UFM786445:UFM786447 UPI786445:UPI786447 UZE786445:UZE786447 VJA786445:VJA786447 VSW786445:VSW786447 WCS786445:WCS786447 WMO786445:WMO786447 WWK786445:WWK786447 AC851981:AC851983 JY851981:JY851983 TU851981:TU851983 ADQ851981:ADQ851983 ANM851981:ANM851983 AXI851981:AXI851983 BHE851981:BHE851983 BRA851981:BRA851983 CAW851981:CAW851983 CKS851981:CKS851983 CUO851981:CUO851983 DEK851981:DEK851983 DOG851981:DOG851983 DYC851981:DYC851983 EHY851981:EHY851983 ERU851981:ERU851983 FBQ851981:FBQ851983 FLM851981:FLM851983 FVI851981:FVI851983 GFE851981:GFE851983 GPA851981:GPA851983 GYW851981:GYW851983 HIS851981:HIS851983 HSO851981:HSO851983 ICK851981:ICK851983 IMG851981:IMG851983 IWC851981:IWC851983 JFY851981:JFY851983 JPU851981:JPU851983 JZQ851981:JZQ851983 KJM851981:KJM851983 KTI851981:KTI851983 LDE851981:LDE851983 LNA851981:LNA851983 LWW851981:LWW851983 MGS851981:MGS851983 MQO851981:MQO851983 NAK851981:NAK851983 NKG851981:NKG851983 NUC851981:NUC851983 ODY851981:ODY851983 ONU851981:ONU851983 OXQ851981:OXQ851983 PHM851981:PHM851983 PRI851981:PRI851983 QBE851981:QBE851983 QLA851981:QLA851983 QUW851981:QUW851983 RES851981:RES851983 ROO851981:ROO851983 RYK851981:RYK851983 SIG851981:SIG851983 SSC851981:SSC851983 TBY851981:TBY851983 TLU851981:TLU851983 TVQ851981:TVQ851983 UFM851981:UFM851983 UPI851981:UPI851983 UZE851981:UZE851983 VJA851981:VJA851983 VSW851981:VSW851983 WCS851981:WCS851983 WMO851981:WMO851983 WWK851981:WWK851983 AC917517:AC917519 JY917517:JY917519 TU917517:TU917519 ADQ917517:ADQ917519 ANM917517:ANM917519 AXI917517:AXI917519 BHE917517:BHE917519 BRA917517:BRA917519 CAW917517:CAW917519 CKS917517:CKS917519 CUO917517:CUO917519 DEK917517:DEK917519 DOG917517:DOG917519 DYC917517:DYC917519 EHY917517:EHY917519 ERU917517:ERU917519 FBQ917517:FBQ917519 FLM917517:FLM917519 FVI917517:FVI917519 GFE917517:GFE917519 GPA917517:GPA917519 GYW917517:GYW917519 HIS917517:HIS917519 HSO917517:HSO917519 ICK917517:ICK917519 IMG917517:IMG917519 IWC917517:IWC917519 JFY917517:JFY917519 JPU917517:JPU917519 JZQ917517:JZQ917519 KJM917517:KJM917519 KTI917517:KTI917519 LDE917517:LDE917519 LNA917517:LNA917519 LWW917517:LWW917519 MGS917517:MGS917519 MQO917517:MQO917519 NAK917517:NAK917519 NKG917517:NKG917519 NUC917517:NUC917519 ODY917517:ODY917519 ONU917517:ONU917519 OXQ917517:OXQ917519 PHM917517:PHM917519 PRI917517:PRI917519 QBE917517:QBE917519 QLA917517:QLA917519 QUW917517:QUW917519 RES917517:RES917519 ROO917517:ROO917519 RYK917517:RYK917519 SIG917517:SIG917519 SSC917517:SSC917519 TBY917517:TBY917519 TLU917517:TLU917519 TVQ917517:TVQ917519 UFM917517:UFM917519 UPI917517:UPI917519 UZE917517:UZE917519 VJA917517:VJA917519 VSW917517:VSW917519 WCS917517:WCS917519 WMO917517:WMO917519 WWK917517:WWK917519 AC983053:AC983055 JY983053:JY983055 TU983053:TU983055 ADQ983053:ADQ983055 ANM983053:ANM983055 AXI983053:AXI983055 BHE983053:BHE983055 BRA983053:BRA983055 CAW983053:CAW983055 CKS983053:CKS983055 CUO983053:CUO983055 DEK983053:DEK983055 DOG983053:DOG983055 DYC983053:DYC983055 EHY983053:EHY983055 ERU983053:ERU983055 FBQ983053:FBQ983055 FLM983053:FLM983055 FVI983053:FVI983055 GFE983053:GFE983055 GPA983053:GPA983055 GYW983053:GYW983055 HIS983053:HIS983055 HSO983053:HSO983055 ICK983053:ICK983055 IMG983053:IMG983055 IWC983053:IWC983055 JFY983053:JFY983055 JPU983053:JPU983055 JZQ983053:JZQ983055 KJM983053:KJM983055 KTI983053:KTI983055 LDE983053:LDE983055 LNA983053:LNA983055 LWW983053:LWW983055 MGS983053:MGS983055 MQO983053:MQO983055 NAK983053:NAK983055 NKG983053:NKG983055 NUC983053:NUC983055 ODY983053:ODY983055 ONU983053:ONU983055 OXQ983053:OXQ983055 PHM983053:PHM983055 PRI983053:PRI983055 QBE983053:QBE983055 QLA983053:QLA983055 QUW983053:QUW983055 RES983053:RES983055 ROO983053:ROO983055 RYK983053:RYK983055 SIG983053:SIG983055 SSC983053:SSC983055 TBY983053:TBY983055 TLU983053:TLU983055 TVQ983053:TVQ983055 UFM983053:UFM983055 UPI983053:UPI983055 UZE983053:UZE983055 VJA983053:VJA983055 VSW983053:VSW983055 WCS983053:WCS983055 WMO983053:WMO983055 WWK983053:WWK983055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AC23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AA38:AA40 JW38:JW40 TS38:TS40 ADO38:ADO40 ANK38:ANK40 AXG38:AXG40 BHC38:BHC40 BQY38:BQY40 CAU38:CAU40 CKQ38:CKQ40 CUM38:CUM40 DEI38:DEI40 DOE38:DOE40 DYA38:DYA40 EHW38:EHW40 ERS38:ERS40 FBO38:FBO40 FLK38:FLK40 FVG38:FVG40 GFC38:GFC40 GOY38:GOY40 GYU38:GYU40 HIQ38:HIQ40 HSM38:HSM40 ICI38:ICI40 IME38:IME40 IWA38:IWA40 JFW38:JFW40 JPS38:JPS40 JZO38:JZO40 KJK38:KJK40 KTG38:KTG40 LDC38:LDC40 LMY38:LMY40 LWU38:LWU40 MGQ38:MGQ40 MQM38:MQM40 NAI38:NAI40 NKE38:NKE40 NUA38:NUA40 ODW38:ODW40 ONS38:ONS40 OXO38:OXO40 PHK38:PHK40 PRG38:PRG40 QBC38:QBC40 QKY38:QKY40 QUU38:QUU40 REQ38:REQ40 ROM38:ROM40 RYI38:RYI40 SIE38:SIE40 SSA38:SSA40 TBW38:TBW40 TLS38:TLS40 TVO38:TVO40 UFK38:UFK40 UPG38:UPG40 UZC38:UZC40 VIY38:VIY40 VSU38:VSU40 WCQ38:WCQ40 WMM38:WMM40 WWI38:WWI40 AA65574:AA65576 JW65574:JW65576 TS65574:TS65576 ADO65574:ADO65576 ANK65574:ANK65576 AXG65574:AXG65576 BHC65574:BHC65576 BQY65574:BQY65576 CAU65574:CAU65576 CKQ65574:CKQ65576 CUM65574:CUM65576 DEI65574:DEI65576 DOE65574:DOE65576 DYA65574:DYA65576 EHW65574:EHW65576 ERS65574:ERS65576 FBO65574:FBO65576 FLK65574:FLK65576 FVG65574:FVG65576 GFC65574:GFC65576 GOY65574:GOY65576 GYU65574:GYU65576 HIQ65574:HIQ65576 HSM65574:HSM65576 ICI65574:ICI65576 IME65574:IME65576 IWA65574:IWA65576 JFW65574:JFW65576 JPS65574:JPS65576 JZO65574:JZO65576 KJK65574:KJK65576 KTG65574:KTG65576 LDC65574:LDC65576 LMY65574:LMY65576 LWU65574:LWU65576 MGQ65574:MGQ65576 MQM65574:MQM65576 NAI65574:NAI65576 NKE65574:NKE65576 NUA65574:NUA65576 ODW65574:ODW65576 ONS65574:ONS65576 OXO65574:OXO65576 PHK65574:PHK65576 PRG65574:PRG65576 QBC65574:QBC65576 QKY65574:QKY65576 QUU65574:QUU65576 REQ65574:REQ65576 ROM65574:ROM65576 RYI65574:RYI65576 SIE65574:SIE65576 SSA65574:SSA65576 TBW65574:TBW65576 TLS65574:TLS65576 TVO65574:TVO65576 UFK65574:UFK65576 UPG65574:UPG65576 UZC65574:UZC65576 VIY65574:VIY65576 VSU65574:VSU65576 WCQ65574:WCQ65576 WMM65574:WMM65576 WWI65574:WWI65576 AA131110:AA131112 JW131110:JW131112 TS131110:TS131112 ADO131110:ADO131112 ANK131110:ANK131112 AXG131110:AXG131112 BHC131110:BHC131112 BQY131110:BQY131112 CAU131110:CAU131112 CKQ131110:CKQ131112 CUM131110:CUM131112 DEI131110:DEI131112 DOE131110:DOE131112 DYA131110:DYA131112 EHW131110:EHW131112 ERS131110:ERS131112 FBO131110:FBO131112 FLK131110:FLK131112 FVG131110:FVG131112 GFC131110:GFC131112 GOY131110:GOY131112 GYU131110:GYU131112 HIQ131110:HIQ131112 HSM131110:HSM131112 ICI131110:ICI131112 IME131110:IME131112 IWA131110:IWA131112 JFW131110:JFW131112 JPS131110:JPS131112 JZO131110:JZO131112 KJK131110:KJK131112 KTG131110:KTG131112 LDC131110:LDC131112 LMY131110:LMY131112 LWU131110:LWU131112 MGQ131110:MGQ131112 MQM131110:MQM131112 NAI131110:NAI131112 NKE131110:NKE131112 NUA131110:NUA131112 ODW131110:ODW131112 ONS131110:ONS131112 OXO131110:OXO131112 PHK131110:PHK131112 PRG131110:PRG131112 QBC131110:QBC131112 QKY131110:QKY131112 QUU131110:QUU131112 REQ131110:REQ131112 ROM131110:ROM131112 RYI131110:RYI131112 SIE131110:SIE131112 SSA131110:SSA131112 TBW131110:TBW131112 TLS131110:TLS131112 TVO131110:TVO131112 UFK131110:UFK131112 UPG131110:UPG131112 UZC131110:UZC131112 VIY131110:VIY131112 VSU131110:VSU131112 WCQ131110:WCQ131112 WMM131110:WMM131112 WWI131110:WWI131112 AA196646:AA196648 JW196646:JW196648 TS196646:TS196648 ADO196646:ADO196648 ANK196646:ANK196648 AXG196646:AXG196648 BHC196646:BHC196648 BQY196646:BQY196648 CAU196646:CAU196648 CKQ196646:CKQ196648 CUM196646:CUM196648 DEI196646:DEI196648 DOE196646:DOE196648 DYA196646:DYA196648 EHW196646:EHW196648 ERS196646:ERS196648 FBO196646:FBO196648 FLK196646:FLK196648 FVG196646:FVG196648 GFC196646:GFC196648 GOY196646:GOY196648 GYU196646:GYU196648 HIQ196646:HIQ196648 HSM196646:HSM196648 ICI196646:ICI196648 IME196646:IME196648 IWA196646:IWA196648 JFW196646:JFW196648 JPS196646:JPS196648 JZO196646:JZO196648 KJK196646:KJK196648 KTG196646:KTG196648 LDC196646:LDC196648 LMY196646:LMY196648 LWU196646:LWU196648 MGQ196646:MGQ196648 MQM196646:MQM196648 NAI196646:NAI196648 NKE196646:NKE196648 NUA196646:NUA196648 ODW196646:ODW196648 ONS196646:ONS196648 OXO196646:OXO196648 PHK196646:PHK196648 PRG196646:PRG196648 QBC196646:QBC196648 QKY196646:QKY196648 QUU196646:QUU196648 REQ196646:REQ196648 ROM196646:ROM196648 RYI196646:RYI196648 SIE196646:SIE196648 SSA196646:SSA196648 TBW196646:TBW196648 TLS196646:TLS196648 TVO196646:TVO196648 UFK196646:UFK196648 UPG196646:UPG196648 UZC196646:UZC196648 VIY196646:VIY196648 VSU196646:VSU196648 WCQ196646:WCQ196648 WMM196646:WMM196648 WWI196646:WWI196648 AA262182:AA262184 JW262182:JW262184 TS262182:TS262184 ADO262182:ADO262184 ANK262182:ANK262184 AXG262182:AXG262184 BHC262182:BHC262184 BQY262182:BQY262184 CAU262182:CAU262184 CKQ262182:CKQ262184 CUM262182:CUM262184 DEI262182:DEI262184 DOE262182:DOE262184 DYA262182:DYA262184 EHW262182:EHW262184 ERS262182:ERS262184 FBO262182:FBO262184 FLK262182:FLK262184 FVG262182:FVG262184 GFC262182:GFC262184 GOY262182:GOY262184 GYU262182:GYU262184 HIQ262182:HIQ262184 HSM262182:HSM262184 ICI262182:ICI262184 IME262182:IME262184 IWA262182:IWA262184 JFW262182:JFW262184 JPS262182:JPS262184 JZO262182:JZO262184 KJK262182:KJK262184 KTG262182:KTG262184 LDC262182:LDC262184 LMY262182:LMY262184 LWU262182:LWU262184 MGQ262182:MGQ262184 MQM262182:MQM262184 NAI262182:NAI262184 NKE262182:NKE262184 NUA262182:NUA262184 ODW262182:ODW262184 ONS262182:ONS262184 OXO262182:OXO262184 PHK262182:PHK262184 PRG262182:PRG262184 QBC262182:QBC262184 QKY262182:QKY262184 QUU262182:QUU262184 REQ262182:REQ262184 ROM262182:ROM262184 RYI262182:RYI262184 SIE262182:SIE262184 SSA262182:SSA262184 TBW262182:TBW262184 TLS262182:TLS262184 TVO262182:TVO262184 UFK262182:UFK262184 UPG262182:UPG262184 UZC262182:UZC262184 VIY262182:VIY262184 VSU262182:VSU262184 WCQ262182:WCQ262184 WMM262182:WMM262184 WWI262182:WWI262184 AA327718:AA327720 JW327718:JW327720 TS327718:TS327720 ADO327718:ADO327720 ANK327718:ANK327720 AXG327718:AXG327720 BHC327718:BHC327720 BQY327718:BQY327720 CAU327718:CAU327720 CKQ327718:CKQ327720 CUM327718:CUM327720 DEI327718:DEI327720 DOE327718:DOE327720 DYA327718:DYA327720 EHW327718:EHW327720 ERS327718:ERS327720 FBO327718:FBO327720 FLK327718:FLK327720 FVG327718:FVG327720 GFC327718:GFC327720 GOY327718:GOY327720 GYU327718:GYU327720 HIQ327718:HIQ327720 HSM327718:HSM327720 ICI327718:ICI327720 IME327718:IME327720 IWA327718:IWA327720 JFW327718:JFW327720 JPS327718:JPS327720 JZO327718:JZO327720 KJK327718:KJK327720 KTG327718:KTG327720 LDC327718:LDC327720 LMY327718:LMY327720 LWU327718:LWU327720 MGQ327718:MGQ327720 MQM327718:MQM327720 NAI327718:NAI327720 NKE327718:NKE327720 NUA327718:NUA327720 ODW327718:ODW327720 ONS327718:ONS327720 OXO327718:OXO327720 PHK327718:PHK327720 PRG327718:PRG327720 QBC327718:QBC327720 QKY327718:QKY327720 QUU327718:QUU327720 REQ327718:REQ327720 ROM327718:ROM327720 RYI327718:RYI327720 SIE327718:SIE327720 SSA327718:SSA327720 TBW327718:TBW327720 TLS327718:TLS327720 TVO327718:TVO327720 UFK327718:UFK327720 UPG327718:UPG327720 UZC327718:UZC327720 VIY327718:VIY327720 VSU327718:VSU327720 WCQ327718:WCQ327720 WMM327718:WMM327720 WWI327718:WWI327720 AA393254:AA393256 JW393254:JW393256 TS393254:TS393256 ADO393254:ADO393256 ANK393254:ANK393256 AXG393254:AXG393256 BHC393254:BHC393256 BQY393254:BQY393256 CAU393254:CAU393256 CKQ393254:CKQ393256 CUM393254:CUM393256 DEI393254:DEI393256 DOE393254:DOE393256 DYA393254:DYA393256 EHW393254:EHW393256 ERS393254:ERS393256 FBO393254:FBO393256 FLK393254:FLK393256 FVG393254:FVG393256 GFC393254:GFC393256 GOY393254:GOY393256 GYU393254:GYU393256 HIQ393254:HIQ393256 HSM393254:HSM393256 ICI393254:ICI393256 IME393254:IME393256 IWA393254:IWA393256 JFW393254:JFW393256 JPS393254:JPS393256 JZO393254:JZO393256 KJK393254:KJK393256 KTG393254:KTG393256 LDC393254:LDC393256 LMY393254:LMY393256 LWU393254:LWU393256 MGQ393254:MGQ393256 MQM393254:MQM393256 NAI393254:NAI393256 NKE393254:NKE393256 NUA393254:NUA393256 ODW393254:ODW393256 ONS393254:ONS393256 OXO393254:OXO393256 PHK393254:PHK393256 PRG393254:PRG393256 QBC393254:QBC393256 QKY393254:QKY393256 QUU393254:QUU393256 REQ393254:REQ393256 ROM393254:ROM393256 RYI393254:RYI393256 SIE393254:SIE393256 SSA393254:SSA393256 TBW393254:TBW393256 TLS393254:TLS393256 TVO393254:TVO393256 UFK393254:UFK393256 UPG393254:UPG393256 UZC393254:UZC393256 VIY393254:VIY393256 VSU393254:VSU393256 WCQ393254:WCQ393256 WMM393254:WMM393256 WWI393254:WWI393256 AA458790:AA458792 JW458790:JW458792 TS458790:TS458792 ADO458790:ADO458792 ANK458790:ANK458792 AXG458790:AXG458792 BHC458790:BHC458792 BQY458790:BQY458792 CAU458790:CAU458792 CKQ458790:CKQ458792 CUM458790:CUM458792 DEI458790:DEI458792 DOE458790:DOE458792 DYA458790:DYA458792 EHW458790:EHW458792 ERS458790:ERS458792 FBO458790:FBO458792 FLK458790:FLK458792 FVG458790:FVG458792 GFC458790:GFC458792 GOY458790:GOY458792 GYU458790:GYU458792 HIQ458790:HIQ458792 HSM458790:HSM458792 ICI458790:ICI458792 IME458790:IME458792 IWA458790:IWA458792 JFW458790:JFW458792 JPS458790:JPS458792 JZO458790:JZO458792 KJK458790:KJK458792 KTG458790:KTG458792 LDC458790:LDC458792 LMY458790:LMY458792 LWU458790:LWU458792 MGQ458790:MGQ458792 MQM458790:MQM458792 NAI458790:NAI458792 NKE458790:NKE458792 NUA458790:NUA458792 ODW458790:ODW458792 ONS458790:ONS458792 OXO458790:OXO458792 PHK458790:PHK458792 PRG458790:PRG458792 QBC458790:QBC458792 QKY458790:QKY458792 QUU458790:QUU458792 REQ458790:REQ458792 ROM458790:ROM458792 RYI458790:RYI458792 SIE458790:SIE458792 SSA458790:SSA458792 TBW458790:TBW458792 TLS458790:TLS458792 TVO458790:TVO458792 UFK458790:UFK458792 UPG458790:UPG458792 UZC458790:UZC458792 VIY458790:VIY458792 VSU458790:VSU458792 WCQ458790:WCQ458792 WMM458790:WMM458792 WWI458790:WWI458792 AA524326:AA524328 JW524326:JW524328 TS524326:TS524328 ADO524326:ADO524328 ANK524326:ANK524328 AXG524326:AXG524328 BHC524326:BHC524328 BQY524326:BQY524328 CAU524326:CAU524328 CKQ524326:CKQ524328 CUM524326:CUM524328 DEI524326:DEI524328 DOE524326:DOE524328 DYA524326:DYA524328 EHW524326:EHW524328 ERS524326:ERS524328 FBO524326:FBO524328 FLK524326:FLK524328 FVG524326:FVG524328 GFC524326:GFC524328 GOY524326:GOY524328 GYU524326:GYU524328 HIQ524326:HIQ524328 HSM524326:HSM524328 ICI524326:ICI524328 IME524326:IME524328 IWA524326:IWA524328 JFW524326:JFW524328 JPS524326:JPS524328 JZO524326:JZO524328 KJK524326:KJK524328 KTG524326:KTG524328 LDC524326:LDC524328 LMY524326:LMY524328 LWU524326:LWU524328 MGQ524326:MGQ524328 MQM524326:MQM524328 NAI524326:NAI524328 NKE524326:NKE524328 NUA524326:NUA524328 ODW524326:ODW524328 ONS524326:ONS524328 OXO524326:OXO524328 PHK524326:PHK524328 PRG524326:PRG524328 QBC524326:QBC524328 QKY524326:QKY524328 QUU524326:QUU524328 REQ524326:REQ524328 ROM524326:ROM524328 RYI524326:RYI524328 SIE524326:SIE524328 SSA524326:SSA524328 TBW524326:TBW524328 TLS524326:TLS524328 TVO524326:TVO524328 UFK524326:UFK524328 UPG524326:UPG524328 UZC524326:UZC524328 VIY524326:VIY524328 VSU524326:VSU524328 WCQ524326:WCQ524328 WMM524326:WMM524328 WWI524326:WWI524328 AA589862:AA589864 JW589862:JW589864 TS589862:TS589864 ADO589862:ADO589864 ANK589862:ANK589864 AXG589862:AXG589864 BHC589862:BHC589864 BQY589862:BQY589864 CAU589862:CAU589864 CKQ589862:CKQ589864 CUM589862:CUM589864 DEI589862:DEI589864 DOE589862:DOE589864 DYA589862:DYA589864 EHW589862:EHW589864 ERS589862:ERS589864 FBO589862:FBO589864 FLK589862:FLK589864 FVG589862:FVG589864 GFC589862:GFC589864 GOY589862:GOY589864 GYU589862:GYU589864 HIQ589862:HIQ589864 HSM589862:HSM589864 ICI589862:ICI589864 IME589862:IME589864 IWA589862:IWA589864 JFW589862:JFW589864 JPS589862:JPS589864 JZO589862:JZO589864 KJK589862:KJK589864 KTG589862:KTG589864 LDC589862:LDC589864 LMY589862:LMY589864 LWU589862:LWU589864 MGQ589862:MGQ589864 MQM589862:MQM589864 NAI589862:NAI589864 NKE589862:NKE589864 NUA589862:NUA589864 ODW589862:ODW589864 ONS589862:ONS589864 OXO589862:OXO589864 PHK589862:PHK589864 PRG589862:PRG589864 QBC589862:QBC589864 QKY589862:QKY589864 QUU589862:QUU589864 REQ589862:REQ589864 ROM589862:ROM589864 RYI589862:RYI589864 SIE589862:SIE589864 SSA589862:SSA589864 TBW589862:TBW589864 TLS589862:TLS589864 TVO589862:TVO589864 UFK589862:UFK589864 UPG589862:UPG589864 UZC589862:UZC589864 VIY589862:VIY589864 VSU589862:VSU589864 WCQ589862:WCQ589864 WMM589862:WMM589864 WWI589862:WWI589864 AA655398:AA655400 JW655398:JW655400 TS655398:TS655400 ADO655398:ADO655400 ANK655398:ANK655400 AXG655398:AXG655400 BHC655398:BHC655400 BQY655398:BQY655400 CAU655398:CAU655400 CKQ655398:CKQ655400 CUM655398:CUM655400 DEI655398:DEI655400 DOE655398:DOE655400 DYA655398:DYA655400 EHW655398:EHW655400 ERS655398:ERS655400 FBO655398:FBO655400 FLK655398:FLK655400 FVG655398:FVG655400 GFC655398:GFC655400 GOY655398:GOY655400 GYU655398:GYU655400 HIQ655398:HIQ655400 HSM655398:HSM655400 ICI655398:ICI655400 IME655398:IME655400 IWA655398:IWA655400 JFW655398:JFW655400 JPS655398:JPS655400 JZO655398:JZO655400 KJK655398:KJK655400 KTG655398:KTG655400 LDC655398:LDC655400 LMY655398:LMY655400 LWU655398:LWU655400 MGQ655398:MGQ655400 MQM655398:MQM655400 NAI655398:NAI655400 NKE655398:NKE655400 NUA655398:NUA655400 ODW655398:ODW655400 ONS655398:ONS655400 OXO655398:OXO655400 PHK655398:PHK655400 PRG655398:PRG655400 QBC655398:QBC655400 QKY655398:QKY655400 QUU655398:QUU655400 REQ655398:REQ655400 ROM655398:ROM655400 RYI655398:RYI655400 SIE655398:SIE655400 SSA655398:SSA655400 TBW655398:TBW655400 TLS655398:TLS655400 TVO655398:TVO655400 UFK655398:UFK655400 UPG655398:UPG655400 UZC655398:UZC655400 VIY655398:VIY655400 VSU655398:VSU655400 WCQ655398:WCQ655400 WMM655398:WMM655400 WWI655398:WWI655400 AA720934:AA720936 JW720934:JW720936 TS720934:TS720936 ADO720934:ADO720936 ANK720934:ANK720936 AXG720934:AXG720936 BHC720934:BHC720936 BQY720934:BQY720936 CAU720934:CAU720936 CKQ720934:CKQ720936 CUM720934:CUM720936 DEI720934:DEI720936 DOE720934:DOE720936 DYA720934:DYA720936 EHW720934:EHW720936 ERS720934:ERS720936 FBO720934:FBO720936 FLK720934:FLK720936 FVG720934:FVG720936 GFC720934:GFC720936 GOY720934:GOY720936 GYU720934:GYU720936 HIQ720934:HIQ720936 HSM720934:HSM720936 ICI720934:ICI720936 IME720934:IME720936 IWA720934:IWA720936 JFW720934:JFW720936 JPS720934:JPS720936 JZO720934:JZO720936 KJK720934:KJK720936 KTG720934:KTG720936 LDC720934:LDC720936 LMY720934:LMY720936 LWU720934:LWU720936 MGQ720934:MGQ720936 MQM720934:MQM720936 NAI720934:NAI720936 NKE720934:NKE720936 NUA720934:NUA720936 ODW720934:ODW720936 ONS720934:ONS720936 OXO720934:OXO720936 PHK720934:PHK720936 PRG720934:PRG720936 QBC720934:QBC720936 QKY720934:QKY720936 QUU720934:QUU720936 REQ720934:REQ720936 ROM720934:ROM720936 RYI720934:RYI720936 SIE720934:SIE720936 SSA720934:SSA720936 TBW720934:TBW720936 TLS720934:TLS720936 TVO720934:TVO720936 UFK720934:UFK720936 UPG720934:UPG720936 UZC720934:UZC720936 VIY720934:VIY720936 VSU720934:VSU720936 WCQ720934:WCQ720936 WMM720934:WMM720936 WWI720934:WWI720936 AA786470:AA786472 JW786470:JW786472 TS786470:TS786472 ADO786470:ADO786472 ANK786470:ANK786472 AXG786470:AXG786472 BHC786470:BHC786472 BQY786470:BQY786472 CAU786470:CAU786472 CKQ786470:CKQ786472 CUM786470:CUM786472 DEI786470:DEI786472 DOE786470:DOE786472 DYA786470:DYA786472 EHW786470:EHW786472 ERS786470:ERS786472 FBO786470:FBO786472 FLK786470:FLK786472 FVG786470:FVG786472 GFC786470:GFC786472 GOY786470:GOY786472 GYU786470:GYU786472 HIQ786470:HIQ786472 HSM786470:HSM786472 ICI786470:ICI786472 IME786470:IME786472 IWA786470:IWA786472 JFW786470:JFW786472 JPS786470:JPS786472 JZO786470:JZO786472 KJK786470:KJK786472 KTG786470:KTG786472 LDC786470:LDC786472 LMY786470:LMY786472 LWU786470:LWU786472 MGQ786470:MGQ786472 MQM786470:MQM786472 NAI786470:NAI786472 NKE786470:NKE786472 NUA786470:NUA786472 ODW786470:ODW786472 ONS786470:ONS786472 OXO786470:OXO786472 PHK786470:PHK786472 PRG786470:PRG786472 QBC786470:QBC786472 QKY786470:QKY786472 QUU786470:QUU786472 REQ786470:REQ786472 ROM786470:ROM786472 RYI786470:RYI786472 SIE786470:SIE786472 SSA786470:SSA786472 TBW786470:TBW786472 TLS786470:TLS786472 TVO786470:TVO786472 UFK786470:UFK786472 UPG786470:UPG786472 UZC786470:UZC786472 VIY786470:VIY786472 VSU786470:VSU786472 WCQ786470:WCQ786472 WMM786470:WMM786472 WWI786470:WWI786472 AA852006:AA852008 JW852006:JW852008 TS852006:TS852008 ADO852006:ADO852008 ANK852006:ANK852008 AXG852006:AXG852008 BHC852006:BHC852008 BQY852006:BQY852008 CAU852006:CAU852008 CKQ852006:CKQ852008 CUM852006:CUM852008 DEI852006:DEI852008 DOE852006:DOE852008 DYA852006:DYA852008 EHW852006:EHW852008 ERS852006:ERS852008 FBO852006:FBO852008 FLK852006:FLK852008 FVG852006:FVG852008 GFC852006:GFC852008 GOY852006:GOY852008 GYU852006:GYU852008 HIQ852006:HIQ852008 HSM852006:HSM852008 ICI852006:ICI852008 IME852006:IME852008 IWA852006:IWA852008 JFW852006:JFW852008 JPS852006:JPS852008 JZO852006:JZO852008 KJK852006:KJK852008 KTG852006:KTG852008 LDC852006:LDC852008 LMY852006:LMY852008 LWU852006:LWU852008 MGQ852006:MGQ852008 MQM852006:MQM852008 NAI852006:NAI852008 NKE852006:NKE852008 NUA852006:NUA852008 ODW852006:ODW852008 ONS852006:ONS852008 OXO852006:OXO852008 PHK852006:PHK852008 PRG852006:PRG852008 QBC852006:QBC852008 QKY852006:QKY852008 QUU852006:QUU852008 REQ852006:REQ852008 ROM852006:ROM852008 RYI852006:RYI852008 SIE852006:SIE852008 SSA852006:SSA852008 TBW852006:TBW852008 TLS852006:TLS852008 TVO852006:TVO852008 UFK852006:UFK852008 UPG852006:UPG852008 UZC852006:UZC852008 VIY852006:VIY852008 VSU852006:VSU852008 WCQ852006:WCQ852008 WMM852006:WMM852008 WWI852006:WWI852008 AA917542:AA917544 JW917542:JW917544 TS917542:TS917544 ADO917542:ADO917544 ANK917542:ANK917544 AXG917542:AXG917544 BHC917542:BHC917544 BQY917542:BQY917544 CAU917542:CAU917544 CKQ917542:CKQ917544 CUM917542:CUM917544 DEI917542:DEI917544 DOE917542:DOE917544 DYA917542:DYA917544 EHW917542:EHW917544 ERS917542:ERS917544 FBO917542:FBO917544 FLK917542:FLK917544 FVG917542:FVG917544 GFC917542:GFC917544 GOY917542:GOY917544 GYU917542:GYU917544 HIQ917542:HIQ917544 HSM917542:HSM917544 ICI917542:ICI917544 IME917542:IME917544 IWA917542:IWA917544 JFW917542:JFW917544 JPS917542:JPS917544 JZO917542:JZO917544 KJK917542:KJK917544 KTG917542:KTG917544 LDC917542:LDC917544 LMY917542:LMY917544 LWU917542:LWU917544 MGQ917542:MGQ917544 MQM917542:MQM917544 NAI917542:NAI917544 NKE917542:NKE917544 NUA917542:NUA917544 ODW917542:ODW917544 ONS917542:ONS917544 OXO917542:OXO917544 PHK917542:PHK917544 PRG917542:PRG917544 QBC917542:QBC917544 QKY917542:QKY917544 QUU917542:QUU917544 REQ917542:REQ917544 ROM917542:ROM917544 RYI917542:RYI917544 SIE917542:SIE917544 SSA917542:SSA917544 TBW917542:TBW917544 TLS917542:TLS917544 TVO917542:TVO917544 UFK917542:UFK917544 UPG917542:UPG917544 UZC917542:UZC917544 VIY917542:VIY917544 VSU917542:VSU917544 WCQ917542:WCQ917544 WMM917542:WMM917544 WWI917542:WWI917544 AA983078:AA983080 JW983078:JW983080 TS983078:TS983080 ADO983078:ADO983080 ANK983078:ANK983080 AXG983078:AXG983080 BHC983078:BHC983080 BQY983078:BQY983080 CAU983078:CAU983080 CKQ983078:CKQ983080 CUM983078:CUM983080 DEI983078:DEI983080 DOE983078:DOE983080 DYA983078:DYA983080 EHW983078:EHW983080 ERS983078:ERS983080 FBO983078:FBO983080 FLK983078:FLK983080 FVG983078:FVG983080 GFC983078:GFC983080 GOY983078:GOY983080 GYU983078:GYU983080 HIQ983078:HIQ983080 HSM983078:HSM983080 ICI983078:ICI983080 IME983078:IME983080 IWA983078:IWA983080 JFW983078:JFW983080 JPS983078:JPS983080 JZO983078:JZO983080 KJK983078:KJK983080 KTG983078:KTG983080 LDC983078:LDC983080 LMY983078:LMY983080 LWU983078:LWU983080 MGQ983078:MGQ983080 MQM983078:MQM983080 NAI983078:NAI983080 NKE983078:NKE983080 NUA983078:NUA983080 ODW983078:ODW983080 ONS983078:ONS983080 OXO983078:OXO983080 PHK983078:PHK983080 PRG983078:PRG983080 QBC983078:QBC983080 QKY983078:QKY983080 QUU983078:QUU983080 REQ983078:REQ983080 ROM983078:ROM983080 RYI983078:RYI983080 SIE983078:SIE983080 SSA983078:SSA983080 TBW983078:TBW983080 TLS983078:TLS983080 TVO983078:TVO983080 UFK983078:UFK983080 UPG983078:UPG983080 UZC983078:UZC983080 VIY983078:VIY983080 VSU983078:VSU983080 WCQ983078:WCQ983080 WMM983078:WMM983080 WWI983078:WWI983080 AC38:AC40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AC65574:AC65576 JY65574:JY65576 TU65574:TU65576 ADQ65574:ADQ65576 ANM65574:ANM65576 AXI65574:AXI65576 BHE65574:BHE65576 BRA65574:BRA65576 CAW65574:CAW65576 CKS65574:CKS65576 CUO65574:CUO65576 DEK65574:DEK65576 DOG65574:DOG65576 DYC65574:DYC65576 EHY65574:EHY65576 ERU65574:ERU65576 FBQ65574:FBQ65576 FLM65574:FLM65576 FVI65574:FVI65576 GFE65574:GFE65576 GPA65574:GPA65576 GYW65574:GYW65576 HIS65574:HIS65576 HSO65574:HSO65576 ICK65574:ICK65576 IMG65574:IMG65576 IWC65574:IWC65576 JFY65574:JFY65576 JPU65574:JPU65576 JZQ65574:JZQ65576 KJM65574:KJM65576 KTI65574:KTI65576 LDE65574:LDE65576 LNA65574:LNA65576 LWW65574:LWW65576 MGS65574:MGS65576 MQO65574:MQO65576 NAK65574:NAK65576 NKG65574:NKG65576 NUC65574:NUC65576 ODY65574:ODY65576 ONU65574:ONU65576 OXQ65574:OXQ65576 PHM65574:PHM65576 PRI65574:PRI65576 QBE65574:QBE65576 QLA65574:QLA65576 QUW65574:QUW65576 RES65574:RES65576 ROO65574:ROO65576 RYK65574:RYK65576 SIG65574:SIG65576 SSC65574:SSC65576 TBY65574:TBY65576 TLU65574:TLU65576 TVQ65574:TVQ65576 UFM65574:UFM65576 UPI65574:UPI65576 UZE65574:UZE65576 VJA65574:VJA65576 VSW65574:VSW65576 WCS65574:WCS65576 WMO65574:WMO65576 WWK65574:WWK65576 AC131110:AC131112 JY131110:JY131112 TU131110:TU131112 ADQ131110:ADQ131112 ANM131110:ANM131112 AXI131110:AXI131112 BHE131110:BHE131112 BRA131110:BRA131112 CAW131110:CAW131112 CKS131110:CKS131112 CUO131110:CUO131112 DEK131110:DEK131112 DOG131110:DOG131112 DYC131110:DYC131112 EHY131110:EHY131112 ERU131110:ERU131112 FBQ131110:FBQ131112 FLM131110:FLM131112 FVI131110:FVI131112 GFE131110:GFE131112 GPA131110:GPA131112 GYW131110:GYW131112 HIS131110:HIS131112 HSO131110:HSO131112 ICK131110:ICK131112 IMG131110:IMG131112 IWC131110:IWC131112 JFY131110:JFY131112 JPU131110:JPU131112 JZQ131110:JZQ131112 KJM131110:KJM131112 KTI131110:KTI131112 LDE131110:LDE131112 LNA131110:LNA131112 LWW131110:LWW131112 MGS131110:MGS131112 MQO131110:MQO131112 NAK131110:NAK131112 NKG131110:NKG131112 NUC131110:NUC131112 ODY131110:ODY131112 ONU131110:ONU131112 OXQ131110:OXQ131112 PHM131110:PHM131112 PRI131110:PRI131112 QBE131110:QBE131112 QLA131110:QLA131112 QUW131110:QUW131112 RES131110:RES131112 ROO131110:ROO131112 RYK131110:RYK131112 SIG131110:SIG131112 SSC131110:SSC131112 TBY131110:TBY131112 TLU131110:TLU131112 TVQ131110:TVQ131112 UFM131110:UFM131112 UPI131110:UPI131112 UZE131110:UZE131112 VJA131110:VJA131112 VSW131110:VSW131112 WCS131110:WCS131112 WMO131110:WMO131112 WWK131110:WWK131112 AC196646:AC196648 JY196646:JY196648 TU196646:TU196648 ADQ196646:ADQ196648 ANM196646:ANM196648 AXI196646:AXI196648 BHE196646:BHE196648 BRA196646:BRA196648 CAW196646:CAW196648 CKS196646:CKS196648 CUO196646:CUO196648 DEK196646:DEK196648 DOG196646:DOG196648 DYC196646:DYC196648 EHY196646:EHY196648 ERU196646:ERU196648 FBQ196646:FBQ196648 FLM196646:FLM196648 FVI196646:FVI196648 GFE196646:GFE196648 GPA196646:GPA196648 GYW196646:GYW196648 HIS196646:HIS196648 HSO196646:HSO196648 ICK196646:ICK196648 IMG196646:IMG196648 IWC196646:IWC196648 JFY196646:JFY196648 JPU196646:JPU196648 JZQ196646:JZQ196648 KJM196646:KJM196648 KTI196646:KTI196648 LDE196646:LDE196648 LNA196646:LNA196648 LWW196646:LWW196648 MGS196646:MGS196648 MQO196646:MQO196648 NAK196646:NAK196648 NKG196646:NKG196648 NUC196646:NUC196648 ODY196646:ODY196648 ONU196646:ONU196648 OXQ196646:OXQ196648 PHM196646:PHM196648 PRI196646:PRI196648 QBE196646:QBE196648 QLA196646:QLA196648 QUW196646:QUW196648 RES196646:RES196648 ROO196646:ROO196648 RYK196646:RYK196648 SIG196646:SIG196648 SSC196646:SSC196648 TBY196646:TBY196648 TLU196646:TLU196648 TVQ196646:TVQ196648 UFM196646:UFM196648 UPI196646:UPI196648 UZE196646:UZE196648 VJA196646:VJA196648 VSW196646:VSW196648 WCS196646:WCS196648 WMO196646:WMO196648 WWK196646:WWK196648 AC262182:AC262184 JY262182:JY262184 TU262182:TU262184 ADQ262182:ADQ262184 ANM262182:ANM262184 AXI262182:AXI262184 BHE262182:BHE262184 BRA262182:BRA262184 CAW262182:CAW262184 CKS262182:CKS262184 CUO262182:CUO262184 DEK262182:DEK262184 DOG262182:DOG262184 DYC262182:DYC262184 EHY262182:EHY262184 ERU262182:ERU262184 FBQ262182:FBQ262184 FLM262182:FLM262184 FVI262182:FVI262184 GFE262182:GFE262184 GPA262182:GPA262184 GYW262182:GYW262184 HIS262182:HIS262184 HSO262182:HSO262184 ICK262182:ICK262184 IMG262182:IMG262184 IWC262182:IWC262184 JFY262182:JFY262184 JPU262182:JPU262184 JZQ262182:JZQ262184 KJM262182:KJM262184 KTI262182:KTI262184 LDE262182:LDE262184 LNA262182:LNA262184 LWW262182:LWW262184 MGS262182:MGS262184 MQO262182:MQO262184 NAK262182:NAK262184 NKG262182:NKG262184 NUC262182:NUC262184 ODY262182:ODY262184 ONU262182:ONU262184 OXQ262182:OXQ262184 PHM262182:PHM262184 PRI262182:PRI262184 QBE262182:QBE262184 QLA262182:QLA262184 QUW262182:QUW262184 RES262182:RES262184 ROO262182:ROO262184 RYK262182:RYK262184 SIG262182:SIG262184 SSC262182:SSC262184 TBY262182:TBY262184 TLU262182:TLU262184 TVQ262182:TVQ262184 UFM262182:UFM262184 UPI262182:UPI262184 UZE262182:UZE262184 VJA262182:VJA262184 VSW262182:VSW262184 WCS262182:WCS262184 WMO262182:WMO262184 WWK262182:WWK262184 AC327718:AC327720 JY327718:JY327720 TU327718:TU327720 ADQ327718:ADQ327720 ANM327718:ANM327720 AXI327718:AXI327720 BHE327718:BHE327720 BRA327718:BRA327720 CAW327718:CAW327720 CKS327718:CKS327720 CUO327718:CUO327720 DEK327718:DEK327720 DOG327718:DOG327720 DYC327718:DYC327720 EHY327718:EHY327720 ERU327718:ERU327720 FBQ327718:FBQ327720 FLM327718:FLM327720 FVI327718:FVI327720 GFE327718:GFE327720 GPA327718:GPA327720 GYW327718:GYW327720 HIS327718:HIS327720 HSO327718:HSO327720 ICK327718:ICK327720 IMG327718:IMG327720 IWC327718:IWC327720 JFY327718:JFY327720 JPU327718:JPU327720 JZQ327718:JZQ327720 KJM327718:KJM327720 KTI327718:KTI327720 LDE327718:LDE327720 LNA327718:LNA327720 LWW327718:LWW327720 MGS327718:MGS327720 MQO327718:MQO327720 NAK327718:NAK327720 NKG327718:NKG327720 NUC327718:NUC327720 ODY327718:ODY327720 ONU327718:ONU327720 OXQ327718:OXQ327720 PHM327718:PHM327720 PRI327718:PRI327720 QBE327718:QBE327720 QLA327718:QLA327720 QUW327718:QUW327720 RES327718:RES327720 ROO327718:ROO327720 RYK327718:RYK327720 SIG327718:SIG327720 SSC327718:SSC327720 TBY327718:TBY327720 TLU327718:TLU327720 TVQ327718:TVQ327720 UFM327718:UFM327720 UPI327718:UPI327720 UZE327718:UZE327720 VJA327718:VJA327720 VSW327718:VSW327720 WCS327718:WCS327720 WMO327718:WMO327720 WWK327718:WWK327720 AC393254:AC393256 JY393254:JY393256 TU393254:TU393256 ADQ393254:ADQ393256 ANM393254:ANM393256 AXI393254:AXI393256 BHE393254:BHE393256 BRA393254:BRA393256 CAW393254:CAW393256 CKS393254:CKS393256 CUO393254:CUO393256 DEK393254:DEK393256 DOG393254:DOG393256 DYC393254:DYC393256 EHY393254:EHY393256 ERU393254:ERU393256 FBQ393254:FBQ393256 FLM393254:FLM393256 FVI393254:FVI393256 GFE393254:GFE393256 GPA393254:GPA393256 GYW393254:GYW393256 HIS393254:HIS393256 HSO393254:HSO393256 ICK393254:ICK393256 IMG393254:IMG393256 IWC393254:IWC393256 JFY393254:JFY393256 JPU393254:JPU393256 JZQ393254:JZQ393256 KJM393254:KJM393256 KTI393254:KTI393256 LDE393254:LDE393256 LNA393254:LNA393256 LWW393254:LWW393256 MGS393254:MGS393256 MQO393254:MQO393256 NAK393254:NAK393256 NKG393254:NKG393256 NUC393254:NUC393256 ODY393254:ODY393256 ONU393254:ONU393256 OXQ393254:OXQ393256 PHM393254:PHM393256 PRI393254:PRI393256 QBE393254:QBE393256 QLA393254:QLA393256 QUW393254:QUW393256 RES393254:RES393256 ROO393254:ROO393256 RYK393254:RYK393256 SIG393254:SIG393256 SSC393254:SSC393256 TBY393254:TBY393256 TLU393254:TLU393256 TVQ393254:TVQ393256 UFM393254:UFM393256 UPI393254:UPI393256 UZE393254:UZE393256 VJA393254:VJA393256 VSW393254:VSW393256 WCS393254:WCS393256 WMO393254:WMO393256 WWK393254:WWK393256 AC458790:AC458792 JY458790:JY458792 TU458790:TU458792 ADQ458790:ADQ458792 ANM458790:ANM458792 AXI458790:AXI458792 BHE458790:BHE458792 BRA458790:BRA458792 CAW458790:CAW458792 CKS458790:CKS458792 CUO458790:CUO458792 DEK458790:DEK458792 DOG458790:DOG458792 DYC458790:DYC458792 EHY458790:EHY458792 ERU458790:ERU458792 FBQ458790:FBQ458792 FLM458790:FLM458792 FVI458790:FVI458792 GFE458790:GFE458792 GPA458790:GPA458792 GYW458790:GYW458792 HIS458790:HIS458792 HSO458790:HSO458792 ICK458790:ICK458792 IMG458790:IMG458792 IWC458790:IWC458792 JFY458790:JFY458792 JPU458790:JPU458792 JZQ458790:JZQ458792 KJM458790:KJM458792 KTI458790:KTI458792 LDE458790:LDE458792 LNA458790:LNA458792 LWW458790:LWW458792 MGS458790:MGS458792 MQO458790:MQO458792 NAK458790:NAK458792 NKG458790:NKG458792 NUC458790:NUC458792 ODY458790:ODY458792 ONU458790:ONU458792 OXQ458790:OXQ458792 PHM458790:PHM458792 PRI458790:PRI458792 QBE458790:QBE458792 QLA458790:QLA458792 QUW458790:QUW458792 RES458790:RES458792 ROO458790:ROO458792 RYK458790:RYK458792 SIG458790:SIG458792 SSC458790:SSC458792 TBY458790:TBY458792 TLU458790:TLU458792 TVQ458790:TVQ458792 UFM458790:UFM458792 UPI458790:UPI458792 UZE458790:UZE458792 VJA458790:VJA458792 VSW458790:VSW458792 WCS458790:WCS458792 WMO458790:WMO458792 WWK458790:WWK458792 AC524326:AC524328 JY524326:JY524328 TU524326:TU524328 ADQ524326:ADQ524328 ANM524326:ANM524328 AXI524326:AXI524328 BHE524326:BHE524328 BRA524326:BRA524328 CAW524326:CAW524328 CKS524326:CKS524328 CUO524326:CUO524328 DEK524326:DEK524328 DOG524326:DOG524328 DYC524326:DYC524328 EHY524326:EHY524328 ERU524326:ERU524328 FBQ524326:FBQ524328 FLM524326:FLM524328 FVI524326:FVI524328 GFE524326:GFE524328 GPA524326:GPA524328 GYW524326:GYW524328 HIS524326:HIS524328 HSO524326:HSO524328 ICK524326:ICK524328 IMG524326:IMG524328 IWC524326:IWC524328 JFY524326:JFY524328 JPU524326:JPU524328 JZQ524326:JZQ524328 KJM524326:KJM524328 KTI524326:KTI524328 LDE524326:LDE524328 LNA524326:LNA524328 LWW524326:LWW524328 MGS524326:MGS524328 MQO524326:MQO524328 NAK524326:NAK524328 NKG524326:NKG524328 NUC524326:NUC524328 ODY524326:ODY524328 ONU524326:ONU524328 OXQ524326:OXQ524328 PHM524326:PHM524328 PRI524326:PRI524328 QBE524326:QBE524328 QLA524326:QLA524328 QUW524326:QUW524328 RES524326:RES524328 ROO524326:ROO524328 RYK524326:RYK524328 SIG524326:SIG524328 SSC524326:SSC524328 TBY524326:TBY524328 TLU524326:TLU524328 TVQ524326:TVQ524328 UFM524326:UFM524328 UPI524326:UPI524328 UZE524326:UZE524328 VJA524326:VJA524328 VSW524326:VSW524328 WCS524326:WCS524328 WMO524326:WMO524328 WWK524326:WWK524328 AC589862:AC589864 JY589862:JY589864 TU589862:TU589864 ADQ589862:ADQ589864 ANM589862:ANM589864 AXI589862:AXI589864 BHE589862:BHE589864 BRA589862:BRA589864 CAW589862:CAW589864 CKS589862:CKS589864 CUO589862:CUO589864 DEK589862:DEK589864 DOG589862:DOG589864 DYC589862:DYC589864 EHY589862:EHY589864 ERU589862:ERU589864 FBQ589862:FBQ589864 FLM589862:FLM589864 FVI589862:FVI589864 GFE589862:GFE589864 GPA589862:GPA589864 GYW589862:GYW589864 HIS589862:HIS589864 HSO589862:HSO589864 ICK589862:ICK589864 IMG589862:IMG589864 IWC589862:IWC589864 JFY589862:JFY589864 JPU589862:JPU589864 JZQ589862:JZQ589864 KJM589862:KJM589864 KTI589862:KTI589864 LDE589862:LDE589864 LNA589862:LNA589864 LWW589862:LWW589864 MGS589862:MGS589864 MQO589862:MQO589864 NAK589862:NAK589864 NKG589862:NKG589864 NUC589862:NUC589864 ODY589862:ODY589864 ONU589862:ONU589864 OXQ589862:OXQ589864 PHM589862:PHM589864 PRI589862:PRI589864 QBE589862:QBE589864 QLA589862:QLA589864 QUW589862:QUW589864 RES589862:RES589864 ROO589862:ROO589864 RYK589862:RYK589864 SIG589862:SIG589864 SSC589862:SSC589864 TBY589862:TBY589864 TLU589862:TLU589864 TVQ589862:TVQ589864 UFM589862:UFM589864 UPI589862:UPI589864 UZE589862:UZE589864 VJA589862:VJA589864 VSW589862:VSW589864 WCS589862:WCS589864 WMO589862:WMO589864 WWK589862:WWK589864 AC655398:AC655400 JY655398:JY655400 TU655398:TU655400 ADQ655398:ADQ655400 ANM655398:ANM655400 AXI655398:AXI655400 BHE655398:BHE655400 BRA655398:BRA655400 CAW655398:CAW655400 CKS655398:CKS655400 CUO655398:CUO655400 DEK655398:DEK655400 DOG655398:DOG655400 DYC655398:DYC655400 EHY655398:EHY655400 ERU655398:ERU655400 FBQ655398:FBQ655400 FLM655398:FLM655400 FVI655398:FVI655400 GFE655398:GFE655400 GPA655398:GPA655400 GYW655398:GYW655400 HIS655398:HIS655400 HSO655398:HSO655400 ICK655398:ICK655400 IMG655398:IMG655400 IWC655398:IWC655400 JFY655398:JFY655400 JPU655398:JPU655400 JZQ655398:JZQ655400 KJM655398:KJM655400 KTI655398:KTI655400 LDE655398:LDE655400 LNA655398:LNA655400 LWW655398:LWW655400 MGS655398:MGS655400 MQO655398:MQO655400 NAK655398:NAK655400 NKG655398:NKG655400 NUC655398:NUC655400 ODY655398:ODY655400 ONU655398:ONU655400 OXQ655398:OXQ655400 PHM655398:PHM655400 PRI655398:PRI655400 QBE655398:QBE655400 QLA655398:QLA655400 QUW655398:QUW655400 RES655398:RES655400 ROO655398:ROO655400 RYK655398:RYK655400 SIG655398:SIG655400 SSC655398:SSC655400 TBY655398:TBY655400 TLU655398:TLU655400 TVQ655398:TVQ655400 UFM655398:UFM655400 UPI655398:UPI655400 UZE655398:UZE655400 VJA655398:VJA655400 VSW655398:VSW655400 WCS655398:WCS655400 WMO655398:WMO655400 WWK655398:WWK655400 AC720934:AC720936 JY720934:JY720936 TU720934:TU720936 ADQ720934:ADQ720936 ANM720934:ANM720936 AXI720934:AXI720936 BHE720934:BHE720936 BRA720934:BRA720936 CAW720934:CAW720936 CKS720934:CKS720936 CUO720934:CUO720936 DEK720934:DEK720936 DOG720934:DOG720936 DYC720934:DYC720936 EHY720934:EHY720936 ERU720934:ERU720936 FBQ720934:FBQ720936 FLM720934:FLM720936 FVI720934:FVI720936 GFE720934:GFE720936 GPA720934:GPA720936 GYW720934:GYW720936 HIS720934:HIS720936 HSO720934:HSO720936 ICK720934:ICK720936 IMG720934:IMG720936 IWC720934:IWC720936 JFY720934:JFY720936 JPU720934:JPU720936 JZQ720934:JZQ720936 KJM720934:KJM720936 KTI720934:KTI720936 LDE720934:LDE720936 LNA720934:LNA720936 LWW720934:LWW720936 MGS720934:MGS720936 MQO720934:MQO720936 NAK720934:NAK720936 NKG720934:NKG720936 NUC720934:NUC720936 ODY720934:ODY720936 ONU720934:ONU720936 OXQ720934:OXQ720936 PHM720934:PHM720936 PRI720934:PRI720936 QBE720934:QBE720936 QLA720934:QLA720936 QUW720934:QUW720936 RES720934:RES720936 ROO720934:ROO720936 RYK720934:RYK720936 SIG720934:SIG720936 SSC720934:SSC720936 TBY720934:TBY720936 TLU720934:TLU720936 TVQ720934:TVQ720936 UFM720934:UFM720936 UPI720934:UPI720936 UZE720934:UZE720936 VJA720934:VJA720936 VSW720934:VSW720936 WCS720934:WCS720936 WMO720934:WMO720936 WWK720934:WWK720936 AC786470:AC786472 JY786470:JY786472 TU786470:TU786472 ADQ786470:ADQ786472 ANM786470:ANM786472 AXI786470:AXI786472 BHE786470:BHE786472 BRA786470:BRA786472 CAW786470:CAW786472 CKS786470:CKS786472 CUO786470:CUO786472 DEK786470:DEK786472 DOG786470:DOG786472 DYC786470:DYC786472 EHY786470:EHY786472 ERU786470:ERU786472 FBQ786470:FBQ786472 FLM786470:FLM786472 FVI786470:FVI786472 GFE786470:GFE786472 GPA786470:GPA786472 GYW786470:GYW786472 HIS786470:HIS786472 HSO786470:HSO786472 ICK786470:ICK786472 IMG786470:IMG786472 IWC786470:IWC786472 JFY786470:JFY786472 JPU786470:JPU786472 JZQ786470:JZQ786472 KJM786470:KJM786472 KTI786470:KTI786472 LDE786470:LDE786472 LNA786470:LNA786472 LWW786470:LWW786472 MGS786470:MGS786472 MQO786470:MQO786472 NAK786470:NAK786472 NKG786470:NKG786472 NUC786470:NUC786472 ODY786470:ODY786472 ONU786470:ONU786472 OXQ786470:OXQ786472 PHM786470:PHM786472 PRI786470:PRI786472 QBE786470:QBE786472 QLA786470:QLA786472 QUW786470:QUW786472 RES786470:RES786472 ROO786470:ROO786472 RYK786470:RYK786472 SIG786470:SIG786472 SSC786470:SSC786472 TBY786470:TBY786472 TLU786470:TLU786472 TVQ786470:TVQ786472 UFM786470:UFM786472 UPI786470:UPI786472 UZE786470:UZE786472 VJA786470:VJA786472 VSW786470:VSW786472 WCS786470:WCS786472 WMO786470:WMO786472 WWK786470:WWK786472 AC852006:AC852008 JY852006:JY852008 TU852006:TU852008 ADQ852006:ADQ852008 ANM852006:ANM852008 AXI852006:AXI852008 BHE852006:BHE852008 BRA852006:BRA852008 CAW852006:CAW852008 CKS852006:CKS852008 CUO852006:CUO852008 DEK852006:DEK852008 DOG852006:DOG852008 DYC852006:DYC852008 EHY852006:EHY852008 ERU852006:ERU852008 FBQ852006:FBQ852008 FLM852006:FLM852008 FVI852006:FVI852008 GFE852006:GFE852008 GPA852006:GPA852008 GYW852006:GYW852008 HIS852006:HIS852008 HSO852006:HSO852008 ICK852006:ICK852008 IMG852006:IMG852008 IWC852006:IWC852008 JFY852006:JFY852008 JPU852006:JPU852008 JZQ852006:JZQ852008 KJM852006:KJM852008 KTI852006:KTI852008 LDE852006:LDE852008 LNA852006:LNA852008 LWW852006:LWW852008 MGS852006:MGS852008 MQO852006:MQO852008 NAK852006:NAK852008 NKG852006:NKG852008 NUC852006:NUC852008 ODY852006:ODY852008 ONU852006:ONU852008 OXQ852006:OXQ852008 PHM852006:PHM852008 PRI852006:PRI852008 QBE852006:QBE852008 QLA852006:QLA852008 QUW852006:QUW852008 RES852006:RES852008 ROO852006:ROO852008 RYK852006:RYK852008 SIG852006:SIG852008 SSC852006:SSC852008 TBY852006:TBY852008 TLU852006:TLU852008 TVQ852006:TVQ852008 UFM852006:UFM852008 UPI852006:UPI852008 UZE852006:UZE852008 VJA852006:VJA852008 VSW852006:VSW852008 WCS852006:WCS852008 WMO852006:WMO852008 WWK852006:WWK852008 AC917542:AC917544 JY917542:JY917544 TU917542:TU917544 ADQ917542:ADQ917544 ANM917542:ANM917544 AXI917542:AXI917544 BHE917542:BHE917544 BRA917542:BRA917544 CAW917542:CAW917544 CKS917542:CKS917544 CUO917542:CUO917544 DEK917542:DEK917544 DOG917542:DOG917544 DYC917542:DYC917544 EHY917542:EHY917544 ERU917542:ERU917544 FBQ917542:FBQ917544 FLM917542:FLM917544 FVI917542:FVI917544 GFE917542:GFE917544 GPA917542:GPA917544 GYW917542:GYW917544 HIS917542:HIS917544 HSO917542:HSO917544 ICK917542:ICK917544 IMG917542:IMG917544 IWC917542:IWC917544 JFY917542:JFY917544 JPU917542:JPU917544 JZQ917542:JZQ917544 KJM917542:KJM917544 KTI917542:KTI917544 LDE917542:LDE917544 LNA917542:LNA917544 LWW917542:LWW917544 MGS917542:MGS917544 MQO917542:MQO917544 NAK917542:NAK917544 NKG917542:NKG917544 NUC917542:NUC917544 ODY917542:ODY917544 ONU917542:ONU917544 OXQ917542:OXQ917544 PHM917542:PHM917544 PRI917542:PRI917544 QBE917542:QBE917544 QLA917542:QLA917544 QUW917542:QUW917544 RES917542:RES917544 ROO917542:ROO917544 RYK917542:RYK917544 SIG917542:SIG917544 SSC917542:SSC917544 TBY917542:TBY917544 TLU917542:TLU917544 TVQ917542:TVQ917544 UFM917542:UFM917544 UPI917542:UPI917544 UZE917542:UZE917544 VJA917542:VJA917544 VSW917542:VSW917544 WCS917542:WCS917544 WMO917542:WMO917544 WWK917542:WWK917544 AC983078:AC983080 JY983078:JY983080 TU983078:TU983080 ADQ983078:ADQ983080 ANM983078:ANM983080 AXI983078:AXI983080 BHE983078:BHE983080 BRA983078:BRA983080 CAW983078:CAW983080 CKS983078:CKS983080 CUO983078:CUO983080 DEK983078:DEK983080 DOG983078:DOG983080 DYC983078:DYC983080 EHY983078:EHY983080 ERU983078:ERU983080 FBQ983078:FBQ983080 FLM983078:FLM983080 FVI983078:FVI983080 GFE983078:GFE983080 GPA983078:GPA983080 GYW983078:GYW983080 HIS983078:HIS983080 HSO983078:HSO983080 ICK983078:ICK983080 IMG983078:IMG983080 IWC983078:IWC983080 JFY983078:JFY983080 JPU983078:JPU983080 JZQ983078:JZQ983080 KJM983078:KJM983080 KTI983078:KTI983080 LDE983078:LDE983080 LNA983078:LNA983080 LWW983078:LWW983080 MGS983078:MGS983080 MQO983078:MQO983080 NAK983078:NAK983080 NKG983078:NKG983080 NUC983078:NUC983080 ODY983078:ODY983080 ONU983078:ONU983080 OXQ983078:OXQ983080 PHM983078:PHM983080 PRI983078:PRI983080 QBE983078:QBE983080 QLA983078:QLA983080 QUW983078:QUW983080 RES983078:RES983080 ROO983078:ROO983080 RYK983078:RYK983080 SIG983078:SIG983080 SSC983078:SSC983080 TBY983078:TBY983080 TLU983078:TLU983080 TVQ983078:TVQ983080 UFM983078:UFM983080 UPI983078:UPI983080 UZE983078:UZE983080 VJA983078:VJA983080 VSW983078:VSW983080 WCS983078:WCS983080 WMO983078:WMO983080 WWK983078:WWK983080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AC47 JY47 TU47 ADQ47 ANM47 AXI47 BHE47 BRA47 CAW47 CKS47 CUO47 DEK47 DOG47 DYC47 EHY47 ERU47 FBQ47 FLM47 FVI47 GFE47 GPA47 GYW47 HIS47 HSO47 ICK47 IMG47 IWC47 JFY47 JPU47 JZQ47 KJM47 KTI47 LDE47 LNA47 LWW47 MGS47 MQO47 NAK47 NKG47 NUC47 ODY47 ONU47 OXQ47 PHM47 PRI47 QBE47 QLA47 QUW47 RES47 ROO47 RYK47 SIG47 SSC47 TBY47 TLU47 TVQ47 UFM47 UPI47 UZE47 VJA47 VSW47 WCS47 WMO47 WWK47 AC65583 JY65583 TU65583 ADQ65583 ANM65583 AXI65583 BHE65583 BRA65583 CAW65583 CKS65583 CUO65583 DEK65583 DOG65583 DYC65583 EHY65583 ERU65583 FBQ65583 FLM65583 FVI65583 GFE65583 GPA65583 GYW65583 HIS65583 HSO65583 ICK65583 IMG65583 IWC65583 JFY65583 JPU65583 JZQ65583 KJM65583 KTI65583 LDE65583 LNA65583 LWW65583 MGS65583 MQO65583 NAK65583 NKG65583 NUC65583 ODY65583 ONU65583 OXQ65583 PHM65583 PRI65583 QBE65583 QLA65583 QUW65583 RES65583 ROO65583 RYK65583 SIG65583 SSC65583 TBY65583 TLU65583 TVQ65583 UFM65583 UPI65583 UZE65583 VJA65583 VSW65583 WCS65583 WMO65583 WWK65583 AC131119 JY131119 TU131119 ADQ131119 ANM131119 AXI131119 BHE131119 BRA131119 CAW131119 CKS131119 CUO131119 DEK131119 DOG131119 DYC131119 EHY131119 ERU131119 FBQ131119 FLM131119 FVI131119 GFE131119 GPA131119 GYW131119 HIS131119 HSO131119 ICK131119 IMG131119 IWC131119 JFY131119 JPU131119 JZQ131119 KJM131119 KTI131119 LDE131119 LNA131119 LWW131119 MGS131119 MQO131119 NAK131119 NKG131119 NUC131119 ODY131119 ONU131119 OXQ131119 PHM131119 PRI131119 QBE131119 QLA131119 QUW131119 RES131119 ROO131119 RYK131119 SIG131119 SSC131119 TBY131119 TLU131119 TVQ131119 UFM131119 UPI131119 UZE131119 VJA131119 VSW131119 WCS131119 WMO131119 WWK131119 AC196655 JY196655 TU196655 ADQ196655 ANM196655 AXI196655 BHE196655 BRA196655 CAW196655 CKS196655 CUO196655 DEK196655 DOG196655 DYC196655 EHY196655 ERU196655 FBQ196655 FLM196655 FVI196655 GFE196655 GPA196655 GYW196655 HIS196655 HSO196655 ICK196655 IMG196655 IWC196655 JFY196655 JPU196655 JZQ196655 KJM196655 KTI196655 LDE196655 LNA196655 LWW196655 MGS196655 MQO196655 NAK196655 NKG196655 NUC196655 ODY196655 ONU196655 OXQ196655 PHM196655 PRI196655 QBE196655 QLA196655 QUW196655 RES196655 ROO196655 RYK196655 SIG196655 SSC196655 TBY196655 TLU196655 TVQ196655 UFM196655 UPI196655 UZE196655 VJA196655 VSW196655 WCS196655 WMO196655 WWK196655 AC262191 JY262191 TU262191 ADQ262191 ANM262191 AXI262191 BHE262191 BRA262191 CAW262191 CKS262191 CUO262191 DEK262191 DOG262191 DYC262191 EHY262191 ERU262191 FBQ262191 FLM262191 FVI262191 GFE262191 GPA262191 GYW262191 HIS262191 HSO262191 ICK262191 IMG262191 IWC262191 JFY262191 JPU262191 JZQ262191 KJM262191 KTI262191 LDE262191 LNA262191 LWW262191 MGS262191 MQO262191 NAK262191 NKG262191 NUC262191 ODY262191 ONU262191 OXQ262191 PHM262191 PRI262191 QBE262191 QLA262191 QUW262191 RES262191 ROO262191 RYK262191 SIG262191 SSC262191 TBY262191 TLU262191 TVQ262191 UFM262191 UPI262191 UZE262191 VJA262191 VSW262191 WCS262191 WMO262191 WWK262191 AC327727 JY327727 TU327727 ADQ327727 ANM327727 AXI327727 BHE327727 BRA327727 CAW327727 CKS327727 CUO327727 DEK327727 DOG327727 DYC327727 EHY327727 ERU327727 FBQ327727 FLM327727 FVI327727 GFE327727 GPA327727 GYW327727 HIS327727 HSO327727 ICK327727 IMG327727 IWC327727 JFY327727 JPU327727 JZQ327727 KJM327727 KTI327727 LDE327727 LNA327727 LWW327727 MGS327727 MQO327727 NAK327727 NKG327727 NUC327727 ODY327727 ONU327727 OXQ327727 PHM327727 PRI327727 QBE327727 QLA327727 QUW327727 RES327727 ROO327727 RYK327727 SIG327727 SSC327727 TBY327727 TLU327727 TVQ327727 UFM327727 UPI327727 UZE327727 VJA327727 VSW327727 WCS327727 WMO327727 WWK327727 AC393263 JY393263 TU393263 ADQ393263 ANM393263 AXI393263 BHE393263 BRA393263 CAW393263 CKS393263 CUO393263 DEK393263 DOG393263 DYC393263 EHY393263 ERU393263 FBQ393263 FLM393263 FVI393263 GFE393263 GPA393263 GYW393263 HIS393263 HSO393263 ICK393263 IMG393263 IWC393263 JFY393263 JPU393263 JZQ393263 KJM393263 KTI393263 LDE393263 LNA393263 LWW393263 MGS393263 MQO393263 NAK393263 NKG393263 NUC393263 ODY393263 ONU393263 OXQ393263 PHM393263 PRI393263 QBE393263 QLA393263 QUW393263 RES393263 ROO393263 RYK393263 SIG393263 SSC393263 TBY393263 TLU393263 TVQ393263 UFM393263 UPI393263 UZE393263 VJA393263 VSW393263 WCS393263 WMO393263 WWK393263 AC458799 JY458799 TU458799 ADQ458799 ANM458799 AXI458799 BHE458799 BRA458799 CAW458799 CKS458799 CUO458799 DEK458799 DOG458799 DYC458799 EHY458799 ERU458799 FBQ458799 FLM458799 FVI458799 GFE458799 GPA458799 GYW458799 HIS458799 HSO458799 ICK458799 IMG458799 IWC458799 JFY458799 JPU458799 JZQ458799 KJM458799 KTI458799 LDE458799 LNA458799 LWW458799 MGS458799 MQO458799 NAK458799 NKG458799 NUC458799 ODY458799 ONU458799 OXQ458799 PHM458799 PRI458799 QBE458799 QLA458799 QUW458799 RES458799 ROO458799 RYK458799 SIG458799 SSC458799 TBY458799 TLU458799 TVQ458799 UFM458799 UPI458799 UZE458799 VJA458799 VSW458799 WCS458799 WMO458799 WWK458799 AC524335 JY524335 TU524335 ADQ524335 ANM524335 AXI524335 BHE524335 BRA524335 CAW524335 CKS524335 CUO524335 DEK524335 DOG524335 DYC524335 EHY524335 ERU524335 FBQ524335 FLM524335 FVI524335 GFE524335 GPA524335 GYW524335 HIS524335 HSO524335 ICK524335 IMG524335 IWC524335 JFY524335 JPU524335 JZQ524335 KJM524335 KTI524335 LDE524335 LNA524335 LWW524335 MGS524335 MQO524335 NAK524335 NKG524335 NUC524335 ODY524335 ONU524335 OXQ524335 PHM524335 PRI524335 QBE524335 QLA524335 QUW524335 RES524335 ROO524335 RYK524335 SIG524335 SSC524335 TBY524335 TLU524335 TVQ524335 UFM524335 UPI524335 UZE524335 VJA524335 VSW524335 WCS524335 WMO524335 WWK524335 AC589871 JY589871 TU589871 ADQ589871 ANM589871 AXI589871 BHE589871 BRA589871 CAW589871 CKS589871 CUO589871 DEK589871 DOG589871 DYC589871 EHY589871 ERU589871 FBQ589871 FLM589871 FVI589871 GFE589871 GPA589871 GYW589871 HIS589871 HSO589871 ICK589871 IMG589871 IWC589871 JFY589871 JPU589871 JZQ589871 KJM589871 KTI589871 LDE589871 LNA589871 LWW589871 MGS589871 MQO589871 NAK589871 NKG589871 NUC589871 ODY589871 ONU589871 OXQ589871 PHM589871 PRI589871 QBE589871 QLA589871 QUW589871 RES589871 ROO589871 RYK589871 SIG589871 SSC589871 TBY589871 TLU589871 TVQ589871 UFM589871 UPI589871 UZE589871 VJA589871 VSW589871 WCS589871 WMO589871 WWK589871 AC655407 JY655407 TU655407 ADQ655407 ANM655407 AXI655407 BHE655407 BRA655407 CAW655407 CKS655407 CUO655407 DEK655407 DOG655407 DYC655407 EHY655407 ERU655407 FBQ655407 FLM655407 FVI655407 GFE655407 GPA655407 GYW655407 HIS655407 HSO655407 ICK655407 IMG655407 IWC655407 JFY655407 JPU655407 JZQ655407 KJM655407 KTI655407 LDE655407 LNA655407 LWW655407 MGS655407 MQO655407 NAK655407 NKG655407 NUC655407 ODY655407 ONU655407 OXQ655407 PHM655407 PRI655407 QBE655407 QLA655407 QUW655407 RES655407 ROO655407 RYK655407 SIG655407 SSC655407 TBY655407 TLU655407 TVQ655407 UFM655407 UPI655407 UZE655407 VJA655407 VSW655407 WCS655407 WMO655407 WWK655407 AC720943 JY720943 TU720943 ADQ720943 ANM720943 AXI720943 BHE720943 BRA720943 CAW720943 CKS720943 CUO720943 DEK720943 DOG720943 DYC720943 EHY720943 ERU720943 FBQ720943 FLM720943 FVI720943 GFE720943 GPA720943 GYW720943 HIS720943 HSO720943 ICK720943 IMG720943 IWC720943 JFY720943 JPU720943 JZQ720943 KJM720943 KTI720943 LDE720943 LNA720943 LWW720943 MGS720943 MQO720943 NAK720943 NKG720943 NUC720943 ODY720943 ONU720943 OXQ720943 PHM720943 PRI720943 QBE720943 QLA720943 QUW720943 RES720943 ROO720943 RYK720943 SIG720943 SSC720943 TBY720943 TLU720943 TVQ720943 UFM720943 UPI720943 UZE720943 VJA720943 VSW720943 WCS720943 WMO720943 WWK720943 AC786479 JY786479 TU786479 ADQ786479 ANM786479 AXI786479 BHE786479 BRA786479 CAW786479 CKS786479 CUO786479 DEK786479 DOG786479 DYC786479 EHY786479 ERU786479 FBQ786479 FLM786479 FVI786479 GFE786479 GPA786479 GYW786479 HIS786479 HSO786479 ICK786479 IMG786479 IWC786479 JFY786479 JPU786479 JZQ786479 KJM786479 KTI786479 LDE786479 LNA786479 LWW786479 MGS786479 MQO786479 NAK786479 NKG786479 NUC786479 ODY786479 ONU786479 OXQ786479 PHM786479 PRI786479 QBE786479 QLA786479 QUW786479 RES786479 ROO786479 RYK786479 SIG786479 SSC786479 TBY786479 TLU786479 TVQ786479 UFM786479 UPI786479 UZE786479 VJA786479 VSW786479 WCS786479 WMO786479 WWK786479 AC852015 JY852015 TU852015 ADQ852015 ANM852015 AXI852015 BHE852015 BRA852015 CAW852015 CKS852015 CUO852015 DEK852015 DOG852015 DYC852015 EHY852015 ERU852015 FBQ852015 FLM852015 FVI852015 GFE852015 GPA852015 GYW852015 HIS852015 HSO852015 ICK852015 IMG852015 IWC852015 JFY852015 JPU852015 JZQ852015 KJM852015 KTI852015 LDE852015 LNA852015 LWW852015 MGS852015 MQO852015 NAK852015 NKG852015 NUC852015 ODY852015 ONU852015 OXQ852015 PHM852015 PRI852015 QBE852015 QLA852015 QUW852015 RES852015 ROO852015 RYK852015 SIG852015 SSC852015 TBY852015 TLU852015 TVQ852015 UFM852015 UPI852015 UZE852015 VJA852015 VSW852015 WCS852015 WMO852015 WWK852015 AC917551 JY917551 TU917551 ADQ917551 ANM917551 AXI917551 BHE917551 BRA917551 CAW917551 CKS917551 CUO917551 DEK917551 DOG917551 DYC917551 EHY917551 ERU917551 FBQ917551 FLM917551 FVI917551 GFE917551 GPA917551 GYW917551 HIS917551 HSO917551 ICK917551 IMG917551 IWC917551 JFY917551 JPU917551 JZQ917551 KJM917551 KTI917551 LDE917551 LNA917551 LWW917551 MGS917551 MQO917551 NAK917551 NKG917551 NUC917551 ODY917551 ONU917551 OXQ917551 PHM917551 PRI917551 QBE917551 QLA917551 QUW917551 RES917551 ROO917551 RYK917551 SIG917551 SSC917551 TBY917551 TLU917551 TVQ917551 UFM917551 UPI917551 UZE917551 VJA917551 VSW917551 WCS917551 WMO917551 WWK917551 AC983087 JY983087 TU983087 ADQ983087 ANM983087 AXI983087 BHE983087 BRA983087 CAW983087 CKS983087 CUO983087 DEK983087 DOG983087 DYC983087 EHY983087 ERU983087 FBQ983087 FLM983087 FVI983087 GFE983087 GPA983087 GYW983087 HIS983087 HSO983087 ICK983087 IMG983087 IWC983087 JFY983087 JPU983087 JZQ983087 KJM983087 KTI983087 LDE983087 LNA983087 LWW983087 MGS983087 MQO983087 NAK983087 NKG983087 NUC983087 ODY983087 ONU983087 OXQ983087 PHM983087 PRI983087 QBE983087 QLA983087 QUW983087 RES983087 ROO983087 RYK983087 SIG983087 SSC983087 TBY983087 TLU983087 TVQ983087 UFM983087 UPI983087 UZE983087 VJA983087 VSW983087 WCS983087 WMO983087 WWK983087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AC32:AC33 JY32:JY33 TU32:TU33 ADQ32:ADQ33 ANM32:ANM33 AXI32:AXI33 BHE32:BHE33 BRA32:BRA33 CAW32:CAW33 CKS32:CKS33 CUO32:CUO33 DEK32:DEK33 DOG32:DOG33 DYC32:DYC33 EHY32:EHY33 ERU32:ERU33 FBQ32:FBQ33 FLM32:FLM33 FVI32:FVI33 GFE32:GFE33 GPA32:GPA33 GYW32:GYW33 HIS32:HIS33 HSO32:HSO33 ICK32:ICK33 IMG32:IMG33 IWC32:IWC33 JFY32:JFY33 JPU32:JPU33 JZQ32:JZQ33 KJM32:KJM33 KTI32:KTI33 LDE32:LDE33 LNA32:LNA33 LWW32:LWW33 MGS32:MGS33 MQO32:MQO33 NAK32:NAK33 NKG32:NKG33 NUC32:NUC33 ODY32:ODY33 ONU32:ONU33 OXQ32:OXQ33 PHM32:PHM33 PRI32:PRI33 QBE32:QBE33 QLA32:QLA33 QUW32:QUW33 RES32:RES33 ROO32:ROO33 RYK32:RYK33 SIG32:SIG33 SSC32:SSC33 TBY32:TBY33 TLU32:TLU33 TVQ32:TVQ33 UFM32:UFM33 UPI32:UPI33 UZE32:UZE33 VJA32:VJA33 VSW32:VSW33 WCS32:WCS33 WMO32:WMO33 WWK32:WWK33 AC65568:AC65569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AC131104:AC131105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AC196640:AC196641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AC262176:AC262177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AC327712:AC327713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AC393248:AC393249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AC458784:AC458785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AC524320:AC524321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AC589856:AC589857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AC655392:AC655393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AC720928:AC720929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AC786464:AC786465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AC852000:AC852001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AC917536:AC917537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AC983072:AC983073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P33:U33 JL33:JQ33 TH33:TM33 ADD33:ADI33 AMZ33:ANE33 AWV33:AXA33 BGR33:BGW33 BQN33:BQS33 CAJ33:CAO33 CKF33:CKK33 CUB33:CUG33 DDX33:DEC33 DNT33:DNY33 DXP33:DXU33 EHL33:EHQ33 ERH33:ERM33 FBD33:FBI33 FKZ33:FLE33 FUV33:FVA33 GER33:GEW33 GON33:GOS33 GYJ33:GYO33 HIF33:HIK33 HSB33:HSG33 IBX33:ICC33 ILT33:ILY33 IVP33:IVU33 JFL33:JFQ33 JPH33:JPM33 JZD33:JZI33 KIZ33:KJE33 KSV33:KTA33 LCR33:LCW33 LMN33:LMS33 LWJ33:LWO33 MGF33:MGK33 MQB33:MQG33 MZX33:NAC33 NJT33:NJY33 NTP33:NTU33 ODL33:ODQ33 ONH33:ONM33 OXD33:OXI33 PGZ33:PHE33 PQV33:PRA33 QAR33:QAW33 QKN33:QKS33 QUJ33:QUO33 REF33:REK33 ROB33:ROG33 RXX33:RYC33 SHT33:SHY33 SRP33:SRU33 TBL33:TBQ33 TLH33:TLM33 TVD33:TVI33 UEZ33:UFE33 UOV33:UPA33 UYR33:UYW33 VIN33:VIS33 VSJ33:VSO33 WCF33:WCK33 WMB33:WMG33 WVX33:WWC33 P65569:U65569 JL65569:JQ65569 TH65569:TM65569 ADD65569:ADI65569 AMZ65569:ANE65569 AWV65569:AXA65569 BGR65569:BGW65569 BQN65569:BQS65569 CAJ65569:CAO65569 CKF65569:CKK65569 CUB65569:CUG65569 DDX65569:DEC65569 DNT65569:DNY65569 DXP65569:DXU65569 EHL65569:EHQ65569 ERH65569:ERM65569 FBD65569:FBI65569 FKZ65569:FLE65569 FUV65569:FVA65569 GER65569:GEW65569 GON65569:GOS65569 GYJ65569:GYO65569 HIF65569:HIK65569 HSB65569:HSG65569 IBX65569:ICC65569 ILT65569:ILY65569 IVP65569:IVU65569 JFL65569:JFQ65569 JPH65569:JPM65569 JZD65569:JZI65569 KIZ65569:KJE65569 KSV65569:KTA65569 LCR65569:LCW65569 LMN65569:LMS65569 LWJ65569:LWO65569 MGF65569:MGK65569 MQB65569:MQG65569 MZX65569:NAC65569 NJT65569:NJY65569 NTP65569:NTU65569 ODL65569:ODQ65569 ONH65569:ONM65569 OXD65569:OXI65569 PGZ65569:PHE65569 PQV65569:PRA65569 QAR65569:QAW65569 QKN65569:QKS65569 QUJ65569:QUO65569 REF65569:REK65569 ROB65569:ROG65569 RXX65569:RYC65569 SHT65569:SHY65569 SRP65569:SRU65569 TBL65569:TBQ65569 TLH65569:TLM65569 TVD65569:TVI65569 UEZ65569:UFE65569 UOV65569:UPA65569 UYR65569:UYW65569 VIN65569:VIS65569 VSJ65569:VSO65569 WCF65569:WCK65569 WMB65569:WMG65569 WVX65569:WWC65569 P131105:U131105 JL131105:JQ131105 TH131105:TM131105 ADD131105:ADI131105 AMZ131105:ANE131105 AWV131105:AXA131105 BGR131105:BGW131105 BQN131105:BQS131105 CAJ131105:CAO131105 CKF131105:CKK131105 CUB131105:CUG131105 DDX131105:DEC131105 DNT131105:DNY131105 DXP131105:DXU131105 EHL131105:EHQ131105 ERH131105:ERM131105 FBD131105:FBI131105 FKZ131105:FLE131105 FUV131105:FVA131105 GER131105:GEW131105 GON131105:GOS131105 GYJ131105:GYO131105 HIF131105:HIK131105 HSB131105:HSG131105 IBX131105:ICC131105 ILT131105:ILY131105 IVP131105:IVU131105 JFL131105:JFQ131105 JPH131105:JPM131105 JZD131105:JZI131105 KIZ131105:KJE131105 KSV131105:KTA131105 LCR131105:LCW131105 LMN131105:LMS131105 LWJ131105:LWO131105 MGF131105:MGK131105 MQB131105:MQG131105 MZX131105:NAC131105 NJT131105:NJY131105 NTP131105:NTU131105 ODL131105:ODQ131105 ONH131105:ONM131105 OXD131105:OXI131105 PGZ131105:PHE131105 PQV131105:PRA131105 QAR131105:QAW131105 QKN131105:QKS131105 QUJ131105:QUO131105 REF131105:REK131105 ROB131105:ROG131105 RXX131105:RYC131105 SHT131105:SHY131105 SRP131105:SRU131105 TBL131105:TBQ131105 TLH131105:TLM131105 TVD131105:TVI131105 UEZ131105:UFE131105 UOV131105:UPA131105 UYR131105:UYW131105 VIN131105:VIS131105 VSJ131105:VSO131105 WCF131105:WCK131105 WMB131105:WMG131105 WVX131105:WWC131105 P196641:U196641 JL196641:JQ196641 TH196641:TM196641 ADD196641:ADI196641 AMZ196641:ANE196641 AWV196641:AXA196641 BGR196641:BGW196641 BQN196641:BQS196641 CAJ196641:CAO196641 CKF196641:CKK196641 CUB196641:CUG196641 DDX196641:DEC196641 DNT196641:DNY196641 DXP196641:DXU196641 EHL196641:EHQ196641 ERH196641:ERM196641 FBD196641:FBI196641 FKZ196641:FLE196641 FUV196641:FVA196641 GER196641:GEW196641 GON196641:GOS196641 GYJ196641:GYO196641 HIF196641:HIK196641 HSB196641:HSG196641 IBX196641:ICC196641 ILT196641:ILY196641 IVP196641:IVU196641 JFL196641:JFQ196641 JPH196641:JPM196641 JZD196641:JZI196641 KIZ196641:KJE196641 KSV196641:KTA196641 LCR196641:LCW196641 LMN196641:LMS196641 LWJ196641:LWO196641 MGF196641:MGK196641 MQB196641:MQG196641 MZX196641:NAC196641 NJT196641:NJY196641 NTP196641:NTU196641 ODL196641:ODQ196641 ONH196641:ONM196641 OXD196641:OXI196641 PGZ196641:PHE196641 PQV196641:PRA196641 QAR196641:QAW196641 QKN196641:QKS196641 QUJ196641:QUO196641 REF196641:REK196641 ROB196641:ROG196641 RXX196641:RYC196641 SHT196641:SHY196641 SRP196641:SRU196641 TBL196641:TBQ196641 TLH196641:TLM196641 TVD196641:TVI196641 UEZ196641:UFE196641 UOV196641:UPA196641 UYR196641:UYW196641 VIN196641:VIS196641 VSJ196641:VSO196641 WCF196641:WCK196641 WMB196641:WMG196641 WVX196641:WWC196641 P262177:U262177 JL262177:JQ262177 TH262177:TM262177 ADD262177:ADI262177 AMZ262177:ANE262177 AWV262177:AXA262177 BGR262177:BGW262177 BQN262177:BQS262177 CAJ262177:CAO262177 CKF262177:CKK262177 CUB262177:CUG262177 DDX262177:DEC262177 DNT262177:DNY262177 DXP262177:DXU262177 EHL262177:EHQ262177 ERH262177:ERM262177 FBD262177:FBI262177 FKZ262177:FLE262177 FUV262177:FVA262177 GER262177:GEW262177 GON262177:GOS262177 GYJ262177:GYO262177 HIF262177:HIK262177 HSB262177:HSG262177 IBX262177:ICC262177 ILT262177:ILY262177 IVP262177:IVU262177 JFL262177:JFQ262177 JPH262177:JPM262177 JZD262177:JZI262177 KIZ262177:KJE262177 KSV262177:KTA262177 LCR262177:LCW262177 LMN262177:LMS262177 LWJ262177:LWO262177 MGF262177:MGK262177 MQB262177:MQG262177 MZX262177:NAC262177 NJT262177:NJY262177 NTP262177:NTU262177 ODL262177:ODQ262177 ONH262177:ONM262177 OXD262177:OXI262177 PGZ262177:PHE262177 PQV262177:PRA262177 QAR262177:QAW262177 QKN262177:QKS262177 QUJ262177:QUO262177 REF262177:REK262177 ROB262177:ROG262177 RXX262177:RYC262177 SHT262177:SHY262177 SRP262177:SRU262177 TBL262177:TBQ262177 TLH262177:TLM262177 TVD262177:TVI262177 UEZ262177:UFE262177 UOV262177:UPA262177 UYR262177:UYW262177 VIN262177:VIS262177 VSJ262177:VSO262177 WCF262177:WCK262177 WMB262177:WMG262177 WVX262177:WWC262177 P327713:U327713 JL327713:JQ327713 TH327713:TM327713 ADD327713:ADI327713 AMZ327713:ANE327713 AWV327713:AXA327713 BGR327713:BGW327713 BQN327713:BQS327713 CAJ327713:CAO327713 CKF327713:CKK327713 CUB327713:CUG327713 DDX327713:DEC327713 DNT327713:DNY327713 DXP327713:DXU327713 EHL327713:EHQ327713 ERH327713:ERM327713 FBD327713:FBI327713 FKZ327713:FLE327713 FUV327713:FVA327713 GER327713:GEW327713 GON327713:GOS327713 GYJ327713:GYO327713 HIF327713:HIK327713 HSB327713:HSG327713 IBX327713:ICC327713 ILT327713:ILY327713 IVP327713:IVU327713 JFL327713:JFQ327713 JPH327713:JPM327713 JZD327713:JZI327713 KIZ327713:KJE327713 KSV327713:KTA327713 LCR327713:LCW327713 LMN327713:LMS327713 LWJ327713:LWO327713 MGF327713:MGK327713 MQB327713:MQG327713 MZX327713:NAC327713 NJT327713:NJY327713 NTP327713:NTU327713 ODL327713:ODQ327713 ONH327713:ONM327713 OXD327713:OXI327713 PGZ327713:PHE327713 PQV327713:PRA327713 QAR327713:QAW327713 QKN327713:QKS327713 QUJ327713:QUO327713 REF327713:REK327713 ROB327713:ROG327713 RXX327713:RYC327713 SHT327713:SHY327713 SRP327713:SRU327713 TBL327713:TBQ327713 TLH327713:TLM327713 TVD327713:TVI327713 UEZ327713:UFE327713 UOV327713:UPA327713 UYR327713:UYW327713 VIN327713:VIS327713 VSJ327713:VSO327713 WCF327713:WCK327713 WMB327713:WMG327713 WVX327713:WWC327713 P393249:U393249 JL393249:JQ393249 TH393249:TM393249 ADD393249:ADI393249 AMZ393249:ANE393249 AWV393249:AXA393249 BGR393249:BGW393249 BQN393249:BQS393249 CAJ393249:CAO393249 CKF393249:CKK393249 CUB393249:CUG393249 DDX393249:DEC393249 DNT393249:DNY393249 DXP393249:DXU393249 EHL393249:EHQ393249 ERH393249:ERM393249 FBD393249:FBI393249 FKZ393249:FLE393249 FUV393249:FVA393249 GER393249:GEW393249 GON393249:GOS393249 GYJ393249:GYO393249 HIF393249:HIK393249 HSB393249:HSG393249 IBX393249:ICC393249 ILT393249:ILY393249 IVP393249:IVU393249 JFL393249:JFQ393249 JPH393249:JPM393249 JZD393249:JZI393249 KIZ393249:KJE393249 KSV393249:KTA393249 LCR393249:LCW393249 LMN393249:LMS393249 LWJ393249:LWO393249 MGF393249:MGK393249 MQB393249:MQG393249 MZX393249:NAC393249 NJT393249:NJY393249 NTP393249:NTU393249 ODL393249:ODQ393249 ONH393249:ONM393249 OXD393249:OXI393249 PGZ393249:PHE393249 PQV393249:PRA393249 QAR393249:QAW393249 QKN393249:QKS393249 QUJ393249:QUO393249 REF393249:REK393249 ROB393249:ROG393249 RXX393249:RYC393249 SHT393249:SHY393249 SRP393249:SRU393249 TBL393249:TBQ393249 TLH393249:TLM393249 TVD393249:TVI393249 UEZ393249:UFE393249 UOV393249:UPA393249 UYR393249:UYW393249 VIN393249:VIS393249 VSJ393249:VSO393249 WCF393249:WCK393249 WMB393249:WMG393249 WVX393249:WWC393249 P458785:U458785 JL458785:JQ458785 TH458785:TM458785 ADD458785:ADI458785 AMZ458785:ANE458785 AWV458785:AXA458785 BGR458785:BGW458785 BQN458785:BQS458785 CAJ458785:CAO458785 CKF458785:CKK458785 CUB458785:CUG458785 DDX458785:DEC458785 DNT458785:DNY458785 DXP458785:DXU458785 EHL458785:EHQ458785 ERH458785:ERM458785 FBD458785:FBI458785 FKZ458785:FLE458785 FUV458785:FVA458785 GER458785:GEW458785 GON458785:GOS458785 GYJ458785:GYO458785 HIF458785:HIK458785 HSB458785:HSG458785 IBX458785:ICC458785 ILT458785:ILY458785 IVP458785:IVU458785 JFL458785:JFQ458785 JPH458785:JPM458785 JZD458785:JZI458785 KIZ458785:KJE458785 KSV458785:KTA458785 LCR458785:LCW458785 LMN458785:LMS458785 LWJ458785:LWO458785 MGF458785:MGK458785 MQB458785:MQG458785 MZX458785:NAC458785 NJT458785:NJY458785 NTP458785:NTU458785 ODL458785:ODQ458785 ONH458785:ONM458785 OXD458785:OXI458785 PGZ458785:PHE458785 PQV458785:PRA458785 QAR458785:QAW458785 QKN458785:QKS458785 QUJ458785:QUO458785 REF458785:REK458785 ROB458785:ROG458785 RXX458785:RYC458785 SHT458785:SHY458785 SRP458785:SRU458785 TBL458785:TBQ458785 TLH458785:TLM458785 TVD458785:TVI458785 UEZ458785:UFE458785 UOV458785:UPA458785 UYR458785:UYW458785 VIN458785:VIS458785 VSJ458785:VSO458785 WCF458785:WCK458785 WMB458785:WMG458785 WVX458785:WWC458785 P524321:U524321 JL524321:JQ524321 TH524321:TM524321 ADD524321:ADI524321 AMZ524321:ANE524321 AWV524321:AXA524321 BGR524321:BGW524321 BQN524321:BQS524321 CAJ524321:CAO524321 CKF524321:CKK524321 CUB524321:CUG524321 DDX524321:DEC524321 DNT524321:DNY524321 DXP524321:DXU524321 EHL524321:EHQ524321 ERH524321:ERM524321 FBD524321:FBI524321 FKZ524321:FLE524321 FUV524321:FVA524321 GER524321:GEW524321 GON524321:GOS524321 GYJ524321:GYO524321 HIF524321:HIK524321 HSB524321:HSG524321 IBX524321:ICC524321 ILT524321:ILY524321 IVP524321:IVU524321 JFL524321:JFQ524321 JPH524321:JPM524321 JZD524321:JZI524321 KIZ524321:KJE524321 KSV524321:KTA524321 LCR524321:LCW524321 LMN524321:LMS524321 LWJ524321:LWO524321 MGF524321:MGK524321 MQB524321:MQG524321 MZX524321:NAC524321 NJT524321:NJY524321 NTP524321:NTU524321 ODL524321:ODQ524321 ONH524321:ONM524321 OXD524321:OXI524321 PGZ524321:PHE524321 PQV524321:PRA524321 QAR524321:QAW524321 QKN524321:QKS524321 QUJ524321:QUO524321 REF524321:REK524321 ROB524321:ROG524321 RXX524321:RYC524321 SHT524321:SHY524321 SRP524321:SRU524321 TBL524321:TBQ524321 TLH524321:TLM524321 TVD524321:TVI524321 UEZ524321:UFE524321 UOV524321:UPA524321 UYR524321:UYW524321 VIN524321:VIS524321 VSJ524321:VSO524321 WCF524321:WCK524321 WMB524321:WMG524321 WVX524321:WWC524321 P589857:U589857 JL589857:JQ589857 TH589857:TM589857 ADD589857:ADI589857 AMZ589857:ANE589857 AWV589857:AXA589857 BGR589857:BGW589857 BQN589857:BQS589857 CAJ589857:CAO589857 CKF589857:CKK589857 CUB589857:CUG589857 DDX589857:DEC589857 DNT589857:DNY589857 DXP589857:DXU589857 EHL589857:EHQ589857 ERH589857:ERM589857 FBD589857:FBI589857 FKZ589857:FLE589857 FUV589857:FVA589857 GER589857:GEW589857 GON589857:GOS589857 GYJ589857:GYO589857 HIF589857:HIK589857 HSB589857:HSG589857 IBX589857:ICC589857 ILT589857:ILY589857 IVP589857:IVU589857 JFL589857:JFQ589857 JPH589857:JPM589857 JZD589857:JZI589857 KIZ589857:KJE589857 KSV589857:KTA589857 LCR589857:LCW589857 LMN589857:LMS589857 LWJ589857:LWO589857 MGF589857:MGK589857 MQB589857:MQG589857 MZX589857:NAC589857 NJT589857:NJY589857 NTP589857:NTU589857 ODL589857:ODQ589857 ONH589857:ONM589857 OXD589857:OXI589857 PGZ589857:PHE589857 PQV589857:PRA589857 QAR589857:QAW589857 QKN589857:QKS589857 QUJ589857:QUO589857 REF589857:REK589857 ROB589857:ROG589857 RXX589857:RYC589857 SHT589857:SHY589857 SRP589857:SRU589857 TBL589857:TBQ589857 TLH589857:TLM589857 TVD589857:TVI589857 UEZ589857:UFE589857 UOV589857:UPA589857 UYR589857:UYW589857 VIN589857:VIS589857 VSJ589857:VSO589857 WCF589857:WCK589857 WMB589857:WMG589857 WVX589857:WWC589857 P655393:U655393 JL655393:JQ655393 TH655393:TM655393 ADD655393:ADI655393 AMZ655393:ANE655393 AWV655393:AXA655393 BGR655393:BGW655393 BQN655393:BQS655393 CAJ655393:CAO655393 CKF655393:CKK655393 CUB655393:CUG655393 DDX655393:DEC655393 DNT655393:DNY655393 DXP655393:DXU655393 EHL655393:EHQ655393 ERH655393:ERM655393 FBD655393:FBI655393 FKZ655393:FLE655393 FUV655393:FVA655393 GER655393:GEW655393 GON655393:GOS655393 GYJ655393:GYO655393 HIF655393:HIK655393 HSB655393:HSG655393 IBX655393:ICC655393 ILT655393:ILY655393 IVP655393:IVU655393 JFL655393:JFQ655393 JPH655393:JPM655393 JZD655393:JZI655393 KIZ655393:KJE655393 KSV655393:KTA655393 LCR655393:LCW655393 LMN655393:LMS655393 LWJ655393:LWO655393 MGF655393:MGK655393 MQB655393:MQG655393 MZX655393:NAC655393 NJT655393:NJY655393 NTP655393:NTU655393 ODL655393:ODQ655393 ONH655393:ONM655393 OXD655393:OXI655393 PGZ655393:PHE655393 PQV655393:PRA655393 QAR655393:QAW655393 QKN655393:QKS655393 QUJ655393:QUO655393 REF655393:REK655393 ROB655393:ROG655393 RXX655393:RYC655393 SHT655393:SHY655393 SRP655393:SRU655393 TBL655393:TBQ655393 TLH655393:TLM655393 TVD655393:TVI655393 UEZ655393:UFE655393 UOV655393:UPA655393 UYR655393:UYW655393 VIN655393:VIS655393 VSJ655393:VSO655393 WCF655393:WCK655393 WMB655393:WMG655393 WVX655393:WWC655393 P720929:U720929 JL720929:JQ720929 TH720929:TM720929 ADD720929:ADI720929 AMZ720929:ANE720929 AWV720929:AXA720929 BGR720929:BGW720929 BQN720929:BQS720929 CAJ720929:CAO720929 CKF720929:CKK720929 CUB720929:CUG720929 DDX720929:DEC720929 DNT720929:DNY720929 DXP720929:DXU720929 EHL720929:EHQ720929 ERH720929:ERM720929 FBD720929:FBI720929 FKZ720929:FLE720929 FUV720929:FVA720929 GER720929:GEW720929 GON720929:GOS720929 GYJ720929:GYO720929 HIF720929:HIK720929 HSB720929:HSG720929 IBX720929:ICC720929 ILT720929:ILY720929 IVP720929:IVU720929 JFL720929:JFQ720929 JPH720929:JPM720929 JZD720929:JZI720929 KIZ720929:KJE720929 KSV720929:KTA720929 LCR720929:LCW720929 LMN720929:LMS720929 LWJ720929:LWO720929 MGF720929:MGK720929 MQB720929:MQG720929 MZX720929:NAC720929 NJT720929:NJY720929 NTP720929:NTU720929 ODL720929:ODQ720929 ONH720929:ONM720929 OXD720929:OXI720929 PGZ720929:PHE720929 PQV720929:PRA720929 QAR720929:QAW720929 QKN720929:QKS720929 QUJ720929:QUO720929 REF720929:REK720929 ROB720929:ROG720929 RXX720929:RYC720929 SHT720929:SHY720929 SRP720929:SRU720929 TBL720929:TBQ720929 TLH720929:TLM720929 TVD720929:TVI720929 UEZ720929:UFE720929 UOV720929:UPA720929 UYR720929:UYW720929 VIN720929:VIS720929 VSJ720929:VSO720929 WCF720929:WCK720929 WMB720929:WMG720929 WVX720929:WWC720929 P786465:U786465 JL786465:JQ786465 TH786465:TM786465 ADD786465:ADI786465 AMZ786465:ANE786465 AWV786465:AXA786465 BGR786465:BGW786465 BQN786465:BQS786465 CAJ786465:CAO786465 CKF786465:CKK786465 CUB786465:CUG786465 DDX786465:DEC786465 DNT786465:DNY786465 DXP786465:DXU786465 EHL786465:EHQ786465 ERH786465:ERM786465 FBD786465:FBI786465 FKZ786465:FLE786465 FUV786465:FVA786465 GER786465:GEW786465 GON786465:GOS786465 GYJ786465:GYO786465 HIF786465:HIK786465 HSB786465:HSG786465 IBX786465:ICC786465 ILT786465:ILY786465 IVP786465:IVU786465 JFL786465:JFQ786465 JPH786465:JPM786465 JZD786465:JZI786465 KIZ786465:KJE786465 KSV786465:KTA786465 LCR786465:LCW786465 LMN786465:LMS786465 LWJ786465:LWO786465 MGF786465:MGK786465 MQB786465:MQG786465 MZX786465:NAC786465 NJT786465:NJY786465 NTP786465:NTU786465 ODL786465:ODQ786465 ONH786465:ONM786465 OXD786465:OXI786465 PGZ786465:PHE786465 PQV786465:PRA786465 QAR786465:QAW786465 QKN786465:QKS786465 QUJ786465:QUO786465 REF786465:REK786465 ROB786465:ROG786465 RXX786465:RYC786465 SHT786465:SHY786465 SRP786465:SRU786465 TBL786465:TBQ786465 TLH786465:TLM786465 TVD786465:TVI786465 UEZ786465:UFE786465 UOV786465:UPA786465 UYR786465:UYW786465 VIN786465:VIS786465 VSJ786465:VSO786465 WCF786465:WCK786465 WMB786465:WMG786465 WVX786465:WWC786465 P852001:U852001 JL852001:JQ852001 TH852001:TM852001 ADD852001:ADI852001 AMZ852001:ANE852001 AWV852001:AXA852001 BGR852001:BGW852001 BQN852001:BQS852001 CAJ852001:CAO852001 CKF852001:CKK852001 CUB852001:CUG852001 DDX852001:DEC852001 DNT852001:DNY852001 DXP852001:DXU852001 EHL852001:EHQ852001 ERH852001:ERM852001 FBD852001:FBI852001 FKZ852001:FLE852001 FUV852001:FVA852001 GER852001:GEW852001 GON852001:GOS852001 GYJ852001:GYO852001 HIF852001:HIK852001 HSB852001:HSG852001 IBX852001:ICC852001 ILT852001:ILY852001 IVP852001:IVU852001 JFL852001:JFQ852001 JPH852001:JPM852001 JZD852001:JZI852001 KIZ852001:KJE852001 KSV852001:KTA852001 LCR852001:LCW852001 LMN852001:LMS852001 LWJ852001:LWO852001 MGF852001:MGK852001 MQB852001:MQG852001 MZX852001:NAC852001 NJT852001:NJY852001 NTP852001:NTU852001 ODL852001:ODQ852001 ONH852001:ONM852001 OXD852001:OXI852001 PGZ852001:PHE852001 PQV852001:PRA852001 QAR852001:QAW852001 QKN852001:QKS852001 QUJ852001:QUO852001 REF852001:REK852001 ROB852001:ROG852001 RXX852001:RYC852001 SHT852001:SHY852001 SRP852001:SRU852001 TBL852001:TBQ852001 TLH852001:TLM852001 TVD852001:TVI852001 UEZ852001:UFE852001 UOV852001:UPA852001 UYR852001:UYW852001 VIN852001:VIS852001 VSJ852001:VSO852001 WCF852001:WCK852001 WMB852001:WMG852001 WVX852001:WWC852001 P917537:U917537 JL917537:JQ917537 TH917537:TM917537 ADD917537:ADI917537 AMZ917537:ANE917537 AWV917537:AXA917537 BGR917537:BGW917537 BQN917537:BQS917537 CAJ917537:CAO917537 CKF917537:CKK917537 CUB917537:CUG917537 DDX917537:DEC917537 DNT917537:DNY917537 DXP917537:DXU917537 EHL917537:EHQ917537 ERH917537:ERM917537 FBD917537:FBI917537 FKZ917537:FLE917537 FUV917537:FVA917537 GER917537:GEW917537 GON917537:GOS917537 GYJ917537:GYO917537 HIF917537:HIK917537 HSB917537:HSG917537 IBX917537:ICC917537 ILT917537:ILY917537 IVP917537:IVU917537 JFL917537:JFQ917537 JPH917537:JPM917537 JZD917537:JZI917537 KIZ917537:KJE917537 KSV917537:KTA917537 LCR917537:LCW917537 LMN917537:LMS917537 LWJ917537:LWO917537 MGF917537:MGK917537 MQB917537:MQG917537 MZX917537:NAC917537 NJT917537:NJY917537 NTP917537:NTU917537 ODL917537:ODQ917537 ONH917537:ONM917537 OXD917537:OXI917537 PGZ917537:PHE917537 PQV917537:PRA917537 QAR917537:QAW917537 QKN917537:QKS917537 QUJ917537:QUO917537 REF917537:REK917537 ROB917537:ROG917537 RXX917537:RYC917537 SHT917537:SHY917537 SRP917537:SRU917537 TBL917537:TBQ917537 TLH917537:TLM917537 TVD917537:TVI917537 UEZ917537:UFE917537 UOV917537:UPA917537 UYR917537:UYW917537 VIN917537:VIS917537 VSJ917537:VSO917537 WCF917537:WCK917537 WMB917537:WMG917537 WVX917537:WWC917537 P983073:U983073 JL983073:JQ983073 TH983073:TM983073 ADD983073:ADI983073 AMZ983073:ANE983073 AWV983073:AXA983073 BGR983073:BGW983073 BQN983073:BQS983073 CAJ983073:CAO983073 CKF983073:CKK983073 CUB983073:CUG983073 DDX983073:DEC983073 DNT983073:DNY983073 DXP983073:DXU983073 EHL983073:EHQ983073 ERH983073:ERM983073 FBD983073:FBI983073 FKZ983073:FLE983073 FUV983073:FVA983073 GER983073:GEW983073 GON983073:GOS983073 GYJ983073:GYO983073 HIF983073:HIK983073 HSB983073:HSG983073 IBX983073:ICC983073 ILT983073:ILY983073 IVP983073:IVU983073 JFL983073:JFQ983073 JPH983073:JPM983073 JZD983073:JZI983073 KIZ983073:KJE983073 KSV983073:KTA983073 LCR983073:LCW983073 LMN983073:LMS983073 LWJ983073:LWO983073 MGF983073:MGK983073 MQB983073:MQG983073 MZX983073:NAC983073 NJT983073:NJY983073 NTP983073:NTU983073 ODL983073:ODQ983073 ONH983073:ONM983073 OXD983073:OXI983073 PGZ983073:PHE983073 PQV983073:PRA983073 QAR983073:QAW983073 QKN983073:QKS983073 QUJ983073:QUO983073 REF983073:REK983073 ROB983073:ROG983073 RXX983073:RYC983073 SHT983073:SHY983073 SRP983073:SRU983073 TBL983073:TBQ983073 TLH983073:TLM983073 TVD983073:TVI983073 UEZ983073:UFE983073 UOV983073:UPA983073 UYR983073:UYW983073 VIN983073:VIS983073 VSJ983073:VSO983073 WCF983073:WCK983073 WMB983073:WMG983073 WVX983073:WWC983073 P60:U60 JL60:JQ60 TH60:TM60 ADD60:ADI60 AMZ60:ANE60 AWV60:AXA60 BGR60:BGW60 BQN60:BQS60 CAJ60:CAO60 CKF60:CKK60 CUB60:CUG60 DDX60:DEC60 DNT60:DNY60 DXP60:DXU60 EHL60:EHQ60 ERH60:ERM60 FBD60:FBI60 FKZ60:FLE60 FUV60:FVA60 GER60:GEW60 GON60:GOS60 GYJ60:GYO60 HIF60:HIK60 HSB60:HSG60 IBX60:ICC60 ILT60:ILY60 IVP60:IVU60 JFL60:JFQ60 JPH60:JPM60 JZD60:JZI60 KIZ60:KJE60 KSV60:KTA60 LCR60:LCW60 LMN60:LMS60 LWJ60:LWO60 MGF60:MGK60 MQB60:MQG60 MZX60:NAC60 NJT60:NJY60 NTP60:NTU60 ODL60:ODQ60 ONH60:ONM60 OXD60:OXI60 PGZ60:PHE60 PQV60:PRA60 QAR60:QAW60 QKN60:QKS60 QUJ60:QUO60 REF60:REK60 ROB60:ROG60 RXX60:RYC60 SHT60:SHY60 SRP60:SRU60 TBL60:TBQ60 TLH60:TLM60 TVD60:TVI60 UEZ60:UFE60 UOV60:UPA60 UYR60:UYW60 VIN60:VIS60 VSJ60:VSO60 WCF60:WCK60 WMB60:WMG60 WVX60:WWC60 P65596:U65596 JL65596:JQ65596 TH65596:TM65596 ADD65596:ADI65596 AMZ65596:ANE65596 AWV65596:AXA65596 BGR65596:BGW65596 BQN65596:BQS65596 CAJ65596:CAO65596 CKF65596:CKK65596 CUB65596:CUG65596 DDX65596:DEC65596 DNT65596:DNY65596 DXP65596:DXU65596 EHL65596:EHQ65596 ERH65596:ERM65596 FBD65596:FBI65596 FKZ65596:FLE65596 FUV65596:FVA65596 GER65596:GEW65596 GON65596:GOS65596 GYJ65596:GYO65596 HIF65596:HIK65596 HSB65596:HSG65596 IBX65596:ICC65596 ILT65596:ILY65596 IVP65596:IVU65596 JFL65596:JFQ65596 JPH65596:JPM65596 JZD65596:JZI65596 KIZ65596:KJE65596 KSV65596:KTA65596 LCR65596:LCW65596 LMN65596:LMS65596 LWJ65596:LWO65596 MGF65596:MGK65596 MQB65596:MQG65596 MZX65596:NAC65596 NJT65596:NJY65596 NTP65596:NTU65596 ODL65596:ODQ65596 ONH65596:ONM65596 OXD65596:OXI65596 PGZ65596:PHE65596 PQV65596:PRA65596 QAR65596:QAW65596 QKN65596:QKS65596 QUJ65596:QUO65596 REF65596:REK65596 ROB65596:ROG65596 RXX65596:RYC65596 SHT65596:SHY65596 SRP65596:SRU65596 TBL65596:TBQ65596 TLH65596:TLM65596 TVD65596:TVI65596 UEZ65596:UFE65596 UOV65596:UPA65596 UYR65596:UYW65596 VIN65596:VIS65596 VSJ65596:VSO65596 WCF65596:WCK65596 WMB65596:WMG65596 WVX65596:WWC65596 P131132:U131132 JL131132:JQ131132 TH131132:TM131132 ADD131132:ADI131132 AMZ131132:ANE131132 AWV131132:AXA131132 BGR131132:BGW131132 BQN131132:BQS131132 CAJ131132:CAO131132 CKF131132:CKK131132 CUB131132:CUG131132 DDX131132:DEC131132 DNT131132:DNY131132 DXP131132:DXU131132 EHL131132:EHQ131132 ERH131132:ERM131132 FBD131132:FBI131132 FKZ131132:FLE131132 FUV131132:FVA131132 GER131132:GEW131132 GON131132:GOS131132 GYJ131132:GYO131132 HIF131132:HIK131132 HSB131132:HSG131132 IBX131132:ICC131132 ILT131132:ILY131132 IVP131132:IVU131132 JFL131132:JFQ131132 JPH131132:JPM131132 JZD131132:JZI131132 KIZ131132:KJE131132 KSV131132:KTA131132 LCR131132:LCW131132 LMN131132:LMS131132 LWJ131132:LWO131132 MGF131132:MGK131132 MQB131132:MQG131132 MZX131132:NAC131132 NJT131132:NJY131132 NTP131132:NTU131132 ODL131132:ODQ131132 ONH131132:ONM131132 OXD131132:OXI131132 PGZ131132:PHE131132 PQV131132:PRA131132 QAR131132:QAW131132 QKN131132:QKS131132 QUJ131132:QUO131132 REF131132:REK131132 ROB131132:ROG131132 RXX131132:RYC131132 SHT131132:SHY131132 SRP131132:SRU131132 TBL131132:TBQ131132 TLH131132:TLM131132 TVD131132:TVI131132 UEZ131132:UFE131132 UOV131132:UPA131132 UYR131132:UYW131132 VIN131132:VIS131132 VSJ131132:VSO131132 WCF131132:WCK131132 WMB131132:WMG131132 WVX131132:WWC131132 P196668:U196668 JL196668:JQ196668 TH196668:TM196668 ADD196668:ADI196668 AMZ196668:ANE196668 AWV196668:AXA196668 BGR196668:BGW196668 BQN196668:BQS196668 CAJ196668:CAO196668 CKF196668:CKK196668 CUB196668:CUG196668 DDX196668:DEC196668 DNT196668:DNY196668 DXP196668:DXU196668 EHL196668:EHQ196668 ERH196668:ERM196668 FBD196668:FBI196668 FKZ196668:FLE196668 FUV196668:FVA196668 GER196668:GEW196668 GON196668:GOS196668 GYJ196668:GYO196668 HIF196668:HIK196668 HSB196668:HSG196668 IBX196668:ICC196668 ILT196668:ILY196668 IVP196668:IVU196668 JFL196668:JFQ196668 JPH196668:JPM196668 JZD196668:JZI196668 KIZ196668:KJE196668 KSV196668:KTA196668 LCR196668:LCW196668 LMN196668:LMS196668 LWJ196668:LWO196668 MGF196668:MGK196668 MQB196668:MQG196668 MZX196668:NAC196668 NJT196668:NJY196668 NTP196668:NTU196668 ODL196668:ODQ196668 ONH196668:ONM196668 OXD196668:OXI196668 PGZ196668:PHE196668 PQV196668:PRA196668 QAR196668:QAW196668 QKN196668:QKS196668 QUJ196668:QUO196668 REF196668:REK196668 ROB196668:ROG196668 RXX196668:RYC196668 SHT196668:SHY196668 SRP196668:SRU196668 TBL196668:TBQ196668 TLH196668:TLM196668 TVD196668:TVI196668 UEZ196668:UFE196668 UOV196668:UPA196668 UYR196668:UYW196668 VIN196668:VIS196668 VSJ196668:VSO196668 WCF196668:WCK196668 WMB196668:WMG196668 WVX196668:WWC196668 P262204:U262204 JL262204:JQ262204 TH262204:TM262204 ADD262204:ADI262204 AMZ262204:ANE262204 AWV262204:AXA262204 BGR262204:BGW262204 BQN262204:BQS262204 CAJ262204:CAO262204 CKF262204:CKK262204 CUB262204:CUG262204 DDX262204:DEC262204 DNT262204:DNY262204 DXP262204:DXU262204 EHL262204:EHQ262204 ERH262204:ERM262204 FBD262204:FBI262204 FKZ262204:FLE262204 FUV262204:FVA262204 GER262204:GEW262204 GON262204:GOS262204 GYJ262204:GYO262204 HIF262204:HIK262204 HSB262204:HSG262204 IBX262204:ICC262204 ILT262204:ILY262204 IVP262204:IVU262204 JFL262204:JFQ262204 JPH262204:JPM262204 JZD262204:JZI262204 KIZ262204:KJE262204 KSV262204:KTA262204 LCR262204:LCW262204 LMN262204:LMS262204 LWJ262204:LWO262204 MGF262204:MGK262204 MQB262204:MQG262204 MZX262204:NAC262204 NJT262204:NJY262204 NTP262204:NTU262204 ODL262204:ODQ262204 ONH262204:ONM262204 OXD262204:OXI262204 PGZ262204:PHE262204 PQV262204:PRA262204 QAR262204:QAW262204 QKN262204:QKS262204 QUJ262204:QUO262204 REF262204:REK262204 ROB262204:ROG262204 RXX262204:RYC262204 SHT262204:SHY262204 SRP262204:SRU262204 TBL262204:TBQ262204 TLH262204:TLM262204 TVD262204:TVI262204 UEZ262204:UFE262204 UOV262204:UPA262204 UYR262204:UYW262204 VIN262204:VIS262204 VSJ262204:VSO262204 WCF262204:WCK262204 WMB262204:WMG262204 WVX262204:WWC262204 P327740:U327740 JL327740:JQ327740 TH327740:TM327740 ADD327740:ADI327740 AMZ327740:ANE327740 AWV327740:AXA327740 BGR327740:BGW327740 BQN327740:BQS327740 CAJ327740:CAO327740 CKF327740:CKK327740 CUB327740:CUG327740 DDX327740:DEC327740 DNT327740:DNY327740 DXP327740:DXU327740 EHL327740:EHQ327740 ERH327740:ERM327740 FBD327740:FBI327740 FKZ327740:FLE327740 FUV327740:FVA327740 GER327740:GEW327740 GON327740:GOS327740 GYJ327740:GYO327740 HIF327740:HIK327740 HSB327740:HSG327740 IBX327740:ICC327740 ILT327740:ILY327740 IVP327740:IVU327740 JFL327740:JFQ327740 JPH327740:JPM327740 JZD327740:JZI327740 KIZ327740:KJE327740 KSV327740:KTA327740 LCR327740:LCW327740 LMN327740:LMS327740 LWJ327740:LWO327740 MGF327740:MGK327740 MQB327740:MQG327740 MZX327740:NAC327740 NJT327740:NJY327740 NTP327740:NTU327740 ODL327740:ODQ327740 ONH327740:ONM327740 OXD327740:OXI327740 PGZ327740:PHE327740 PQV327740:PRA327740 QAR327740:QAW327740 QKN327740:QKS327740 QUJ327740:QUO327740 REF327740:REK327740 ROB327740:ROG327740 RXX327740:RYC327740 SHT327740:SHY327740 SRP327740:SRU327740 TBL327740:TBQ327740 TLH327740:TLM327740 TVD327740:TVI327740 UEZ327740:UFE327740 UOV327740:UPA327740 UYR327740:UYW327740 VIN327740:VIS327740 VSJ327740:VSO327740 WCF327740:WCK327740 WMB327740:WMG327740 WVX327740:WWC327740 P393276:U393276 JL393276:JQ393276 TH393276:TM393276 ADD393276:ADI393276 AMZ393276:ANE393276 AWV393276:AXA393276 BGR393276:BGW393276 BQN393276:BQS393276 CAJ393276:CAO393276 CKF393276:CKK393276 CUB393276:CUG393276 DDX393276:DEC393276 DNT393276:DNY393276 DXP393276:DXU393276 EHL393276:EHQ393276 ERH393276:ERM393276 FBD393276:FBI393276 FKZ393276:FLE393276 FUV393276:FVA393276 GER393276:GEW393276 GON393276:GOS393276 GYJ393276:GYO393276 HIF393276:HIK393276 HSB393276:HSG393276 IBX393276:ICC393276 ILT393276:ILY393276 IVP393276:IVU393276 JFL393276:JFQ393276 JPH393276:JPM393276 JZD393276:JZI393276 KIZ393276:KJE393276 KSV393276:KTA393276 LCR393276:LCW393276 LMN393276:LMS393276 LWJ393276:LWO393276 MGF393276:MGK393276 MQB393276:MQG393276 MZX393276:NAC393276 NJT393276:NJY393276 NTP393276:NTU393276 ODL393276:ODQ393276 ONH393276:ONM393276 OXD393276:OXI393276 PGZ393276:PHE393276 PQV393276:PRA393276 QAR393276:QAW393276 QKN393276:QKS393276 QUJ393276:QUO393276 REF393276:REK393276 ROB393276:ROG393276 RXX393276:RYC393276 SHT393276:SHY393276 SRP393276:SRU393276 TBL393276:TBQ393276 TLH393276:TLM393276 TVD393276:TVI393276 UEZ393276:UFE393276 UOV393276:UPA393276 UYR393276:UYW393276 VIN393276:VIS393276 VSJ393276:VSO393276 WCF393276:WCK393276 WMB393276:WMG393276 WVX393276:WWC393276 P458812:U458812 JL458812:JQ458812 TH458812:TM458812 ADD458812:ADI458812 AMZ458812:ANE458812 AWV458812:AXA458812 BGR458812:BGW458812 BQN458812:BQS458812 CAJ458812:CAO458812 CKF458812:CKK458812 CUB458812:CUG458812 DDX458812:DEC458812 DNT458812:DNY458812 DXP458812:DXU458812 EHL458812:EHQ458812 ERH458812:ERM458812 FBD458812:FBI458812 FKZ458812:FLE458812 FUV458812:FVA458812 GER458812:GEW458812 GON458812:GOS458812 GYJ458812:GYO458812 HIF458812:HIK458812 HSB458812:HSG458812 IBX458812:ICC458812 ILT458812:ILY458812 IVP458812:IVU458812 JFL458812:JFQ458812 JPH458812:JPM458812 JZD458812:JZI458812 KIZ458812:KJE458812 KSV458812:KTA458812 LCR458812:LCW458812 LMN458812:LMS458812 LWJ458812:LWO458812 MGF458812:MGK458812 MQB458812:MQG458812 MZX458812:NAC458812 NJT458812:NJY458812 NTP458812:NTU458812 ODL458812:ODQ458812 ONH458812:ONM458812 OXD458812:OXI458812 PGZ458812:PHE458812 PQV458812:PRA458812 QAR458812:QAW458812 QKN458812:QKS458812 QUJ458812:QUO458812 REF458812:REK458812 ROB458812:ROG458812 RXX458812:RYC458812 SHT458812:SHY458812 SRP458812:SRU458812 TBL458812:TBQ458812 TLH458812:TLM458812 TVD458812:TVI458812 UEZ458812:UFE458812 UOV458812:UPA458812 UYR458812:UYW458812 VIN458812:VIS458812 VSJ458812:VSO458812 WCF458812:WCK458812 WMB458812:WMG458812 WVX458812:WWC458812 P524348:U524348 JL524348:JQ524348 TH524348:TM524348 ADD524348:ADI524348 AMZ524348:ANE524348 AWV524348:AXA524348 BGR524348:BGW524348 BQN524348:BQS524348 CAJ524348:CAO524348 CKF524348:CKK524348 CUB524348:CUG524348 DDX524348:DEC524348 DNT524348:DNY524348 DXP524348:DXU524348 EHL524348:EHQ524348 ERH524348:ERM524348 FBD524348:FBI524348 FKZ524348:FLE524348 FUV524348:FVA524348 GER524348:GEW524348 GON524348:GOS524348 GYJ524348:GYO524348 HIF524348:HIK524348 HSB524348:HSG524348 IBX524348:ICC524348 ILT524348:ILY524348 IVP524348:IVU524348 JFL524348:JFQ524348 JPH524348:JPM524348 JZD524348:JZI524348 KIZ524348:KJE524348 KSV524348:KTA524348 LCR524348:LCW524348 LMN524348:LMS524348 LWJ524348:LWO524348 MGF524348:MGK524348 MQB524348:MQG524348 MZX524348:NAC524348 NJT524348:NJY524348 NTP524348:NTU524348 ODL524348:ODQ524348 ONH524348:ONM524348 OXD524348:OXI524348 PGZ524348:PHE524348 PQV524348:PRA524348 QAR524348:QAW524348 QKN524348:QKS524348 QUJ524348:QUO524348 REF524348:REK524348 ROB524348:ROG524348 RXX524348:RYC524348 SHT524348:SHY524348 SRP524348:SRU524348 TBL524348:TBQ524348 TLH524348:TLM524348 TVD524348:TVI524348 UEZ524348:UFE524348 UOV524348:UPA524348 UYR524348:UYW524348 VIN524348:VIS524348 VSJ524348:VSO524348 WCF524348:WCK524348 WMB524348:WMG524348 WVX524348:WWC524348 P589884:U589884 JL589884:JQ589884 TH589884:TM589884 ADD589884:ADI589884 AMZ589884:ANE589884 AWV589884:AXA589884 BGR589884:BGW589884 BQN589884:BQS589884 CAJ589884:CAO589884 CKF589884:CKK589884 CUB589884:CUG589884 DDX589884:DEC589884 DNT589884:DNY589884 DXP589884:DXU589884 EHL589884:EHQ589884 ERH589884:ERM589884 FBD589884:FBI589884 FKZ589884:FLE589884 FUV589884:FVA589884 GER589884:GEW589884 GON589884:GOS589884 GYJ589884:GYO589884 HIF589884:HIK589884 HSB589884:HSG589884 IBX589884:ICC589884 ILT589884:ILY589884 IVP589884:IVU589884 JFL589884:JFQ589884 JPH589884:JPM589884 JZD589884:JZI589884 KIZ589884:KJE589884 KSV589884:KTA589884 LCR589884:LCW589884 LMN589884:LMS589884 LWJ589884:LWO589884 MGF589884:MGK589884 MQB589884:MQG589884 MZX589884:NAC589884 NJT589884:NJY589884 NTP589884:NTU589884 ODL589884:ODQ589884 ONH589884:ONM589884 OXD589884:OXI589884 PGZ589884:PHE589884 PQV589884:PRA589884 QAR589884:QAW589884 QKN589884:QKS589884 QUJ589884:QUO589884 REF589884:REK589884 ROB589884:ROG589884 RXX589884:RYC589884 SHT589884:SHY589884 SRP589884:SRU589884 TBL589884:TBQ589884 TLH589884:TLM589884 TVD589884:TVI589884 UEZ589884:UFE589884 UOV589884:UPA589884 UYR589884:UYW589884 VIN589884:VIS589884 VSJ589884:VSO589884 WCF589884:WCK589884 WMB589884:WMG589884 WVX589884:WWC589884 P655420:U655420 JL655420:JQ655420 TH655420:TM655420 ADD655420:ADI655420 AMZ655420:ANE655420 AWV655420:AXA655420 BGR655420:BGW655420 BQN655420:BQS655420 CAJ655420:CAO655420 CKF655420:CKK655420 CUB655420:CUG655420 DDX655420:DEC655420 DNT655420:DNY655420 DXP655420:DXU655420 EHL655420:EHQ655420 ERH655420:ERM655420 FBD655420:FBI655420 FKZ655420:FLE655420 FUV655420:FVA655420 GER655420:GEW655420 GON655420:GOS655420 GYJ655420:GYO655420 HIF655420:HIK655420 HSB655420:HSG655420 IBX655420:ICC655420 ILT655420:ILY655420 IVP655420:IVU655420 JFL655420:JFQ655420 JPH655420:JPM655420 JZD655420:JZI655420 KIZ655420:KJE655420 KSV655420:KTA655420 LCR655420:LCW655420 LMN655420:LMS655420 LWJ655420:LWO655420 MGF655420:MGK655420 MQB655420:MQG655420 MZX655420:NAC655420 NJT655420:NJY655420 NTP655420:NTU655420 ODL655420:ODQ655420 ONH655420:ONM655420 OXD655420:OXI655420 PGZ655420:PHE655420 PQV655420:PRA655420 QAR655420:QAW655420 QKN655420:QKS655420 QUJ655420:QUO655420 REF655420:REK655420 ROB655420:ROG655420 RXX655420:RYC655420 SHT655420:SHY655420 SRP655420:SRU655420 TBL655420:TBQ655420 TLH655420:TLM655420 TVD655420:TVI655420 UEZ655420:UFE655420 UOV655420:UPA655420 UYR655420:UYW655420 VIN655420:VIS655420 VSJ655420:VSO655420 WCF655420:WCK655420 WMB655420:WMG655420 WVX655420:WWC655420 P720956:U720956 JL720956:JQ720956 TH720956:TM720956 ADD720956:ADI720956 AMZ720956:ANE720956 AWV720956:AXA720956 BGR720956:BGW720956 BQN720956:BQS720956 CAJ720956:CAO720956 CKF720956:CKK720956 CUB720956:CUG720956 DDX720956:DEC720956 DNT720956:DNY720956 DXP720956:DXU720956 EHL720956:EHQ720956 ERH720956:ERM720956 FBD720956:FBI720956 FKZ720956:FLE720956 FUV720956:FVA720956 GER720956:GEW720956 GON720956:GOS720956 GYJ720956:GYO720956 HIF720956:HIK720956 HSB720956:HSG720956 IBX720956:ICC720956 ILT720956:ILY720956 IVP720956:IVU720956 JFL720956:JFQ720956 JPH720956:JPM720956 JZD720956:JZI720956 KIZ720956:KJE720956 KSV720956:KTA720956 LCR720956:LCW720956 LMN720956:LMS720956 LWJ720956:LWO720956 MGF720956:MGK720956 MQB720956:MQG720956 MZX720956:NAC720956 NJT720956:NJY720956 NTP720956:NTU720956 ODL720956:ODQ720956 ONH720956:ONM720956 OXD720956:OXI720956 PGZ720956:PHE720956 PQV720956:PRA720956 QAR720956:QAW720956 QKN720956:QKS720956 QUJ720956:QUO720956 REF720956:REK720956 ROB720956:ROG720956 RXX720956:RYC720956 SHT720956:SHY720956 SRP720956:SRU720956 TBL720956:TBQ720956 TLH720956:TLM720956 TVD720956:TVI720956 UEZ720956:UFE720956 UOV720956:UPA720956 UYR720956:UYW720956 VIN720956:VIS720956 VSJ720956:VSO720956 WCF720956:WCK720956 WMB720956:WMG720956 WVX720956:WWC720956 P786492:U786492 JL786492:JQ786492 TH786492:TM786492 ADD786492:ADI786492 AMZ786492:ANE786492 AWV786492:AXA786492 BGR786492:BGW786492 BQN786492:BQS786492 CAJ786492:CAO786492 CKF786492:CKK786492 CUB786492:CUG786492 DDX786492:DEC786492 DNT786492:DNY786492 DXP786492:DXU786492 EHL786492:EHQ786492 ERH786492:ERM786492 FBD786492:FBI786492 FKZ786492:FLE786492 FUV786492:FVA786492 GER786492:GEW786492 GON786492:GOS786492 GYJ786492:GYO786492 HIF786492:HIK786492 HSB786492:HSG786492 IBX786492:ICC786492 ILT786492:ILY786492 IVP786492:IVU786492 JFL786492:JFQ786492 JPH786492:JPM786492 JZD786492:JZI786492 KIZ786492:KJE786492 KSV786492:KTA786492 LCR786492:LCW786492 LMN786492:LMS786492 LWJ786492:LWO786492 MGF786492:MGK786492 MQB786492:MQG786492 MZX786492:NAC786492 NJT786492:NJY786492 NTP786492:NTU786492 ODL786492:ODQ786492 ONH786492:ONM786492 OXD786492:OXI786492 PGZ786492:PHE786492 PQV786492:PRA786492 QAR786492:QAW786492 QKN786492:QKS786492 QUJ786492:QUO786492 REF786492:REK786492 ROB786492:ROG786492 RXX786492:RYC786492 SHT786492:SHY786492 SRP786492:SRU786492 TBL786492:TBQ786492 TLH786492:TLM786492 TVD786492:TVI786492 UEZ786492:UFE786492 UOV786492:UPA786492 UYR786492:UYW786492 VIN786492:VIS786492 VSJ786492:VSO786492 WCF786492:WCK786492 WMB786492:WMG786492 WVX786492:WWC786492 P852028:U852028 JL852028:JQ852028 TH852028:TM852028 ADD852028:ADI852028 AMZ852028:ANE852028 AWV852028:AXA852028 BGR852028:BGW852028 BQN852028:BQS852028 CAJ852028:CAO852028 CKF852028:CKK852028 CUB852028:CUG852028 DDX852028:DEC852028 DNT852028:DNY852028 DXP852028:DXU852028 EHL852028:EHQ852028 ERH852028:ERM852028 FBD852028:FBI852028 FKZ852028:FLE852028 FUV852028:FVA852028 GER852028:GEW852028 GON852028:GOS852028 GYJ852028:GYO852028 HIF852028:HIK852028 HSB852028:HSG852028 IBX852028:ICC852028 ILT852028:ILY852028 IVP852028:IVU852028 JFL852028:JFQ852028 JPH852028:JPM852028 JZD852028:JZI852028 KIZ852028:KJE852028 KSV852028:KTA852028 LCR852028:LCW852028 LMN852028:LMS852028 LWJ852028:LWO852028 MGF852028:MGK852028 MQB852028:MQG852028 MZX852028:NAC852028 NJT852028:NJY852028 NTP852028:NTU852028 ODL852028:ODQ852028 ONH852028:ONM852028 OXD852028:OXI852028 PGZ852028:PHE852028 PQV852028:PRA852028 QAR852028:QAW852028 QKN852028:QKS852028 QUJ852028:QUO852028 REF852028:REK852028 ROB852028:ROG852028 RXX852028:RYC852028 SHT852028:SHY852028 SRP852028:SRU852028 TBL852028:TBQ852028 TLH852028:TLM852028 TVD852028:TVI852028 UEZ852028:UFE852028 UOV852028:UPA852028 UYR852028:UYW852028 VIN852028:VIS852028 VSJ852028:VSO852028 WCF852028:WCK852028 WMB852028:WMG852028 WVX852028:WWC852028 P917564:U917564 JL917564:JQ917564 TH917564:TM917564 ADD917564:ADI917564 AMZ917564:ANE917564 AWV917564:AXA917564 BGR917564:BGW917564 BQN917564:BQS917564 CAJ917564:CAO917564 CKF917564:CKK917564 CUB917564:CUG917564 DDX917564:DEC917564 DNT917564:DNY917564 DXP917564:DXU917564 EHL917564:EHQ917564 ERH917564:ERM917564 FBD917564:FBI917564 FKZ917564:FLE917564 FUV917564:FVA917564 GER917564:GEW917564 GON917564:GOS917564 GYJ917564:GYO917564 HIF917564:HIK917564 HSB917564:HSG917564 IBX917564:ICC917564 ILT917564:ILY917564 IVP917564:IVU917564 JFL917564:JFQ917564 JPH917564:JPM917564 JZD917564:JZI917564 KIZ917564:KJE917564 KSV917564:KTA917564 LCR917564:LCW917564 LMN917564:LMS917564 LWJ917564:LWO917564 MGF917564:MGK917564 MQB917564:MQG917564 MZX917564:NAC917564 NJT917564:NJY917564 NTP917564:NTU917564 ODL917564:ODQ917564 ONH917564:ONM917564 OXD917564:OXI917564 PGZ917564:PHE917564 PQV917564:PRA917564 QAR917564:QAW917564 QKN917564:QKS917564 QUJ917564:QUO917564 REF917564:REK917564 ROB917564:ROG917564 RXX917564:RYC917564 SHT917564:SHY917564 SRP917564:SRU917564 TBL917564:TBQ917564 TLH917564:TLM917564 TVD917564:TVI917564 UEZ917564:UFE917564 UOV917564:UPA917564 UYR917564:UYW917564 VIN917564:VIS917564 VSJ917564:VSO917564 WCF917564:WCK917564 WMB917564:WMG917564 WVX917564:WWC917564 P983100:U983100 JL983100:JQ983100 TH983100:TM983100 ADD983100:ADI983100 AMZ983100:ANE983100 AWV983100:AXA983100 BGR983100:BGW983100 BQN983100:BQS983100 CAJ983100:CAO983100 CKF983100:CKK983100 CUB983100:CUG983100 DDX983100:DEC983100 DNT983100:DNY983100 DXP983100:DXU983100 EHL983100:EHQ983100 ERH983100:ERM983100 FBD983100:FBI983100 FKZ983100:FLE983100 FUV983100:FVA983100 GER983100:GEW983100 GON983100:GOS983100 GYJ983100:GYO983100 HIF983100:HIK983100 HSB983100:HSG983100 IBX983100:ICC983100 ILT983100:ILY983100 IVP983100:IVU983100 JFL983100:JFQ983100 JPH983100:JPM983100 JZD983100:JZI983100 KIZ983100:KJE983100 KSV983100:KTA983100 LCR983100:LCW983100 LMN983100:LMS983100 LWJ983100:LWO983100 MGF983100:MGK983100 MQB983100:MQG983100 MZX983100:NAC983100 NJT983100:NJY983100 NTP983100:NTU983100 ODL983100:ODQ983100 ONH983100:ONM983100 OXD983100:OXI983100 PGZ983100:PHE983100 PQV983100:PRA983100 QAR983100:QAW983100 QKN983100:QKS983100 QUJ983100:QUO983100 REF983100:REK983100 ROB983100:ROG983100 RXX983100:RYC983100 SHT983100:SHY983100 SRP983100:SRU983100 TBL983100:TBQ983100 TLH983100:TLM983100 TVD983100:TVI983100 UEZ983100:UFE983100 UOV983100:UPA983100 UYR983100:UYW983100 VIN983100:VIS983100 VSJ983100:VSO983100 WCF983100:WCK983100 WMB983100:WMG983100 WVX983100:WWC983100 AA59:AA60 JW59:JW60 TS59:TS60 ADO59:ADO60 ANK59:ANK60 AXG59:AXG60 BHC59:BHC60 BQY59:BQY60 CAU59:CAU60 CKQ59:CKQ60 CUM59:CUM60 DEI59:DEI60 DOE59:DOE60 DYA59:DYA60 EHW59:EHW60 ERS59:ERS60 FBO59:FBO60 FLK59:FLK60 FVG59:FVG60 GFC59:GFC60 GOY59:GOY60 GYU59:GYU60 HIQ59:HIQ60 HSM59:HSM60 ICI59:ICI60 IME59:IME60 IWA59:IWA60 JFW59:JFW60 JPS59:JPS60 JZO59:JZO60 KJK59:KJK60 KTG59:KTG60 LDC59:LDC60 LMY59:LMY60 LWU59:LWU60 MGQ59:MGQ60 MQM59:MQM60 NAI59:NAI60 NKE59:NKE60 NUA59:NUA60 ODW59:ODW60 ONS59:ONS60 OXO59:OXO60 PHK59:PHK60 PRG59:PRG60 QBC59:QBC60 QKY59:QKY60 QUU59:QUU60 REQ59:REQ60 ROM59:ROM60 RYI59:RYI60 SIE59:SIE60 SSA59:SSA60 TBW59:TBW60 TLS59:TLS60 TVO59:TVO60 UFK59:UFK60 UPG59:UPG60 UZC59:UZC60 VIY59:VIY60 VSU59:VSU60 WCQ59:WCQ60 WMM59:WMM60 WWI59:WWI60 AA65595:AA65596 JW65595:JW65596 TS65595:TS65596 ADO65595:ADO65596 ANK65595:ANK65596 AXG65595:AXG65596 BHC65595:BHC65596 BQY65595:BQY65596 CAU65595:CAU65596 CKQ65595:CKQ65596 CUM65595:CUM65596 DEI65595:DEI65596 DOE65595:DOE65596 DYA65595:DYA65596 EHW65595:EHW65596 ERS65595:ERS65596 FBO65595:FBO65596 FLK65595:FLK65596 FVG65595:FVG65596 GFC65595:GFC65596 GOY65595:GOY65596 GYU65595:GYU65596 HIQ65595:HIQ65596 HSM65595:HSM65596 ICI65595:ICI65596 IME65595:IME65596 IWA65595:IWA65596 JFW65595:JFW65596 JPS65595:JPS65596 JZO65595:JZO65596 KJK65595:KJK65596 KTG65595:KTG65596 LDC65595:LDC65596 LMY65595:LMY65596 LWU65595:LWU65596 MGQ65595:MGQ65596 MQM65595:MQM65596 NAI65595:NAI65596 NKE65595:NKE65596 NUA65595:NUA65596 ODW65595:ODW65596 ONS65595:ONS65596 OXO65595:OXO65596 PHK65595:PHK65596 PRG65595:PRG65596 QBC65595:QBC65596 QKY65595:QKY65596 QUU65595:QUU65596 REQ65595:REQ65596 ROM65595:ROM65596 RYI65595:RYI65596 SIE65595:SIE65596 SSA65595:SSA65596 TBW65595:TBW65596 TLS65595:TLS65596 TVO65595:TVO65596 UFK65595:UFK65596 UPG65595:UPG65596 UZC65595:UZC65596 VIY65595:VIY65596 VSU65595:VSU65596 WCQ65595:WCQ65596 WMM65595:WMM65596 WWI65595:WWI65596 AA131131:AA131132 JW131131:JW131132 TS131131:TS131132 ADO131131:ADO131132 ANK131131:ANK131132 AXG131131:AXG131132 BHC131131:BHC131132 BQY131131:BQY131132 CAU131131:CAU131132 CKQ131131:CKQ131132 CUM131131:CUM131132 DEI131131:DEI131132 DOE131131:DOE131132 DYA131131:DYA131132 EHW131131:EHW131132 ERS131131:ERS131132 FBO131131:FBO131132 FLK131131:FLK131132 FVG131131:FVG131132 GFC131131:GFC131132 GOY131131:GOY131132 GYU131131:GYU131132 HIQ131131:HIQ131132 HSM131131:HSM131132 ICI131131:ICI131132 IME131131:IME131132 IWA131131:IWA131132 JFW131131:JFW131132 JPS131131:JPS131132 JZO131131:JZO131132 KJK131131:KJK131132 KTG131131:KTG131132 LDC131131:LDC131132 LMY131131:LMY131132 LWU131131:LWU131132 MGQ131131:MGQ131132 MQM131131:MQM131132 NAI131131:NAI131132 NKE131131:NKE131132 NUA131131:NUA131132 ODW131131:ODW131132 ONS131131:ONS131132 OXO131131:OXO131132 PHK131131:PHK131132 PRG131131:PRG131132 QBC131131:QBC131132 QKY131131:QKY131132 QUU131131:QUU131132 REQ131131:REQ131132 ROM131131:ROM131132 RYI131131:RYI131132 SIE131131:SIE131132 SSA131131:SSA131132 TBW131131:TBW131132 TLS131131:TLS131132 TVO131131:TVO131132 UFK131131:UFK131132 UPG131131:UPG131132 UZC131131:UZC131132 VIY131131:VIY131132 VSU131131:VSU131132 WCQ131131:WCQ131132 WMM131131:WMM131132 WWI131131:WWI131132 AA196667:AA196668 JW196667:JW196668 TS196667:TS196668 ADO196667:ADO196668 ANK196667:ANK196668 AXG196667:AXG196668 BHC196667:BHC196668 BQY196667:BQY196668 CAU196667:CAU196668 CKQ196667:CKQ196668 CUM196667:CUM196668 DEI196667:DEI196668 DOE196667:DOE196668 DYA196667:DYA196668 EHW196667:EHW196668 ERS196667:ERS196668 FBO196667:FBO196668 FLK196667:FLK196668 FVG196667:FVG196668 GFC196667:GFC196668 GOY196667:GOY196668 GYU196667:GYU196668 HIQ196667:HIQ196668 HSM196667:HSM196668 ICI196667:ICI196668 IME196667:IME196668 IWA196667:IWA196668 JFW196667:JFW196668 JPS196667:JPS196668 JZO196667:JZO196668 KJK196667:KJK196668 KTG196667:KTG196668 LDC196667:LDC196668 LMY196667:LMY196668 LWU196667:LWU196668 MGQ196667:MGQ196668 MQM196667:MQM196668 NAI196667:NAI196668 NKE196667:NKE196668 NUA196667:NUA196668 ODW196667:ODW196668 ONS196667:ONS196668 OXO196667:OXO196668 PHK196667:PHK196668 PRG196667:PRG196668 QBC196667:QBC196668 QKY196667:QKY196668 QUU196667:QUU196668 REQ196667:REQ196668 ROM196667:ROM196668 RYI196667:RYI196668 SIE196667:SIE196668 SSA196667:SSA196668 TBW196667:TBW196668 TLS196667:TLS196668 TVO196667:TVO196668 UFK196667:UFK196668 UPG196667:UPG196668 UZC196667:UZC196668 VIY196667:VIY196668 VSU196667:VSU196668 WCQ196667:WCQ196668 WMM196667:WMM196668 WWI196667:WWI196668 AA262203:AA262204 JW262203:JW262204 TS262203:TS262204 ADO262203:ADO262204 ANK262203:ANK262204 AXG262203:AXG262204 BHC262203:BHC262204 BQY262203:BQY262204 CAU262203:CAU262204 CKQ262203:CKQ262204 CUM262203:CUM262204 DEI262203:DEI262204 DOE262203:DOE262204 DYA262203:DYA262204 EHW262203:EHW262204 ERS262203:ERS262204 FBO262203:FBO262204 FLK262203:FLK262204 FVG262203:FVG262204 GFC262203:GFC262204 GOY262203:GOY262204 GYU262203:GYU262204 HIQ262203:HIQ262204 HSM262203:HSM262204 ICI262203:ICI262204 IME262203:IME262204 IWA262203:IWA262204 JFW262203:JFW262204 JPS262203:JPS262204 JZO262203:JZO262204 KJK262203:KJK262204 KTG262203:KTG262204 LDC262203:LDC262204 LMY262203:LMY262204 LWU262203:LWU262204 MGQ262203:MGQ262204 MQM262203:MQM262204 NAI262203:NAI262204 NKE262203:NKE262204 NUA262203:NUA262204 ODW262203:ODW262204 ONS262203:ONS262204 OXO262203:OXO262204 PHK262203:PHK262204 PRG262203:PRG262204 QBC262203:QBC262204 QKY262203:QKY262204 QUU262203:QUU262204 REQ262203:REQ262204 ROM262203:ROM262204 RYI262203:RYI262204 SIE262203:SIE262204 SSA262203:SSA262204 TBW262203:TBW262204 TLS262203:TLS262204 TVO262203:TVO262204 UFK262203:UFK262204 UPG262203:UPG262204 UZC262203:UZC262204 VIY262203:VIY262204 VSU262203:VSU262204 WCQ262203:WCQ262204 WMM262203:WMM262204 WWI262203:WWI262204 AA327739:AA327740 JW327739:JW327740 TS327739:TS327740 ADO327739:ADO327740 ANK327739:ANK327740 AXG327739:AXG327740 BHC327739:BHC327740 BQY327739:BQY327740 CAU327739:CAU327740 CKQ327739:CKQ327740 CUM327739:CUM327740 DEI327739:DEI327740 DOE327739:DOE327740 DYA327739:DYA327740 EHW327739:EHW327740 ERS327739:ERS327740 FBO327739:FBO327740 FLK327739:FLK327740 FVG327739:FVG327740 GFC327739:GFC327740 GOY327739:GOY327740 GYU327739:GYU327740 HIQ327739:HIQ327740 HSM327739:HSM327740 ICI327739:ICI327740 IME327739:IME327740 IWA327739:IWA327740 JFW327739:JFW327740 JPS327739:JPS327740 JZO327739:JZO327740 KJK327739:KJK327740 KTG327739:KTG327740 LDC327739:LDC327740 LMY327739:LMY327740 LWU327739:LWU327740 MGQ327739:MGQ327740 MQM327739:MQM327740 NAI327739:NAI327740 NKE327739:NKE327740 NUA327739:NUA327740 ODW327739:ODW327740 ONS327739:ONS327740 OXO327739:OXO327740 PHK327739:PHK327740 PRG327739:PRG327740 QBC327739:QBC327740 QKY327739:QKY327740 QUU327739:QUU327740 REQ327739:REQ327740 ROM327739:ROM327740 RYI327739:RYI327740 SIE327739:SIE327740 SSA327739:SSA327740 TBW327739:TBW327740 TLS327739:TLS327740 TVO327739:TVO327740 UFK327739:UFK327740 UPG327739:UPG327740 UZC327739:UZC327740 VIY327739:VIY327740 VSU327739:VSU327740 WCQ327739:WCQ327740 WMM327739:WMM327740 WWI327739:WWI327740 AA393275:AA393276 JW393275:JW393276 TS393275:TS393276 ADO393275:ADO393276 ANK393275:ANK393276 AXG393275:AXG393276 BHC393275:BHC393276 BQY393275:BQY393276 CAU393275:CAU393276 CKQ393275:CKQ393276 CUM393275:CUM393276 DEI393275:DEI393276 DOE393275:DOE393276 DYA393275:DYA393276 EHW393275:EHW393276 ERS393275:ERS393276 FBO393275:FBO393276 FLK393275:FLK393276 FVG393275:FVG393276 GFC393275:GFC393276 GOY393275:GOY393276 GYU393275:GYU393276 HIQ393275:HIQ393276 HSM393275:HSM393276 ICI393275:ICI393276 IME393275:IME393276 IWA393275:IWA393276 JFW393275:JFW393276 JPS393275:JPS393276 JZO393275:JZO393276 KJK393275:KJK393276 KTG393275:KTG393276 LDC393275:LDC393276 LMY393275:LMY393276 LWU393275:LWU393276 MGQ393275:MGQ393276 MQM393275:MQM393276 NAI393275:NAI393276 NKE393275:NKE393276 NUA393275:NUA393276 ODW393275:ODW393276 ONS393275:ONS393276 OXO393275:OXO393276 PHK393275:PHK393276 PRG393275:PRG393276 QBC393275:QBC393276 QKY393275:QKY393276 QUU393275:QUU393276 REQ393275:REQ393276 ROM393275:ROM393276 RYI393275:RYI393276 SIE393275:SIE393276 SSA393275:SSA393276 TBW393275:TBW393276 TLS393275:TLS393276 TVO393275:TVO393276 UFK393275:UFK393276 UPG393275:UPG393276 UZC393275:UZC393276 VIY393275:VIY393276 VSU393275:VSU393276 WCQ393275:WCQ393276 WMM393275:WMM393276 WWI393275:WWI393276 AA458811:AA458812 JW458811:JW458812 TS458811:TS458812 ADO458811:ADO458812 ANK458811:ANK458812 AXG458811:AXG458812 BHC458811:BHC458812 BQY458811:BQY458812 CAU458811:CAU458812 CKQ458811:CKQ458812 CUM458811:CUM458812 DEI458811:DEI458812 DOE458811:DOE458812 DYA458811:DYA458812 EHW458811:EHW458812 ERS458811:ERS458812 FBO458811:FBO458812 FLK458811:FLK458812 FVG458811:FVG458812 GFC458811:GFC458812 GOY458811:GOY458812 GYU458811:GYU458812 HIQ458811:HIQ458812 HSM458811:HSM458812 ICI458811:ICI458812 IME458811:IME458812 IWA458811:IWA458812 JFW458811:JFW458812 JPS458811:JPS458812 JZO458811:JZO458812 KJK458811:KJK458812 KTG458811:KTG458812 LDC458811:LDC458812 LMY458811:LMY458812 LWU458811:LWU458812 MGQ458811:MGQ458812 MQM458811:MQM458812 NAI458811:NAI458812 NKE458811:NKE458812 NUA458811:NUA458812 ODW458811:ODW458812 ONS458811:ONS458812 OXO458811:OXO458812 PHK458811:PHK458812 PRG458811:PRG458812 QBC458811:QBC458812 QKY458811:QKY458812 QUU458811:QUU458812 REQ458811:REQ458812 ROM458811:ROM458812 RYI458811:RYI458812 SIE458811:SIE458812 SSA458811:SSA458812 TBW458811:TBW458812 TLS458811:TLS458812 TVO458811:TVO458812 UFK458811:UFK458812 UPG458811:UPG458812 UZC458811:UZC458812 VIY458811:VIY458812 VSU458811:VSU458812 WCQ458811:WCQ458812 WMM458811:WMM458812 WWI458811:WWI458812 AA524347:AA524348 JW524347:JW524348 TS524347:TS524348 ADO524347:ADO524348 ANK524347:ANK524348 AXG524347:AXG524348 BHC524347:BHC524348 BQY524347:BQY524348 CAU524347:CAU524348 CKQ524347:CKQ524348 CUM524347:CUM524348 DEI524347:DEI524348 DOE524347:DOE524348 DYA524347:DYA524348 EHW524347:EHW524348 ERS524347:ERS524348 FBO524347:FBO524348 FLK524347:FLK524348 FVG524347:FVG524348 GFC524347:GFC524348 GOY524347:GOY524348 GYU524347:GYU524348 HIQ524347:HIQ524348 HSM524347:HSM524348 ICI524347:ICI524348 IME524347:IME524348 IWA524347:IWA524348 JFW524347:JFW524348 JPS524347:JPS524348 JZO524347:JZO524348 KJK524347:KJK524348 KTG524347:KTG524348 LDC524347:LDC524348 LMY524347:LMY524348 LWU524347:LWU524348 MGQ524347:MGQ524348 MQM524347:MQM524348 NAI524347:NAI524348 NKE524347:NKE524348 NUA524347:NUA524348 ODW524347:ODW524348 ONS524347:ONS524348 OXO524347:OXO524348 PHK524347:PHK524348 PRG524347:PRG524348 QBC524347:QBC524348 QKY524347:QKY524348 QUU524347:QUU524348 REQ524347:REQ524348 ROM524347:ROM524348 RYI524347:RYI524348 SIE524347:SIE524348 SSA524347:SSA524348 TBW524347:TBW524348 TLS524347:TLS524348 TVO524347:TVO524348 UFK524347:UFK524348 UPG524347:UPG524348 UZC524347:UZC524348 VIY524347:VIY524348 VSU524347:VSU524348 WCQ524347:WCQ524348 WMM524347:WMM524348 WWI524347:WWI524348 AA589883:AA589884 JW589883:JW589884 TS589883:TS589884 ADO589883:ADO589884 ANK589883:ANK589884 AXG589883:AXG589884 BHC589883:BHC589884 BQY589883:BQY589884 CAU589883:CAU589884 CKQ589883:CKQ589884 CUM589883:CUM589884 DEI589883:DEI589884 DOE589883:DOE589884 DYA589883:DYA589884 EHW589883:EHW589884 ERS589883:ERS589884 FBO589883:FBO589884 FLK589883:FLK589884 FVG589883:FVG589884 GFC589883:GFC589884 GOY589883:GOY589884 GYU589883:GYU589884 HIQ589883:HIQ589884 HSM589883:HSM589884 ICI589883:ICI589884 IME589883:IME589884 IWA589883:IWA589884 JFW589883:JFW589884 JPS589883:JPS589884 JZO589883:JZO589884 KJK589883:KJK589884 KTG589883:KTG589884 LDC589883:LDC589884 LMY589883:LMY589884 LWU589883:LWU589884 MGQ589883:MGQ589884 MQM589883:MQM589884 NAI589883:NAI589884 NKE589883:NKE589884 NUA589883:NUA589884 ODW589883:ODW589884 ONS589883:ONS589884 OXO589883:OXO589884 PHK589883:PHK589884 PRG589883:PRG589884 QBC589883:QBC589884 QKY589883:QKY589884 QUU589883:QUU589884 REQ589883:REQ589884 ROM589883:ROM589884 RYI589883:RYI589884 SIE589883:SIE589884 SSA589883:SSA589884 TBW589883:TBW589884 TLS589883:TLS589884 TVO589883:TVO589884 UFK589883:UFK589884 UPG589883:UPG589884 UZC589883:UZC589884 VIY589883:VIY589884 VSU589883:VSU589884 WCQ589883:WCQ589884 WMM589883:WMM589884 WWI589883:WWI589884 AA655419:AA655420 JW655419:JW655420 TS655419:TS655420 ADO655419:ADO655420 ANK655419:ANK655420 AXG655419:AXG655420 BHC655419:BHC655420 BQY655419:BQY655420 CAU655419:CAU655420 CKQ655419:CKQ655420 CUM655419:CUM655420 DEI655419:DEI655420 DOE655419:DOE655420 DYA655419:DYA655420 EHW655419:EHW655420 ERS655419:ERS655420 FBO655419:FBO655420 FLK655419:FLK655420 FVG655419:FVG655420 GFC655419:GFC655420 GOY655419:GOY655420 GYU655419:GYU655420 HIQ655419:HIQ655420 HSM655419:HSM655420 ICI655419:ICI655420 IME655419:IME655420 IWA655419:IWA655420 JFW655419:JFW655420 JPS655419:JPS655420 JZO655419:JZO655420 KJK655419:KJK655420 KTG655419:KTG655420 LDC655419:LDC655420 LMY655419:LMY655420 LWU655419:LWU655420 MGQ655419:MGQ655420 MQM655419:MQM655420 NAI655419:NAI655420 NKE655419:NKE655420 NUA655419:NUA655420 ODW655419:ODW655420 ONS655419:ONS655420 OXO655419:OXO655420 PHK655419:PHK655420 PRG655419:PRG655420 QBC655419:QBC655420 QKY655419:QKY655420 QUU655419:QUU655420 REQ655419:REQ655420 ROM655419:ROM655420 RYI655419:RYI655420 SIE655419:SIE655420 SSA655419:SSA655420 TBW655419:TBW655420 TLS655419:TLS655420 TVO655419:TVO655420 UFK655419:UFK655420 UPG655419:UPG655420 UZC655419:UZC655420 VIY655419:VIY655420 VSU655419:VSU655420 WCQ655419:WCQ655420 WMM655419:WMM655420 WWI655419:WWI655420 AA720955:AA720956 JW720955:JW720956 TS720955:TS720956 ADO720955:ADO720956 ANK720955:ANK720956 AXG720955:AXG720956 BHC720955:BHC720956 BQY720955:BQY720956 CAU720955:CAU720956 CKQ720955:CKQ720956 CUM720955:CUM720956 DEI720955:DEI720956 DOE720955:DOE720956 DYA720955:DYA720956 EHW720955:EHW720956 ERS720955:ERS720956 FBO720955:FBO720956 FLK720955:FLK720956 FVG720955:FVG720956 GFC720955:GFC720956 GOY720955:GOY720956 GYU720955:GYU720956 HIQ720955:HIQ720956 HSM720955:HSM720956 ICI720955:ICI720956 IME720955:IME720956 IWA720955:IWA720956 JFW720955:JFW720956 JPS720955:JPS720956 JZO720955:JZO720956 KJK720955:KJK720956 KTG720955:KTG720956 LDC720955:LDC720956 LMY720955:LMY720956 LWU720955:LWU720956 MGQ720955:MGQ720956 MQM720955:MQM720956 NAI720955:NAI720956 NKE720955:NKE720956 NUA720955:NUA720956 ODW720955:ODW720956 ONS720955:ONS720956 OXO720955:OXO720956 PHK720955:PHK720956 PRG720955:PRG720956 QBC720955:QBC720956 QKY720955:QKY720956 QUU720955:QUU720956 REQ720955:REQ720956 ROM720955:ROM720956 RYI720955:RYI720956 SIE720955:SIE720956 SSA720955:SSA720956 TBW720955:TBW720956 TLS720955:TLS720956 TVO720955:TVO720956 UFK720955:UFK720956 UPG720955:UPG720956 UZC720955:UZC720956 VIY720955:VIY720956 VSU720955:VSU720956 WCQ720955:WCQ720956 WMM720955:WMM720956 WWI720955:WWI720956 AA786491:AA786492 JW786491:JW786492 TS786491:TS786492 ADO786491:ADO786492 ANK786491:ANK786492 AXG786491:AXG786492 BHC786491:BHC786492 BQY786491:BQY786492 CAU786491:CAU786492 CKQ786491:CKQ786492 CUM786491:CUM786492 DEI786491:DEI786492 DOE786491:DOE786492 DYA786491:DYA786492 EHW786491:EHW786492 ERS786491:ERS786492 FBO786491:FBO786492 FLK786491:FLK786492 FVG786491:FVG786492 GFC786491:GFC786492 GOY786491:GOY786492 GYU786491:GYU786492 HIQ786491:HIQ786492 HSM786491:HSM786492 ICI786491:ICI786492 IME786491:IME786492 IWA786491:IWA786492 JFW786491:JFW786492 JPS786491:JPS786492 JZO786491:JZO786492 KJK786491:KJK786492 KTG786491:KTG786492 LDC786491:LDC786492 LMY786491:LMY786492 LWU786491:LWU786492 MGQ786491:MGQ786492 MQM786491:MQM786492 NAI786491:NAI786492 NKE786491:NKE786492 NUA786491:NUA786492 ODW786491:ODW786492 ONS786491:ONS786492 OXO786491:OXO786492 PHK786491:PHK786492 PRG786491:PRG786492 QBC786491:QBC786492 QKY786491:QKY786492 QUU786491:QUU786492 REQ786491:REQ786492 ROM786491:ROM786492 RYI786491:RYI786492 SIE786491:SIE786492 SSA786491:SSA786492 TBW786491:TBW786492 TLS786491:TLS786492 TVO786491:TVO786492 UFK786491:UFK786492 UPG786491:UPG786492 UZC786491:UZC786492 VIY786491:VIY786492 VSU786491:VSU786492 WCQ786491:WCQ786492 WMM786491:WMM786492 WWI786491:WWI786492 AA852027:AA852028 JW852027:JW852028 TS852027:TS852028 ADO852027:ADO852028 ANK852027:ANK852028 AXG852027:AXG852028 BHC852027:BHC852028 BQY852027:BQY852028 CAU852027:CAU852028 CKQ852027:CKQ852028 CUM852027:CUM852028 DEI852027:DEI852028 DOE852027:DOE852028 DYA852027:DYA852028 EHW852027:EHW852028 ERS852027:ERS852028 FBO852027:FBO852028 FLK852027:FLK852028 FVG852027:FVG852028 GFC852027:GFC852028 GOY852027:GOY852028 GYU852027:GYU852028 HIQ852027:HIQ852028 HSM852027:HSM852028 ICI852027:ICI852028 IME852027:IME852028 IWA852027:IWA852028 JFW852027:JFW852028 JPS852027:JPS852028 JZO852027:JZO852028 KJK852027:KJK852028 KTG852027:KTG852028 LDC852027:LDC852028 LMY852027:LMY852028 LWU852027:LWU852028 MGQ852027:MGQ852028 MQM852027:MQM852028 NAI852027:NAI852028 NKE852027:NKE852028 NUA852027:NUA852028 ODW852027:ODW852028 ONS852027:ONS852028 OXO852027:OXO852028 PHK852027:PHK852028 PRG852027:PRG852028 QBC852027:QBC852028 QKY852027:QKY852028 QUU852027:QUU852028 REQ852027:REQ852028 ROM852027:ROM852028 RYI852027:RYI852028 SIE852027:SIE852028 SSA852027:SSA852028 TBW852027:TBW852028 TLS852027:TLS852028 TVO852027:TVO852028 UFK852027:UFK852028 UPG852027:UPG852028 UZC852027:UZC852028 VIY852027:VIY852028 VSU852027:VSU852028 WCQ852027:WCQ852028 WMM852027:WMM852028 WWI852027:WWI852028 AA917563:AA917564 JW917563:JW917564 TS917563:TS917564 ADO917563:ADO917564 ANK917563:ANK917564 AXG917563:AXG917564 BHC917563:BHC917564 BQY917563:BQY917564 CAU917563:CAU917564 CKQ917563:CKQ917564 CUM917563:CUM917564 DEI917563:DEI917564 DOE917563:DOE917564 DYA917563:DYA917564 EHW917563:EHW917564 ERS917563:ERS917564 FBO917563:FBO917564 FLK917563:FLK917564 FVG917563:FVG917564 GFC917563:GFC917564 GOY917563:GOY917564 GYU917563:GYU917564 HIQ917563:HIQ917564 HSM917563:HSM917564 ICI917563:ICI917564 IME917563:IME917564 IWA917563:IWA917564 JFW917563:JFW917564 JPS917563:JPS917564 JZO917563:JZO917564 KJK917563:KJK917564 KTG917563:KTG917564 LDC917563:LDC917564 LMY917563:LMY917564 LWU917563:LWU917564 MGQ917563:MGQ917564 MQM917563:MQM917564 NAI917563:NAI917564 NKE917563:NKE917564 NUA917563:NUA917564 ODW917563:ODW917564 ONS917563:ONS917564 OXO917563:OXO917564 PHK917563:PHK917564 PRG917563:PRG917564 QBC917563:QBC917564 QKY917563:QKY917564 QUU917563:QUU917564 REQ917563:REQ917564 ROM917563:ROM917564 RYI917563:RYI917564 SIE917563:SIE917564 SSA917563:SSA917564 TBW917563:TBW917564 TLS917563:TLS917564 TVO917563:TVO917564 UFK917563:UFK917564 UPG917563:UPG917564 UZC917563:UZC917564 VIY917563:VIY917564 VSU917563:VSU917564 WCQ917563:WCQ917564 WMM917563:WMM917564 WWI917563:WWI917564 AA983099:AA983100 JW983099:JW983100 TS983099:TS983100 ADO983099:ADO983100 ANK983099:ANK983100 AXG983099:AXG983100 BHC983099:BHC983100 BQY983099:BQY983100 CAU983099:CAU983100 CKQ983099:CKQ983100 CUM983099:CUM983100 DEI983099:DEI983100 DOE983099:DOE983100 DYA983099:DYA983100 EHW983099:EHW983100 ERS983099:ERS983100 FBO983099:FBO983100 FLK983099:FLK983100 FVG983099:FVG983100 GFC983099:GFC983100 GOY983099:GOY983100 GYU983099:GYU983100 HIQ983099:HIQ983100 HSM983099:HSM983100 ICI983099:ICI983100 IME983099:IME983100 IWA983099:IWA983100 JFW983099:JFW983100 JPS983099:JPS983100 JZO983099:JZO983100 KJK983099:KJK983100 KTG983099:KTG983100 LDC983099:LDC983100 LMY983099:LMY983100 LWU983099:LWU983100 MGQ983099:MGQ983100 MQM983099:MQM983100 NAI983099:NAI983100 NKE983099:NKE983100 NUA983099:NUA983100 ODW983099:ODW983100 ONS983099:ONS983100 OXO983099:OXO983100 PHK983099:PHK983100 PRG983099:PRG983100 QBC983099:QBC983100 QKY983099:QKY983100 QUU983099:QUU983100 REQ983099:REQ983100 ROM983099:ROM983100 RYI983099:RYI983100 SIE983099:SIE983100 SSA983099:SSA983100 TBW983099:TBW983100 TLS983099:TLS983100 TVO983099:TVO983100 UFK983099:UFK983100 UPG983099:UPG983100 UZC983099:UZC983100 VIY983099:VIY983100 VSU983099:VSU983100 WCQ983099:WCQ983100 WMM983099:WMM983100 WWI983099:WWI983100 AC59:AC60 JY59:JY60 TU59:TU60 ADQ59:ADQ60 ANM59:ANM60 AXI59:AXI60 BHE59:BHE60 BRA59:BRA60 CAW59:CAW60 CKS59:CKS60 CUO59:CUO60 DEK59:DEK60 DOG59:DOG60 DYC59:DYC60 EHY59:EHY60 ERU59:ERU60 FBQ59:FBQ60 FLM59:FLM60 FVI59:FVI60 GFE59:GFE60 GPA59:GPA60 GYW59:GYW60 HIS59:HIS60 HSO59:HSO60 ICK59:ICK60 IMG59:IMG60 IWC59:IWC60 JFY59:JFY60 JPU59:JPU60 JZQ59:JZQ60 KJM59:KJM60 KTI59:KTI60 LDE59:LDE60 LNA59:LNA60 LWW59:LWW60 MGS59:MGS60 MQO59:MQO60 NAK59:NAK60 NKG59:NKG60 NUC59:NUC60 ODY59:ODY60 ONU59:ONU60 OXQ59:OXQ60 PHM59:PHM60 PRI59:PRI60 QBE59:QBE60 QLA59:QLA60 QUW59:QUW60 RES59:RES60 ROO59:ROO60 RYK59:RYK60 SIG59:SIG60 SSC59:SSC60 TBY59:TBY60 TLU59:TLU60 TVQ59:TVQ60 UFM59:UFM60 UPI59:UPI60 UZE59:UZE60 VJA59:VJA60 VSW59:VSW60 WCS59:WCS60 WMO59:WMO60 WWK59:WWK60 AC65595:AC65596 JY65595:JY65596 TU65595:TU65596 ADQ65595:ADQ65596 ANM65595:ANM65596 AXI65595:AXI65596 BHE65595:BHE65596 BRA65595:BRA65596 CAW65595:CAW65596 CKS65595:CKS65596 CUO65595:CUO65596 DEK65595:DEK65596 DOG65595:DOG65596 DYC65595:DYC65596 EHY65595:EHY65596 ERU65595:ERU65596 FBQ65595:FBQ65596 FLM65595:FLM65596 FVI65595:FVI65596 GFE65595:GFE65596 GPA65595:GPA65596 GYW65595:GYW65596 HIS65595:HIS65596 HSO65595:HSO65596 ICK65595:ICK65596 IMG65595:IMG65596 IWC65595:IWC65596 JFY65595:JFY65596 JPU65595:JPU65596 JZQ65595:JZQ65596 KJM65595:KJM65596 KTI65595:KTI65596 LDE65595:LDE65596 LNA65595:LNA65596 LWW65595:LWW65596 MGS65595:MGS65596 MQO65595:MQO65596 NAK65595:NAK65596 NKG65595:NKG65596 NUC65595:NUC65596 ODY65595:ODY65596 ONU65595:ONU65596 OXQ65595:OXQ65596 PHM65595:PHM65596 PRI65595:PRI65596 QBE65595:QBE65596 QLA65595:QLA65596 QUW65595:QUW65596 RES65595:RES65596 ROO65595:ROO65596 RYK65595:RYK65596 SIG65595:SIG65596 SSC65595:SSC65596 TBY65595:TBY65596 TLU65595:TLU65596 TVQ65595:TVQ65596 UFM65595:UFM65596 UPI65595:UPI65596 UZE65595:UZE65596 VJA65595:VJA65596 VSW65595:VSW65596 WCS65595:WCS65596 WMO65595:WMO65596 WWK65595:WWK65596 AC131131:AC131132 JY131131:JY131132 TU131131:TU131132 ADQ131131:ADQ131132 ANM131131:ANM131132 AXI131131:AXI131132 BHE131131:BHE131132 BRA131131:BRA131132 CAW131131:CAW131132 CKS131131:CKS131132 CUO131131:CUO131132 DEK131131:DEK131132 DOG131131:DOG131132 DYC131131:DYC131132 EHY131131:EHY131132 ERU131131:ERU131132 FBQ131131:FBQ131132 FLM131131:FLM131132 FVI131131:FVI131132 GFE131131:GFE131132 GPA131131:GPA131132 GYW131131:GYW131132 HIS131131:HIS131132 HSO131131:HSO131132 ICK131131:ICK131132 IMG131131:IMG131132 IWC131131:IWC131132 JFY131131:JFY131132 JPU131131:JPU131132 JZQ131131:JZQ131132 KJM131131:KJM131132 KTI131131:KTI131132 LDE131131:LDE131132 LNA131131:LNA131132 LWW131131:LWW131132 MGS131131:MGS131132 MQO131131:MQO131132 NAK131131:NAK131132 NKG131131:NKG131132 NUC131131:NUC131132 ODY131131:ODY131132 ONU131131:ONU131132 OXQ131131:OXQ131132 PHM131131:PHM131132 PRI131131:PRI131132 QBE131131:QBE131132 QLA131131:QLA131132 QUW131131:QUW131132 RES131131:RES131132 ROO131131:ROO131132 RYK131131:RYK131132 SIG131131:SIG131132 SSC131131:SSC131132 TBY131131:TBY131132 TLU131131:TLU131132 TVQ131131:TVQ131132 UFM131131:UFM131132 UPI131131:UPI131132 UZE131131:UZE131132 VJA131131:VJA131132 VSW131131:VSW131132 WCS131131:WCS131132 WMO131131:WMO131132 WWK131131:WWK131132 AC196667:AC196668 JY196667:JY196668 TU196667:TU196668 ADQ196667:ADQ196668 ANM196667:ANM196668 AXI196667:AXI196668 BHE196667:BHE196668 BRA196667:BRA196668 CAW196667:CAW196668 CKS196667:CKS196668 CUO196667:CUO196668 DEK196667:DEK196668 DOG196667:DOG196668 DYC196667:DYC196668 EHY196667:EHY196668 ERU196667:ERU196668 FBQ196667:FBQ196668 FLM196667:FLM196668 FVI196667:FVI196668 GFE196667:GFE196668 GPA196667:GPA196668 GYW196667:GYW196668 HIS196667:HIS196668 HSO196667:HSO196668 ICK196667:ICK196668 IMG196667:IMG196668 IWC196667:IWC196668 JFY196667:JFY196668 JPU196667:JPU196668 JZQ196667:JZQ196668 KJM196667:KJM196668 KTI196667:KTI196668 LDE196667:LDE196668 LNA196667:LNA196668 LWW196667:LWW196668 MGS196667:MGS196668 MQO196667:MQO196668 NAK196667:NAK196668 NKG196667:NKG196668 NUC196667:NUC196668 ODY196667:ODY196668 ONU196667:ONU196668 OXQ196667:OXQ196668 PHM196667:PHM196668 PRI196667:PRI196668 QBE196667:QBE196668 QLA196667:QLA196668 QUW196667:QUW196668 RES196667:RES196668 ROO196667:ROO196668 RYK196667:RYK196668 SIG196667:SIG196668 SSC196667:SSC196668 TBY196667:TBY196668 TLU196667:TLU196668 TVQ196667:TVQ196668 UFM196667:UFM196668 UPI196667:UPI196668 UZE196667:UZE196668 VJA196667:VJA196668 VSW196667:VSW196668 WCS196667:WCS196668 WMO196667:WMO196668 WWK196667:WWK196668 AC262203:AC262204 JY262203:JY262204 TU262203:TU262204 ADQ262203:ADQ262204 ANM262203:ANM262204 AXI262203:AXI262204 BHE262203:BHE262204 BRA262203:BRA262204 CAW262203:CAW262204 CKS262203:CKS262204 CUO262203:CUO262204 DEK262203:DEK262204 DOG262203:DOG262204 DYC262203:DYC262204 EHY262203:EHY262204 ERU262203:ERU262204 FBQ262203:FBQ262204 FLM262203:FLM262204 FVI262203:FVI262204 GFE262203:GFE262204 GPA262203:GPA262204 GYW262203:GYW262204 HIS262203:HIS262204 HSO262203:HSO262204 ICK262203:ICK262204 IMG262203:IMG262204 IWC262203:IWC262204 JFY262203:JFY262204 JPU262203:JPU262204 JZQ262203:JZQ262204 KJM262203:KJM262204 KTI262203:KTI262204 LDE262203:LDE262204 LNA262203:LNA262204 LWW262203:LWW262204 MGS262203:MGS262204 MQO262203:MQO262204 NAK262203:NAK262204 NKG262203:NKG262204 NUC262203:NUC262204 ODY262203:ODY262204 ONU262203:ONU262204 OXQ262203:OXQ262204 PHM262203:PHM262204 PRI262203:PRI262204 QBE262203:QBE262204 QLA262203:QLA262204 QUW262203:QUW262204 RES262203:RES262204 ROO262203:ROO262204 RYK262203:RYK262204 SIG262203:SIG262204 SSC262203:SSC262204 TBY262203:TBY262204 TLU262203:TLU262204 TVQ262203:TVQ262204 UFM262203:UFM262204 UPI262203:UPI262204 UZE262203:UZE262204 VJA262203:VJA262204 VSW262203:VSW262204 WCS262203:WCS262204 WMO262203:WMO262204 WWK262203:WWK262204 AC327739:AC327740 JY327739:JY327740 TU327739:TU327740 ADQ327739:ADQ327740 ANM327739:ANM327740 AXI327739:AXI327740 BHE327739:BHE327740 BRA327739:BRA327740 CAW327739:CAW327740 CKS327739:CKS327740 CUO327739:CUO327740 DEK327739:DEK327740 DOG327739:DOG327740 DYC327739:DYC327740 EHY327739:EHY327740 ERU327739:ERU327740 FBQ327739:FBQ327740 FLM327739:FLM327740 FVI327739:FVI327740 GFE327739:GFE327740 GPA327739:GPA327740 GYW327739:GYW327740 HIS327739:HIS327740 HSO327739:HSO327740 ICK327739:ICK327740 IMG327739:IMG327740 IWC327739:IWC327740 JFY327739:JFY327740 JPU327739:JPU327740 JZQ327739:JZQ327740 KJM327739:KJM327740 KTI327739:KTI327740 LDE327739:LDE327740 LNA327739:LNA327740 LWW327739:LWW327740 MGS327739:MGS327740 MQO327739:MQO327740 NAK327739:NAK327740 NKG327739:NKG327740 NUC327739:NUC327740 ODY327739:ODY327740 ONU327739:ONU327740 OXQ327739:OXQ327740 PHM327739:PHM327740 PRI327739:PRI327740 QBE327739:QBE327740 QLA327739:QLA327740 QUW327739:QUW327740 RES327739:RES327740 ROO327739:ROO327740 RYK327739:RYK327740 SIG327739:SIG327740 SSC327739:SSC327740 TBY327739:TBY327740 TLU327739:TLU327740 TVQ327739:TVQ327740 UFM327739:UFM327740 UPI327739:UPI327740 UZE327739:UZE327740 VJA327739:VJA327740 VSW327739:VSW327740 WCS327739:WCS327740 WMO327739:WMO327740 WWK327739:WWK327740 AC393275:AC393276 JY393275:JY393276 TU393275:TU393276 ADQ393275:ADQ393276 ANM393275:ANM393276 AXI393275:AXI393276 BHE393275:BHE393276 BRA393275:BRA393276 CAW393275:CAW393276 CKS393275:CKS393276 CUO393275:CUO393276 DEK393275:DEK393276 DOG393275:DOG393276 DYC393275:DYC393276 EHY393275:EHY393276 ERU393275:ERU393276 FBQ393275:FBQ393276 FLM393275:FLM393276 FVI393275:FVI393276 GFE393275:GFE393276 GPA393275:GPA393276 GYW393275:GYW393276 HIS393275:HIS393276 HSO393275:HSO393276 ICK393275:ICK393276 IMG393275:IMG393276 IWC393275:IWC393276 JFY393275:JFY393276 JPU393275:JPU393276 JZQ393275:JZQ393276 KJM393275:KJM393276 KTI393275:KTI393276 LDE393275:LDE393276 LNA393275:LNA393276 LWW393275:LWW393276 MGS393275:MGS393276 MQO393275:MQO393276 NAK393275:NAK393276 NKG393275:NKG393276 NUC393275:NUC393276 ODY393275:ODY393276 ONU393275:ONU393276 OXQ393275:OXQ393276 PHM393275:PHM393276 PRI393275:PRI393276 QBE393275:QBE393276 QLA393275:QLA393276 QUW393275:QUW393276 RES393275:RES393276 ROO393275:ROO393276 RYK393275:RYK393276 SIG393275:SIG393276 SSC393275:SSC393276 TBY393275:TBY393276 TLU393275:TLU393276 TVQ393275:TVQ393276 UFM393275:UFM393276 UPI393275:UPI393276 UZE393275:UZE393276 VJA393275:VJA393276 VSW393275:VSW393276 WCS393275:WCS393276 WMO393275:WMO393276 WWK393275:WWK393276 AC458811:AC458812 JY458811:JY458812 TU458811:TU458812 ADQ458811:ADQ458812 ANM458811:ANM458812 AXI458811:AXI458812 BHE458811:BHE458812 BRA458811:BRA458812 CAW458811:CAW458812 CKS458811:CKS458812 CUO458811:CUO458812 DEK458811:DEK458812 DOG458811:DOG458812 DYC458811:DYC458812 EHY458811:EHY458812 ERU458811:ERU458812 FBQ458811:FBQ458812 FLM458811:FLM458812 FVI458811:FVI458812 GFE458811:GFE458812 GPA458811:GPA458812 GYW458811:GYW458812 HIS458811:HIS458812 HSO458811:HSO458812 ICK458811:ICK458812 IMG458811:IMG458812 IWC458811:IWC458812 JFY458811:JFY458812 JPU458811:JPU458812 JZQ458811:JZQ458812 KJM458811:KJM458812 KTI458811:KTI458812 LDE458811:LDE458812 LNA458811:LNA458812 LWW458811:LWW458812 MGS458811:MGS458812 MQO458811:MQO458812 NAK458811:NAK458812 NKG458811:NKG458812 NUC458811:NUC458812 ODY458811:ODY458812 ONU458811:ONU458812 OXQ458811:OXQ458812 PHM458811:PHM458812 PRI458811:PRI458812 QBE458811:QBE458812 QLA458811:QLA458812 QUW458811:QUW458812 RES458811:RES458812 ROO458811:ROO458812 RYK458811:RYK458812 SIG458811:SIG458812 SSC458811:SSC458812 TBY458811:TBY458812 TLU458811:TLU458812 TVQ458811:TVQ458812 UFM458811:UFM458812 UPI458811:UPI458812 UZE458811:UZE458812 VJA458811:VJA458812 VSW458811:VSW458812 WCS458811:WCS458812 WMO458811:WMO458812 WWK458811:WWK458812 AC524347:AC524348 JY524347:JY524348 TU524347:TU524348 ADQ524347:ADQ524348 ANM524347:ANM524348 AXI524347:AXI524348 BHE524347:BHE524348 BRA524347:BRA524348 CAW524347:CAW524348 CKS524347:CKS524348 CUO524347:CUO524348 DEK524347:DEK524348 DOG524347:DOG524348 DYC524347:DYC524348 EHY524347:EHY524348 ERU524347:ERU524348 FBQ524347:FBQ524348 FLM524347:FLM524348 FVI524347:FVI524348 GFE524347:GFE524348 GPA524347:GPA524348 GYW524347:GYW524348 HIS524347:HIS524348 HSO524347:HSO524348 ICK524347:ICK524348 IMG524347:IMG524348 IWC524347:IWC524348 JFY524347:JFY524348 JPU524347:JPU524348 JZQ524347:JZQ524348 KJM524347:KJM524348 KTI524347:KTI524348 LDE524347:LDE524348 LNA524347:LNA524348 LWW524347:LWW524348 MGS524347:MGS524348 MQO524347:MQO524348 NAK524347:NAK524348 NKG524347:NKG524348 NUC524347:NUC524348 ODY524347:ODY524348 ONU524347:ONU524348 OXQ524347:OXQ524348 PHM524347:PHM524348 PRI524347:PRI524348 QBE524347:QBE524348 QLA524347:QLA524348 QUW524347:QUW524348 RES524347:RES524348 ROO524347:ROO524348 RYK524347:RYK524348 SIG524347:SIG524348 SSC524347:SSC524348 TBY524347:TBY524348 TLU524347:TLU524348 TVQ524347:TVQ524348 UFM524347:UFM524348 UPI524347:UPI524348 UZE524347:UZE524348 VJA524347:VJA524348 VSW524347:VSW524348 WCS524347:WCS524348 WMO524347:WMO524348 WWK524347:WWK524348 AC589883:AC589884 JY589883:JY589884 TU589883:TU589884 ADQ589883:ADQ589884 ANM589883:ANM589884 AXI589883:AXI589884 BHE589883:BHE589884 BRA589883:BRA589884 CAW589883:CAW589884 CKS589883:CKS589884 CUO589883:CUO589884 DEK589883:DEK589884 DOG589883:DOG589884 DYC589883:DYC589884 EHY589883:EHY589884 ERU589883:ERU589884 FBQ589883:FBQ589884 FLM589883:FLM589884 FVI589883:FVI589884 GFE589883:GFE589884 GPA589883:GPA589884 GYW589883:GYW589884 HIS589883:HIS589884 HSO589883:HSO589884 ICK589883:ICK589884 IMG589883:IMG589884 IWC589883:IWC589884 JFY589883:JFY589884 JPU589883:JPU589884 JZQ589883:JZQ589884 KJM589883:KJM589884 KTI589883:KTI589884 LDE589883:LDE589884 LNA589883:LNA589884 LWW589883:LWW589884 MGS589883:MGS589884 MQO589883:MQO589884 NAK589883:NAK589884 NKG589883:NKG589884 NUC589883:NUC589884 ODY589883:ODY589884 ONU589883:ONU589884 OXQ589883:OXQ589884 PHM589883:PHM589884 PRI589883:PRI589884 QBE589883:QBE589884 QLA589883:QLA589884 QUW589883:QUW589884 RES589883:RES589884 ROO589883:ROO589884 RYK589883:RYK589884 SIG589883:SIG589884 SSC589883:SSC589884 TBY589883:TBY589884 TLU589883:TLU589884 TVQ589883:TVQ589884 UFM589883:UFM589884 UPI589883:UPI589884 UZE589883:UZE589884 VJA589883:VJA589884 VSW589883:VSW589884 WCS589883:WCS589884 WMO589883:WMO589884 WWK589883:WWK589884 AC655419:AC655420 JY655419:JY655420 TU655419:TU655420 ADQ655419:ADQ655420 ANM655419:ANM655420 AXI655419:AXI655420 BHE655419:BHE655420 BRA655419:BRA655420 CAW655419:CAW655420 CKS655419:CKS655420 CUO655419:CUO655420 DEK655419:DEK655420 DOG655419:DOG655420 DYC655419:DYC655420 EHY655419:EHY655420 ERU655419:ERU655420 FBQ655419:FBQ655420 FLM655419:FLM655420 FVI655419:FVI655420 GFE655419:GFE655420 GPA655419:GPA655420 GYW655419:GYW655420 HIS655419:HIS655420 HSO655419:HSO655420 ICK655419:ICK655420 IMG655419:IMG655420 IWC655419:IWC655420 JFY655419:JFY655420 JPU655419:JPU655420 JZQ655419:JZQ655420 KJM655419:KJM655420 KTI655419:KTI655420 LDE655419:LDE655420 LNA655419:LNA655420 LWW655419:LWW655420 MGS655419:MGS655420 MQO655419:MQO655420 NAK655419:NAK655420 NKG655419:NKG655420 NUC655419:NUC655420 ODY655419:ODY655420 ONU655419:ONU655420 OXQ655419:OXQ655420 PHM655419:PHM655420 PRI655419:PRI655420 QBE655419:QBE655420 QLA655419:QLA655420 QUW655419:QUW655420 RES655419:RES655420 ROO655419:ROO655420 RYK655419:RYK655420 SIG655419:SIG655420 SSC655419:SSC655420 TBY655419:TBY655420 TLU655419:TLU655420 TVQ655419:TVQ655420 UFM655419:UFM655420 UPI655419:UPI655420 UZE655419:UZE655420 VJA655419:VJA655420 VSW655419:VSW655420 WCS655419:WCS655420 WMO655419:WMO655420 WWK655419:WWK655420 AC720955:AC720956 JY720955:JY720956 TU720955:TU720956 ADQ720955:ADQ720956 ANM720955:ANM720956 AXI720955:AXI720956 BHE720955:BHE720956 BRA720955:BRA720956 CAW720955:CAW720956 CKS720955:CKS720956 CUO720955:CUO720956 DEK720955:DEK720956 DOG720955:DOG720956 DYC720955:DYC720956 EHY720955:EHY720956 ERU720955:ERU720956 FBQ720955:FBQ720956 FLM720955:FLM720956 FVI720955:FVI720956 GFE720955:GFE720956 GPA720955:GPA720956 GYW720955:GYW720956 HIS720955:HIS720956 HSO720955:HSO720956 ICK720955:ICK720956 IMG720955:IMG720956 IWC720955:IWC720956 JFY720955:JFY720956 JPU720955:JPU720956 JZQ720955:JZQ720956 KJM720955:KJM720956 KTI720955:KTI720956 LDE720955:LDE720956 LNA720955:LNA720956 LWW720955:LWW720956 MGS720955:MGS720956 MQO720955:MQO720956 NAK720955:NAK720956 NKG720955:NKG720956 NUC720955:NUC720956 ODY720955:ODY720956 ONU720955:ONU720956 OXQ720955:OXQ720956 PHM720955:PHM720956 PRI720955:PRI720956 QBE720955:QBE720956 QLA720955:QLA720956 QUW720955:QUW720956 RES720955:RES720956 ROO720955:ROO720956 RYK720955:RYK720956 SIG720955:SIG720956 SSC720955:SSC720956 TBY720955:TBY720956 TLU720955:TLU720956 TVQ720955:TVQ720956 UFM720955:UFM720956 UPI720955:UPI720956 UZE720955:UZE720956 VJA720955:VJA720956 VSW720955:VSW720956 WCS720955:WCS720956 WMO720955:WMO720956 WWK720955:WWK720956 AC786491:AC786492 JY786491:JY786492 TU786491:TU786492 ADQ786491:ADQ786492 ANM786491:ANM786492 AXI786491:AXI786492 BHE786491:BHE786492 BRA786491:BRA786492 CAW786491:CAW786492 CKS786491:CKS786492 CUO786491:CUO786492 DEK786491:DEK786492 DOG786491:DOG786492 DYC786491:DYC786492 EHY786491:EHY786492 ERU786491:ERU786492 FBQ786491:FBQ786492 FLM786491:FLM786492 FVI786491:FVI786492 GFE786491:GFE786492 GPA786491:GPA786492 GYW786491:GYW786492 HIS786491:HIS786492 HSO786491:HSO786492 ICK786491:ICK786492 IMG786491:IMG786492 IWC786491:IWC786492 JFY786491:JFY786492 JPU786491:JPU786492 JZQ786491:JZQ786492 KJM786491:KJM786492 KTI786491:KTI786492 LDE786491:LDE786492 LNA786491:LNA786492 LWW786491:LWW786492 MGS786491:MGS786492 MQO786491:MQO786492 NAK786491:NAK786492 NKG786491:NKG786492 NUC786491:NUC786492 ODY786491:ODY786492 ONU786491:ONU786492 OXQ786491:OXQ786492 PHM786491:PHM786492 PRI786491:PRI786492 QBE786491:QBE786492 QLA786491:QLA786492 QUW786491:QUW786492 RES786491:RES786492 ROO786491:ROO786492 RYK786491:RYK786492 SIG786491:SIG786492 SSC786491:SSC786492 TBY786491:TBY786492 TLU786491:TLU786492 TVQ786491:TVQ786492 UFM786491:UFM786492 UPI786491:UPI786492 UZE786491:UZE786492 VJA786491:VJA786492 VSW786491:VSW786492 WCS786491:WCS786492 WMO786491:WMO786492 WWK786491:WWK786492 AC852027:AC852028 JY852027:JY852028 TU852027:TU852028 ADQ852027:ADQ852028 ANM852027:ANM852028 AXI852027:AXI852028 BHE852027:BHE852028 BRA852027:BRA852028 CAW852027:CAW852028 CKS852027:CKS852028 CUO852027:CUO852028 DEK852027:DEK852028 DOG852027:DOG852028 DYC852027:DYC852028 EHY852027:EHY852028 ERU852027:ERU852028 FBQ852027:FBQ852028 FLM852027:FLM852028 FVI852027:FVI852028 GFE852027:GFE852028 GPA852027:GPA852028 GYW852027:GYW852028 HIS852027:HIS852028 HSO852027:HSO852028 ICK852027:ICK852028 IMG852027:IMG852028 IWC852027:IWC852028 JFY852027:JFY852028 JPU852027:JPU852028 JZQ852027:JZQ852028 KJM852027:KJM852028 KTI852027:KTI852028 LDE852027:LDE852028 LNA852027:LNA852028 LWW852027:LWW852028 MGS852027:MGS852028 MQO852027:MQO852028 NAK852027:NAK852028 NKG852027:NKG852028 NUC852027:NUC852028 ODY852027:ODY852028 ONU852027:ONU852028 OXQ852027:OXQ852028 PHM852027:PHM852028 PRI852027:PRI852028 QBE852027:QBE852028 QLA852027:QLA852028 QUW852027:QUW852028 RES852027:RES852028 ROO852027:ROO852028 RYK852027:RYK852028 SIG852027:SIG852028 SSC852027:SSC852028 TBY852027:TBY852028 TLU852027:TLU852028 TVQ852027:TVQ852028 UFM852027:UFM852028 UPI852027:UPI852028 UZE852027:UZE852028 VJA852027:VJA852028 VSW852027:VSW852028 WCS852027:WCS852028 WMO852027:WMO852028 WWK852027:WWK852028 AC917563:AC917564 JY917563:JY917564 TU917563:TU917564 ADQ917563:ADQ917564 ANM917563:ANM917564 AXI917563:AXI917564 BHE917563:BHE917564 BRA917563:BRA917564 CAW917563:CAW917564 CKS917563:CKS917564 CUO917563:CUO917564 DEK917563:DEK917564 DOG917563:DOG917564 DYC917563:DYC917564 EHY917563:EHY917564 ERU917563:ERU917564 FBQ917563:FBQ917564 FLM917563:FLM917564 FVI917563:FVI917564 GFE917563:GFE917564 GPA917563:GPA917564 GYW917563:GYW917564 HIS917563:HIS917564 HSO917563:HSO917564 ICK917563:ICK917564 IMG917563:IMG917564 IWC917563:IWC917564 JFY917563:JFY917564 JPU917563:JPU917564 JZQ917563:JZQ917564 KJM917563:KJM917564 KTI917563:KTI917564 LDE917563:LDE917564 LNA917563:LNA917564 LWW917563:LWW917564 MGS917563:MGS917564 MQO917563:MQO917564 NAK917563:NAK917564 NKG917563:NKG917564 NUC917563:NUC917564 ODY917563:ODY917564 ONU917563:ONU917564 OXQ917563:OXQ917564 PHM917563:PHM917564 PRI917563:PRI917564 QBE917563:QBE917564 QLA917563:QLA917564 QUW917563:QUW917564 RES917563:RES917564 ROO917563:ROO917564 RYK917563:RYK917564 SIG917563:SIG917564 SSC917563:SSC917564 TBY917563:TBY917564 TLU917563:TLU917564 TVQ917563:TVQ917564 UFM917563:UFM917564 UPI917563:UPI917564 UZE917563:UZE917564 VJA917563:VJA917564 VSW917563:VSW917564 WCS917563:WCS917564 WMO917563:WMO917564 WWK917563:WWK917564 AC983099:AC983100 JY983099:JY983100 TU983099:TU983100 ADQ983099:ADQ983100 ANM983099:ANM983100 AXI983099:AXI983100 BHE983099:BHE983100 BRA983099:BRA983100 CAW983099:CAW983100 CKS983099:CKS983100 CUO983099:CUO983100 DEK983099:DEK983100 DOG983099:DOG983100 DYC983099:DYC983100 EHY983099:EHY983100 ERU983099:ERU983100 FBQ983099:FBQ983100 FLM983099:FLM983100 FVI983099:FVI983100 GFE983099:GFE983100 GPA983099:GPA983100 GYW983099:GYW983100 HIS983099:HIS983100 HSO983099:HSO983100 ICK983099:ICK983100 IMG983099:IMG983100 IWC983099:IWC983100 JFY983099:JFY983100 JPU983099:JPU983100 JZQ983099:JZQ983100 KJM983099:KJM983100 KTI983099:KTI983100 LDE983099:LDE983100 LNA983099:LNA983100 LWW983099:LWW983100 MGS983099:MGS983100 MQO983099:MQO983100 NAK983099:NAK983100 NKG983099:NKG983100 NUC983099:NUC983100 ODY983099:ODY983100 ONU983099:ONU983100 OXQ983099:OXQ983100 PHM983099:PHM983100 PRI983099:PRI983100 QBE983099:QBE983100 QLA983099:QLA983100 QUW983099:QUW983100 RES983099:RES983100 ROO983099:ROO983100 RYK983099:RYK983100 SIG983099:SIG983100 SSC983099:SSC983100 TBY983099:TBY983100 TLU983099:TLU983100 TVQ983099:TVQ983100 UFM983099:UFM983100 UPI983099:UPI983100 UZE983099:UZE983100 VJA983099:VJA983100 VSW983099:VSW983100 WCS983099:WCS983100 WMO983099:WMO983100 WWK983099:WWK983100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D581-22B0-43CA-AD63-E4B762FC61F3}">
  <sheetPr>
    <tabColor rgb="FFFFFF00"/>
    <pageSetUpPr fitToPage="1"/>
  </sheetPr>
  <dimension ref="A1:AK123"/>
  <sheetViews>
    <sheetView view="pageBreakPreview" zoomScale="70" zoomScaleNormal="100" zoomScaleSheetLayoutView="70" workbookViewId="0">
      <selection activeCell="B5" sqref="B5:AH5"/>
    </sheetView>
  </sheetViews>
  <sheetFormatPr defaultColWidth="3.44140625" defaultRowHeight="13.2" x14ac:dyDescent="0.2"/>
  <cols>
    <col min="1" max="1" width="1.21875" style="3" customWidth="1"/>
    <col min="2" max="2" width="3.109375" style="598"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x14ac:dyDescent="0.2"/>
    <row r="2" spans="2:35" s="1" customFormat="1" x14ac:dyDescent="0.2">
      <c r="B2" s="1" t="s">
        <v>1624</v>
      </c>
    </row>
    <row r="3" spans="2:35" s="1" customFormat="1" x14ac:dyDescent="0.2">
      <c r="Y3" s="45" t="s">
        <v>643</v>
      </c>
      <c r="Z3" s="1456"/>
      <c r="AA3" s="1456"/>
      <c r="AB3" s="45" t="s">
        <v>34</v>
      </c>
      <c r="AC3" s="1456"/>
      <c r="AD3" s="1456"/>
      <c r="AE3" s="45" t="s">
        <v>383</v>
      </c>
      <c r="AF3" s="1456"/>
      <c r="AG3" s="1456"/>
      <c r="AH3" s="45" t="s">
        <v>167</v>
      </c>
    </row>
    <row r="4" spans="2:35" s="1" customFormat="1" x14ac:dyDescent="0.2">
      <c r="AH4" s="45"/>
    </row>
    <row r="5" spans="2:35" s="1" customFormat="1" x14ac:dyDescent="0.2">
      <c r="B5" s="1456" t="s">
        <v>1625</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c r="AF5" s="1456"/>
      <c r="AG5" s="1456"/>
      <c r="AH5" s="1456"/>
    </row>
    <row r="6" spans="2:35" s="1" customFormat="1" x14ac:dyDescent="0.2"/>
    <row r="7" spans="2:35" s="1" customFormat="1" ht="21" customHeight="1" x14ac:dyDescent="0.2">
      <c r="B7" s="1575" t="s">
        <v>274</v>
      </c>
      <c r="C7" s="1575"/>
      <c r="D7" s="1575"/>
      <c r="E7" s="1575"/>
      <c r="F7" s="1549"/>
      <c r="G7" s="838"/>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40"/>
    </row>
    <row r="8" spans="2:35" ht="21" customHeight="1" x14ac:dyDescent="0.2">
      <c r="B8" s="1549" t="s">
        <v>93</v>
      </c>
      <c r="C8" s="1550"/>
      <c r="D8" s="1550"/>
      <c r="E8" s="1550"/>
      <c r="F8" s="1551"/>
      <c r="G8" s="758" t="s">
        <v>116</v>
      </c>
      <c r="H8" s="759" t="s">
        <v>1174</v>
      </c>
      <c r="I8" s="759"/>
      <c r="J8" s="759"/>
      <c r="K8" s="759"/>
      <c r="L8" s="786" t="s">
        <v>116</v>
      </c>
      <c r="M8" s="759" t="s">
        <v>1175</v>
      </c>
      <c r="N8" s="759"/>
      <c r="O8" s="759"/>
      <c r="P8" s="759"/>
      <c r="Q8" s="786" t="s">
        <v>116</v>
      </c>
      <c r="R8" s="759" t="s">
        <v>1176</v>
      </c>
      <c r="S8"/>
      <c r="T8" s="841"/>
      <c r="U8"/>
      <c r="V8" s="842"/>
      <c r="W8" s="842"/>
      <c r="X8" s="842"/>
      <c r="Y8" s="842"/>
      <c r="Z8" s="842"/>
      <c r="AA8" s="842"/>
      <c r="AB8" s="842"/>
      <c r="AC8" s="842"/>
      <c r="AD8" s="842"/>
      <c r="AE8" s="842"/>
      <c r="AF8" s="842"/>
      <c r="AG8" s="842"/>
      <c r="AH8" s="843"/>
    </row>
    <row r="9" spans="2:35" ht="21" customHeight="1" x14ac:dyDescent="0.2">
      <c r="B9" s="1557" t="s">
        <v>828</v>
      </c>
      <c r="C9" s="1558"/>
      <c r="D9" s="1558"/>
      <c r="E9" s="1558"/>
      <c r="F9" s="1559"/>
      <c r="G9" s="761" t="s">
        <v>116</v>
      </c>
      <c r="H9" s="7" t="s">
        <v>1626</v>
      </c>
      <c r="I9" s="22"/>
      <c r="J9" s="22"/>
      <c r="K9" s="22"/>
      <c r="L9" s="22"/>
      <c r="M9" s="22"/>
      <c r="N9" s="22"/>
      <c r="O9" s="22"/>
      <c r="P9" s="22"/>
      <c r="Q9" s="22"/>
      <c r="R9" s="22"/>
      <c r="S9" s="22"/>
      <c r="T9"/>
      <c r="U9" s="844" t="s">
        <v>116</v>
      </c>
      <c r="V9" s="7" t="s">
        <v>1627</v>
      </c>
      <c r="W9" s="7"/>
      <c r="X9" s="845"/>
      <c r="Y9" s="845"/>
      <c r="Z9" s="845"/>
      <c r="AA9" s="845"/>
      <c r="AB9" s="845"/>
      <c r="AC9" s="845"/>
      <c r="AD9" s="845"/>
      <c r="AE9" s="845"/>
      <c r="AF9" s="845"/>
      <c r="AG9" s="845"/>
      <c r="AH9" s="846"/>
    </row>
    <row r="10" spans="2:35" ht="21" customHeight="1" x14ac:dyDescent="0.2">
      <c r="B10" s="1579"/>
      <c r="C10" s="1329"/>
      <c r="D10" s="1329"/>
      <c r="E10" s="1329"/>
      <c r="F10" s="1329"/>
      <c r="G10" s="763" t="s">
        <v>116</v>
      </c>
      <c r="H10" s="1" t="s">
        <v>1628</v>
      </c>
      <c r="I10" s="2"/>
      <c r="J10" s="2"/>
      <c r="K10" s="2"/>
      <c r="L10" s="2"/>
      <c r="M10" s="2"/>
      <c r="N10" s="2"/>
      <c r="O10" s="2"/>
      <c r="P10" s="2"/>
      <c r="Q10" s="2"/>
      <c r="R10" s="2"/>
      <c r="S10" s="2"/>
      <c r="T10"/>
      <c r="U10" s="760" t="s">
        <v>116</v>
      </c>
      <c r="V10" s="1" t="s">
        <v>1629</v>
      </c>
      <c r="W10" s="1"/>
      <c r="X10" s="847"/>
      <c r="Y10" s="847"/>
      <c r="Z10" s="847"/>
      <c r="AA10" s="847"/>
      <c r="AB10" s="847"/>
      <c r="AC10" s="847"/>
      <c r="AD10" s="847"/>
      <c r="AE10" s="847"/>
      <c r="AF10" s="847"/>
      <c r="AG10" s="847"/>
      <c r="AH10" s="848"/>
    </row>
    <row r="11" spans="2:35" ht="21" customHeight="1" x14ac:dyDescent="0.2">
      <c r="B11" s="1579"/>
      <c r="C11" s="1329"/>
      <c r="D11" s="1329"/>
      <c r="E11" s="1329"/>
      <c r="F11" s="1329"/>
      <c r="G11" s="763" t="s">
        <v>116</v>
      </c>
      <c r="H11" s="1" t="s">
        <v>1630</v>
      </c>
      <c r="I11" s="2"/>
      <c r="J11" s="2"/>
      <c r="K11" s="2"/>
      <c r="L11" s="2"/>
      <c r="M11" s="2"/>
      <c r="N11" s="2"/>
      <c r="O11" s="2"/>
      <c r="P11" s="2"/>
      <c r="Q11" s="2"/>
      <c r="R11" s="2"/>
      <c r="S11" s="2"/>
      <c r="T11"/>
      <c r="U11" s="760" t="s">
        <v>116</v>
      </c>
      <c r="V11" s="2" t="s">
        <v>1631</v>
      </c>
      <c r="W11" s="2"/>
      <c r="X11" s="847"/>
      <c r="Y11" s="847"/>
      <c r="Z11" s="847"/>
      <c r="AA11" s="847"/>
      <c r="AB11" s="847"/>
      <c r="AC11" s="847"/>
      <c r="AD11" s="847"/>
      <c r="AE11" s="847"/>
      <c r="AF11" s="847"/>
      <c r="AG11" s="847"/>
      <c r="AH11" s="848"/>
      <c r="AI11" s="762"/>
    </row>
    <row r="12" spans="2:35" ht="21" customHeight="1" x14ac:dyDescent="0.2">
      <c r="B12" s="1560"/>
      <c r="C12" s="1561"/>
      <c r="D12" s="1561"/>
      <c r="E12" s="1561"/>
      <c r="F12" s="1562"/>
      <c r="G12" s="765" t="s">
        <v>116</v>
      </c>
      <c r="H12" s="8" t="s">
        <v>1632</v>
      </c>
      <c r="I12" s="594"/>
      <c r="J12" s="594"/>
      <c r="K12" s="594"/>
      <c r="L12" s="594"/>
      <c r="M12" s="594"/>
      <c r="N12" s="594"/>
      <c r="O12" s="594"/>
      <c r="P12" s="594"/>
      <c r="Q12" s="594"/>
      <c r="R12" s="594"/>
      <c r="S12" s="594"/>
      <c r="T12" s="849"/>
      <c r="U12" s="594"/>
      <c r="V12" s="594"/>
      <c r="W12" s="594"/>
      <c r="X12" s="850"/>
      <c r="Y12" s="850"/>
      <c r="Z12" s="850"/>
      <c r="AA12" s="850"/>
      <c r="AB12" s="850"/>
      <c r="AC12" s="850"/>
      <c r="AD12" s="850"/>
      <c r="AE12" s="850"/>
      <c r="AF12" s="850"/>
      <c r="AG12" s="850"/>
      <c r="AH12" s="851"/>
    </row>
    <row r="13" spans="2:35" ht="21" customHeight="1" x14ac:dyDescent="0.2">
      <c r="B13" s="1557" t="s">
        <v>829</v>
      </c>
      <c r="C13" s="1558"/>
      <c r="D13" s="1558"/>
      <c r="E13" s="1558"/>
      <c r="F13" s="1559"/>
      <c r="G13" s="761" t="s">
        <v>116</v>
      </c>
      <c r="H13" s="7" t="s">
        <v>1633</v>
      </c>
      <c r="I13" s="22"/>
      <c r="J13" s="22"/>
      <c r="K13" s="22"/>
      <c r="L13" s="22"/>
      <c r="M13" s="22"/>
      <c r="N13" s="22"/>
      <c r="O13" s="22"/>
      <c r="P13" s="22"/>
      <c r="Q13" s="22"/>
      <c r="R13" s="22"/>
      <c r="S13" s="2"/>
      <c r="T13" s="22"/>
      <c r="U13" s="844"/>
      <c r="V13" s="844"/>
      <c r="W13" s="844"/>
      <c r="X13" s="7"/>
      <c r="Y13" s="845"/>
      <c r="Z13" s="845"/>
      <c r="AA13" s="845"/>
      <c r="AB13" s="845"/>
      <c r="AC13" s="845"/>
      <c r="AD13" s="845"/>
      <c r="AE13" s="845"/>
      <c r="AF13" s="845"/>
      <c r="AG13" s="845"/>
      <c r="AH13" s="846"/>
    </row>
    <row r="14" spans="2:35" ht="21" customHeight="1" x14ac:dyDescent="0.2">
      <c r="B14" s="1560"/>
      <c r="C14" s="1561"/>
      <c r="D14" s="1561"/>
      <c r="E14" s="1561"/>
      <c r="F14" s="1562"/>
      <c r="G14" s="765" t="s">
        <v>116</v>
      </c>
      <c r="H14" s="8" t="s">
        <v>1634</v>
      </c>
      <c r="I14" s="594"/>
      <c r="J14" s="594"/>
      <c r="K14" s="594"/>
      <c r="L14" s="594"/>
      <c r="M14" s="594"/>
      <c r="N14" s="594"/>
      <c r="O14" s="594"/>
      <c r="P14" s="594"/>
      <c r="Q14" s="594"/>
      <c r="R14" s="594"/>
      <c r="S14" s="594"/>
      <c r="T14" s="594"/>
      <c r="U14" s="850"/>
      <c r="V14" s="850"/>
      <c r="W14" s="850"/>
      <c r="X14" s="850"/>
      <c r="Y14" s="850"/>
      <c r="Z14" s="850"/>
      <c r="AA14" s="850"/>
      <c r="AB14" s="850"/>
      <c r="AC14" s="850"/>
      <c r="AD14" s="850"/>
      <c r="AE14" s="850"/>
      <c r="AF14" s="850"/>
      <c r="AG14" s="850"/>
      <c r="AH14" s="851"/>
    </row>
    <row r="15" spans="2:35" ht="13.5" customHeight="1" x14ac:dyDescent="0.2">
      <c r="B15" s="1"/>
      <c r="C15" s="1"/>
      <c r="D15" s="1"/>
      <c r="E15" s="1"/>
      <c r="F15" s="1"/>
      <c r="G15" s="760"/>
      <c r="H15" s="1"/>
      <c r="I15" s="2"/>
      <c r="J15" s="2"/>
      <c r="K15" s="2"/>
      <c r="L15" s="2"/>
      <c r="M15" s="2"/>
      <c r="N15" s="2"/>
      <c r="O15" s="2"/>
      <c r="P15" s="2"/>
      <c r="Q15" s="2"/>
      <c r="R15" s="2"/>
      <c r="S15" s="2"/>
      <c r="T15" s="2"/>
      <c r="U15" s="847"/>
      <c r="V15" s="847"/>
      <c r="W15" s="847"/>
      <c r="X15" s="847"/>
      <c r="Y15" s="847"/>
      <c r="Z15" s="847"/>
      <c r="AA15" s="847"/>
      <c r="AB15" s="847"/>
      <c r="AC15" s="847"/>
      <c r="AD15" s="847"/>
      <c r="AE15" s="847"/>
      <c r="AF15" s="847"/>
      <c r="AG15" s="847"/>
      <c r="AH15" s="847"/>
    </row>
    <row r="16" spans="2:35" ht="21" customHeight="1" x14ac:dyDescent="0.2">
      <c r="B16" s="6" t="s">
        <v>1635</v>
      </c>
      <c r="C16" s="7"/>
      <c r="D16" s="7"/>
      <c r="E16" s="7"/>
      <c r="F16" s="7"/>
      <c r="G16" s="844"/>
      <c r="H16" s="7"/>
      <c r="I16" s="22"/>
      <c r="J16" s="22"/>
      <c r="K16" s="22"/>
      <c r="L16" s="22"/>
      <c r="M16" s="22"/>
      <c r="N16" s="22"/>
      <c r="O16" s="22"/>
      <c r="P16" s="22"/>
      <c r="Q16" s="22"/>
      <c r="R16" s="22"/>
      <c r="S16" s="22"/>
      <c r="T16" s="22"/>
      <c r="U16" s="845"/>
      <c r="V16" s="845"/>
      <c r="W16" s="845"/>
      <c r="X16" s="845"/>
      <c r="Y16" s="845"/>
      <c r="Z16" s="845"/>
      <c r="AA16" s="845"/>
      <c r="AB16" s="845"/>
      <c r="AC16" s="845"/>
      <c r="AD16" s="845"/>
      <c r="AE16" s="845"/>
      <c r="AF16" s="845"/>
      <c r="AG16" s="845"/>
      <c r="AH16" s="846"/>
    </row>
    <row r="17" spans="2:37" ht="21" customHeight="1" x14ac:dyDescent="0.2">
      <c r="B17" s="582"/>
      <c r="C17" s="1" t="s">
        <v>1636</v>
      </c>
      <c r="D17" s="1"/>
      <c r="E17" s="1"/>
      <c r="F17" s="1"/>
      <c r="G17" s="760"/>
      <c r="H17" s="1"/>
      <c r="I17" s="2"/>
      <c r="J17" s="2"/>
      <c r="K17" s="2"/>
      <c r="L17" s="2"/>
      <c r="M17" s="2"/>
      <c r="N17" s="2"/>
      <c r="O17" s="2"/>
      <c r="P17" s="2"/>
      <c r="Q17" s="2"/>
      <c r="R17" s="2"/>
      <c r="S17" s="2"/>
      <c r="T17" s="2"/>
      <c r="U17" s="847"/>
      <c r="V17" s="847"/>
      <c r="W17" s="847"/>
      <c r="X17" s="847"/>
      <c r="Y17" s="847"/>
      <c r="Z17" s="847"/>
      <c r="AA17" s="847"/>
      <c r="AB17" s="847"/>
      <c r="AC17" s="847"/>
      <c r="AD17" s="847"/>
      <c r="AE17" s="847"/>
      <c r="AF17" s="847"/>
      <c r="AG17" s="847"/>
      <c r="AH17" s="848"/>
    </row>
    <row r="18" spans="2:37" ht="21" customHeight="1" x14ac:dyDescent="0.2">
      <c r="B18" s="596"/>
      <c r="C18" s="1732" t="s">
        <v>1637</v>
      </c>
      <c r="D18" s="1732"/>
      <c r="E18" s="1732"/>
      <c r="F18" s="1732"/>
      <c r="G18" s="1732"/>
      <c r="H18" s="1732"/>
      <c r="I18" s="1732"/>
      <c r="J18" s="1732"/>
      <c r="K18" s="1732"/>
      <c r="L18" s="1732"/>
      <c r="M18" s="1732"/>
      <c r="N18" s="1732"/>
      <c r="O18" s="1732"/>
      <c r="P18" s="1732"/>
      <c r="Q18" s="1732"/>
      <c r="R18" s="1732"/>
      <c r="S18" s="1732"/>
      <c r="T18" s="1732"/>
      <c r="U18" s="1732"/>
      <c r="V18" s="1732"/>
      <c r="W18" s="1732"/>
      <c r="X18" s="1732"/>
      <c r="Y18" s="1732"/>
      <c r="Z18" s="1732"/>
      <c r="AA18" s="1733" t="s">
        <v>1638</v>
      </c>
      <c r="AB18" s="1733"/>
      <c r="AC18" s="1733"/>
      <c r="AD18" s="1733"/>
      <c r="AE18" s="1733"/>
      <c r="AF18" s="1733"/>
      <c r="AG18" s="1733"/>
      <c r="AH18" s="848"/>
      <c r="AK18" s="852"/>
    </row>
    <row r="19" spans="2:37" ht="21" customHeight="1" x14ac:dyDescent="0.2">
      <c r="B19" s="596"/>
      <c r="C19" s="1734"/>
      <c r="D19" s="1734"/>
      <c r="E19" s="1734"/>
      <c r="F19" s="1734"/>
      <c r="G19" s="1734"/>
      <c r="H19" s="1734"/>
      <c r="I19" s="1734"/>
      <c r="J19" s="1734"/>
      <c r="K19" s="1734"/>
      <c r="L19" s="1734"/>
      <c r="M19" s="1734"/>
      <c r="N19" s="1734"/>
      <c r="O19" s="1734"/>
      <c r="P19" s="1734"/>
      <c r="Q19" s="1734"/>
      <c r="R19" s="1734"/>
      <c r="S19" s="1734"/>
      <c r="T19" s="1734"/>
      <c r="U19" s="1734"/>
      <c r="V19" s="1734"/>
      <c r="W19" s="1734"/>
      <c r="X19" s="1734"/>
      <c r="Y19" s="1734"/>
      <c r="Z19" s="1734"/>
      <c r="AA19" s="853"/>
      <c r="AB19" s="853"/>
      <c r="AC19" s="853"/>
      <c r="AD19" s="853"/>
      <c r="AE19" s="853"/>
      <c r="AF19" s="853"/>
      <c r="AG19" s="853"/>
      <c r="AH19" s="848"/>
      <c r="AK19" s="852"/>
    </row>
    <row r="20" spans="2:37" ht="9" customHeight="1" x14ac:dyDescent="0.2">
      <c r="B20" s="596"/>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845"/>
      <c r="AB20" s="845"/>
      <c r="AC20" s="845"/>
      <c r="AD20" s="845"/>
      <c r="AE20" s="845"/>
      <c r="AF20" s="845"/>
      <c r="AG20" s="845"/>
      <c r="AH20" s="848"/>
      <c r="AK20" s="854"/>
    </row>
    <row r="21" spans="2:37" ht="21" customHeight="1" x14ac:dyDescent="0.2">
      <c r="B21" s="596"/>
      <c r="C21" s="592" t="s">
        <v>1639</v>
      </c>
      <c r="D21" s="590"/>
      <c r="E21" s="590"/>
      <c r="F21" s="590"/>
      <c r="G21" s="855"/>
      <c r="H21" s="847"/>
      <c r="I21" s="847"/>
      <c r="J21" s="847"/>
      <c r="K21" s="847"/>
      <c r="L21" s="847"/>
      <c r="M21" s="847"/>
      <c r="N21" s="847"/>
      <c r="O21" s="847"/>
      <c r="P21" s="847"/>
      <c r="Q21" s="847"/>
      <c r="R21" s="847"/>
      <c r="S21" s="847"/>
      <c r="T21" s="847"/>
      <c r="U21" s="847"/>
      <c r="V21" s="847"/>
      <c r="W21" s="847"/>
      <c r="X21" s="847"/>
      <c r="Y21" s="847"/>
      <c r="Z21" s="847"/>
      <c r="AA21" s="847"/>
      <c r="AB21" s="847"/>
      <c r="AC21" s="847"/>
      <c r="AD21" s="847"/>
      <c r="AE21" s="847"/>
      <c r="AF21" s="847"/>
      <c r="AG21" s="847"/>
      <c r="AH21" s="848"/>
    </row>
    <row r="22" spans="2:37" ht="21" customHeight="1" x14ac:dyDescent="0.2">
      <c r="B22" s="596"/>
      <c r="C22" s="1732" t="s">
        <v>1640</v>
      </c>
      <c r="D22" s="1732"/>
      <c r="E22" s="1732"/>
      <c r="F22" s="1732"/>
      <c r="G22" s="1732"/>
      <c r="H22" s="1732"/>
      <c r="I22" s="1732"/>
      <c r="J22" s="1732"/>
      <c r="K22" s="1732"/>
      <c r="L22" s="1732"/>
      <c r="M22" s="1732"/>
      <c r="N22" s="1732"/>
      <c r="O22" s="1732"/>
      <c r="P22" s="1732"/>
      <c r="Q22" s="1732"/>
      <c r="R22" s="1732"/>
      <c r="S22" s="1732"/>
      <c r="T22" s="1732"/>
      <c r="U22" s="1732"/>
      <c r="V22" s="1732"/>
      <c r="W22" s="1732"/>
      <c r="X22" s="1732"/>
      <c r="Y22" s="1732"/>
      <c r="Z22" s="1732"/>
      <c r="AA22" s="1733" t="s">
        <v>1638</v>
      </c>
      <c r="AB22" s="1733"/>
      <c r="AC22" s="1733"/>
      <c r="AD22" s="1733"/>
      <c r="AE22" s="1733"/>
      <c r="AF22" s="1733"/>
      <c r="AG22" s="1733"/>
      <c r="AH22" s="848"/>
    </row>
    <row r="23" spans="2:37" ht="20.100000000000001" customHeight="1" x14ac:dyDescent="0.2">
      <c r="B23" s="579"/>
      <c r="C23" s="1732"/>
      <c r="D23" s="1732"/>
      <c r="E23" s="1732"/>
      <c r="F23" s="1732"/>
      <c r="G23" s="1732"/>
      <c r="H23" s="1732"/>
      <c r="I23" s="1732"/>
      <c r="J23" s="1732"/>
      <c r="K23" s="1732"/>
      <c r="L23" s="1732"/>
      <c r="M23" s="1732"/>
      <c r="N23" s="1732"/>
      <c r="O23" s="1732"/>
      <c r="P23" s="1732"/>
      <c r="Q23" s="1732"/>
      <c r="R23" s="1732"/>
      <c r="S23" s="1732"/>
      <c r="T23" s="1732"/>
      <c r="U23" s="1732"/>
      <c r="V23" s="1732"/>
      <c r="W23" s="1732"/>
      <c r="X23" s="1732"/>
      <c r="Y23" s="1732"/>
      <c r="Z23" s="1734"/>
      <c r="AA23" s="856"/>
      <c r="AB23" s="856"/>
      <c r="AC23" s="856"/>
      <c r="AD23" s="856"/>
      <c r="AE23" s="856"/>
      <c r="AF23" s="856"/>
      <c r="AG23" s="856"/>
      <c r="AH23" s="857"/>
    </row>
    <row r="24" spans="2:37" s="1" customFormat="1" ht="20.100000000000001" customHeight="1" x14ac:dyDescent="0.2">
      <c r="B24" s="579"/>
      <c r="C24" s="1431" t="s">
        <v>1641</v>
      </c>
      <c r="D24" s="1432"/>
      <c r="E24" s="1432"/>
      <c r="F24" s="1432"/>
      <c r="G24" s="1432"/>
      <c r="H24" s="1432"/>
      <c r="I24" s="1432"/>
      <c r="J24" s="1432"/>
      <c r="K24" s="1432"/>
      <c r="L24" s="1432"/>
      <c r="M24" s="761" t="s">
        <v>116</v>
      </c>
      <c r="N24" s="7" t="s">
        <v>1642</v>
      </c>
      <c r="O24" s="7"/>
      <c r="P24" s="7"/>
      <c r="Q24" s="22"/>
      <c r="R24" s="22"/>
      <c r="S24" s="22"/>
      <c r="T24" s="22"/>
      <c r="U24" s="22"/>
      <c r="V24" s="22"/>
      <c r="W24" s="844" t="s">
        <v>116</v>
      </c>
      <c r="X24" s="7" t="s">
        <v>1643</v>
      </c>
      <c r="Y24" s="508"/>
      <c r="Z24" s="508"/>
      <c r="AA24" s="22"/>
      <c r="AB24" s="22"/>
      <c r="AC24" s="22"/>
      <c r="AD24" s="22"/>
      <c r="AE24" s="22"/>
      <c r="AF24" s="22"/>
      <c r="AG24" s="23"/>
      <c r="AH24" s="848"/>
    </row>
    <row r="25" spans="2:37" s="1" customFormat="1" ht="20.100000000000001" customHeight="1" x14ac:dyDescent="0.2">
      <c r="B25" s="596"/>
      <c r="C25" s="1620"/>
      <c r="D25" s="1621"/>
      <c r="E25" s="1621"/>
      <c r="F25" s="1621"/>
      <c r="G25" s="1621"/>
      <c r="H25" s="1621"/>
      <c r="I25" s="1621"/>
      <c r="J25" s="1621"/>
      <c r="K25" s="1621"/>
      <c r="L25" s="1621"/>
      <c r="M25" s="765" t="s">
        <v>116</v>
      </c>
      <c r="N25" s="8" t="s">
        <v>1644</v>
      </c>
      <c r="O25" s="8"/>
      <c r="P25" s="8"/>
      <c r="Q25" s="594"/>
      <c r="R25" s="594"/>
      <c r="S25" s="594"/>
      <c r="T25" s="594"/>
      <c r="U25" s="594"/>
      <c r="V25" s="594"/>
      <c r="W25" s="849" t="s">
        <v>116</v>
      </c>
      <c r="X25" s="8" t="s">
        <v>1645</v>
      </c>
      <c r="Y25" s="858"/>
      <c r="Z25" s="858"/>
      <c r="AA25" s="594"/>
      <c r="AB25" s="594"/>
      <c r="AC25" s="594"/>
      <c r="AD25" s="594"/>
      <c r="AE25" s="594"/>
      <c r="AF25" s="594"/>
      <c r="AG25" s="592"/>
      <c r="AH25" s="848"/>
    </row>
    <row r="26" spans="2:37" s="1" customFormat="1" ht="9" customHeight="1" x14ac:dyDescent="0.2">
      <c r="B26" s="596"/>
      <c r="C26" s="859"/>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c r="AC26" s="2"/>
      <c r="AD26" s="2"/>
      <c r="AE26" s="2"/>
      <c r="AF26" s="2"/>
      <c r="AG26" s="2"/>
      <c r="AH26" s="848"/>
    </row>
    <row r="27" spans="2:37" s="1" customFormat="1" ht="20.100000000000001" customHeight="1" x14ac:dyDescent="0.2">
      <c r="B27" s="596"/>
      <c r="C27" s="1735" t="s">
        <v>1646</v>
      </c>
      <c r="D27" s="1735"/>
      <c r="E27" s="1735"/>
      <c r="F27" s="1735"/>
      <c r="G27" s="1735"/>
      <c r="H27" s="1735"/>
      <c r="I27" s="1735"/>
      <c r="J27" s="1735"/>
      <c r="K27" s="1735"/>
      <c r="L27" s="1735"/>
      <c r="M27" s="1735"/>
      <c r="N27" s="1735"/>
      <c r="O27" s="1735"/>
      <c r="P27" s="1735"/>
      <c r="Q27" s="1735"/>
      <c r="R27" s="1735"/>
      <c r="S27" s="1735"/>
      <c r="T27" s="1735"/>
      <c r="U27" s="1735"/>
      <c r="V27" s="1735"/>
      <c r="W27" s="1735"/>
      <c r="X27" s="1735"/>
      <c r="Y27" s="1735"/>
      <c r="Z27" s="1735"/>
      <c r="AA27" s="847"/>
      <c r="AB27" s="847"/>
      <c r="AC27" s="847"/>
      <c r="AD27" s="847"/>
      <c r="AE27" s="847"/>
      <c r="AF27" s="847"/>
      <c r="AG27" s="847"/>
      <c r="AH27" s="848"/>
    </row>
    <row r="28" spans="2:37" s="1" customFormat="1" ht="20.100000000000001" customHeight="1" x14ac:dyDescent="0.2">
      <c r="B28" s="579"/>
      <c r="C28" s="1736"/>
      <c r="D28" s="1736"/>
      <c r="E28" s="1736"/>
      <c r="F28" s="1736"/>
      <c r="G28" s="1736"/>
      <c r="H28" s="1736"/>
      <c r="I28" s="1736"/>
      <c r="J28" s="1736"/>
      <c r="K28" s="1736"/>
      <c r="L28" s="1736"/>
      <c r="M28" s="1736"/>
      <c r="N28" s="1736"/>
      <c r="O28" s="1736"/>
      <c r="P28" s="1736"/>
      <c r="Q28" s="1736"/>
      <c r="R28" s="1736"/>
      <c r="S28" s="1736"/>
      <c r="T28" s="1736"/>
      <c r="U28" s="1736"/>
      <c r="V28" s="1736"/>
      <c r="W28" s="1736"/>
      <c r="X28" s="1736"/>
      <c r="Y28" s="1736"/>
      <c r="Z28" s="1736"/>
      <c r="AA28" s="860"/>
      <c r="AB28" s="861"/>
      <c r="AC28" s="861"/>
      <c r="AD28" s="861"/>
      <c r="AE28" s="861"/>
      <c r="AF28" s="861"/>
      <c r="AG28" s="861"/>
      <c r="AH28" s="862"/>
    </row>
    <row r="29" spans="2:37" s="1" customFormat="1" ht="9" customHeight="1" x14ac:dyDescent="0.2">
      <c r="B29" s="579"/>
      <c r="C29" s="2"/>
      <c r="D29" s="2"/>
      <c r="E29" s="2"/>
      <c r="F29" s="2"/>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2"/>
    </row>
    <row r="30" spans="2:37" s="1" customFormat="1" ht="20.100000000000001" customHeight="1" x14ac:dyDescent="0.2">
      <c r="B30" s="596"/>
      <c r="C30" s="1732" t="s">
        <v>1647</v>
      </c>
      <c r="D30" s="1732"/>
      <c r="E30" s="1732"/>
      <c r="F30" s="1732"/>
      <c r="G30" s="1732"/>
      <c r="H30" s="1732"/>
      <c r="I30" s="1732"/>
      <c r="J30" s="1732"/>
      <c r="K30" s="1737"/>
      <c r="L30" s="1737"/>
      <c r="M30" s="1737"/>
      <c r="N30" s="1737"/>
      <c r="O30" s="1737"/>
      <c r="P30" s="1737"/>
      <c r="Q30" s="1737"/>
      <c r="R30" s="1737" t="s">
        <v>34</v>
      </c>
      <c r="S30" s="1737"/>
      <c r="T30" s="1737"/>
      <c r="U30" s="1737"/>
      <c r="V30" s="1737"/>
      <c r="W30" s="1737"/>
      <c r="X30" s="1737"/>
      <c r="Y30" s="1737"/>
      <c r="Z30" s="1737" t="s">
        <v>30</v>
      </c>
      <c r="AA30" s="1737"/>
      <c r="AB30" s="1737"/>
      <c r="AC30" s="1737"/>
      <c r="AD30" s="1737"/>
      <c r="AE30" s="1737"/>
      <c r="AF30" s="1737"/>
      <c r="AG30" s="1739" t="s">
        <v>167</v>
      </c>
      <c r="AH30" s="848"/>
    </row>
    <row r="31" spans="2:37" s="1" customFormat="1" ht="20.100000000000001" customHeight="1" x14ac:dyDescent="0.2">
      <c r="B31" s="596"/>
      <c r="C31" s="1732"/>
      <c r="D31" s="1732"/>
      <c r="E31" s="1732"/>
      <c r="F31" s="1732"/>
      <c r="G31" s="1732"/>
      <c r="H31" s="1732"/>
      <c r="I31" s="1732"/>
      <c r="J31" s="1732"/>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40"/>
      <c r="AH31" s="848"/>
    </row>
    <row r="32" spans="2:37" s="1" customFormat="1" ht="13.5" customHeight="1" x14ac:dyDescent="0.2">
      <c r="B32" s="591"/>
      <c r="C32" s="8"/>
      <c r="D32" s="8"/>
      <c r="E32" s="8"/>
      <c r="F32" s="8"/>
      <c r="G32" s="863"/>
      <c r="H32" s="863"/>
      <c r="I32" s="863"/>
      <c r="J32" s="863"/>
      <c r="K32" s="863"/>
      <c r="L32" s="863"/>
      <c r="M32" s="863"/>
      <c r="N32" s="863"/>
      <c r="O32" s="863"/>
      <c r="P32" s="863"/>
      <c r="Q32" s="863"/>
      <c r="R32" s="863"/>
      <c r="S32" s="863"/>
      <c r="T32" s="863"/>
      <c r="U32" s="863"/>
      <c r="V32" s="863"/>
      <c r="W32" s="863"/>
      <c r="X32" s="863"/>
      <c r="Y32" s="863"/>
      <c r="Z32" s="863"/>
      <c r="AA32" s="863"/>
      <c r="AB32" s="863"/>
      <c r="AC32" s="863"/>
      <c r="AD32" s="863"/>
      <c r="AE32" s="863"/>
      <c r="AF32" s="863"/>
      <c r="AG32" s="863"/>
      <c r="AH32" s="864"/>
    </row>
    <row r="33" spans="2:34" s="1" customFormat="1" ht="13.5" customHeight="1" x14ac:dyDescent="0.2">
      <c r="G33" s="865"/>
      <c r="H33" s="865"/>
      <c r="I33" s="865"/>
      <c r="J33" s="865"/>
      <c r="K33" s="865"/>
      <c r="L33" s="865"/>
      <c r="M33" s="865"/>
      <c r="N33" s="865"/>
      <c r="O33" s="865"/>
      <c r="P33" s="865"/>
      <c r="Q33" s="865"/>
      <c r="R33" s="865"/>
      <c r="S33" s="865"/>
      <c r="T33" s="865"/>
      <c r="U33" s="865"/>
      <c r="V33" s="865"/>
      <c r="W33" s="865"/>
      <c r="X33" s="865"/>
      <c r="Y33" s="865"/>
      <c r="Z33" s="865"/>
      <c r="AA33" s="865"/>
      <c r="AB33" s="865"/>
      <c r="AC33" s="865"/>
      <c r="AD33" s="865"/>
      <c r="AE33" s="865"/>
      <c r="AF33" s="865"/>
      <c r="AG33" s="865"/>
      <c r="AH33" s="865"/>
    </row>
    <row r="34" spans="2:34" s="1" customFormat="1" ht="20.100000000000001" customHeight="1" x14ac:dyDescent="0.2">
      <c r="B34" s="6" t="s">
        <v>1648</v>
      </c>
      <c r="C34" s="7"/>
      <c r="D34" s="7"/>
      <c r="E34" s="7"/>
      <c r="F34" s="7"/>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c r="AE34" s="866"/>
      <c r="AF34" s="866"/>
      <c r="AG34" s="866"/>
      <c r="AH34" s="867"/>
    </row>
    <row r="35" spans="2:34" s="1" customFormat="1" ht="20.100000000000001" customHeight="1" x14ac:dyDescent="0.2">
      <c r="B35" s="596"/>
      <c r="C35" s="1448" t="s">
        <v>1649</v>
      </c>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847"/>
      <c r="AG35" s="847"/>
      <c r="AH35" s="848"/>
    </row>
    <row r="36" spans="2:34" s="1" customFormat="1" ht="20.100000000000001" customHeight="1" x14ac:dyDescent="0.2">
      <c r="B36" s="595"/>
      <c r="C36" s="1354" t="s">
        <v>1637</v>
      </c>
      <c r="D36" s="1732"/>
      <c r="E36" s="1732"/>
      <c r="F36" s="1732"/>
      <c r="G36" s="1732"/>
      <c r="H36" s="1732"/>
      <c r="I36" s="1732"/>
      <c r="J36" s="1732"/>
      <c r="K36" s="1732"/>
      <c r="L36" s="1732"/>
      <c r="M36" s="1732"/>
      <c r="N36" s="1732"/>
      <c r="O36" s="1732"/>
      <c r="P36" s="1732"/>
      <c r="Q36" s="1732"/>
      <c r="R36" s="1732"/>
      <c r="S36" s="1732"/>
      <c r="T36" s="1732"/>
      <c r="U36" s="1732"/>
      <c r="V36" s="1732"/>
      <c r="W36" s="1732"/>
      <c r="X36" s="1732"/>
      <c r="Y36" s="1732"/>
      <c r="Z36" s="1732"/>
      <c r="AA36" s="1733" t="s">
        <v>1638</v>
      </c>
      <c r="AB36" s="1733"/>
      <c r="AC36" s="1733"/>
      <c r="AD36" s="1733"/>
      <c r="AE36" s="1733"/>
      <c r="AF36" s="1733"/>
      <c r="AG36" s="1733"/>
      <c r="AH36" s="868"/>
    </row>
    <row r="37" spans="2:34" s="1" customFormat="1" ht="20.100000000000001" customHeight="1" x14ac:dyDescent="0.2">
      <c r="B37" s="581"/>
      <c r="C37" s="1354"/>
      <c r="D37" s="1732"/>
      <c r="E37" s="1732"/>
      <c r="F37" s="1732"/>
      <c r="G37" s="1732"/>
      <c r="H37" s="1732"/>
      <c r="I37" s="1732"/>
      <c r="J37" s="1732"/>
      <c r="K37" s="1732"/>
      <c r="L37" s="1732"/>
      <c r="M37" s="1732"/>
      <c r="N37" s="1732"/>
      <c r="O37" s="1732"/>
      <c r="P37" s="1732"/>
      <c r="Q37" s="1732"/>
      <c r="R37" s="1732"/>
      <c r="S37" s="1732"/>
      <c r="T37" s="1732"/>
      <c r="U37" s="1732"/>
      <c r="V37" s="1732"/>
      <c r="W37" s="1732"/>
      <c r="X37" s="1732"/>
      <c r="Y37" s="1732"/>
      <c r="Z37" s="1732"/>
      <c r="AA37" s="843"/>
      <c r="AB37" s="856"/>
      <c r="AC37" s="856"/>
      <c r="AD37" s="856"/>
      <c r="AE37" s="856"/>
      <c r="AF37" s="856"/>
      <c r="AG37" s="869"/>
      <c r="AH37" s="868"/>
    </row>
    <row r="38" spans="2:34" s="1" customFormat="1" ht="9" customHeight="1" x14ac:dyDescent="0.2">
      <c r="B38" s="579"/>
      <c r="C38" s="859"/>
      <c r="D38" s="859"/>
      <c r="E38" s="859"/>
      <c r="F38" s="859"/>
      <c r="G38" s="859"/>
      <c r="H38" s="859"/>
      <c r="I38" s="859"/>
      <c r="J38" s="859"/>
      <c r="K38" s="859"/>
      <c r="L38" s="859"/>
      <c r="M38" s="859"/>
      <c r="N38" s="859"/>
      <c r="O38" s="859"/>
      <c r="P38" s="859"/>
      <c r="Q38" s="859"/>
      <c r="R38" s="859"/>
      <c r="S38" s="859"/>
      <c r="T38" s="859"/>
      <c r="U38" s="859"/>
      <c r="V38" s="859"/>
      <c r="W38" s="859"/>
      <c r="X38" s="859"/>
      <c r="Y38" s="859"/>
      <c r="Z38" s="859"/>
      <c r="AA38" s="850"/>
      <c r="AB38" s="850"/>
      <c r="AC38" s="850"/>
      <c r="AD38" s="850"/>
      <c r="AE38" s="850"/>
      <c r="AF38" s="850"/>
      <c r="AG38" s="847"/>
      <c r="AH38" s="848"/>
    </row>
    <row r="39" spans="2:34" s="1" customFormat="1" ht="20.100000000000001" customHeight="1" x14ac:dyDescent="0.2">
      <c r="B39" s="579"/>
      <c r="C39" s="1431" t="s">
        <v>1641</v>
      </c>
      <c r="D39" s="1568"/>
      <c r="E39" s="1568"/>
      <c r="F39" s="1568"/>
      <c r="G39" s="1568"/>
      <c r="H39" s="1568"/>
      <c r="I39" s="1568"/>
      <c r="J39" s="1568"/>
      <c r="K39" s="1568"/>
      <c r="L39" s="1568"/>
      <c r="M39" s="763" t="s">
        <v>116</v>
      </c>
      <c r="N39" s="1" t="s">
        <v>1642</v>
      </c>
      <c r="Q39" s="2"/>
      <c r="R39" s="2"/>
      <c r="S39" s="2"/>
      <c r="T39" s="2"/>
      <c r="U39" s="2"/>
      <c r="V39" s="2"/>
      <c r="W39" s="760" t="s">
        <v>116</v>
      </c>
      <c r="X39" s="1" t="s">
        <v>1643</v>
      </c>
      <c r="Y39"/>
      <c r="Z39"/>
      <c r="AA39" s="2"/>
      <c r="AB39" s="2"/>
      <c r="AC39" s="2"/>
      <c r="AD39" s="2"/>
      <c r="AE39" s="2"/>
      <c r="AF39" s="2"/>
      <c r="AG39" s="22"/>
      <c r="AH39" s="868"/>
    </row>
    <row r="40" spans="2:34" s="1" customFormat="1" ht="20.100000000000001" customHeight="1" x14ac:dyDescent="0.2">
      <c r="B40" s="579"/>
      <c r="C40" s="1620"/>
      <c r="D40" s="1621"/>
      <c r="E40" s="1621"/>
      <c r="F40" s="1621"/>
      <c r="G40" s="1621"/>
      <c r="H40" s="1621"/>
      <c r="I40" s="1621"/>
      <c r="J40" s="1621"/>
      <c r="K40" s="1621"/>
      <c r="L40" s="1621"/>
      <c r="M40" s="765" t="s">
        <v>116</v>
      </c>
      <c r="N40" s="8" t="s">
        <v>1644</v>
      </c>
      <c r="O40" s="8"/>
      <c r="P40" s="8"/>
      <c r="Q40" s="594"/>
      <c r="R40" s="594"/>
      <c r="S40" s="594"/>
      <c r="T40" s="594"/>
      <c r="U40" s="594"/>
      <c r="V40" s="594"/>
      <c r="W40" s="594"/>
      <c r="X40" s="594"/>
      <c r="Y40" s="849"/>
      <c r="Z40" s="8"/>
      <c r="AA40" s="594"/>
      <c r="AB40" s="858"/>
      <c r="AC40" s="858"/>
      <c r="AD40" s="858"/>
      <c r="AE40" s="858"/>
      <c r="AF40" s="858"/>
      <c r="AG40" s="594"/>
      <c r="AH40" s="868"/>
    </row>
    <row r="41" spans="2:34" s="1" customFormat="1" ht="9" customHeight="1" x14ac:dyDescent="0.2">
      <c r="B41" s="579"/>
      <c r="C41" s="870"/>
      <c r="D41" s="870"/>
      <c r="E41" s="870"/>
      <c r="F41" s="870"/>
      <c r="G41" s="870"/>
      <c r="H41" s="870"/>
      <c r="I41" s="870"/>
      <c r="J41" s="870"/>
      <c r="K41" s="870"/>
      <c r="L41" s="870"/>
      <c r="M41" s="760"/>
      <c r="Q41" s="2"/>
      <c r="R41" s="2"/>
      <c r="S41" s="2"/>
      <c r="T41" s="2"/>
      <c r="U41" s="2"/>
      <c r="V41" s="2"/>
      <c r="W41" s="2"/>
      <c r="X41" s="2"/>
      <c r="Y41" s="760"/>
      <c r="AA41" s="2"/>
      <c r="AB41" s="2"/>
      <c r="AC41" s="2"/>
      <c r="AD41" s="2"/>
      <c r="AE41" s="2"/>
      <c r="AF41" s="2"/>
      <c r="AG41" s="2"/>
      <c r="AH41" s="848"/>
    </row>
    <row r="42" spans="2:34" s="1" customFormat="1" ht="20.100000000000001" customHeight="1" x14ac:dyDescent="0.2">
      <c r="B42" s="596"/>
      <c r="C42" s="1732" t="s">
        <v>1650</v>
      </c>
      <c r="D42" s="1732"/>
      <c r="E42" s="1732"/>
      <c r="F42" s="1732"/>
      <c r="G42" s="1732"/>
      <c r="H42" s="1732"/>
      <c r="I42" s="1732"/>
      <c r="J42" s="1732"/>
      <c r="K42" s="1742"/>
      <c r="L42" s="1743"/>
      <c r="M42" s="1743"/>
      <c r="N42" s="1743"/>
      <c r="O42" s="1743"/>
      <c r="P42" s="1743"/>
      <c r="Q42" s="1743"/>
      <c r="R42" s="871" t="s">
        <v>34</v>
      </c>
      <c r="S42" s="1743"/>
      <c r="T42" s="1743"/>
      <c r="U42" s="1743"/>
      <c r="V42" s="1743"/>
      <c r="W42" s="1743"/>
      <c r="X42" s="1743"/>
      <c r="Y42" s="1743"/>
      <c r="Z42" s="871" t="s">
        <v>30</v>
      </c>
      <c r="AA42" s="1743"/>
      <c r="AB42" s="1743"/>
      <c r="AC42" s="1743"/>
      <c r="AD42" s="1743"/>
      <c r="AE42" s="1743"/>
      <c r="AF42" s="1743"/>
      <c r="AG42" s="872" t="s">
        <v>167</v>
      </c>
      <c r="AH42" s="873"/>
    </row>
    <row r="43" spans="2:34" s="1" customFormat="1" ht="10.5" customHeight="1" x14ac:dyDescent="0.2">
      <c r="B43" s="874"/>
      <c r="C43" s="859"/>
      <c r="D43" s="859"/>
      <c r="E43" s="859"/>
      <c r="F43" s="859"/>
      <c r="G43" s="859"/>
      <c r="H43" s="859"/>
      <c r="I43" s="859"/>
      <c r="J43" s="859"/>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876"/>
    </row>
    <row r="44" spans="2:34" s="1" customFormat="1" ht="6" customHeight="1" x14ac:dyDescent="0.2">
      <c r="B44" s="870"/>
      <c r="C44" s="870"/>
      <c r="D44" s="870"/>
      <c r="E44" s="870"/>
      <c r="F44" s="870"/>
      <c r="X44" s="877"/>
      <c r="Y44" s="877"/>
    </row>
    <row r="45" spans="2:34" s="1" customFormat="1" x14ac:dyDescent="0.2">
      <c r="B45" s="1653" t="s">
        <v>859</v>
      </c>
      <c r="C45" s="1653"/>
      <c r="D45" s="878" t="s">
        <v>1651</v>
      </c>
      <c r="E45" s="879"/>
      <c r="F45" s="879"/>
      <c r="G45" s="879"/>
      <c r="H45" s="879"/>
      <c r="I45" s="879"/>
      <c r="J45" s="879"/>
      <c r="K45" s="879"/>
      <c r="L45" s="879"/>
      <c r="M45" s="879"/>
      <c r="N45" s="879"/>
      <c r="O45" s="879"/>
      <c r="P45" s="879"/>
      <c r="Q45" s="879"/>
      <c r="R45" s="879"/>
      <c r="S45" s="879"/>
      <c r="T45" s="879"/>
      <c r="U45" s="879"/>
      <c r="V45" s="879"/>
      <c r="W45" s="879"/>
      <c r="X45" s="879"/>
      <c r="Y45" s="879"/>
      <c r="Z45" s="879"/>
      <c r="AA45" s="879"/>
      <c r="AB45" s="879"/>
      <c r="AC45" s="879"/>
      <c r="AD45" s="879"/>
      <c r="AE45" s="879"/>
      <c r="AF45" s="879"/>
      <c r="AG45" s="879"/>
      <c r="AH45" s="879"/>
    </row>
    <row r="46" spans="2:34" s="1" customFormat="1" ht="13.5" customHeight="1" x14ac:dyDescent="0.2">
      <c r="B46" s="1653" t="s">
        <v>1652</v>
      </c>
      <c r="C46" s="1653"/>
      <c r="D46" s="1617" t="s">
        <v>1653</v>
      </c>
      <c r="E46" s="1617"/>
      <c r="F46" s="1617"/>
      <c r="G46" s="1617"/>
      <c r="H46" s="1617"/>
      <c r="I46" s="1617"/>
      <c r="J46" s="1617"/>
      <c r="K46" s="1617"/>
      <c r="L46" s="1617"/>
      <c r="M46" s="1617"/>
      <c r="N46" s="1617"/>
      <c r="O46" s="1617"/>
      <c r="P46" s="1617"/>
      <c r="Q46" s="1617"/>
      <c r="R46" s="1617"/>
      <c r="S46" s="1617"/>
      <c r="T46" s="1617"/>
      <c r="U46" s="1617"/>
      <c r="V46" s="1617"/>
      <c r="W46" s="1617"/>
      <c r="X46" s="1617"/>
      <c r="Y46" s="1617"/>
      <c r="Z46" s="1617"/>
      <c r="AA46" s="1617"/>
      <c r="AB46" s="1617"/>
      <c r="AC46" s="1617"/>
      <c r="AD46" s="1617"/>
      <c r="AE46" s="1617"/>
      <c r="AF46" s="1617"/>
      <c r="AG46" s="1617"/>
      <c r="AH46" s="1617"/>
    </row>
    <row r="47" spans="2:34" s="1" customFormat="1" ht="13.5" customHeight="1" x14ac:dyDescent="0.2">
      <c r="B47" s="880"/>
      <c r="C47" s="880"/>
      <c r="D47" s="1617"/>
      <c r="E47" s="1617"/>
      <c r="F47" s="1617"/>
      <c r="G47" s="1617"/>
      <c r="H47" s="1617"/>
      <c r="I47" s="1617"/>
      <c r="J47" s="1617"/>
      <c r="K47" s="1617"/>
      <c r="L47" s="1617"/>
      <c r="M47" s="1617"/>
      <c r="N47" s="1617"/>
      <c r="O47" s="1617"/>
      <c r="P47" s="1617"/>
      <c r="Q47" s="1617"/>
      <c r="R47" s="1617"/>
      <c r="S47" s="1617"/>
      <c r="T47" s="1617"/>
      <c r="U47" s="1617"/>
      <c r="V47" s="1617"/>
      <c r="W47" s="1617"/>
      <c r="X47" s="1617"/>
      <c r="Y47" s="1617"/>
      <c r="Z47" s="1617"/>
      <c r="AA47" s="1617"/>
      <c r="AB47" s="1617"/>
      <c r="AC47" s="1617"/>
      <c r="AD47" s="1617"/>
      <c r="AE47" s="1617"/>
      <c r="AF47" s="1617"/>
      <c r="AG47" s="1617"/>
      <c r="AH47" s="1617"/>
    </row>
    <row r="48" spans="2:34" s="1" customFormat="1" x14ac:dyDescent="0.2">
      <c r="B48" s="1653" t="s">
        <v>1654</v>
      </c>
      <c r="C48" s="1653"/>
      <c r="D48" s="881" t="s">
        <v>1655</v>
      </c>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row>
    <row r="49" spans="1:37" ht="13.5" customHeight="1" x14ac:dyDescent="0.2">
      <c r="B49" s="1653" t="s">
        <v>1656</v>
      </c>
      <c r="C49" s="1653"/>
      <c r="D49" s="1617" t="s">
        <v>1657</v>
      </c>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row>
    <row r="50" spans="1:37" s="14" customFormat="1" ht="25.2" customHeight="1" x14ac:dyDescent="0.2">
      <c r="B50" s="12"/>
      <c r="C50" s="2"/>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row>
    <row r="51" spans="1:37" s="14" customFormat="1" ht="13.5" customHeight="1" x14ac:dyDescent="0.2">
      <c r="A51"/>
      <c r="B51" s="883" t="s">
        <v>1658</v>
      </c>
      <c r="C51" s="883"/>
      <c r="D51" s="1741" t="s">
        <v>1659</v>
      </c>
      <c r="E51" s="1741"/>
      <c r="F51" s="1741"/>
      <c r="G51" s="1741"/>
      <c r="H51" s="1741"/>
      <c r="I51" s="1741"/>
      <c r="J51" s="1741"/>
      <c r="K51" s="1741"/>
      <c r="L51" s="1741"/>
      <c r="M51" s="1741"/>
      <c r="N51" s="1741"/>
      <c r="O51" s="1741"/>
      <c r="P51" s="1741"/>
      <c r="Q51" s="1741"/>
      <c r="R51" s="1741"/>
      <c r="S51" s="1741"/>
      <c r="T51" s="1741"/>
      <c r="U51" s="1741"/>
      <c r="V51" s="1741"/>
      <c r="W51" s="1741"/>
      <c r="X51" s="1741"/>
      <c r="Y51" s="1741"/>
      <c r="Z51" s="1741"/>
      <c r="AA51" s="1741"/>
      <c r="AB51" s="1741"/>
      <c r="AC51" s="1741"/>
      <c r="AD51" s="1741"/>
      <c r="AE51" s="1741"/>
      <c r="AF51" s="1741"/>
      <c r="AG51" s="1741"/>
      <c r="AH51" s="1741"/>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pageMargins left="0.7" right="0.7" top="0.75" bottom="0.75" header="0.3" footer="0.3"/>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5614FE6-DAD5-419B-9F9B-9307220E140A}">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083B-6B20-44E2-A8B2-DCCBB132B096}">
  <sheetPr>
    <tabColor rgb="FFFFFF00"/>
    <pageSetUpPr fitToPage="1"/>
  </sheetPr>
  <dimension ref="A2:Y122"/>
  <sheetViews>
    <sheetView view="pageBreakPreview" zoomScale="70" zoomScaleNormal="100" zoomScaleSheetLayoutView="70" workbookViewId="0"/>
  </sheetViews>
  <sheetFormatPr defaultColWidth="3.44140625" defaultRowHeight="13.2" x14ac:dyDescent="0.2"/>
  <cols>
    <col min="1" max="1" width="2.33203125" style="3" customWidth="1"/>
    <col min="2" max="2" width="3" style="598" customWidth="1"/>
    <col min="3" max="7" width="3.44140625" style="3"/>
    <col min="8" max="24" width="4.44140625" style="3" customWidth="1"/>
    <col min="25" max="25" width="5.109375" style="3" customWidth="1"/>
    <col min="26" max="26" width="1.21875" style="3" customWidth="1"/>
    <col min="27"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x14ac:dyDescent="0.2">
      <c r="B2" s="3" t="s">
        <v>1557</v>
      </c>
    </row>
    <row r="4" spans="2:25" x14ac:dyDescent="0.2">
      <c r="B4" s="1548" t="s">
        <v>814</v>
      </c>
      <c r="C4" s="1548"/>
      <c r="D4" s="1548"/>
      <c r="E4" s="1548"/>
      <c r="F4" s="1548"/>
      <c r="G4" s="1548"/>
      <c r="H4" s="1548"/>
      <c r="I4" s="1548"/>
      <c r="J4" s="1548"/>
      <c r="K4" s="1548"/>
      <c r="L4" s="1548"/>
      <c r="M4" s="1548"/>
      <c r="N4" s="1548"/>
      <c r="O4" s="1548"/>
      <c r="P4" s="1548"/>
      <c r="Q4" s="1548"/>
      <c r="R4" s="1548"/>
      <c r="S4" s="1548"/>
      <c r="T4" s="1548"/>
      <c r="U4" s="1548"/>
      <c r="V4" s="1548"/>
      <c r="W4" s="1548"/>
      <c r="X4" s="1548"/>
      <c r="Y4" s="1548"/>
    </row>
    <row r="6" spans="2:25" ht="30" customHeight="1" x14ac:dyDescent="0.2">
      <c r="B6" s="573">
        <v>1</v>
      </c>
      <c r="C6" s="759" t="s">
        <v>92</v>
      </c>
      <c r="D6" s="16"/>
      <c r="E6" s="16"/>
      <c r="F6" s="16"/>
      <c r="G6" s="17"/>
      <c r="H6" s="1549"/>
      <c r="I6" s="1550"/>
      <c r="J6" s="1550"/>
      <c r="K6" s="1550"/>
      <c r="L6" s="1550"/>
      <c r="M6" s="1550"/>
      <c r="N6" s="1550"/>
      <c r="O6" s="1550"/>
      <c r="P6" s="1550"/>
      <c r="Q6" s="1550"/>
      <c r="R6" s="1550"/>
      <c r="S6" s="1550"/>
      <c r="T6" s="1550"/>
      <c r="U6" s="1550"/>
      <c r="V6" s="1550"/>
      <c r="W6" s="1550"/>
      <c r="X6" s="1550"/>
      <c r="Y6" s="1551"/>
    </row>
    <row r="7" spans="2:25" ht="30" customHeight="1" x14ac:dyDescent="0.2">
      <c r="B7" s="573">
        <v>2</v>
      </c>
      <c r="C7" s="759" t="s">
        <v>62</v>
      </c>
      <c r="D7" s="759"/>
      <c r="E7" s="759"/>
      <c r="F7" s="759"/>
      <c r="G7" s="785"/>
      <c r="H7" s="758" t="s">
        <v>116</v>
      </c>
      <c r="I7" s="759" t="s">
        <v>1174</v>
      </c>
      <c r="J7" s="759"/>
      <c r="K7" s="759"/>
      <c r="L7" s="759"/>
      <c r="M7" s="786" t="s">
        <v>116</v>
      </c>
      <c r="N7" s="759" t="s">
        <v>1175</v>
      </c>
      <c r="O7" s="759"/>
      <c r="P7" s="759"/>
      <c r="Q7" s="759"/>
      <c r="R7" s="786" t="s">
        <v>116</v>
      </c>
      <c r="S7" s="759" t="s">
        <v>1176</v>
      </c>
      <c r="T7" s="759"/>
      <c r="U7" s="759"/>
      <c r="V7" s="759"/>
      <c r="W7" s="759"/>
      <c r="X7" s="759"/>
      <c r="Y7" s="785"/>
    </row>
    <row r="8" spans="2:25" ht="30" customHeight="1" x14ac:dyDescent="0.2">
      <c r="B8" s="576">
        <v>3</v>
      </c>
      <c r="C8" s="2" t="s">
        <v>63</v>
      </c>
      <c r="D8" s="2"/>
      <c r="E8" s="2"/>
      <c r="F8" s="2"/>
      <c r="G8" s="583"/>
      <c r="H8" s="760" t="s">
        <v>116</v>
      </c>
      <c r="I8" s="1" t="s">
        <v>1558</v>
      </c>
      <c r="J8" s="2"/>
      <c r="K8" s="2"/>
      <c r="L8" s="2"/>
      <c r="M8" s="2"/>
      <c r="N8" s="2"/>
      <c r="O8" s="2"/>
      <c r="P8" s="760" t="s">
        <v>116</v>
      </c>
      <c r="Q8" s="1" t="s">
        <v>1559</v>
      </c>
      <c r="R8" s="2"/>
      <c r="S8" s="2"/>
      <c r="T8" s="2"/>
      <c r="U8" s="2"/>
      <c r="V8" s="2"/>
      <c r="W8" s="2"/>
      <c r="X8" s="2"/>
      <c r="Y8" s="583"/>
    </row>
    <row r="9" spans="2:25" ht="30" customHeight="1" x14ac:dyDescent="0.2">
      <c r="B9" s="576"/>
      <c r="C9" s="2"/>
      <c r="D9" s="2"/>
      <c r="E9" s="2"/>
      <c r="F9" s="2"/>
      <c r="G9" s="583"/>
      <c r="H9" s="760" t="s">
        <v>116</v>
      </c>
      <c r="I9" s="1" t="s">
        <v>1560</v>
      </c>
      <c r="J9" s="787"/>
      <c r="K9" s="787"/>
      <c r="L9" s="787"/>
      <c r="M9" s="787"/>
      <c r="N9" s="2"/>
      <c r="O9" s="2"/>
      <c r="P9" s="760" t="s">
        <v>116</v>
      </c>
      <c r="Q9" s="1" t="s">
        <v>1561</v>
      </c>
      <c r="R9" s="2"/>
      <c r="S9" s="2"/>
      <c r="T9" s="2"/>
      <c r="U9" s="2"/>
      <c r="V9" s="2"/>
      <c r="W9" s="2"/>
      <c r="X9" s="2"/>
      <c r="Y9" s="583"/>
    </row>
    <row r="10" spans="2:25" x14ac:dyDescent="0.2">
      <c r="B10" s="566"/>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788">
        <v>4</v>
      </c>
      <c r="C11" s="1552" t="s">
        <v>815</v>
      </c>
      <c r="D11" s="1552"/>
      <c r="E11" s="1552"/>
      <c r="F11" s="1552"/>
      <c r="G11" s="1553"/>
      <c r="H11" s="579" t="s">
        <v>816</v>
      </c>
      <c r="I11" s="2"/>
      <c r="Y11" s="404"/>
    </row>
    <row r="12" spans="2:25" ht="19.5" customHeight="1" x14ac:dyDescent="0.2">
      <c r="B12" s="789"/>
      <c r="G12" s="404"/>
      <c r="H12" s="762"/>
      <c r="I12" s="2" t="s">
        <v>817</v>
      </c>
      <c r="J12" s="2"/>
      <c r="K12" s="2"/>
      <c r="L12" s="2"/>
      <c r="M12" s="2"/>
      <c r="N12" s="2"/>
      <c r="O12" s="2"/>
      <c r="P12" s="2"/>
      <c r="Q12" s="2"/>
      <c r="R12" s="2"/>
      <c r="S12" s="2"/>
      <c r="T12" s="2"/>
      <c r="U12" s="2"/>
      <c r="Y12" s="404"/>
    </row>
    <row r="13" spans="2:25" ht="12" customHeight="1" x14ac:dyDescent="0.2">
      <c r="B13" s="789"/>
      <c r="G13" s="404"/>
      <c r="H13" s="762"/>
      <c r="I13" s="1554" t="s">
        <v>64</v>
      </c>
      <c r="J13" s="1554"/>
      <c r="K13" s="1554"/>
      <c r="L13" s="1554"/>
      <c r="M13" s="1554"/>
      <c r="N13" s="1554"/>
      <c r="O13" s="1554"/>
      <c r="P13" s="1554"/>
      <c r="Q13" s="1332" t="s">
        <v>65</v>
      </c>
      <c r="R13" s="1333"/>
      <c r="S13" s="1333"/>
      <c r="T13" s="1333"/>
      <c r="U13" s="1333"/>
      <c r="V13" s="1333"/>
      <c r="W13" s="1334"/>
      <c r="Y13" s="404"/>
    </row>
    <row r="14" spans="2:25" ht="12" customHeight="1" x14ac:dyDescent="0.2">
      <c r="B14" s="789"/>
      <c r="G14" s="404"/>
      <c r="H14" s="762"/>
      <c r="I14" s="1554"/>
      <c r="J14" s="1554"/>
      <c r="K14" s="1554"/>
      <c r="L14" s="1554"/>
      <c r="M14" s="1554"/>
      <c r="N14" s="1554"/>
      <c r="O14" s="1554"/>
      <c r="P14" s="1554"/>
      <c r="Q14" s="1335"/>
      <c r="R14" s="1336"/>
      <c r="S14" s="1336"/>
      <c r="T14" s="1336"/>
      <c r="U14" s="1336"/>
      <c r="V14" s="1336"/>
      <c r="W14" s="1337"/>
      <c r="Y14" s="404"/>
    </row>
    <row r="15" spans="2:25" ht="12" customHeight="1" x14ac:dyDescent="0.2">
      <c r="B15" s="789"/>
      <c r="G15" s="404"/>
      <c r="H15" s="762"/>
      <c r="I15" s="1554" t="s">
        <v>69</v>
      </c>
      <c r="J15" s="1554"/>
      <c r="K15" s="1554"/>
      <c r="L15" s="1554"/>
      <c r="M15" s="1554"/>
      <c r="N15" s="1554"/>
      <c r="O15" s="1554"/>
      <c r="P15" s="1554"/>
      <c r="Q15" s="1557"/>
      <c r="R15" s="1558"/>
      <c r="S15" s="1558"/>
      <c r="T15" s="1558"/>
      <c r="U15" s="1558"/>
      <c r="V15" s="1558"/>
      <c r="W15" s="1559"/>
      <c r="Y15" s="404"/>
    </row>
    <row r="16" spans="2:25" ht="12" customHeight="1" x14ac:dyDescent="0.2">
      <c r="B16" s="789"/>
      <c r="G16" s="404"/>
      <c r="H16" s="762"/>
      <c r="I16" s="1554"/>
      <c r="J16" s="1554"/>
      <c r="K16" s="1554"/>
      <c r="L16" s="1554"/>
      <c r="M16" s="1554"/>
      <c r="N16" s="1554"/>
      <c r="O16" s="1554"/>
      <c r="P16" s="1554"/>
      <c r="Q16" s="1560"/>
      <c r="R16" s="1561"/>
      <c r="S16" s="1561"/>
      <c r="T16" s="1561"/>
      <c r="U16" s="1561"/>
      <c r="V16" s="1561"/>
      <c r="W16" s="1562"/>
      <c r="Y16" s="404"/>
    </row>
    <row r="17" spans="2:25" ht="12" customHeight="1" x14ac:dyDescent="0.2">
      <c r="B17" s="789"/>
      <c r="G17" s="404"/>
      <c r="H17" s="762"/>
      <c r="I17" s="1554" t="s">
        <v>101</v>
      </c>
      <c r="J17" s="1554"/>
      <c r="K17" s="1554"/>
      <c r="L17" s="1554"/>
      <c r="M17" s="1554"/>
      <c r="N17" s="1554"/>
      <c r="O17" s="1554"/>
      <c r="P17" s="1554"/>
      <c r="Q17" s="1557"/>
      <c r="R17" s="1558"/>
      <c r="S17" s="1558"/>
      <c r="T17" s="1558"/>
      <c r="U17" s="1558"/>
      <c r="V17" s="1558"/>
      <c r="W17" s="1559"/>
      <c r="Y17" s="404"/>
    </row>
    <row r="18" spans="2:25" ht="12" customHeight="1" x14ac:dyDescent="0.2">
      <c r="B18" s="789"/>
      <c r="G18" s="404"/>
      <c r="H18" s="762"/>
      <c r="I18" s="1554"/>
      <c r="J18" s="1554"/>
      <c r="K18" s="1554"/>
      <c r="L18" s="1554"/>
      <c r="M18" s="1554"/>
      <c r="N18" s="1554"/>
      <c r="O18" s="1554"/>
      <c r="P18" s="1554"/>
      <c r="Q18" s="1560"/>
      <c r="R18" s="1561"/>
      <c r="S18" s="1561"/>
      <c r="T18" s="1561"/>
      <c r="U18" s="1561"/>
      <c r="V18" s="1561"/>
      <c r="W18" s="1562"/>
      <c r="Y18" s="404"/>
    </row>
    <row r="19" spans="2:25" ht="12" customHeight="1" x14ac:dyDescent="0.2">
      <c r="B19" s="789"/>
      <c r="G19" s="404"/>
      <c r="H19" s="762"/>
      <c r="I19" s="1554" t="s">
        <v>66</v>
      </c>
      <c r="J19" s="1554"/>
      <c r="K19" s="1554"/>
      <c r="L19" s="1554"/>
      <c r="M19" s="1554"/>
      <c r="N19" s="1554"/>
      <c r="O19" s="1554"/>
      <c r="P19" s="1554"/>
      <c r="Q19" s="1557"/>
      <c r="R19" s="1558"/>
      <c r="S19" s="1558"/>
      <c r="T19" s="1558"/>
      <c r="U19" s="1558"/>
      <c r="V19" s="1558"/>
      <c r="W19" s="1559"/>
      <c r="Y19" s="404"/>
    </row>
    <row r="20" spans="2:25" ht="12" customHeight="1" x14ac:dyDescent="0.2">
      <c r="B20" s="789"/>
      <c r="G20" s="404"/>
      <c r="H20" s="762"/>
      <c r="I20" s="1554"/>
      <c r="J20" s="1554"/>
      <c r="K20" s="1554"/>
      <c r="L20" s="1554"/>
      <c r="M20" s="1554"/>
      <c r="N20" s="1554"/>
      <c r="O20" s="1554"/>
      <c r="P20" s="1554"/>
      <c r="Q20" s="1560"/>
      <c r="R20" s="1561"/>
      <c r="S20" s="1561"/>
      <c r="T20" s="1561"/>
      <c r="U20" s="1561"/>
      <c r="V20" s="1561"/>
      <c r="W20" s="1562"/>
      <c r="Y20" s="404"/>
    </row>
    <row r="21" spans="2:25" ht="12" customHeight="1" x14ac:dyDescent="0.2">
      <c r="B21" s="789"/>
      <c r="G21" s="404"/>
      <c r="H21" s="762"/>
      <c r="I21" s="1554" t="s">
        <v>68</v>
      </c>
      <c r="J21" s="1554"/>
      <c r="K21" s="1554"/>
      <c r="L21" s="1554"/>
      <c r="M21" s="1554"/>
      <c r="N21" s="1554"/>
      <c r="O21" s="1554"/>
      <c r="P21" s="1554"/>
      <c r="Q21" s="1557"/>
      <c r="R21" s="1558"/>
      <c r="S21" s="1558"/>
      <c r="T21" s="1558"/>
      <c r="U21" s="1558"/>
      <c r="V21" s="1558"/>
      <c r="W21" s="1559"/>
      <c r="Y21" s="404"/>
    </row>
    <row r="22" spans="2:25" ht="12" customHeight="1" x14ac:dyDescent="0.2">
      <c r="B22" s="789"/>
      <c r="G22" s="404"/>
      <c r="H22" s="762"/>
      <c r="I22" s="1554"/>
      <c r="J22" s="1554"/>
      <c r="K22" s="1554"/>
      <c r="L22" s="1554"/>
      <c r="M22" s="1554"/>
      <c r="N22" s="1554"/>
      <c r="O22" s="1554"/>
      <c r="P22" s="1554"/>
      <c r="Q22" s="1560"/>
      <c r="R22" s="1561"/>
      <c r="S22" s="1561"/>
      <c r="T22" s="1561"/>
      <c r="U22" s="1561"/>
      <c r="V22" s="1561"/>
      <c r="W22" s="1562"/>
      <c r="Y22" s="404"/>
    </row>
    <row r="23" spans="2:25" ht="12" customHeight="1" x14ac:dyDescent="0.2">
      <c r="B23" s="789"/>
      <c r="G23" s="404"/>
      <c r="H23" s="762"/>
      <c r="I23" s="1332" t="s">
        <v>67</v>
      </c>
      <c r="J23" s="1333"/>
      <c r="K23" s="1333"/>
      <c r="L23" s="1333"/>
      <c r="M23" s="1333"/>
      <c r="N23" s="1333"/>
      <c r="O23" s="1333"/>
      <c r="P23" s="1334"/>
      <c r="Q23" s="1557"/>
      <c r="R23" s="1558"/>
      <c r="S23" s="1558"/>
      <c r="T23" s="1558"/>
      <c r="U23" s="1558"/>
      <c r="V23" s="1558"/>
      <c r="W23" s="1559"/>
      <c r="Y23" s="404"/>
    </row>
    <row r="24" spans="2:25" ht="12" customHeight="1" x14ac:dyDescent="0.2">
      <c r="B24" s="789"/>
      <c r="G24" s="404"/>
      <c r="H24" s="762"/>
      <c r="I24" s="1335"/>
      <c r="J24" s="1336"/>
      <c r="K24" s="1336"/>
      <c r="L24" s="1336"/>
      <c r="M24" s="1336"/>
      <c r="N24" s="1336"/>
      <c r="O24" s="1336"/>
      <c r="P24" s="1337"/>
      <c r="Q24" s="1560"/>
      <c r="R24" s="1561"/>
      <c r="S24" s="1561"/>
      <c r="T24" s="1561"/>
      <c r="U24" s="1561"/>
      <c r="V24" s="1561"/>
      <c r="W24" s="1562"/>
      <c r="Y24" s="404"/>
    </row>
    <row r="25" spans="2:25" ht="12" customHeight="1" x14ac:dyDescent="0.2">
      <c r="B25" s="789"/>
      <c r="G25" s="404"/>
      <c r="H25" s="762"/>
      <c r="I25" s="1332"/>
      <c r="J25" s="1333"/>
      <c r="K25" s="1333"/>
      <c r="L25" s="1333"/>
      <c r="M25" s="1333"/>
      <c r="N25" s="1333"/>
      <c r="O25" s="1333"/>
      <c r="P25" s="1334"/>
      <c r="Q25" s="1557"/>
      <c r="R25" s="1558"/>
      <c r="S25" s="1558"/>
      <c r="T25" s="1558"/>
      <c r="U25" s="1558"/>
      <c r="V25" s="1558"/>
      <c r="W25" s="1559"/>
      <c r="Y25" s="404"/>
    </row>
    <row r="26" spans="2:25" ht="12" customHeight="1" x14ac:dyDescent="0.2">
      <c r="B26" s="789"/>
      <c r="G26" s="404"/>
      <c r="H26" s="762"/>
      <c r="I26" s="1335"/>
      <c r="J26" s="1336"/>
      <c r="K26" s="1336"/>
      <c r="L26" s="1336"/>
      <c r="M26" s="1336"/>
      <c r="N26" s="1336"/>
      <c r="O26" s="1336"/>
      <c r="P26" s="1337"/>
      <c r="Q26" s="1560"/>
      <c r="R26" s="1561"/>
      <c r="S26" s="1561"/>
      <c r="T26" s="1561"/>
      <c r="U26" s="1561"/>
      <c r="V26" s="1561"/>
      <c r="W26" s="1562"/>
      <c r="Y26" s="404"/>
    </row>
    <row r="27" spans="2:25" ht="12" customHeight="1" x14ac:dyDescent="0.2">
      <c r="B27" s="789"/>
      <c r="G27" s="404"/>
      <c r="H27" s="762"/>
      <c r="I27" s="1554"/>
      <c r="J27" s="1554"/>
      <c r="K27" s="1554"/>
      <c r="L27" s="1554"/>
      <c r="M27" s="1554"/>
      <c r="N27" s="1554"/>
      <c r="O27" s="1554"/>
      <c r="P27" s="1554"/>
      <c r="Q27" s="1557"/>
      <c r="R27" s="1558"/>
      <c r="S27" s="1558"/>
      <c r="T27" s="1558"/>
      <c r="U27" s="1558"/>
      <c r="V27" s="1558"/>
      <c r="W27" s="1559"/>
      <c r="Y27" s="404"/>
    </row>
    <row r="28" spans="2:25" s="584" customFormat="1" ht="12" customHeight="1" x14ac:dyDescent="0.2">
      <c r="B28" s="789"/>
      <c r="C28" s="3"/>
      <c r="D28" s="3"/>
      <c r="E28" s="3"/>
      <c r="F28" s="3"/>
      <c r="G28" s="404"/>
      <c r="H28" s="586"/>
      <c r="I28" s="1554"/>
      <c r="J28" s="1554"/>
      <c r="K28" s="1554"/>
      <c r="L28" s="1554"/>
      <c r="M28" s="1554"/>
      <c r="N28" s="1554"/>
      <c r="O28" s="1554"/>
      <c r="P28" s="1554"/>
      <c r="Q28" s="1560"/>
      <c r="R28" s="1561"/>
      <c r="S28" s="1561"/>
      <c r="T28" s="1561"/>
      <c r="U28" s="1561"/>
      <c r="V28" s="1561"/>
      <c r="W28" s="1562"/>
      <c r="Y28" s="585"/>
    </row>
    <row r="29" spans="2:25" ht="15" customHeight="1" x14ac:dyDescent="0.2">
      <c r="B29" s="789"/>
      <c r="G29" s="404"/>
      <c r="H29" s="762"/>
      <c r="I29" s="2"/>
      <c r="J29" s="2"/>
      <c r="K29" s="2"/>
      <c r="L29" s="2"/>
      <c r="M29" s="2"/>
      <c r="N29" s="2"/>
      <c r="O29" s="2"/>
      <c r="P29" s="2"/>
      <c r="Q29" s="2"/>
      <c r="R29" s="2"/>
      <c r="S29" s="2"/>
      <c r="T29" s="2"/>
      <c r="U29" s="2"/>
      <c r="Y29" s="578"/>
    </row>
    <row r="30" spans="2:25" ht="20.25" customHeight="1" x14ac:dyDescent="0.2">
      <c r="B30" s="789"/>
      <c r="G30" s="404"/>
      <c r="H30" s="579" t="s">
        <v>818</v>
      </c>
      <c r="I30" s="2"/>
      <c r="J30" s="2"/>
      <c r="K30" s="2"/>
      <c r="L30" s="2"/>
      <c r="M30" s="2"/>
      <c r="N30" s="2"/>
      <c r="O30" s="2"/>
      <c r="P30" s="2"/>
      <c r="Q30" s="2"/>
      <c r="R30" s="2"/>
      <c r="S30" s="2"/>
      <c r="T30" s="2"/>
      <c r="U30" s="2"/>
      <c r="Y30" s="578"/>
    </row>
    <row r="31" spans="2:25" ht="9.75" customHeight="1" x14ac:dyDescent="0.2">
      <c r="B31" s="789"/>
      <c r="G31" s="404"/>
      <c r="H31" s="579"/>
      <c r="I31" s="2"/>
      <c r="J31" s="2"/>
      <c r="K31" s="2"/>
      <c r="L31" s="2"/>
      <c r="M31" s="2"/>
      <c r="N31" s="2"/>
      <c r="O31" s="2"/>
      <c r="P31" s="2"/>
      <c r="Q31" s="2"/>
      <c r="R31" s="2"/>
      <c r="S31" s="2"/>
      <c r="T31" s="2"/>
      <c r="U31" s="2"/>
      <c r="Y31" s="578"/>
    </row>
    <row r="32" spans="2:25" ht="22.5" customHeight="1" x14ac:dyDescent="0.2">
      <c r="B32" s="789"/>
      <c r="G32" s="404"/>
      <c r="H32" s="762"/>
      <c r="I32" s="1443" t="s">
        <v>819</v>
      </c>
      <c r="J32" s="1433"/>
      <c r="K32" s="1433"/>
      <c r="L32" s="1433"/>
      <c r="M32" s="1433"/>
      <c r="N32" s="1433"/>
      <c r="O32" s="1433"/>
      <c r="P32" s="1433"/>
      <c r="Q32" s="1433"/>
      <c r="R32" s="1434"/>
      <c r="S32" s="1332"/>
      <c r="T32" s="1333"/>
      <c r="U32" s="1334" t="s">
        <v>89</v>
      </c>
      <c r="Y32" s="404"/>
    </row>
    <row r="33" spans="1:25" ht="22.5" customHeight="1" x14ac:dyDescent="0.2">
      <c r="B33" s="789"/>
      <c r="G33" s="404"/>
      <c r="H33" s="762"/>
      <c r="I33" s="1447"/>
      <c r="J33" s="1448"/>
      <c r="K33" s="1448"/>
      <c r="L33" s="1448"/>
      <c r="M33" s="1448"/>
      <c r="N33" s="1448"/>
      <c r="O33" s="1448"/>
      <c r="P33" s="1448"/>
      <c r="Q33" s="1448"/>
      <c r="R33" s="1449"/>
      <c r="S33" s="1335"/>
      <c r="T33" s="1336"/>
      <c r="U33" s="1337"/>
      <c r="Y33" s="404"/>
    </row>
    <row r="34" spans="1:25" ht="11.25" customHeight="1" x14ac:dyDescent="0.2">
      <c r="B34" s="789"/>
      <c r="G34" s="404"/>
      <c r="H34" s="579"/>
      <c r="I34" s="2"/>
      <c r="J34" s="2"/>
      <c r="K34" s="2"/>
      <c r="L34" s="2"/>
      <c r="M34" s="2"/>
      <c r="N34" s="2"/>
      <c r="O34" s="2"/>
      <c r="P34" s="2"/>
      <c r="Q34" s="2"/>
      <c r="R34" s="2"/>
      <c r="S34" s="2"/>
      <c r="T34" s="2"/>
      <c r="U34" s="2"/>
      <c r="Y34" s="578"/>
    </row>
    <row r="35" spans="1:25" ht="27.75" customHeight="1" x14ac:dyDescent="0.2">
      <c r="B35" s="789"/>
      <c r="G35" s="404"/>
      <c r="H35" s="762"/>
      <c r="I35" s="1443" t="s">
        <v>820</v>
      </c>
      <c r="J35" s="1433"/>
      <c r="K35" s="1433"/>
      <c r="L35" s="1433"/>
      <c r="M35" s="1433"/>
      <c r="N35" s="1433"/>
      <c r="O35" s="1433"/>
      <c r="P35" s="1433"/>
      <c r="Q35" s="1433"/>
      <c r="R35" s="1434"/>
      <c r="S35" s="1332"/>
      <c r="T35" s="1333"/>
      <c r="U35" s="1334" t="s">
        <v>89</v>
      </c>
      <c r="V35" s="1555" t="s">
        <v>279</v>
      </c>
      <c r="W35" s="1574" t="s">
        <v>821</v>
      </c>
      <c r="X35" s="1574"/>
      <c r="Y35" s="1639"/>
    </row>
    <row r="36" spans="1:25" ht="21.75" customHeight="1" x14ac:dyDescent="0.2">
      <c r="B36" s="789"/>
      <c r="G36" s="404"/>
      <c r="H36" s="762"/>
      <c r="I36" s="1447"/>
      <c r="J36" s="1448"/>
      <c r="K36" s="1448"/>
      <c r="L36" s="1448"/>
      <c r="M36" s="1448"/>
      <c r="N36" s="1448"/>
      <c r="O36" s="1448"/>
      <c r="P36" s="1448"/>
      <c r="Q36" s="1448"/>
      <c r="R36" s="1449"/>
      <c r="S36" s="1335"/>
      <c r="T36" s="1336"/>
      <c r="U36" s="1337"/>
      <c r="V36" s="1555"/>
      <c r="W36" s="1574"/>
      <c r="X36" s="1574"/>
      <c r="Y36" s="1639"/>
    </row>
    <row r="37" spans="1:25" ht="21.75" customHeight="1" x14ac:dyDescent="0.2">
      <c r="B37" s="789"/>
      <c r="G37" s="404"/>
      <c r="I37" s="572"/>
      <c r="J37" s="572"/>
      <c r="K37" s="572"/>
      <c r="L37" s="572"/>
      <c r="M37" s="572"/>
      <c r="N37" s="572"/>
      <c r="O37" s="572"/>
      <c r="P37" s="572"/>
      <c r="Q37" s="572"/>
      <c r="R37" s="572"/>
      <c r="S37" s="790"/>
      <c r="T37" s="790"/>
      <c r="U37" s="790"/>
      <c r="V37" s="12"/>
      <c r="W37" s="1448" t="s">
        <v>822</v>
      </c>
      <c r="X37" s="1448"/>
      <c r="Y37" s="1449"/>
    </row>
    <row r="38" spans="1:25" ht="21.75" customHeight="1" x14ac:dyDescent="0.2">
      <c r="A38" s="404"/>
      <c r="H38" s="791"/>
      <c r="I38" s="1463" t="s">
        <v>823</v>
      </c>
      <c r="J38" s="1463"/>
      <c r="K38" s="1463"/>
      <c r="L38" s="1463"/>
      <c r="M38" s="1463"/>
      <c r="N38" s="1463"/>
      <c r="O38" s="1463"/>
      <c r="P38" s="1463"/>
      <c r="Q38" s="1463"/>
      <c r="R38" s="1466"/>
      <c r="S38" s="1555"/>
      <c r="T38" s="1456"/>
      <c r="U38" s="1556" t="s">
        <v>89</v>
      </c>
      <c r="V38" s="12"/>
      <c r="W38" s="1463"/>
      <c r="X38" s="1463"/>
      <c r="Y38" s="1466"/>
    </row>
    <row r="39" spans="1:25" ht="21.75" customHeight="1" x14ac:dyDescent="0.2">
      <c r="B39" s="789"/>
      <c r="G39" s="404"/>
      <c r="H39" s="762"/>
      <c r="I39" s="1447"/>
      <c r="J39" s="1448"/>
      <c r="K39" s="1448"/>
      <c r="L39" s="1448"/>
      <c r="M39" s="1448"/>
      <c r="N39" s="1448"/>
      <c r="O39" s="1448"/>
      <c r="P39" s="1448"/>
      <c r="Q39" s="1448"/>
      <c r="R39" s="1449"/>
      <c r="S39" s="1335"/>
      <c r="T39" s="1336"/>
      <c r="U39" s="1337"/>
      <c r="V39" s="12"/>
      <c r="W39" s="1463"/>
      <c r="X39" s="1463"/>
      <c r="Y39" s="1466"/>
    </row>
    <row r="40" spans="1:25" ht="15" customHeight="1" x14ac:dyDescent="0.2">
      <c r="B40" s="789"/>
      <c r="G40" s="404"/>
      <c r="H40" s="762"/>
      <c r="I40" s="2"/>
      <c r="J40" s="2"/>
      <c r="K40" s="2"/>
      <c r="L40" s="2"/>
      <c r="M40" s="2"/>
      <c r="N40" s="2"/>
      <c r="O40" s="2"/>
      <c r="P40" s="2"/>
      <c r="Q40" s="2"/>
      <c r="R40" s="2"/>
      <c r="S40" s="2"/>
      <c r="T40" s="2"/>
      <c r="U40" s="2"/>
      <c r="W40" s="1463"/>
      <c r="X40" s="1463"/>
      <c r="Y40" s="1466"/>
    </row>
    <row r="41" spans="1:25" ht="15" customHeight="1" x14ac:dyDescent="0.2">
      <c r="B41" s="560"/>
      <c r="C41" s="59"/>
      <c r="D41" s="59"/>
      <c r="E41" s="59"/>
      <c r="F41" s="59"/>
      <c r="G41" s="60"/>
      <c r="H41" s="764"/>
      <c r="I41" s="59"/>
      <c r="J41" s="59"/>
      <c r="K41" s="59"/>
      <c r="L41" s="59"/>
      <c r="M41" s="59"/>
      <c r="N41" s="59"/>
      <c r="O41" s="59"/>
      <c r="P41" s="59"/>
      <c r="Q41" s="59"/>
      <c r="R41" s="59"/>
      <c r="S41" s="59"/>
      <c r="T41" s="59"/>
      <c r="U41" s="59"/>
      <c r="V41" s="59"/>
      <c r="W41" s="1448"/>
      <c r="X41" s="1448"/>
      <c r="Y41" s="1449"/>
    </row>
    <row r="42" spans="1:25" ht="15" customHeight="1" x14ac:dyDescent="0.2">
      <c r="Y42" s="577"/>
    </row>
    <row r="43" spans="1:25" x14ac:dyDescent="0.2">
      <c r="B43" s="780" t="s">
        <v>824</v>
      </c>
      <c r="D43" s="792"/>
      <c r="E43" s="792"/>
      <c r="F43" s="792"/>
      <c r="G43" s="792"/>
      <c r="H43" s="792"/>
      <c r="I43" s="792"/>
      <c r="J43" s="792"/>
      <c r="K43" s="792"/>
      <c r="L43" s="792"/>
      <c r="M43" s="792"/>
      <c r="N43" s="792"/>
      <c r="O43" s="792"/>
      <c r="P43" s="792"/>
      <c r="Q43" s="792"/>
      <c r="R43" s="792"/>
      <c r="S43" s="792"/>
      <c r="T43" s="792"/>
      <c r="U43" s="792"/>
      <c r="V43" s="792"/>
      <c r="W43" s="792"/>
      <c r="X43" s="792"/>
      <c r="Y43" s="792"/>
    </row>
    <row r="44" spans="1:25" x14ac:dyDescent="0.2">
      <c r="B44" s="780" t="s">
        <v>825</v>
      </c>
      <c r="D44" s="792"/>
      <c r="E44" s="792"/>
      <c r="F44" s="792"/>
      <c r="G44" s="792"/>
      <c r="H44" s="792"/>
      <c r="I44" s="792"/>
      <c r="J44" s="792"/>
      <c r="K44" s="792"/>
      <c r="L44" s="792"/>
      <c r="M44" s="792"/>
      <c r="N44" s="792"/>
      <c r="O44" s="792"/>
      <c r="P44" s="792"/>
      <c r="Q44" s="792"/>
      <c r="R44" s="792"/>
      <c r="S44" s="792"/>
      <c r="T44" s="792"/>
      <c r="U44" s="792"/>
      <c r="V44" s="792"/>
      <c r="W44" s="792"/>
      <c r="X44" s="792"/>
      <c r="Y44" s="792"/>
    </row>
    <row r="45" spans="1:25" x14ac:dyDescent="0.2">
      <c r="B45" s="780"/>
      <c r="D45" s="600"/>
      <c r="E45" s="600"/>
      <c r="F45" s="600"/>
      <c r="G45" s="600"/>
      <c r="H45" s="600"/>
      <c r="I45" s="600"/>
      <c r="J45" s="600"/>
      <c r="K45" s="600"/>
      <c r="L45" s="600"/>
      <c r="M45" s="600"/>
      <c r="N45" s="600"/>
      <c r="O45" s="600"/>
      <c r="P45" s="600"/>
      <c r="Q45" s="600"/>
      <c r="R45" s="600"/>
      <c r="S45" s="600"/>
      <c r="T45" s="600"/>
      <c r="U45" s="600"/>
      <c r="V45" s="600"/>
      <c r="W45" s="600"/>
      <c r="X45" s="600"/>
      <c r="Y45" s="600"/>
    </row>
    <row r="121" spans="3:7" x14ac:dyDescent="0.2">
      <c r="C121" s="59"/>
      <c r="D121" s="59"/>
      <c r="E121" s="59"/>
      <c r="F121" s="59"/>
      <c r="G121" s="59"/>
    </row>
    <row r="122" spans="3:7" x14ac:dyDescent="0.2">
      <c r="C122" s="57"/>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75FB5CB4-46C8-4C0E-9906-D6CA2F03EA26}">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E38-9667-444E-8871-F5C2B246F6FF}">
  <sheetPr>
    <tabColor rgb="FFFFFF00"/>
    <pageSetUpPr fitToPage="1"/>
  </sheetPr>
  <dimension ref="B2:AI69"/>
  <sheetViews>
    <sheetView view="pageBreakPreview" zoomScale="70" zoomScaleNormal="100" zoomScaleSheetLayoutView="70" workbookViewId="0">
      <selection activeCell="B5" sqref="B5:AE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x14ac:dyDescent="0.2">
      <c r="B2" s="1" t="s">
        <v>1583</v>
      </c>
    </row>
    <row r="3" spans="2:31" x14ac:dyDescent="0.2">
      <c r="U3" s="2"/>
      <c r="X3" s="45" t="s">
        <v>643</v>
      </c>
      <c r="Y3" s="1456"/>
      <c r="Z3" s="1456"/>
      <c r="AA3" s="45" t="s">
        <v>34</v>
      </c>
      <c r="AB3" s="12"/>
      <c r="AC3" s="45" t="s">
        <v>922</v>
      </c>
      <c r="AD3" s="12"/>
      <c r="AE3" s="45" t="s">
        <v>167</v>
      </c>
    </row>
    <row r="4" spans="2:31" x14ac:dyDescent="0.2">
      <c r="T4" s="584"/>
      <c r="U4" s="584"/>
      <c r="V4" s="584"/>
    </row>
    <row r="5" spans="2:31" x14ac:dyDescent="0.2">
      <c r="B5" s="1456" t="s">
        <v>1584</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row>
    <row r="7" spans="2:31" ht="23.25" customHeight="1" x14ac:dyDescent="0.2">
      <c r="B7" s="793" t="s">
        <v>1108</v>
      </c>
      <c r="C7" s="793"/>
      <c r="D7" s="793"/>
      <c r="E7" s="793"/>
      <c r="F7" s="1338"/>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40"/>
    </row>
    <row r="8" spans="2:31" ht="23.25" customHeight="1" x14ac:dyDescent="0.2">
      <c r="B8" s="793" t="s">
        <v>1109</v>
      </c>
      <c r="C8" s="793"/>
      <c r="D8" s="793"/>
      <c r="E8" s="793"/>
      <c r="F8" s="573" t="s">
        <v>116</v>
      </c>
      <c r="G8" s="759" t="s">
        <v>1110</v>
      </c>
      <c r="H8" s="759"/>
      <c r="I8" s="759"/>
      <c r="J8" s="759"/>
      <c r="K8" s="574" t="s">
        <v>116</v>
      </c>
      <c r="L8" s="759" t="s">
        <v>1111</v>
      </c>
      <c r="M8" s="759"/>
      <c r="N8" s="759"/>
      <c r="O8" s="759"/>
      <c r="P8" s="759"/>
      <c r="Q8" s="574" t="s">
        <v>116</v>
      </c>
      <c r="R8" s="759" t="s">
        <v>1112</v>
      </c>
      <c r="S8" s="759"/>
      <c r="T8" s="759"/>
      <c r="U8" s="759"/>
      <c r="V8" s="759"/>
      <c r="W8" s="759"/>
      <c r="X8" s="759"/>
      <c r="Y8" s="759"/>
      <c r="Z8" s="759"/>
      <c r="AA8" s="759"/>
      <c r="AB8" s="759"/>
      <c r="AC8" s="759"/>
      <c r="AD8" s="10"/>
      <c r="AE8" s="11"/>
    </row>
    <row r="9" spans="2:31" ht="25.2" customHeight="1" x14ac:dyDescent="0.2">
      <c r="B9" s="1332" t="s">
        <v>1113</v>
      </c>
      <c r="C9" s="1333"/>
      <c r="D9" s="1333"/>
      <c r="E9" s="1334"/>
      <c r="F9" s="12" t="s">
        <v>116</v>
      </c>
      <c r="G9" s="781" t="s">
        <v>1585</v>
      </c>
      <c r="H9" s="2"/>
      <c r="I9" s="2"/>
      <c r="J9" s="2"/>
      <c r="K9" s="2"/>
      <c r="L9" s="2"/>
      <c r="M9" s="2"/>
      <c r="N9" s="2"/>
      <c r="O9" s="2"/>
      <c r="Q9" s="7"/>
      <c r="R9" s="562" t="s">
        <v>116</v>
      </c>
      <c r="S9" s="2" t="s">
        <v>1586</v>
      </c>
      <c r="T9" s="2"/>
      <c r="U9" s="2"/>
      <c r="V9" s="2"/>
      <c r="W9" s="22"/>
      <c r="X9" s="22"/>
      <c r="Y9" s="22"/>
      <c r="Z9" s="22"/>
      <c r="AA9" s="22"/>
      <c r="AB9" s="22"/>
      <c r="AC9" s="22"/>
      <c r="AD9" s="7"/>
      <c r="AE9" s="4"/>
    </row>
    <row r="10" spans="2:31" ht="25.2" customHeight="1" x14ac:dyDescent="0.2">
      <c r="B10" s="1555"/>
      <c r="C10" s="1456"/>
      <c r="D10" s="1456"/>
      <c r="E10" s="1556"/>
      <c r="F10" s="12" t="s">
        <v>116</v>
      </c>
      <c r="G10" s="781" t="s">
        <v>1587</v>
      </c>
      <c r="H10" s="2"/>
      <c r="I10" s="2"/>
      <c r="J10" s="2"/>
      <c r="K10" s="2"/>
      <c r="L10" s="2"/>
      <c r="M10" s="2"/>
      <c r="N10" s="2"/>
      <c r="O10" s="2"/>
      <c r="R10" s="12" t="s">
        <v>116</v>
      </c>
      <c r="S10" s="2" t="s">
        <v>1588</v>
      </c>
      <c r="T10" s="2"/>
      <c r="U10" s="2"/>
      <c r="V10" s="2"/>
      <c r="W10" s="2"/>
      <c r="X10" s="2"/>
      <c r="Y10" s="2"/>
      <c r="Z10" s="2"/>
      <c r="AA10" s="2"/>
      <c r="AB10" s="2"/>
      <c r="AC10" s="2"/>
      <c r="AE10" s="588"/>
    </row>
    <row r="11" spans="2:31" ht="25.2" customHeight="1" x14ac:dyDescent="0.2">
      <c r="B11" s="1335"/>
      <c r="C11" s="1336"/>
      <c r="D11" s="1336"/>
      <c r="E11" s="1337"/>
      <c r="F11" s="12" t="s">
        <v>116</v>
      </c>
      <c r="G11" s="2" t="s">
        <v>1589</v>
      </c>
      <c r="H11" s="2"/>
      <c r="I11" s="2"/>
      <c r="J11" s="2"/>
      <c r="K11" s="2"/>
      <c r="L11" s="2"/>
      <c r="M11" s="2"/>
      <c r="N11" s="2"/>
      <c r="O11" s="2"/>
      <c r="R11" s="12"/>
      <c r="S11" s="2"/>
      <c r="T11" s="2"/>
      <c r="U11" s="2"/>
      <c r="V11" s="2"/>
      <c r="W11" s="2"/>
      <c r="X11" s="2"/>
      <c r="Y11" s="2"/>
      <c r="Z11" s="2"/>
      <c r="AA11" s="2"/>
      <c r="AB11" s="2"/>
      <c r="AC11" s="2"/>
      <c r="AE11" s="588"/>
    </row>
    <row r="12" spans="2:31" ht="30.75" customHeight="1" x14ac:dyDescent="0.2">
      <c r="B12" s="793" t="s">
        <v>1114</v>
      </c>
      <c r="C12" s="793"/>
      <c r="D12" s="793"/>
      <c r="E12" s="793"/>
      <c r="F12" s="573" t="s">
        <v>116</v>
      </c>
      <c r="G12" s="759" t="s">
        <v>1590</v>
      </c>
      <c r="H12" s="795"/>
      <c r="I12" s="795"/>
      <c r="J12" s="795"/>
      <c r="K12" s="795"/>
      <c r="L12" s="795"/>
      <c r="M12" s="795"/>
      <c r="N12" s="795"/>
      <c r="O12" s="795"/>
      <c r="P12" s="795"/>
      <c r="Q12" s="10"/>
      <c r="R12" s="574" t="s">
        <v>116</v>
      </c>
      <c r="S12" s="759" t="s">
        <v>1591</v>
      </c>
      <c r="T12" s="795"/>
      <c r="U12" s="795"/>
      <c r="V12" s="795"/>
      <c r="W12" s="795"/>
      <c r="X12" s="795"/>
      <c r="Y12" s="795"/>
      <c r="Z12" s="795"/>
      <c r="AA12" s="795"/>
      <c r="AB12" s="795"/>
      <c r="AC12" s="795"/>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573"/>
      <c r="AB14" s="574" t="s">
        <v>1117</v>
      </c>
      <c r="AC14" s="574" t="s">
        <v>441</v>
      </c>
      <c r="AD14" s="574" t="s">
        <v>721</v>
      </c>
      <c r="AE14" s="11"/>
    </row>
    <row r="15" spans="2:31" x14ac:dyDescent="0.2">
      <c r="B15" s="6" t="s">
        <v>1592</v>
      </c>
      <c r="C15" s="7"/>
      <c r="D15" s="7"/>
      <c r="E15" s="7"/>
      <c r="F15" s="7"/>
      <c r="G15" s="7"/>
      <c r="H15" s="7"/>
      <c r="I15" s="7"/>
      <c r="J15" s="7"/>
      <c r="K15" s="7"/>
      <c r="L15" s="7"/>
      <c r="M15" s="7"/>
      <c r="N15" s="7"/>
      <c r="O15" s="7"/>
      <c r="P15" s="7"/>
      <c r="Q15" s="7"/>
      <c r="R15" s="7"/>
      <c r="S15" s="7"/>
      <c r="T15" s="7"/>
      <c r="U15" s="7"/>
      <c r="V15" s="7"/>
      <c r="W15" s="7"/>
      <c r="X15" s="7"/>
      <c r="Y15" s="7"/>
      <c r="Z15" s="23"/>
      <c r="AA15" s="561"/>
      <c r="AB15" s="562"/>
      <c r="AC15" s="562"/>
      <c r="AD15" s="7"/>
      <c r="AE15" s="4"/>
    </row>
    <row r="16" spans="2:31" x14ac:dyDescent="0.2">
      <c r="B16" s="582"/>
      <c r="C16" s="796" t="s">
        <v>1119</v>
      </c>
      <c r="D16" s="1" t="s">
        <v>1593</v>
      </c>
      <c r="Z16" s="797"/>
      <c r="AA16" s="798"/>
      <c r="AB16" s="12" t="s">
        <v>116</v>
      </c>
      <c r="AC16" s="12" t="s">
        <v>441</v>
      </c>
      <c r="AD16" s="12" t="s">
        <v>116</v>
      </c>
      <c r="AE16" s="588"/>
    </row>
    <row r="17" spans="2:31" x14ac:dyDescent="0.2">
      <c r="B17" s="582"/>
      <c r="D17" s="1" t="s">
        <v>1121</v>
      </c>
      <c r="Z17" s="583"/>
      <c r="AA17" s="576"/>
      <c r="AB17" s="12"/>
      <c r="AC17" s="12"/>
      <c r="AE17" s="588"/>
    </row>
    <row r="18" spans="2:31" ht="6" customHeight="1" x14ac:dyDescent="0.2">
      <c r="B18" s="582"/>
      <c r="Z18" s="583"/>
      <c r="AA18" s="576"/>
      <c r="AB18" s="12"/>
      <c r="AC18" s="12"/>
      <c r="AE18" s="588"/>
    </row>
    <row r="19" spans="2:31" x14ac:dyDescent="0.2">
      <c r="B19" s="582"/>
      <c r="D19" s="799" t="s">
        <v>1122</v>
      </c>
      <c r="E19" s="759"/>
      <c r="F19" s="759"/>
      <c r="G19" s="759"/>
      <c r="H19" s="759"/>
      <c r="I19" s="759"/>
      <c r="J19" s="759"/>
      <c r="K19" s="759"/>
      <c r="L19" s="759"/>
      <c r="M19" s="759"/>
      <c r="N19" s="759"/>
      <c r="O19" s="10"/>
      <c r="P19" s="10"/>
      <c r="Q19" s="10"/>
      <c r="R19" s="10"/>
      <c r="S19" s="759"/>
      <c r="T19" s="759"/>
      <c r="U19" s="1338"/>
      <c r="V19" s="1339"/>
      <c r="W19" s="1339"/>
      <c r="X19" s="10" t="s">
        <v>1123</v>
      </c>
      <c r="Y19" s="582"/>
      <c r="Z19" s="583"/>
      <c r="AA19" s="576"/>
      <c r="AB19" s="12"/>
      <c r="AC19" s="12"/>
      <c r="AE19" s="588"/>
    </row>
    <row r="20" spans="2:31" x14ac:dyDescent="0.2">
      <c r="B20" s="582"/>
      <c r="D20" s="799" t="s">
        <v>1594</v>
      </c>
      <c r="E20" s="759"/>
      <c r="F20" s="759"/>
      <c r="G20" s="759"/>
      <c r="H20" s="759"/>
      <c r="I20" s="759"/>
      <c r="J20" s="759"/>
      <c r="K20" s="759"/>
      <c r="L20" s="759"/>
      <c r="M20" s="759"/>
      <c r="N20" s="759"/>
      <c r="O20" s="10"/>
      <c r="P20" s="10"/>
      <c r="Q20" s="10"/>
      <c r="R20" s="10"/>
      <c r="S20" s="759"/>
      <c r="T20" s="759"/>
      <c r="U20" s="1338"/>
      <c r="V20" s="1339"/>
      <c r="W20" s="1339"/>
      <c r="X20" s="10" t="s">
        <v>1123</v>
      </c>
      <c r="Y20" s="582"/>
      <c r="Z20" s="588"/>
      <c r="AA20" s="576"/>
      <c r="AB20" s="12"/>
      <c r="AC20" s="12"/>
      <c r="AE20" s="588"/>
    </row>
    <row r="21" spans="2:31" x14ac:dyDescent="0.2">
      <c r="B21" s="582"/>
      <c r="D21" s="799" t="s">
        <v>1125</v>
      </c>
      <c r="E21" s="759"/>
      <c r="F21" s="759"/>
      <c r="G21" s="759"/>
      <c r="H21" s="759"/>
      <c r="I21" s="759"/>
      <c r="J21" s="759"/>
      <c r="K21" s="759"/>
      <c r="L21" s="759"/>
      <c r="M21" s="759"/>
      <c r="N21" s="759"/>
      <c r="O21" s="10"/>
      <c r="P21" s="10"/>
      <c r="Q21" s="10"/>
      <c r="R21" s="10"/>
      <c r="S21" s="759"/>
      <c r="T21" s="800" t="str">
        <f>(IFERROR(ROUNDDOWN(T20/T19*100,0),""))</f>
        <v/>
      </c>
      <c r="U21" s="1744" t="str">
        <f>(IFERROR(ROUNDDOWN(U20/U19*100,0),""))</f>
        <v/>
      </c>
      <c r="V21" s="1745"/>
      <c r="W21" s="1745"/>
      <c r="X21" s="10" t="s">
        <v>60</v>
      </c>
      <c r="Y21" s="582"/>
      <c r="Z21" s="580"/>
      <c r="AA21" s="576"/>
      <c r="AB21" s="12"/>
      <c r="AC21" s="12"/>
      <c r="AE21" s="588"/>
    </row>
    <row r="22" spans="2:31" x14ac:dyDescent="0.2">
      <c r="B22" s="582"/>
      <c r="D22" s="1" t="s">
        <v>1595</v>
      </c>
      <c r="Z22" s="580"/>
      <c r="AA22" s="576"/>
      <c r="AB22" s="12"/>
      <c r="AC22" s="12"/>
      <c r="AE22" s="588"/>
    </row>
    <row r="23" spans="2:31" x14ac:dyDescent="0.2">
      <c r="B23" s="582"/>
      <c r="E23" s="1" t="s">
        <v>1596</v>
      </c>
      <c r="Z23" s="580"/>
      <c r="AA23" s="576"/>
      <c r="AB23" s="12"/>
      <c r="AC23" s="12"/>
      <c r="AE23" s="588"/>
    </row>
    <row r="24" spans="2:31" x14ac:dyDescent="0.2">
      <c r="B24" s="582"/>
      <c r="Z24" s="580"/>
      <c r="AA24" s="576"/>
      <c r="AB24" s="12"/>
      <c r="AC24" s="12"/>
      <c r="AE24" s="588"/>
    </row>
    <row r="25" spans="2:31" x14ac:dyDescent="0.2">
      <c r="B25" s="582"/>
      <c r="C25" s="796" t="s">
        <v>1128</v>
      </c>
      <c r="D25" s="1" t="s">
        <v>1597</v>
      </c>
      <c r="Z25" s="797"/>
      <c r="AA25" s="576"/>
      <c r="AB25" s="12" t="s">
        <v>116</v>
      </c>
      <c r="AC25" s="12" t="s">
        <v>441</v>
      </c>
      <c r="AD25" s="12" t="s">
        <v>116</v>
      </c>
      <c r="AE25" s="588"/>
    </row>
    <row r="26" spans="2:31" x14ac:dyDescent="0.2">
      <c r="B26" s="582"/>
      <c r="C26" s="796"/>
      <c r="D26" s="1" t="s">
        <v>1598</v>
      </c>
      <c r="Z26" s="797"/>
      <c r="AA26" s="576"/>
      <c r="AB26" s="12"/>
      <c r="AC26" s="12"/>
      <c r="AD26" s="12"/>
      <c r="AE26" s="588"/>
    </row>
    <row r="27" spans="2:31" x14ac:dyDescent="0.2">
      <c r="B27" s="582"/>
      <c r="C27" s="796"/>
      <c r="D27" s="1" t="s">
        <v>1599</v>
      </c>
      <c r="Z27" s="797"/>
      <c r="AA27" s="576"/>
      <c r="AB27" s="12"/>
      <c r="AC27" s="12"/>
      <c r="AD27" s="12"/>
      <c r="AE27" s="588"/>
    </row>
    <row r="28" spans="2:31" x14ac:dyDescent="0.2">
      <c r="B28" s="582"/>
      <c r="C28" s="796"/>
      <c r="D28" s="1" t="s">
        <v>1600</v>
      </c>
      <c r="Z28" s="797"/>
      <c r="AA28" s="576"/>
      <c r="AB28" s="12"/>
      <c r="AC28" s="12"/>
      <c r="AD28" s="12"/>
      <c r="AE28" s="588"/>
    </row>
    <row r="29" spans="2:31" ht="6" customHeight="1" x14ac:dyDescent="0.2">
      <c r="B29" s="582"/>
      <c r="Z29" s="580"/>
      <c r="AA29" s="576"/>
      <c r="AB29" s="12"/>
      <c r="AC29" s="12"/>
      <c r="AE29" s="588"/>
    </row>
    <row r="30" spans="2:31" x14ac:dyDescent="0.2">
      <c r="B30" s="582"/>
      <c r="C30" s="796"/>
      <c r="D30" s="41" t="s">
        <v>1601</v>
      </c>
      <c r="E30" s="22"/>
      <c r="F30" s="22"/>
      <c r="G30" s="22"/>
      <c r="H30" s="22"/>
      <c r="I30" s="22"/>
      <c r="J30" s="22"/>
      <c r="K30" s="22"/>
      <c r="L30" s="22"/>
      <c r="M30" s="22"/>
      <c r="N30" s="22"/>
      <c r="O30" s="7"/>
      <c r="P30" s="7"/>
      <c r="Q30" s="7"/>
      <c r="R30" s="7"/>
      <c r="S30" s="7"/>
      <c r="T30" s="4"/>
      <c r="U30" s="1332"/>
      <c r="V30" s="1333"/>
      <c r="W30" s="1333"/>
      <c r="X30" s="1334" t="s">
        <v>1123</v>
      </c>
      <c r="Z30" s="580"/>
      <c r="AA30" s="576"/>
      <c r="AB30" s="12"/>
      <c r="AC30" s="12"/>
      <c r="AE30" s="588"/>
    </row>
    <row r="31" spans="2:31" x14ac:dyDescent="0.2">
      <c r="B31" s="582"/>
      <c r="C31" s="796"/>
      <c r="D31" s="834" t="s">
        <v>1602</v>
      </c>
      <c r="E31" s="2"/>
      <c r="F31" s="2"/>
      <c r="G31" s="2"/>
      <c r="H31" s="2"/>
      <c r="I31" s="2"/>
      <c r="J31" s="2"/>
      <c r="K31" s="2"/>
      <c r="L31" s="2"/>
      <c r="M31" s="2"/>
      <c r="N31" s="2"/>
      <c r="T31" s="588"/>
      <c r="U31" s="1555"/>
      <c r="V31" s="1456"/>
      <c r="W31" s="1456"/>
      <c r="X31" s="1556"/>
      <c r="Z31" s="580"/>
      <c r="AA31" s="576"/>
      <c r="AB31" s="12"/>
      <c r="AC31" s="12"/>
      <c r="AE31" s="588"/>
    </row>
    <row r="32" spans="2:31" x14ac:dyDescent="0.2">
      <c r="B32" s="582"/>
      <c r="C32" s="796"/>
      <c r="D32" s="834" t="s">
        <v>1603</v>
      </c>
      <c r="E32" s="2"/>
      <c r="F32" s="2"/>
      <c r="G32" s="2"/>
      <c r="H32" s="2"/>
      <c r="I32" s="2"/>
      <c r="J32" s="2"/>
      <c r="K32" s="2"/>
      <c r="L32" s="2"/>
      <c r="M32" s="2"/>
      <c r="N32" s="2"/>
      <c r="T32" s="588"/>
      <c r="U32" s="1555"/>
      <c r="V32" s="1456"/>
      <c r="W32" s="1456"/>
      <c r="X32" s="1556"/>
      <c r="Z32" s="580"/>
      <c r="AA32" s="576"/>
      <c r="AB32" s="12"/>
      <c r="AC32" s="12"/>
      <c r="AE32" s="588"/>
    </row>
    <row r="33" spans="2:35" x14ac:dyDescent="0.2">
      <c r="B33" s="582"/>
      <c r="C33" s="796"/>
      <c r="D33" s="835" t="s">
        <v>1604</v>
      </c>
      <c r="E33" s="594"/>
      <c r="F33" s="594"/>
      <c r="G33" s="594"/>
      <c r="H33" s="594"/>
      <c r="I33" s="594"/>
      <c r="J33" s="594"/>
      <c r="K33" s="594"/>
      <c r="L33" s="594"/>
      <c r="M33" s="594"/>
      <c r="N33" s="594"/>
      <c r="O33" s="8"/>
      <c r="P33" s="8"/>
      <c r="Q33" s="8"/>
      <c r="R33" s="8"/>
      <c r="S33" s="8"/>
      <c r="T33" s="593"/>
      <c r="U33" s="1335"/>
      <c r="V33" s="1336"/>
      <c r="W33" s="1336"/>
      <c r="X33" s="1337"/>
      <c r="Z33" s="580"/>
      <c r="AA33" s="576"/>
      <c r="AB33" s="12"/>
      <c r="AC33" s="12"/>
      <c r="AE33" s="588"/>
    </row>
    <row r="34" spans="2:35" ht="4.5" customHeight="1" x14ac:dyDescent="0.2">
      <c r="B34" s="582"/>
      <c r="C34" s="796"/>
      <c r="D34" s="2"/>
      <c r="E34" s="2"/>
      <c r="F34" s="2"/>
      <c r="G34" s="2"/>
      <c r="H34" s="2"/>
      <c r="I34" s="2"/>
      <c r="J34" s="2"/>
      <c r="K34" s="2"/>
      <c r="L34" s="2"/>
      <c r="M34" s="2"/>
      <c r="N34" s="2"/>
      <c r="U34" s="12"/>
      <c r="V34" s="12"/>
      <c r="W34" s="12"/>
      <c r="Z34" s="580"/>
      <c r="AA34" s="576"/>
      <c r="AB34" s="12"/>
      <c r="AC34" s="12"/>
      <c r="AE34" s="588"/>
    </row>
    <row r="35" spans="2:35" x14ac:dyDescent="0.2">
      <c r="B35" s="582"/>
      <c r="C35" s="796"/>
      <c r="J35" s="1456"/>
      <c r="K35" s="1456"/>
      <c r="L35" s="1456"/>
      <c r="M35" s="1456"/>
      <c r="N35" s="1456"/>
      <c r="O35" s="1456"/>
      <c r="P35" s="1456"/>
      <c r="Q35" s="1456"/>
      <c r="R35" s="1456"/>
      <c r="S35" s="1456"/>
      <c r="T35" s="1456"/>
      <c r="U35" s="1456"/>
      <c r="V35" s="1456"/>
      <c r="Z35" s="583"/>
      <c r="AA35" s="576"/>
      <c r="AB35" s="12"/>
      <c r="AC35" s="12"/>
      <c r="AE35" s="588"/>
    </row>
    <row r="36" spans="2:35" x14ac:dyDescent="0.2">
      <c r="B36" s="582"/>
      <c r="C36" s="796" t="s">
        <v>1148</v>
      </c>
      <c r="D36" s="1" t="s">
        <v>1605</v>
      </c>
      <c r="Z36" s="797"/>
      <c r="AA36" s="798"/>
      <c r="AB36" s="12" t="s">
        <v>116</v>
      </c>
      <c r="AC36" s="12" t="s">
        <v>441</v>
      </c>
      <c r="AD36" s="12" t="s">
        <v>116</v>
      </c>
      <c r="AE36" s="588"/>
    </row>
    <row r="37" spans="2:35" x14ac:dyDescent="0.2">
      <c r="B37" s="582"/>
      <c r="D37" s="1" t="s">
        <v>1606</v>
      </c>
      <c r="E37" s="2"/>
      <c r="F37" s="2"/>
      <c r="G37" s="2"/>
      <c r="H37" s="2"/>
      <c r="I37" s="2"/>
      <c r="J37" s="2"/>
      <c r="K37" s="2"/>
      <c r="L37" s="2"/>
      <c r="M37" s="2"/>
      <c r="N37" s="2"/>
      <c r="O37" s="577"/>
      <c r="P37" s="577"/>
      <c r="Q37" s="577"/>
      <c r="Z37" s="580"/>
      <c r="AA37" s="576"/>
      <c r="AB37" s="12"/>
      <c r="AC37" s="12"/>
      <c r="AE37" s="588"/>
    </row>
    <row r="38" spans="2:35" ht="14.25" customHeight="1" x14ac:dyDescent="0.2">
      <c r="B38" s="582"/>
      <c r="C38" s="796"/>
      <c r="Z38" s="797"/>
      <c r="AA38" s="798"/>
      <c r="AB38" s="12"/>
      <c r="AC38" s="12"/>
      <c r="AD38" s="12"/>
      <c r="AE38" s="588"/>
    </row>
    <row r="39" spans="2:35" ht="14.25" customHeight="1" x14ac:dyDescent="0.2">
      <c r="B39" s="582"/>
      <c r="C39" s="796" t="s">
        <v>1607</v>
      </c>
      <c r="D39" s="1" t="s">
        <v>1608</v>
      </c>
      <c r="Z39" s="797"/>
      <c r="AA39" s="798"/>
      <c r="AB39" s="12" t="s">
        <v>116</v>
      </c>
      <c r="AC39" s="12" t="s">
        <v>441</v>
      </c>
      <c r="AD39" s="12" t="s">
        <v>116</v>
      </c>
      <c r="AE39" s="588"/>
    </row>
    <row r="40" spans="2:35" ht="14.25" customHeight="1" x14ac:dyDescent="0.2">
      <c r="B40" s="582"/>
      <c r="C40" s="796"/>
      <c r="D40" s="1" t="s">
        <v>1609</v>
      </c>
      <c r="Z40" s="797"/>
      <c r="AA40" s="798"/>
      <c r="AB40" s="12"/>
      <c r="AC40" s="12"/>
      <c r="AD40" s="12"/>
      <c r="AE40" s="588"/>
    </row>
    <row r="41" spans="2:35" x14ac:dyDescent="0.2">
      <c r="B41" s="582"/>
      <c r="D41" s="1" t="s">
        <v>1610</v>
      </c>
      <c r="Z41" s="580"/>
      <c r="AA41" s="576"/>
      <c r="AB41" s="12"/>
      <c r="AC41" s="12"/>
      <c r="AE41" s="588"/>
    </row>
    <row r="42" spans="2:35" x14ac:dyDescent="0.2">
      <c r="B42" s="582"/>
      <c r="Z42" s="583"/>
      <c r="AA42" s="576"/>
      <c r="AB42" s="12"/>
      <c r="AC42" s="12"/>
      <c r="AE42" s="588"/>
    </row>
    <row r="43" spans="2:35" x14ac:dyDescent="0.2">
      <c r="B43" s="582" t="s">
        <v>1611</v>
      </c>
      <c r="Z43" s="580"/>
      <c r="AA43" s="576"/>
      <c r="AB43" s="12"/>
      <c r="AC43" s="12"/>
      <c r="AE43" s="588"/>
    </row>
    <row r="44" spans="2:35" ht="17.25" customHeight="1" x14ac:dyDescent="0.2">
      <c r="B44" s="582"/>
      <c r="C44" s="796" t="s">
        <v>1119</v>
      </c>
      <c r="D44" s="1" t="s">
        <v>1612</v>
      </c>
      <c r="Z44" s="797"/>
      <c r="AA44" s="798"/>
      <c r="AB44" s="12" t="s">
        <v>116</v>
      </c>
      <c r="AC44" s="12" t="s">
        <v>441</v>
      </c>
      <c r="AD44" s="12" t="s">
        <v>116</v>
      </c>
      <c r="AE44" s="588"/>
    </row>
    <row r="45" spans="2:35" ht="18.75" customHeight="1" x14ac:dyDescent="0.2">
      <c r="B45" s="582"/>
      <c r="D45" s="1" t="s">
        <v>1613</v>
      </c>
      <c r="Z45" s="580"/>
      <c r="AA45" s="576"/>
      <c r="AB45" s="12"/>
      <c r="AC45" s="12"/>
      <c r="AE45" s="588"/>
    </row>
    <row r="46" spans="2:35" ht="7.5" customHeight="1" x14ac:dyDescent="0.2">
      <c r="B46" s="582"/>
      <c r="W46" s="21"/>
      <c r="Z46" s="588"/>
      <c r="AA46" s="576"/>
      <c r="AB46" s="12"/>
      <c r="AC46" s="12"/>
      <c r="AE46" s="588"/>
      <c r="AI46" s="577"/>
    </row>
    <row r="47" spans="2:35" x14ac:dyDescent="0.2">
      <c r="B47" s="582"/>
      <c r="E47" s="2"/>
      <c r="F47" s="2"/>
      <c r="G47" s="2"/>
      <c r="H47" s="2"/>
      <c r="I47" s="2"/>
      <c r="J47" s="2"/>
      <c r="K47" s="2"/>
      <c r="L47" s="2"/>
      <c r="M47" s="2"/>
      <c r="N47" s="2"/>
      <c r="O47" s="577"/>
      <c r="P47" s="577"/>
      <c r="Q47" s="577"/>
      <c r="Z47" s="580"/>
      <c r="AA47" s="576"/>
      <c r="AB47" s="12"/>
      <c r="AC47" s="12"/>
      <c r="AE47" s="588"/>
    </row>
    <row r="48" spans="2:35" x14ac:dyDescent="0.2">
      <c r="B48" s="582"/>
      <c r="C48" s="796" t="s">
        <v>1128</v>
      </c>
      <c r="D48" s="836" t="s">
        <v>1614</v>
      </c>
      <c r="Z48" s="797"/>
      <c r="AA48" s="576"/>
      <c r="AB48" s="12" t="s">
        <v>116</v>
      </c>
      <c r="AC48" s="12" t="s">
        <v>441</v>
      </c>
      <c r="AD48" s="12" t="s">
        <v>116</v>
      </c>
      <c r="AE48" s="588"/>
    </row>
    <row r="49" spans="2:31" x14ac:dyDescent="0.2">
      <c r="B49" s="582"/>
      <c r="C49" s="796"/>
      <c r="D49" s="1" t="s">
        <v>1615</v>
      </c>
      <c r="Z49" s="797"/>
      <c r="AA49" s="576"/>
      <c r="AB49" s="12"/>
      <c r="AC49" s="12"/>
      <c r="AD49" s="12"/>
      <c r="AE49" s="588"/>
    </row>
    <row r="50" spans="2:31" x14ac:dyDescent="0.2">
      <c r="B50" s="582"/>
      <c r="C50" s="796"/>
      <c r="D50" s="1" t="s">
        <v>1616</v>
      </c>
      <c r="Z50" s="797"/>
      <c r="AA50" s="576"/>
      <c r="AB50" s="12"/>
      <c r="AC50" s="12"/>
      <c r="AD50" s="12"/>
      <c r="AE50" s="588"/>
    </row>
    <row r="51" spans="2:31" ht="6" customHeight="1" x14ac:dyDescent="0.2">
      <c r="B51" s="582"/>
      <c r="Z51" s="580"/>
      <c r="AA51" s="576"/>
      <c r="AB51" s="12"/>
      <c r="AC51" s="12"/>
      <c r="AE51" s="588"/>
    </row>
    <row r="52" spans="2:31" x14ac:dyDescent="0.2">
      <c r="B52" s="582"/>
      <c r="C52" s="796"/>
      <c r="D52" s="41" t="s">
        <v>1617</v>
      </c>
      <c r="E52" s="22"/>
      <c r="F52" s="22"/>
      <c r="G52" s="22"/>
      <c r="H52" s="22"/>
      <c r="I52" s="22"/>
      <c r="J52" s="22"/>
      <c r="K52" s="22"/>
      <c r="L52" s="22"/>
      <c r="M52" s="22"/>
      <c r="N52" s="22"/>
      <c r="O52" s="7"/>
      <c r="P52" s="7"/>
      <c r="Q52" s="7"/>
      <c r="R52" s="7"/>
      <c r="S52" s="7"/>
      <c r="T52" s="7"/>
      <c r="U52" s="1332"/>
      <c r="V52" s="1333"/>
      <c r="W52" s="1333"/>
      <c r="X52" s="1334" t="s">
        <v>1123</v>
      </c>
      <c r="Z52" s="580"/>
      <c r="AA52" s="576"/>
      <c r="AB52" s="12"/>
      <c r="AC52" s="12"/>
      <c r="AE52" s="588"/>
    </row>
    <row r="53" spans="2:31" x14ac:dyDescent="0.2">
      <c r="B53" s="582"/>
      <c r="C53" s="796"/>
      <c r="D53" s="835" t="s">
        <v>1618</v>
      </c>
      <c r="E53" s="594"/>
      <c r="F53" s="594"/>
      <c r="G53" s="594"/>
      <c r="H53" s="594"/>
      <c r="I53" s="594"/>
      <c r="J53" s="594"/>
      <c r="K53" s="594"/>
      <c r="L53" s="594"/>
      <c r="M53" s="594"/>
      <c r="N53" s="594"/>
      <c r="O53" s="8"/>
      <c r="P53" s="8"/>
      <c r="Q53" s="8"/>
      <c r="R53" s="8"/>
      <c r="S53" s="8"/>
      <c r="T53" s="8"/>
      <c r="U53" s="1335"/>
      <c r="V53" s="1336"/>
      <c r="W53" s="1336"/>
      <c r="X53" s="1337"/>
      <c r="Z53" s="580"/>
      <c r="AA53" s="576"/>
      <c r="AB53" s="12"/>
      <c r="AC53" s="12"/>
      <c r="AE53" s="588"/>
    </row>
    <row r="54" spans="2:31" ht="4.5" customHeight="1" x14ac:dyDescent="0.2">
      <c r="B54" s="582"/>
      <c r="C54" s="796"/>
      <c r="D54" s="2"/>
      <c r="E54" s="2"/>
      <c r="F54" s="2"/>
      <c r="G54" s="2"/>
      <c r="H54" s="2"/>
      <c r="I54" s="2"/>
      <c r="J54" s="2"/>
      <c r="K54" s="2"/>
      <c r="L54" s="2"/>
      <c r="M54" s="2"/>
      <c r="N54" s="2"/>
      <c r="U54" s="12"/>
      <c r="V54" s="12"/>
      <c r="W54" s="12"/>
      <c r="Z54" s="580"/>
      <c r="AA54" s="576"/>
      <c r="AB54" s="12"/>
      <c r="AC54" s="12"/>
      <c r="AE54" s="588"/>
    </row>
    <row r="55" spans="2:31" x14ac:dyDescent="0.2">
      <c r="B55" s="582"/>
      <c r="D55" s="12"/>
      <c r="E55" s="577"/>
      <c r="F55" s="577"/>
      <c r="G55" s="577"/>
      <c r="H55" s="577"/>
      <c r="I55" s="577"/>
      <c r="J55" s="577"/>
      <c r="K55" s="577"/>
      <c r="L55" s="577"/>
      <c r="M55" s="577"/>
      <c r="N55" s="577"/>
      <c r="Q55" s="12"/>
      <c r="S55" s="21"/>
      <c r="T55" s="21"/>
      <c r="U55" s="21"/>
      <c r="V55" s="21"/>
      <c r="Z55" s="583"/>
      <c r="AA55" s="576"/>
      <c r="AB55" s="12"/>
      <c r="AC55" s="12"/>
      <c r="AE55" s="588"/>
    </row>
    <row r="56" spans="2:31" x14ac:dyDescent="0.2">
      <c r="B56" s="591"/>
      <c r="C56" s="802"/>
      <c r="D56" s="8"/>
      <c r="E56" s="8"/>
      <c r="F56" s="8"/>
      <c r="G56" s="8"/>
      <c r="H56" s="8"/>
      <c r="I56" s="8"/>
      <c r="J56" s="8"/>
      <c r="K56" s="8"/>
      <c r="L56" s="8"/>
      <c r="M56" s="8"/>
      <c r="N56" s="8"/>
      <c r="O56" s="8"/>
      <c r="P56" s="8"/>
      <c r="Q56" s="8"/>
      <c r="R56" s="8"/>
      <c r="S56" s="8"/>
      <c r="T56" s="8"/>
      <c r="U56" s="8"/>
      <c r="V56" s="8"/>
      <c r="W56" s="8"/>
      <c r="X56" s="8"/>
      <c r="Y56" s="8"/>
      <c r="Z56" s="593"/>
      <c r="AA56" s="563"/>
      <c r="AB56" s="564"/>
      <c r="AC56" s="564"/>
      <c r="AD56" s="8"/>
      <c r="AE56" s="593"/>
    </row>
    <row r="57" spans="2:31" x14ac:dyDescent="0.2">
      <c r="B57" s="1" t="s">
        <v>531</v>
      </c>
      <c r="D57" s="1" t="s">
        <v>1619</v>
      </c>
    </row>
    <row r="58" spans="2:31" x14ac:dyDescent="0.2">
      <c r="D58" s="1" t="s">
        <v>1159</v>
      </c>
    </row>
    <row r="59" spans="2:31" ht="3.75" customHeight="1" x14ac:dyDescent="0.2"/>
    <row r="60" spans="2:31" x14ac:dyDescent="0.2">
      <c r="C60" s="837"/>
    </row>
    <row r="61" spans="2:31" x14ac:dyDescent="0.2">
      <c r="C61" s="837"/>
    </row>
    <row r="62" spans="2:31" x14ac:dyDescent="0.2">
      <c r="C62" s="837"/>
    </row>
    <row r="63" spans="2:31" x14ac:dyDescent="0.2">
      <c r="C63" s="837"/>
    </row>
    <row r="64" spans="2:31" x14ac:dyDescent="0.2">
      <c r="C64" s="837"/>
    </row>
    <row r="66" spans="3:26" x14ac:dyDescent="0.2">
      <c r="C66" s="837"/>
      <c r="E66" s="837"/>
      <c r="F66" s="837"/>
      <c r="G66" s="837"/>
      <c r="H66" s="837"/>
      <c r="I66" s="837"/>
      <c r="J66" s="837"/>
      <c r="K66" s="837"/>
      <c r="L66" s="837"/>
      <c r="M66" s="837"/>
      <c r="N66" s="837"/>
      <c r="O66" s="837"/>
      <c r="P66" s="837"/>
      <c r="Q66" s="837"/>
      <c r="R66" s="837"/>
      <c r="S66" s="837"/>
      <c r="T66" s="837"/>
      <c r="U66" s="837"/>
      <c r="V66" s="837"/>
      <c r="W66" s="837"/>
      <c r="X66" s="837"/>
      <c r="Y66" s="837"/>
      <c r="Z66" s="837"/>
    </row>
    <row r="67" spans="3:26" x14ac:dyDescent="0.2">
      <c r="C67" s="837"/>
      <c r="E67" s="837"/>
      <c r="F67" s="837"/>
      <c r="G67" s="837"/>
      <c r="H67" s="837"/>
      <c r="I67" s="837"/>
      <c r="J67" s="837"/>
      <c r="K67" s="837"/>
      <c r="L67" s="837"/>
      <c r="M67" s="837"/>
      <c r="N67" s="837"/>
      <c r="O67" s="837"/>
      <c r="P67" s="837"/>
      <c r="Q67" s="837"/>
      <c r="R67" s="837"/>
      <c r="S67" s="837"/>
      <c r="T67" s="837"/>
      <c r="U67" s="837"/>
      <c r="V67" s="837"/>
      <c r="W67" s="837"/>
      <c r="X67" s="837"/>
      <c r="Y67" s="837"/>
      <c r="Z67" s="837"/>
    </row>
    <row r="68" spans="3:26" x14ac:dyDescent="0.2">
      <c r="C68" s="837"/>
      <c r="E68" s="837"/>
      <c r="F68" s="837"/>
      <c r="G68" s="837"/>
      <c r="H68" s="837"/>
      <c r="I68" s="837"/>
      <c r="J68" s="837"/>
      <c r="K68" s="837"/>
      <c r="L68" s="837"/>
      <c r="M68" s="837"/>
      <c r="N68" s="837"/>
      <c r="O68" s="837"/>
      <c r="P68" s="837"/>
      <c r="Q68" s="837"/>
      <c r="R68" s="837"/>
      <c r="S68" s="837"/>
      <c r="T68" s="837"/>
      <c r="U68" s="837"/>
      <c r="V68" s="837"/>
      <c r="W68" s="837"/>
      <c r="X68" s="837"/>
      <c r="Y68" s="837"/>
      <c r="Z68" s="837"/>
    </row>
    <row r="69" spans="3:26" x14ac:dyDescent="0.2">
      <c r="C69" s="837"/>
      <c r="D69" s="837"/>
      <c r="E69" s="837"/>
      <c r="F69" s="837"/>
      <c r="G69" s="837"/>
      <c r="H69" s="837"/>
      <c r="I69" s="837"/>
      <c r="J69" s="837"/>
      <c r="K69" s="837"/>
      <c r="L69" s="837"/>
      <c r="M69" s="837"/>
      <c r="N69" s="837"/>
      <c r="O69" s="837"/>
      <c r="P69" s="837"/>
      <c r="Q69" s="837"/>
      <c r="R69" s="837"/>
      <c r="S69" s="837"/>
      <c r="T69" s="837"/>
      <c r="U69" s="837"/>
      <c r="V69" s="837"/>
      <c r="W69" s="837"/>
      <c r="X69" s="837"/>
      <c r="Y69" s="837"/>
      <c r="Z69" s="83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EF6FC43-E3AA-4403-BC89-055683435E17}">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2:AL43"/>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21875" style="100" customWidth="1"/>
    <col min="29" max="39" width="3.6640625" style="100" customWidth="1"/>
    <col min="40" max="40" width="1" style="100" customWidth="1"/>
    <col min="41" max="62" width="3.6640625" style="100" customWidth="1"/>
    <col min="63" max="16384" width="9" style="100"/>
  </cols>
  <sheetData>
    <row r="2" spans="2:38" x14ac:dyDescent="0.2">
      <c r="B2" s="99" t="s">
        <v>741</v>
      </c>
    </row>
    <row r="3" spans="2:38" x14ac:dyDescent="0.2">
      <c r="C3" s="1769" t="s">
        <v>742</v>
      </c>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311"/>
      <c r="AB3" s="311"/>
      <c r="AC3" s="311"/>
      <c r="AD3" s="311"/>
      <c r="AE3" s="311"/>
      <c r="AF3" s="311"/>
      <c r="AG3" s="311"/>
      <c r="AH3" s="311"/>
      <c r="AI3" s="311"/>
      <c r="AJ3" s="311"/>
      <c r="AK3" s="311"/>
      <c r="AL3" s="311"/>
    </row>
    <row r="4" spans="2:38" x14ac:dyDescent="0.2">
      <c r="AD4" s="348" t="s">
        <v>734</v>
      </c>
    </row>
    <row r="5" spans="2:38" x14ac:dyDescent="0.2">
      <c r="B5" s="99"/>
      <c r="AD5" s="348" t="s">
        <v>735</v>
      </c>
    </row>
    <row r="6" spans="2:38" x14ac:dyDescent="0.2">
      <c r="B6" s="99"/>
      <c r="D6" s="1753" t="s">
        <v>743</v>
      </c>
      <c r="E6" s="1754"/>
      <c r="F6" s="1754"/>
      <c r="G6" s="1754"/>
      <c r="H6" s="1754"/>
      <c r="I6" s="1754"/>
      <c r="J6" s="1754"/>
      <c r="K6" s="1754"/>
      <c r="L6" s="1754"/>
      <c r="M6" s="1754"/>
      <c r="N6" s="1754"/>
      <c r="O6" s="1754"/>
      <c r="P6" s="1754"/>
      <c r="Q6" s="1754"/>
      <c r="R6" s="1754"/>
      <c r="S6" s="1754"/>
      <c r="T6" s="1754"/>
      <c r="U6" s="1754"/>
      <c r="V6" s="1754"/>
      <c r="W6" s="1754"/>
      <c r="X6" s="1754"/>
      <c r="Y6" s="1755"/>
    </row>
    <row r="7" spans="2:38" x14ac:dyDescent="0.2">
      <c r="D7" s="1770"/>
      <c r="E7" s="1771"/>
      <c r="F7" s="1771"/>
      <c r="G7" s="1771"/>
      <c r="H7" s="1771"/>
      <c r="I7" s="1771"/>
      <c r="J7" s="1771"/>
      <c r="K7" s="1771"/>
      <c r="L7" s="1771"/>
      <c r="M7" s="1771"/>
      <c r="N7" s="1771"/>
      <c r="O7" s="1771"/>
      <c r="P7" s="1771"/>
      <c r="Q7" s="1771"/>
      <c r="R7" s="1771"/>
      <c r="S7" s="1771"/>
      <c r="T7" s="1771"/>
      <c r="U7" s="1771"/>
      <c r="V7" s="1771"/>
      <c r="W7" s="1771"/>
      <c r="X7" s="1771"/>
      <c r="Y7" s="1772"/>
      <c r="Z7" s="120"/>
      <c r="AA7" s="120"/>
      <c r="AB7" s="120"/>
      <c r="AC7" s="120"/>
      <c r="AD7" s="120"/>
      <c r="AE7" s="120"/>
      <c r="AF7" s="120"/>
      <c r="AG7" s="120"/>
      <c r="AH7" s="120"/>
      <c r="AI7" s="120"/>
      <c r="AJ7" s="120"/>
      <c r="AK7" s="120"/>
      <c r="AL7" s="120"/>
    </row>
    <row r="8" spans="2:38" x14ac:dyDescent="0.2">
      <c r="D8" s="1768" t="s">
        <v>745</v>
      </c>
      <c r="E8" s="1749"/>
      <c r="F8" s="1749"/>
      <c r="G8" s="1749"/>
      <c r="H8" s="1749"/>
      <c r="I8" s="1749"/>
      <c r="J8" s="1749"/>
      <c r="K8" s="1749"/>
      <c r="L8" s="1749"/>
      <c r="M8" s="1751"/>
      <c r="N8" s="349"/>
      <c r="O8" s="349"/>
      <c r="P8" s="349"/>
      <c r="Q8" s="349"/>
      <c r="R8" s="349"/>
      <c r="S8" s="349"/>
      <c r="T8" s="349"/>
      <c r="U8" s="349"/>
      <c r="V8" s="349"/>
      <c r="W8" s="349"/>
      <c r="X8" s="349"/>
      <c r="Y8" s="350"/>
      <c r="Z8" s="120"/>
      <c r="AA8" s="120"/>
      <c r="AB8" s="120"/>
      <c r="AC8" s="120"/>
      <c r="AD8" s="120"/>
      <c r="AE8" s="120"/>
      <c r="AF8" s="120"/>
      <c r="AG8" s="120"/>
      <c r="AH8" s="120"/>
      <c r="AI8" s="120"/>
      <c r="AJ8" s="120"/>
      <c r="AK8" s="120"/>
      <c r="AL8" s="120"/>
    </row>
    <row r="9" spans="2:38" x14ac:dyDescent="0.2">
      <c r="D9" s="1762"/>
      <c r="E9" s="1746"/>
      <c r="F9" s="1746"/>
      <c r="G9" s="1746"/>
      <c r="H9" s="1746"/>
      <c r="I9" s="1746"/>
      <c r="J9" s="1746"/>
      <c r="K9" s="1746"/>
      <c r="L9" s="1746"/>
      <c r="M9" s="1747"/>
      <c r="S9" s="100" t="s">
        <v>763</v>
      </c>
      <c r="T9" s="1748"/>
      <c r="U9" s="1748"/>
      <c r="V9" s="1748"/>
      <c r="W9" s="1746" t="s">
        <v>762</v>
      </c>
      <c r="X9" s="1746"/>
      <c r="Y9" s="1747"/>
      <c r="Z9" s="120"/>
      <c r="AA9" s="120"/>
      <c r="AB9" s="120"/>
      <c r="AC9" s="120"/>
      <c r="AD9" s="120"/>
      <c r="AE9" s="120"/>
      <c r="AF9" s="120"/>
      <c r="AG9" s="120"/>
      <c r="AH9" s="120"/>
      <c r="AI9" s="120"/>
      <c r="AJ9" s="120"/>
      <c r="AK9" s="120"/>
      <c r="AL9" s="120"/>
    </row>
    <row r="10" spans="2:38" x14ac:dyDescent="0.2">
      <c r="D10" s="1763"/>
      <c r="E10" s="1764"/>
      <c r="F10" s="1764"/>
      <c r="G10" s="1764"/>
      <c r="H10" s="1764"/>
      <c r="I10" s="1764"/>
      <c r="J10" s="1764"/>
      <c r="K10" s="1764"/>
      <c r="L10" s="1764"/>
      <c r="M10" s="1765"/>
      <c r="N10" s="347"/>
      <c r="O10" s="347"/>
      <c r="P10" s="347"/>
      <c r="Q10" s="347"/>
      <c r="R10" s="347"/>
      <c r="S10" s="347"/>
      <c r="T10" s="347"/>
      <c r="U10" s="347"/>
      <c r="V10" s="347"/>
      <c r="W10" s="347"/>
      <c r="X10" s="347"/>
      <c r="Y10" s="351"/>
    </row>
    <row r="11" spans="2:38" x14ac:dyDescent="0.2">
      <c r="B11" s="99"/>
      <c r="D11" s="1762" t="s">
        <v>744</v>
      </c>
      <c r="E11" s="1746"/>
      <c r="F11" s="1746"/>
      <c r="G11" s="1746"/>
      <c r="H11" s="1746"/>
      <c r="I11" s="1746"/>
      <c r="J11" s="1746"/>
      <c r="K11" s="1746"/>
      <c r="L11" s="1746"/>
      <c r="M11" s="1747"/>
      <c r="N11" s="101"/>
      <c r="O11" s="1749" t="s">
        <v>759</v>
      </c>
      <c r="P11" s="1749"/>
      <c r="Q11" s="1749" t="s">
        <v>761</v>
      </c>
      <c r="R11" s="1749"/>
      <c r="S11" s="1749"/>
      <c r="T11" s="349"/>
      <c r="U11" s="1749" t="s">
        <v>759</v>
      </c>
      <c r="V11" s="1749"/>
      <c r="W11" s="1749" t="s">
        <v>761</v>
      </c>
      <c r="X11" s="1749"/>
      <c r="Y11" s="1751"/>
    </row>
    <row r="12" spans="2:38" x14ac:dyDescent="0.2">
      <c r="D12" s="1762"/>
      <c r="E12" s="1746"/>
      <c r="F12" s="1746"/>
      <c r="G12" s="1746"/>
      <c r="H12" s="1746"/>
      <c r="I12" s="1746"/>
      <c r="J12" s="1746"/>
      <c r="K12" s="1746"/>
      <c r="L12" s="1746"/>
      <c r="M12" s="1747"/>
      <c r="N12" s="102" t="s">
        <v>752</v>
      </c>
      <c r="O12" s="1748"/>
      <c r="P12" s="1748"/>
      <c r="Q12" s="1748"/>
      <c r="R12" s="1748"/>
      <c r="S12" s="1748"/>
      <c r="T12" s="312" t="s">
        <v>752</v>
      </c>
      <c r="U12" s="1748"/>
      <c r="V12" s="1748"/>
      <c r="W12" s="1748"/>
      <c r="X12" s="1748"/>
      <c r="Y12" s="1750"/>
    </row>
    <row r="13" spans="2:38" x14ac:dyDescent="0.2">
      <c r="C13" s="311"/>
      <c r="D13" s="1762"/>
      <c r="E13" s="1746"/>
      <c r="F13" s="1746"/>
      <c r="G13" s="1746"/>
      <c r="H13" s="1746"/>
      <c r="I13" s="1746"/>
      <c r="J13" s="1746"/>
      <c r="K13" s="1746"/>
      <c r="L13" s="1746"/>
      <c r="M13" s="1747"/>
      <c r="N13" s="102" t="s">
        <v>752</v>
      </c>
      <c r="O13" s="1748"/>
      <c r="P13" s="1748"/>
      <c r="Q13" s="1748"/>
      <c r="R13" s="1748"/>
      <c r="S13" s="1748"/>
      <c r="T13" s="312" t="s">
        <v>752</v>
      </c>
      <c r="U13" s="1748"/>
      <c r="V13" s="1748"/>
      <c r="W13" s="1748"/>
      <c r="X13" s="1748"/>
      <c r="Y13" s="1750"/>
      <c r="Z13" s="311"/>
      <c r="AA13" s="311"/>
      <c r="AB13" s="311"/>
      <c r="AC13" s="311"/>
      <c r="AD13" s="311"/>
      <c r="AE13" s="311"/>
      <c r="AF13" s="311"/>
      <c r="AG13" s="311"/>
      <c r="AH13" s="311"/>
      <c r="AI13" s="311"/>
      <c r="AJ13" s="311"/>
      <c r="AK13" s="311"/>
      <c r="AL13" s="311"/>
    </row>
    <row r="14" spans="2:38" x14ac:dyDescent="0.2">
      <c r="C14" s="311"/>
      <c r="D14" s="1762"/>
      <c r="E14" s="1746"/>
      <c r="F14" s="1746"/>
      <c r="G14" s="1746"/>
      <c r="H14" s="1746"/>
      <c r="I14" s="1746"/>
      <c r="J14" s="1746"/>
      <c r="K14" s="1746"/>
      <c r="L14" s="1746"/>
      <c r="M14" s="1747"/>
      <c r="N14" s="102" t="s">
        <v>752</v>
      </c>
      <c r="O14" s="1748"/>
      <c r="P14" s="1748"/>
      <c r="Q14" s="1748"/>
      <c r="R14" s="1748"/>
      <c r="S14" s="1748"/>
      <c r="T14" s="312" t="s">
        <v>752</v>
      </c>
      <c r="U14" s="1748"/>
      <c r="V14" s="1748"/>
      <c r="W14" s="1748"/>
      <c r="X14" s="1748"/>
      <c r="Y14" s="1750"/>
      <c r="Z14" s="311"/>
      <c r="AA14" s="311"/>
      <c r="AB14" s="311"/>
      <c r="AC14" s="311"/>
      <c r="AD14" s="311"/>
      <c r="AE14" s="311"/>
      <c r="AF14" s="311"/>
      <c r="AH14" s="311"/>
      <c r="AJ14" s="311"/>
      <c r="AK14" s="311"/>
    </row>
    <row r="15" spans="2:38" x14ac:dyDescent="0.2">
      <c r="C15" s="311"/>
      <c r="D15" s="1762"/>
      <c r="E15" s="1746"/>
      <c r="F15" s="1746"/>
      <c r="G15" s="1746"/>
      <c r="H15" s="1746"/>
      <c r="I15" s="1746"/>
      <c r="J15" s="1746"/>
      <c r="K15" s="1746"/>
      <c r="L15" s="1746"/>
      <c r="M15" s="1747"/>
      <c r="N15" s="102" t="s">
        <v>752</v>
      </c>
      <c r="O15" s="1748"/>
      <c r="P15" s="1748"/>
      <c r="Q15" s="1748"/>
      <c r="R15" s="1748"/>
      <c r="S15" s="1748"/>
      <c r="T15" s="312" t="s">
        <v>752</v>
      </c>
      <c r="U15" s="1748"/>
      <c r="V15" s="1748"/>
      <c r="W15" s="1748"/>
      <c r="X15" s="1748"/>
      <c r="Y15" s="1750"/>
      <c r="Z15" s="311"/>
      <c r="AA15" s="311"/>
      <c r="AB15" s="311"/>
      <c r="AC15" s="311"/>
      <c r="AD15" s="311"/>
      <c r="AE15" s="311"/>
      <c r="AF15" s="311"/>
      <c r="AH15" s="311"/>
      <c r="AJ15" s="311"/>
      <c r="AK15" s="311"/>
    </row>
    <row r="16" spans="2:38" x14ac:dyDescent="0.2">
      <c r="C16" s="311"/>
      <c r="D16" s="1762"/>
      <c r="E16" s="1746"/>
      <c r="F16" s="1746"/>
      <c r="G16" s="1746"/>
      <c r="H16" s="1746"/>
      <c r="I16" s="1746"/>
      <c r="J16" s="1746"/>
      <c r="K16" s="1746"/>
      <c r="L16" s="1746"/>
      <c r="M16" s="1747"/>
      <c r="N16" s="102" t="s">
        <v>752</v>
      </c>
      <c r="O16" s="1748"/>
      <c r="P16" s="1748"/>
      <c r="Q16" s="1748"/>
      <c r="R16" s="1748"/>
      <c r="S16" s="1748"/>
      <c r="T16" s="312" t="s">
        <v>752</v>
      </c>
      <c r="U16" s="1748"/>
      <c r="V16" s="1748"/>
      <c r="W16" s="1748"/>
      <c r="X16" s="1748"/>
      <c r="Y16" s="1750"/>
      <c r="Z16" s="311"/>
      <c r="AA16" s="311"/>
      <c r="AB16" s="311"/>
      <c r="AC16" s="311"/>
      <c r="AD16" s="311"/>
      <c r="AE16" s="311"/>
      <c r="AF16" s="311"/>
      <c r="AH16" s="311"/>
      <c r="AJ16" s="311"/>
      <c r="AK16" s="311"/>
    </row>
    <row r="17" spans="3:38" x14ac:dyDescent="0.2">
      <c r="C17" s="311"/>
      <c r="D17" s="1762"/>
      <c r="E17" s="1746"/>
      <c r="F17" s="1746"/>
      <c r="G17" s="1746"/>
      <c r="H17" s="1746"/>
      <c r="I17" s="1746"/>
      <c r="J17" s="1746"/>
      <c r="K17" s="1746"/>
      <c r="L17" s="1746"/>
      <c r="M17" s="1747"/>
      <c r="N17" s="102" t="s">
        <v>752</v>
      </c>
      <c r="O17" s="1748"/>
      <c r="P17" s="1748"/>
      <c r="Q17" s="1748"/>
      <c r="R17" s="1748"/>
      <c r="S17" s="1748"/>
      <c r="T17" s="312" t="s">
        <v>752</v>
      </c>
      <c r="U17" s="1748"/>
      <c r="V17" s="1748"/>
      <c r="W17" s="1748"/>
      <c r="X17" s="1748"/>
      <c r="Y17" s="1750"/>
      <c r="Z17" s="120"/>
      <c r="AA17" s="120"/>
      <c r="AB17" s="120"/>
      <c r="AC17" s="120"/>
      <c r="AD17" s="120"/>
      <c r="AE17" s="120"/>
      <c r="AF17" s="120"/>
      <c r="AG17" s="120"/>
      <c r="AH17" s="120"/>
      <c r="AI17" s="120"/>
      <c r="AJ17" s="120"/>
      <c r="AK17" s="120"/>
      <c r="AL17" s="120"/>
    </row>
    <row r="18" spans="3:38" x14ac:dyDescent="0.2">
      <c r="C18" s="311"/>
      <c r="D18" s="1763"/>
      <c r="E18" s="1764"/>
      <c r="F18" s="1764"/>
      <c r="G18" s="1764"/>
      <c r="H18" s="1764"/>
      <c r="I18" s="1764"/>
      <c r="J18" s="1764"/>
      <c r="K18" s="1764"/>
      <c r="L18" s="1764"/>
      <c r="M18" s="1765"/>
      <c r="N18" s="104"/>
      <c r="O18" s="347"/>
      <c r="P18" s="347"/>
      <c r="Q18" s="347"/>
      <c r="R18" s="347"/>
      <c r="S18" s="347"/>
      <c r="T18" s="347"/>
      <c r="U18" s="347"/>
      <c r="V18" s="347"/>
      <c r="W18" s="347"/>
      <c r="X18" s="375"/>
      <c r="Y18" s="376"/>
      <c r="Z18" s="120"/>
      <c r="AA18" s="120"/>
      <c r="AB18" s="120"/>
      <c r="AC18" s="120"/>
      <c r="AD18" s="120"/>
      <c r="AE18" s="120"/>
      <c r="AF18" s="120"/>
      <c r="AG18" s="120"/>
      <c r="AH18" s="120"/>
      <c r="AI18" s="120"/>
      <c r="AJ18" s="120"/>
      <c r="AK18" s="120"/>
      <c r="AL18" s="120"/>
    </row>
    <row r="19" spans="3:38" x14ac:dyDescent="0.2">
      <c r="C19" s="311"/>
      <c r="D19" s="1753" t="s">
        <v>749</v>
      </c>
      <c r="E19" s="1754"/>
      <c r="F19" s="1754"/>
      <c r="G19" s="1754"/>
      <c r="H19" s="1754"/>
      <c r="I19" s="1754"/>
      <c r="J19" s="1754"/>
      <c r="K19" s="1754"/>
      <c r="L19" s="1754"/>
      <c r="M19" s="1754"/>
      <c r="N19" s="1754"/>
      <c r="O19" s="1754"/>
      <c r="P19" s="1754"/>
      <c r="Q19" s="1754"/>
      <c r="R19" s="1754"/>
      <c r="S19" s="1754"/>
      <c r="T19" s="1754"/>
      <c r="U19" s="1754"/>
      <c r="V19" s="1754"/>
      <c r="W19" s="1754"/>
      <c r="X19" s="1754"/>
      <c r="Y19" s="1755"/>
      <c r="Z19" s="120"/>
      <c r="AA19" s="120"/>
      <c r="AB19" s="120"/>
      <c r="AC19" s="120"/>
      <c r="AD19" s="120"/>
      <c r="AE19" s="120"/>
      <c r="AF19" s="120"/>
      <c r="AG19" s="120"/>
      <c r="AH19" s="120"/>
      <c r="AI19" s="120"/>
      <c r="AJ19" s="120"/>
      <c r="AK19" s="120"/>
      <c r="AL19" s="120"/>
    </row>
    <row r="20" spans="3:38" x14ac:dyDescent="0.2">
      <c r="C20" s="311"/>
      <c r="D20" s="1770"/>
      <c r="E20" s="1771"/>
      <c r="F20" s="1771"/>
      <c r="G20" s="1771"/>
      <c r="H20" s="1771"/>
      <c r="I20" s="1771"/>
      <c r="J20" s="1771"/>
      <c r="K20" s="1771"/>
      <c r="L20" s="1771"/>
      <c r="M20" s="1771"/>
      <c r="N20" s="1771"/>
      <c r="O20" s="1771"/>
      <c r="P20" s="1771"/>
      <c r="Q20" s="1771"/>
      <c r="R20" s="1771"/>
      <c r="S20" s="1771"/>
      <c r="T20" s="1771"/>
      <c r="U20" s="1771"/>
      <c r="V20" s="1771"/>
      <c r="W20" s="1771"/>
      <c r="X20" s="1771"/>
      <c r="Y20" s="1772"/>
      <c r="Z20" s="120"/>
      <c r="AA20" s="120"/>
      <c r="AB20" s="120"/>
      <c r="AC20" s="120"/>
      <c r="AD20" s="120"/>
      <c r="AE20" s="120"/>
      <c r="AF20" s="120"/>
      <c r="AG20" s="120"/>
      <c r="AH20" s="120"/>
      <c r="AI20" s="120"/>
      <c r="AJ20" s="120"/>
      <c r="AK20" s="120"/>
      <c r="AL20" s="120"/>
    </row>
    <row r="21" spans="3:38" x14ac:dyDescent="0.2">
      <c r="C21" s="311"/>
      <c r="D21" s="1768" t="s">
        <v>746</v>
      </c>
      <c r="E21" s="1749"/>
      <c r="F21" s="1749"/>
      <c r="G21" s="1749"/>
      <c r="H21" s="1749"/>
      <c r="I21" s="1749"/>
      <c r="J21" s="1749"/>
      <c r="K21" s="1749"/>
      <c r="L21" s="1749"/>
      <c r="M21" s="1751"/>
      <c r="N21" s="349"/>
      <c r="O21" s="349"/>
      <c r="P21" s="349"/>
      <c r="Q21" s="349"/>
      <c r="R21" s="349"/>
      <c r="S21" s="349"/>
      <c r="T21" s="349"/>
      <c r="U21" s="349"/>
      <c r="V21" s="349"/>
      <c r="W21" s="349"/>
      <c r="X21" s="373"/>
      <c r="Y21" s="374"/>
      <c r="Z21" s="120"/>
      <c r="AA21" s="120"/>
      <c r="AB21" s="120"/>
      <c r="AC21" s="120"/>
      <c r="AD21" s="120"/>
      <c r="AE21" s="120"/>
      <c r="AF21" s="120"/>
      <c r="AG21" s="120"/>
      <c r="AH21" s="120"/>
      <c r="AI21" s="120"/>
      <c r="AJ21" s="120"/>
      <c r="AK21" s="120"/>
      <c r="AL21" s="120"/>
    </row>
    <row r="22" spans="3:38" x14ac:dyDescent="0.2">
      <c r="D22" s="1762"/>
      <c r="E22" s="1746"/>
      <c r="F22" s="1746"/>
      <c r="G22" s="1746"/>
      <c r="H22" s="1746"/>
      <c r="I22" s="1746"/>
      <c r="J22" s="1746"/>
      <c r="K22" s="1746"/>
      <c r="L22" s="1746"/>
      <c r="M22" s="1747"/>
      <c r="Q22" s="100" t="s">
        <v>390</v>
      </c>
      <c r="R22" s="1752"/>
      <c r="S22" s="1752"/>
      <c r="T22" s="1752"/>
      <c r="U22" s="1752"/>
      <c r="V22" s="1752"/>
      <c r="W22" s="100" t="s">
        <v>755</v>
      </c>
      <c r="X22" s="100" t="s">
        <v>754</v>
      </c>
      <c r="Y22" s="352"/>
    </row>
    <row r="23" spans="3:38" x14ac:dyDescent="0.2">
      <c r="D23" s="1763"/>
      <c r="E23" s="1764"/>
      <c r="F23" s="1764"/>
      <c r="G23" s="1764"/>
      <c r="H23" s="1764"/>
      <c r="I23" s="1764"/>
      <c r="J23" s="1764"/>
      <c r="K23" s="1764"/>
      <c r="L23" s="1764"/>
      <c r="M23" s="1765"/>
      <c r="N23" s="347"/>
      <c r="O23" s="347"/>
      <c r="P23" s="347"/>
      <c r="Q23" s="347"/>
      <c r="R23" s="347"/>
      <c r="S23" s="347"/>
      <c r="T23" s="347"/>
      <c r="U23" s="347"/>
      <c r="V23" s="347"/>
      <c r="W23" s="347"/>
      <c r="X23" s="347"/>
      <c r="Y23" s="351"/>
    </row>
    <row r="24" spans="3:38" x14ac:dyDescent="0.2">
      <c r="D24" s="1768" t="s">
        <v>765</v>
      </c>
      <c r="E24" s="1749"/>
      <c r="F24" s="1749"/>
      <c r="G24" s="1749"/>
      <c r="H24" s="1749"/>
      <c r="I24" s="1749"/>
      <c r="J24" s="1749"/>
      <c r="K24" s="1749"/>
      <c r="L24" s="1749"/>
      <c r="M24" s="1751"/>
      <c r="N24" s="349"/>
      <c r="O24" s="349"/>
      <c r="P24" s="349"/>
      <c r="Q24" s="349"/>
      <c r="R24" s="349"/>
      <c r="S24" s="349"/>
      <c r="T24" s="349"/>
      <c r="U24" s="349"/>
      <c r="V24" s="349"/>
      <c r="W24" s="349"/>
      <c r="X24" s="373"/>
      <c r="Y24" s="374"/>
      <c r="Z24" s="120"/>
      <c r="AA24" s="120"/>
      <c r="AB24" s="120"/>
      <c r="AC24" s="120"/>
      <c r="AD24" s="120"/>
      <c r="AE24" s="120"/>
      <c r="AF24" s="120"/>
      <c r="AG24" s="120"/>
      <c r="AH24" s="120"/>
      <c r="AI24" s="120"/>
      <c r="AJ24" s="120"/>
      <c r="AK24" s="120"/>
      <c r="AL24" s="120"/>
    </row>
    <row r="25" spans="3:38" x14ac:dyDescent="0.2">
      <c r="D25" s="1762"/>
      <c r="E25" s="1746"/>
      <c r="F25" s="1746"/>
      <c r="G25" s="1746"/>
      <c r="H25" s="1746"/>
      <c r="I25" s="1746"/>
      <c r="J25" s="1746"/>
      <c r="K25" s="1746"/>
      <c r="L25" s="1746"/>
      <c r="M25" s="1747"/>
      <c r="Q25" s="100" t="s">
        <v>390</v>
      </c>
      <c r="R25" s="1752"/>
      <c r="S25" s="1752"/>
      <c r="T25" s="1752"/>
      <c r="U25" s="1752"/>
      <c r="V25" s="1752"/>
      <c r="W25" s="100" t="s">
        <v>755</v>
      </c>
      <c r="X25" s="100" t="s">
        <v>754</v>
      </c>
      <c r="Y25" s="314"/>
      <c r="Z25" s="120"/>
      <c r="AA25" s="120"/>
      <c r="AB25" s="120"/>
      <c r="AC25" s="120"/>
      <c r="AD25" s="120"/>
      <c r="AE25" s="120"/>
      <c r="AF25" s="120"/>
      <c r="AG25" s="120"/>
      <c r="AH25" s="120"/>
      <c r="AI25" s="120"/>
      <c r="AJ25" s="120"/>
      <c r="AK25" s="120"/>
      <c r="AL25" s="120"/>
    </row>
    <row r="26" spans="3:38" x14ac:dyDescent="0.2">
      <c r="D26" s="1763"/>
      <c r="E26" s="1764"/>
      <c r="F26" s="1764"/>
      <c r="G26" s="1764"/>
      <c r="H26" s="1764"/>
      <c r="I26" s="1764"/>
      <c r="J26" s="1764"/>
      <c r="K26" s="1764"/>
      <c r="L26" s="1764"/>
      <c r="M26" s="1765"/>
      <c r="N26" s="347"/>
      <c r="O26" s="347"/>
      <c r="P26" s="347"/>
      <c r="Q26" s="347"/>
      <c r="R26" s="347"/>
      <c r="S26" s="347"/>
      <c r="T26" s="347"/>
      <c r="U26" s="347"/>
      <c r="V26" s="347"/>
      <c r="W26" s="347"/>
      <c r="X26" s="347"/>
      <c r="Y26" s="351"/>
    </row>
    <row r="27" spans="3:38" x14ac:dyDescent="0.2">
      <c r="D27" s="1768" t="s">
        <v>764</v>
      </c>
      <c r="E27" s="1749"/>
      <c r="F27" s="1749"/>
      <c r="G27" s="1749"/>
      <c r="H27" s="1749"/>
      <c r="I27" s="1749"/>
      <c r="J27" s="1749"/>
      <c r="K27" s="1749"/>
      <c r="L27" s="1749"/>
      <c r="M27" s="1751"/>
      <c r="N27" s="349"/>
      <c r="O27" s="349"/>
      <c r="P27" s="349"/>
      <c r="Q27" s="349"/>
      <c r="R27" s="349"/>
      <c r="S27" s="349"/>
      <c r="T27" s="349"/>
      <c r="U27" s="349"/>
      <c r="V27" s="349"/>
      <c r="W27" s="349"/>
      <c r="X27" s="349"/>
      <c r="Y27" s="350"/>
    </row>
    <row r="28" spans="3:38" x14ac:dyDescent="0.2">
      <c r="D28" s="1762"/>
      <c r="E28" s="1746"/>
      <c r="F28" s="1746"/>
      <c r="G28" s="1746"/>
      <c r="H28" s="1746"/>
      <c r="I28" s="1746"/>
      <c r="J28" s="1746"/>
      <c r="K28" s="1746"/>
      <c r="L28" s="1746"/>
      <c r="M28" s="1747"/>
      <c r="Q28" s="100" t="s">
        <v>390</v>
      </c>
      <c r="R28" s="1752"/>
      <c r="S28" s="1752"/>
      <c r="T28" s="1752"/>
      <c r="U28" s="1752"/>
      <c r="V28" s="1752"/>
      <c r="W28" s="100" t="s">
        <v>755</v>
      </c>
      <c r="X28" s="100" t="s">
        <v>754</v>
      </c>
      <c r="Y28" s="352"/>
    </row>
    <row r="29" spans="3:38" x14ac:dyDescent="0.2">
      <c r="D29" s="1763"/>
      <c r="E29" s="1764"/>
      <c r="F29" s="1764"/>
      <c r="G29" s="1764"/>
      <c r="H29" s="1764"/>
      <c r="I29" s="1764"/>
      <c r="J29" s="1764"/>
      <c r="K29" s="1764"/>
      <c r="L29" s="1764"/>
      <c r="M29" s="1765"/>
      <c r="N29" s="347"/>
      <c r="O29" s="347"/>
      <c r="P29" s="347"/>
      <c r="Q29" s="347"/>
      <c r="R29" s="347"/>
      <c r="S29" s="347"/>
      <c r="T29" s="347"/>
      <c r="U29" s="347"/>
      <c r="V29" s="347"/>
      <c r="W29" s="347"/>
      <c r="X29" s="347"/>
      <c r="Y29" s="351"/>
    </row>
    <row r="30" spans="3:38" x14ac:dyDescent="0.2">
      <c r="D30" s="1767" t="s">
        <v>747</v>
      </c>
      <c r="E30" s="1746"/>
      <c r="F30" s="1746"/>
      <c r="G30" s="1746"/>
      <c r="H30" s="1746"/>
      <c r="I30" s="1746"/>
      <c r="J30" s="1746"/>
      <c r="K30" s="1746"/>
      <c r="L30" s="1746"/>
      <c r="M30" s="1747"/>
      <c r="Y30" s="352"/>
    </row>
    <row r="31" spans="3:38" x14ac:dyDescent="0.2">
      <c r="D31" s="1762"/>
      <c r="E31" s="1746"/>
      <c r="F31" s="1746"/>
      <c r="G31" s="1746"/>
      <c r="H31" s="1746"/>
      <c r="I31" s="1746"/>
      <c r="J31" s="1746"/>
      <c r="K31" s="1746"/>
      <c r="L31" s="1746"/>
      <c r="M31" s="1747"/>
      <c r="N31" s="100" t="s">
        <v>441</v>
      </c>
      <c r="O31" s="1748"/>
      <c r="P31" s="1748"/>
      <c r="Q31" s="1748"/>
      <c r="R31" s="1748"/>
      <c r="S31" s="1748"/>
      <c r="T31" s="1748"/>
      <c r="U31" s="312" t="s">
        <v>757</v>
      </c>
      <c r="V31" s="1752"/>
      <c r="W31" s="1752"/>
      <c r="X31" s="1746" t="s">
        <v>756</v>
      </c>
      <c r="Y31" s="1747"/>
    </row>
    <row r="32" spans="3:38" x14ac:dyDescent="0.2">
      <c r="D32" s="1762"/>
      <c r="E32" s="1746"/>
      <c r="F32" s="1746"/>
      <c r="G32" s="1746"/>
      <c r="H32" s="1746"/>
      <c r="I32" s="1746"/>
      <c r="J32" s="1746"/>
      <c r="K32" s="1746"/>
      <c r="L32" s="1746"/>
      <c r="M32" s="1747"/>
      <c r="N32" s="100" t="s">
        <v>441</v>
      </c>
      <c r="O32" s="1748"/>
      <c r="P32" s="1748"/>
      <c r="Q32" s="1748"/>
      <c r="R32" s="1748"/>
      <c r="S32" s="1748"/>
      <c r="T32" s="1748"/>
      <c r="U32" s="312" t="s">
        <v>757</v>
      </c>
      <c r="V32" s="1752"/>
      <c r="W32" s="1752"/>
      <c r="X32" s="1746" t="s">
        <v>756</v>
      </c>
      <c r="Y32" s="1747"/>
    </row>
    <row r="33" spans="4:25" x14ac:dyDescent="0.2">
      <c r="D33" s="1762"/>
      <c r="E33" s="1746"/>
      <c r="F33" s="1746"/>
      <c r="G33" s="1746"/>
      <c r="H33" s="1746"/>
      <c r="I33" s="1746"/>
      <c r="J33" s="1746"/>
      <c r="K33" s="1746"/>
      <c r="L33" s="1746"/>
      <c r="M33" s="1747"/>
      <c r="N33" s="100" t="s">
        <v>441</v>
      </c>
      <c r="O33" s="1748"/>
      <c r="P33" s="1748"/>
      <c r="Q33" s="1748"/>
      <c r="R33" s="1748"/>
      <c r="S33" s="1748"/>
      <c r="T33" s="1748"/>
      <c r="U33" s="312" t="s">
        <v>757</v>
      </c>
      <c r="V33" s="1752"/>
      <c r="W33" s="1752"/>
      <c r="X33" s="1746" t="s">
        <v>756</v>
      </c>
      <c r="Y33" s="1747"/>
    </row>
    <row r="34" spans="4:25" x14ac:dyDescent="0.2">
      <c r="D34" s="1762"/>
      <c r="E34" s="1746"/>
      <c r="F34" s="1746"/>
      <c r="G34" s="1746"/>
      <c r="H34" s="1746"/>
      <c r="I34" s="1746"/>
      <c r="J34" s="1746"/>
      <c r="K34" s="1746"/>
      <c r="L34" s="1746"/>
      <c r="M34" s="1747"/>
      <c r="N34" s="100" t="s">
        <v>441</v>
      </c>
      <c r="O34" s="1748"/>
      <c r="P34" s="1748"/>
      <c r="Q34" s="1748"/>
      <c r="R34" s="1748"/>
      <c r="S34" s="1748"/>
      <c r="T34" s="1748"/>
      <c r="U34" s="312" t="s">
        <v>757</v>
      </c>
      <c r="V34" s="1752"/>
      <c r="W34" s="1752"/>
      <c r="X34" s="1746" t="s">
        <v>756</v>
      </c>
      <c r="Y34" s="1747"/>
    </row>
    <row r="35" spans="4:25" x14ac:dyDescent="0.2">
      <c r="D35" s="1763"/>
      <c r="E35" s="1764"/>
      <c r="F35" s="1764"/>
      <c r="G35" s="1764"/>
      <c r="H35" s="1764"/>
      <c r="I35" s="1764"/>
      <c r="J35" s="1764"/>
      <c r="K35" s="1764"/>
      <c r="L35" s="1764"/>
      <c r="M35" s="1765"/>
      <c r="N35" s="347"/>
      <c r="O35" s="347"/>
      <c r="P35" s="347"/>
      <c r="Q35" s="347"/>
      <c r="R35" s="347"/>
      <c r="S35" s="347"/>
      <c r="T35" s="347"/>
      <c r="U35" s="347"/>
      <c r="V35" s="347"/>
      <c r="W35" s="347"/>
      <c r="X35" s="347"/>
      <c r="Y35" s="351"/>
    </row>
    <row r="36" spans="4:25" x14ac:dyDescent="0.2">
      <c r="D36" s="1753" t="s">
        <v>748</v>
      </c>
      <c r="E36" s="1754"/>
      <c r="F36" s="1754"/>
      <c r="G36" s="1754"/>
      <c r="H36" s="1754"/>
      <c r="I36" s="1754"/>
      <c r="J36" s="1754"/>
      <c r="K36" s="1754"/>
      <c r="L36" s="1754"/>
      <c r="M36" s="1754"/>
      <c r="N36" s="1754"/>
      <c r="O36" s="1754"/>
      <c r="P36" s="1754"/>
      <c r="Q36" s="1754"/>
      <c r="R36" s="1754"/>
      <c r="S36" s="1754"/>
      <c r="T36" s="1754"/>
      <c r="U36" s="1754"/>
      <c r="V36" s="1754"/>
      <c r="W36" s="1754"/>
      <c r="X36" s="1754"/>
      <c r="Y36" s="1755"/>
    </row>
    <row r="37" spans="4:25" x14ac:dyDescent="0.2">
      <c r="D37" s="1756"/>
      <c r="E37" s="1757"/>
      <c r="F37" s="1757"/>
      <c r="G37" s="1757"/>
      <c r="H37" s="1757"/>
      <c r="I37" s="1757"/>
      <c r="J37" s="1757"/>
      <c r="K37" s="1757"/>
      <c r="L37" s="1757"/>
      <c r="M37" s="1757"/>
      <c r="N37" s="1757"/>
      <c r="O37" s="1757"/>
      <c r="P37" s="1757"/>
      <c r="Q37" s="1757"/>
      <c r="R37" s="1757"/>
      <c r="S37" s="1757"/>
      <c r="T37" s="1757"/>
      <c r="U37" s="1757"/>
      <c r="V37" s="1757"/>
      <c r="W37" s="1757"/>
      <c r="X37" s="1757"/>
      <c r="Y37" s="1758"/>
    </row>
    <row r="38" spans="4:25" x14ac:dyDescent="0.2">
      <c r="D38" s="1761" t="s">
        <v>750</v>
      </c>
      <c r="E38" s="1749"/>
      <c r="F38" s="1749"/>
      <c r="G38" s="1749"/>
      <c r="H38" s="1749"/>
      <c r="I38" s="1749"/>
      <c r="J38" s="1749"/>
      <c r="K38" s="1749"/>
      <c r="L38" s="1749"/>
      <c r="M38" s="1751"/>
      <c r="N38" s="101"/>
      <c r="O38" s="349"/>
      <c r="P38" s="349"/>
      <c r="Q38" s="349"/>
      <c r="R38" s="349"/>
      <c r="S38" s="349"/>
      <c r="T38" s="349"/>
      <c r="U38" s="349"/>
      <c r="V38" s="349"/>
      <c r="W38" s="349"/>
      <c r="X38" s="349"/>
      <c r="Y38" s="350"/>
    </row>
    <row r="39" spans="4:25" x14ac:dyDescent="0.2">
      <c r="D39" s="1762"/>
      <c r="E39" s="1746"/>
      <c r="F39" s="1746"/>
      <c r="G39" s="1746"/>
      <c r="H39" s="1746"/>
      <c r="I39" s="1746"/>
      <c r="J39" s="1746"/>
      <c r="K39" s="1746"/>
      <c r="L39" s="1746"/>
      <c r="M39" s="1747"/>
      <c r="N39" s="102"/>
      <c r="O39" s="100" t="s">
        <v>751</v>
      </c>
      <c r="Q39" s="103" t="s">
        <v>116</v>
      </c>
      <c r="R39" s="311" t="s">
        <v>719</v>
      </c>
      <c r="S39" s="1766" t="s">
        <v>760</v>
      </c>
      <c r="T39" s="1766"/>
      <c r="U39" s="103" t="s">
        <v>753</v>
      </c>
      <c r="V39" s="311" t="s">
        <v>721</v>
      </c>
      <c r="W39" s="311"/>
      <c r="X39" s="100" t="s">
        <v>233</v>
      </c>
      <c r="Y39" s="352"/>
    </row>
    <row r="40" spans="4:25" x14ac:dyDescent="0.2">
      <c r="D40" s="1763"/>
      <c r="E40" s="1764"/>
      <c r="F40" s="1764"/>
      <c r="G40" s="1764"/>
      <c r="H40" s="1764"/>
      <c r="I40" s="1764"/>
      <c r="J40" s="1764"/>
      <c r="K40" s="1764"/>
      <c r="L40" s="1764"/>
      <c r="M40" s="1765"/>
      <c r="N40" s="104"/>
      <c r="O40" s="347"/>
      <c r="P40" s="347"/>
      <c r="Q40" s="347"/>
      <c r="R40" s="347"/>
      <c r="S40" s="347"/>
      <c r="T40" s="347"/>
      <c r="U40" s="347"/>
      <c r="V40" s="347"/>
      <c r="W40" s="347"/>
      <c r="X40" s="347"/>
      <c r="Y40" s="351"/>
    </row>
    <row r="42" spans="4:25" x14ac:dyDescent="0.2">
      <c r="D42" s="100" t="s">
        <v>644</v>
      </c>
      <c r="E42" s="1759" t="s">
        <v>758</v>
      </c>
      <c r="F42" s="1760"/>
      <c r="G42" s="1760"/>
      <c r="H42" s="1760"/>
      <c r="I42" s="1760"/>
      <c r="J42" s="1760"/>
      <c r="K42" s="1760"/>
      <c r="L42" s="1760"/>
      <c r="M42" s="1760"/>
      <c r="N42" s="1760"/>
      <c r="O42" s="1760"/>
      <c r="P42" s="1760"/>
      <c r="Q42" s="1760"/>
      <c r="R42" s="1760"/>
      <c r="S42" s="1760"/>
      <c r="T42" s="1760"/>
      <c r="U42" s="1760"/>
      <c r="V42" s="1760"/>
      <c r="W42" s="1760"/>
      <c r="X42" s="1760"/>
      <c r="Y42" s="1760"/>
    </row>
    <row r="43" spans="4:25" x14ac:dyDescent="0.2">
      <c r="E43" s="1760"/>
      <c r="F43" s="1760"/>
      <c r="G43" s="1760"/>
      <c r="H43" s="1760"/>
      <c r="I43" s="1760"/>
      <c r="J43" s="1760"/>
      <c r="K43" s="1760"/>
      <c r="L43" s="1760"/>
      <c r="M43" s="1760"/>
      <c r="N43" s="1760"/>
      <c r="O43" s="1760"/>
      <c r="P43" s="1760"/>
      <c r="Q43" s="1760"/>
      <c r="R43" s="1760"/>
      <c r="S43" s="1760"/>
      <c r="T43" s="1760"/>
      <c r="U43" s="1760"/>
      <c r="V43" s="1760"/>
      <c r="W43" s="1760"/>
      <c r="X43" s="1760"/>
      <c r="Y43" s="1760"/>
    </row>
  </sheetData>
  <mergeCells count="58">
    <mergeCell ref="D30:M35"/>
    <mergeCell ref="O31:T31"/>
    <mergeCell ref="D24:M26"/>
    <mergeCell ref="D27:M29"/>
    <mergeCell ref="C3:Z3"/>
    <mergeCell ref="D6:Y7"/>
    <mergeCell ref="D8:M10"/>
    <mergeCell ref="D11:M18"/>
    <mergeCell ref="D19:Y20"/>
    <mergeCell ref="D21:M23"/>
    <mergeCell ref="O16:P16"/>
    <mergeCell ref="O17:P17"/>
    <mergeCell ref="U16:V16"/>
    <mergeCell ref="W16:Y16"/>
    <mergeCell ref="O32:T32"/>
    <mergeCell ref="O33:T33"/>
    <mergeCell ref="D36:Y37"/>
    <mergeCell ref="E42:Y43"/>
    <mergeCell ref="O11:P11"/>
    <mergeCell ref="O12:P12"/>
    <mergeCell ref="O13:P13"/>
    <mergeCell ref="O14:P14"/>
    <mergeCell ref="O15:P15"/>
    <mergeCell ref="X33:Y33"/>
    <mergeCell ref="X34:Y34"/>
    <mergeCell ref="D38:M40"/>
    <mergeCell ref="R22:V22"/>
    <mergeCell ref="R25:V25"/>
    <mergeCell ref="R28:V28"/>
    <mergeCell ref="X31:Y31"/>
    <mergeCell ref="X32:Y32"/>
    <mergeCell ref="S39:T39"/>
    <mergeCell ref="O34:T34"/>
    <mergeCell ref="V31:W31"/>
    <mergeCell ref="V32:W32"/>
    <mergeCell ref="V33:W33"/>
    <mergeCell ref="V34:W34"/>
    <mergeCell ref="Q15:S15"/>
    <mergeCell ref="Q16:S16"/>
    <mergeCell ref="Q17:S17"/>
    <mergeCell ref="U17:V17"/>
    <mergeCell ref="W17:Y17"/>
    <mergeCell ref="U15:V15"/>
    <mergeCell ref="W15:Y15"/>
    <mergeCell ref="W9:Y9"/>
    <mergeCell ref="T9:V9"/>
    <mergeCell ref="Q12:S12"/>
    <mergeCell ref="Q13:S13"/>
    <mergeCell ref="Q14:S14"/>
    <mergeCell ref="Q11:S11"/>
    <mergeCell ref="U11:V11"/>
    <mergeCell ref="U12:V12"/>
    <mergeCell ref="W12:Y12"/>
    <mergeCell ref="U13:V13"/>
    <mergeCell ref="W13:Y13"/>
    <mergeCell ref="U14:V14"/>
    <mergeCell ref="W14:Y14"/>
    <mergeCell ref="W11:Y11"/>
  </mergeCells>
  <phoneticPr fontId="2"/>
  <dataValidations count="1">
    <dataValidation type="list" allowBlank="1" showInputMessage="1" showErrorMessage="1" sqref="Q39 U39" xr:uid="{00000000-0002-0000-1800-000000000000}">
      <formula1>$AD$4:$AD$5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5"/>
  <sheetViews>
    <sheetView view="pageBreakPreview" zoomScaleNormal="100" zoomScaleSheetLayoutView="100" workbookViewId="0"/>
  </sheetViews>
  <sheetFormatPr defaultColWidth="9" defaultRowHeight="13.2" x14ac:dyDescent="0.2"/>
  <cols>
    <col min="1" max="1" width="1.44140625" style="100" customWidth="1"/>
    <col min="2" max="26" width="3.6640625" style="100" customWidth="1"/>
    <col min="27" max="27" width="1.21875" style="100" customWidth="1"/>
    <col min="28" max="38" width="3.6640625" style="100" customWidth="1"/>
    <col min="39" max="39" width="1" style="100" customWidth="1"/>
    <col min="40" max="61" width="3.6640625" style="100" customWidth="1"/>
    <col min="62" max="16384" width="9" style="100"/>
  </cols>
  <sheetData>
    <row r="2" spans="2:37" x14ac:dyDescent="0.2">
      <c r="B2" s="99" t="s">
        <v>732</v>
      </c>
    </row>
    <row r="3" spans="2:37" x14ac:dyDescent="0.2">
      <c r="C3" s="1769" t="s">
        <v>733</v>
      </c>
      <c r="D3" s="1769"/>
      <c r="E3" s="1769"/>
      <c r="F3" s="1769"/>
      <c r="G3" s="1769"/>
      <c r="H3" s="1769"/>
      <c r="I3" s="1769"/>
      <c r="J3" s="1769"/>
      <c r="K3" s="1769"/>
      <c r="L3" s="1769"/>
      <c r="M3" s="1769"/>
      <c r="N3" s="1769"/>
      <c r="O3" s="1769"/>
      <c r="P3" s="1769"/>
      <c r="Q3" s="1769"/>
      <c r="R3" s="1769"/>
      <c r="S3" s="1769"/>
      <c r="T3" s="1769"/>
      <c r="U3" s="1769"/>
      <c r="V3" s="1769"/>
      <c r="W3" s="1769"/>
      <c r="X3" s="1769"/>
      <c r="Y3" s="1769"/>
      <c r="Z3" s="311"/>
      <c r="AA3" s="311"/>
      <c r="AB3" s="311"/>
      <c r="AC3" s="311"/>
      <c r="AD3" s="311"/>
      <c r="AE3" s="311"/>
      <c r="AF3" s="311"/>
      <c r="AG3" s="311"/>
      <c r="AH3" s="311"/>
      <c r="AI3" s="311"/>
      <c r="AJ3" s="311"/>
      <c r="AK3" s="311"/>
    </row>
    <row r="4" spans="2:37" x14ac:dyDescent="0.2">
      <c r="AC4" s="348" t="s">
        <v>734</v>
      </c>
    </row>
    <row r="5" spans="2:37" x14ac:dyDescent="0.2">
      <c r="B5" s="99"/>
      <c r="AC5" s="348" t="s">
        <v>735</v>
      </c>
    </row>
    <row r="6" spans="2:37" x14ac:dyDescent="0.2">
      <c r="B6" s="99"/>
    </row>
    <row r="7" spans="2:37" x14ac:dyDescent="0.2">
      <c r="C7" s="121" t="s">
        <v>736</v>
      </c>
      <c r="D7" s="344"/>
      <c r="E7" s="344"/>
      <c r="F7" s="344"/>
      <c r="G7" s="344"/>
      <c r="H7" s="344"/>
      <c r="I7" s="344"/>
      <c r="J7" s="344"/>
      <c r="K7" s="344"/>
      <c r="L7" s="344"/>
      <c r="M7" s="344"/>
      <c r="N7" s="344"/>
      <c r="O7" s="344"/>
      <c r="P7" s="344"/>
      <c r="Q7" s="344"/>
      <c r="R7" s="344"/>
      <c r="S7" s="344"/>
      <c r="T7" s="344"/>
      <c r="U7" s="344"/>
      <c r="V7" s="344"/>
      <c r="W7" s="344"/>
      <c r="X7" s="344"/>
      <c r="Y7" s="345"/>
      <c r="Z7" s="311"/>
      <c r="AA7" s="311"/>
      <c r="AB7" s="311"/>
      <c r="AC7" s="311"/>
      <c r="AD7" s="311"/>
      <c r="AE7" s="311"/>
      <c r="AF7" s="311"/>
      <c r="AG7" s="311"/>
      <c r="AH7" s="311"/>
      <c r="AI7" s="311"/>
      <c r="AJ7" s="311"/>
      <c r="AK7" s="311"/>
    </row>
    <row r="8" spans="2:37" x14ac:dyDescent="0.2">
      <c r="C8" s="122"/>
      <c r="D8" s="311"/>
      <c r="E8" s="311"/>
      <c r="F8" s="311"/>
      <c r="G8" s="311"/>
      <c r="H8" s="311"/>
      <c r="I8" s="311"/>
      <c r="J8" s="311"/>
      <c r="K8" s="311"/>
      <c r="L8" s="311"/>
      <c r="M8" s="311"/>
      <c r="N8" s="311"/>
      <c r="O8" s="311"/>
      <c r="P8" s="311"/>
      <c r="Q8" s="311"/>
      <c r="R8" s="311"/>
      <c r="S8" s="311"/>
      <c r="T8" s="311"/>
      <c r="U8" s="311"/>
      <c r="V8" s="311"/>
      <c r="W8" s="311"/>
      <c r="X8" s="311"/>
      <c r="Y8" s="346"/>
      <c r="Z8" s="311"/>
      <c r="AA8" s="311"/>
      <c r="AB8" s="311"/>
      <c r="AC8" s="311"/>
      <c r="AD8" s="311"/>
      <c r="AE8" s="311"/>
      <c r="AF8" s="311"/>
      <c r="AG8" s="311"/>
      <c r="AH8" s="311"/>
      <c r="AI8" s="311"/>
      <c r="AJ8" s="311"/>
      <c r="AK8" s="311"/>
    </row>
    <row r="9" spans="2:37" x14ac:dyDescent="0.2">
      <c r="C9" s="365"/>
      <c r="D9" s="315"/>
      <c r="E9" s="309" t="s">
        <v>707</v>
      </c>
      <c r="F9" s="1773" t="s">
        <v>737</v>
      </c>
      <c r="G9" s="1773"/>
      <c r="H9" s="1773"/>
      <c r="I9" s="1773"/>
      <c r="J9" s="1773"/>
      <c r="K9" s="366"/>
      <c r="L9" s="309" t="s">
        <v>734</v>
      </c>
      <c r="M9" s="1773" t="s">
        <v>738</v>
      </c>
      <c r="N9" s="1773"/>
      <c r="O9" s="1773"/>
      <c r="P9" s="1773"/>
      <c r="Q9" s="1773"/>
      <c r="R9" s="366"/>
      <c r="S9" s="309" t="s">
        <v>117</v>
      </c>
      <c r="T9" s="1773" t="s">
        <v>739</v>
      </c>
      <c r="U9" s="1773"/>
      <c r="V9" s="1773"/>
      <c r="W9" s="1773"/>
      <c r="X9" s="1773"/>
      <c r="Y9" s="367"/>
      <c r="Z9" s="315"/>
      <c r="AA9" s="315"/>
      <c r="AB9" s="315"/>
      <c r="AC9" s="315"/>
      <c r="AD9" s="315"/>
      <c r="AE9" s="315"/>
      <c r="AF9" s="315"/>
      <c r="AG9" s="315"/>
      <c r="AH9" s="315"/>
      <c r="AI9" s="315"/>
      <c r="AJ9" s="315"/>
      <c r="AK9" s="315"/>
    </row>
    <row r="10" spans="2:37" x14ac:dyDescent="0.2">
      <c r="C10" s="368"/>
      <c r="D10" s="369"/>
      <c r="E10" s="369"/>
      <c r="F10" s="369"/>
      <c r="G10" s="369"/>
      <c r="H10" s="369"/>
      <c r="I10" s="369"/>
      <c r="J10" s="369"/>
      <c r="K10" s="369"/>
      <c r="L10" s="369"/>
      <c r="M10" s="369"/>
      <c r="N10" s="369"/>
      <c r="O10" s="369"/>
      <c r="P10" s="369"/>
      <c r="Q10" s="369"/>
      <c r="R10" s="369"/>
      <c r="S10" s="369"/>
      <c r="T10" s="369"/>
      <c r="U10" s="369"/>
      <c r="V10" s="369"/>
      <c r="W10" s="369"/>
      <c r="X10" s="369"/>
      <c r="Y10" s="370"/>
      <c r="Z10" s="315"/>
      <c r="AA10" s="315"/>
      <c r="AB10" s="315"/>
      <c r="AC10" s="315"/>
      <c r="AD10" s="315"/>
      <c r="AE10" s="315"/>
      <c r="AF10" s="315"/>
      <c r="AG10" s="315"/>
      <c r="AH10" s="315"/>
      <c r="AI10" s="315"/>
      <c r="AJ10" s="315"/>
      <c r="AK10" s="315"/>
    </row>
    <row r="11" spans="2:37" x14ac:dyDescent="0.2">
      <c r="C11" s="121" t="s">
        <v>740</v>
      </c>
      <c r="D11" s="344"/>
      <c r="E11" s="344"/>
      <c r="F11" s="344"/>
      <c r="G11" s="344"/>
      <c r="H11" s="344"/>
      <c r="I11" s="344"/>
      <c r="J11" s="344"/>
      <c r="K11" s="344"/>
      <c r="L11" s="344"/>
      <c r="M11" s="344"/>
      <c r="N11" s="344"/>
      <c r="O11" s="344"/>
      <c r="P11" s="344"/>
      <c r="Q11" s="344"/>
      <c r="R11" s="344"/>
      <c r="S11" s="344"/>
      <c r="T11" s="344"/>
      <c r="U11" s="344"/>
      <c r="V11" s="344"/>
      <c r="W11" s="344"/>
      <c r="X11" s="344"/>
      <c r="Y11" s="345"/>
      <c r="Z11" s="311"/>
      <c r="AA11" s="311"/>
      <c r="AB11" s="311"/>
      <c r="AC11" s="311"/>
      <c r="AD11" s="311"/>
      <c r="AE11" s="311"/>
      <c r="AF11" s="311"/>
      <c r="AG11" s="311"/>
      <c r="AH11" s="311"/>
      <c r="AI11" s="311"/>
      <c r="AJ11" s="311"/>
      <c r="AK11" s="311"/>
    </row>
    <row r="12" spans="2:37" x14ac:dyDescent="0.2">
      <c r="C12" s="122"/>
      <c r="D12" s="311"/>
      <c r="E12" s="311"/>
      <c r="F12" s="311"/>
      <c r="G12" s="311"/>
      <c r="H12" s="311"/>
      <c r="I12" s="311"/>
      <c r="J12" s="311"/>
      <c r="K12" s="311"/>
      <c r="L12" s="311"/>
      <c r="M12" s="311"/>
      <c r="N12" s="311"/>
      <c r="O12" s="311"/>
      <c r="P12" s="311"/>
      <c r="Q12" s="311"/>
      <c r="R12" s="311"/>
      <c r="S12" s="311"/>
      <c r="T12" s="311"/>
      <c r="U12" s="311"/>
      <c r="V12" s="311"/>
      <c r="W12" s="311"/>
      <c r="X12" s="311"/>
      <c r="Y12" s="346"/>
      <c r="Z12" s="311"/>
      <c r="AA12" s="311"/>
      <c r="AB12" s="311"/>
      <c r="AC12" s="311"/>
      <c r="AD12" s="311"/>
      <c r="AE12" s="311"/>
      <c r="AF12" s="311"/>
      <c r="AG12" s="311"/>
      <c r="AH12" s="311"/>
      <c r="AI12" s="311"/>
      <c r="AJ12" s="311"/>
      <c r="AK12" s="311"/>
    </row>
    <row r="13" spans="2:37" x14ac:dyDescent="0.2">
      <c r="C13" s="365"/>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346"/>
      <c r="Z13" s="311"/>
      <c r="AA13" s="311"/>
      <c r="AB13" s="311"/>
      <c r="AC13" s="311"/>
      <c r="AD13" s="311"/>
      <c r="AE13" s="311"/>
      <c r="AG13" s="311"/>
      <c r="AI13" s="311"/>
      <c r="AJ13" s="311"/>
    </row>
    <row r="14" spans="2:37" x14ac:dyDescent="0.2">
      <c r="C14" s="365"/>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367"/>
      <c r="Z14" s="315"/>
      <c r="AA14" s="315"/>
      <c r="AB14" s="315"/>
      <c r="AC14" s="315"/>
      <c r="AD14" s="315"/>
      <c r="AE14" s="315"/>
      <c r="AF14" s="315"/>
      <c r="AG14" s="315"/>
      <c r="AH14" s="315"/>
      <c r="AI14" s="315"/>
      <c r="AJ14" s="315"/>
      <c r="AK14" s="315"/>
    </row>
    <row r="15" spans="2:37" x14ac:dyDescent="0.2">
      <c r="C15" s="371"/>
      <c r="D15" s="369"/>
      <c r="E15" s="369"/>
      <c r="F15" s="369"/>
      <c r="G15" s="369"/>
      <c r="H15" s="369"/>
      <c r="I15" s="369"/>
      <c r="J15" s="369"/>
      <c r="K15" s="369"/>
      <c r="L15" s="369"/>
      <c r="M15" s="369"/>
      <c r="N15" s="369"/>
      <c r="O15" s="369"/>
      <c r="P15" s="369"/>
      <c r="Q15" s="369"/>
      <c r="R15" s="369"/>
      <c r="S15" s="369"/>
      <c r="T15" s="369"/>
      <c r="U15" s="369"/>
      <c r="V15" s="369"/>
      <c r="W15" s="369"/>
      <c r="X15" s="369"/>
      <c r="Y15" s="370"/>
      <c r="Z15" s="315"/>
      <c r="AA15" s="315"/>
      <c r="AB15" s="315"/>
      <c r="AC15" s="315"/>
      <c r="AD15" s="315"/>
      <c r="AE15" s="315"/>
      <c r="AF15" s="315"/>
      <c r="AG15" s="315"/>
      <c r="AH15" s="315"/>
      <c r="AI15" s="315"/>
      <c r="AJ15" s="315"/>
      <c r="AK15" s="315"/>
    </row>
    <row r="16" spans="2:37" x14ac:dyDescent="0.2">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row>
    <row r="17" spans="2:37" x14ac:dyDescent="0.2">
      <c r="C17" s="1746" t="s">
        <v>708</v>
      </c>
      <c r="D17" s="1746"/>
      <c r="E17" s="1746"/>
      <c r="F17" s="1746"/>
      <c r="G17" s="1746"/>
      <c r="H17" s="1746"/>
    </row>
    <row r="18" spans="2:37" ht="13.5" customHeight="1" x14ac:dyDescent="0.2">
      <c r="D18" s="1759" t="s">
        <v>790</v>
      </c>
      <c r="E18" s="1759"/>
      <c r="F18" s="1759"/>
      <c r="G18" s="1759"/>
      <c r="H18" s="1759"/>
      <c r="I18" s="1759"/>
      <c r="J18" s="1759"/>
      <c r="K18" s="1759"/>
      <c r="L18" s="1759"/>
      <c r="M18" s="1759"/>
      <c r="N18" s="1759"/>
      <c r="O18" s="1759"/>
      <c r="P18" s="1759"/>
      <c r="Q18" s="1759"/>
      <c r="R18" s="1759"/>
      <c r="S18" s="1759"/>
      <c r="T18" s="1759"/>
      <c r="U18" s="1759"/>
      <c r="V18" s="1759"/>
      <c r="W18" s="1759"/>
      <c r="X18" s="1759"/>
      <c r="Y18" s="120"/>
      <c r="Z18" s="120"/>
      <c r="AA18" s="120"/>
      <c r="AB18" s="120"/>
      <c r="AC18" s="120"/>
      <c r="AD18" s="120"/>
      <c r="AE18" s="120"/>
      <c r="AF18" s="120"/>
      <c r="AG18" s="120"/>
      <c r="AH18" s="120"/>
      <c r="AI18" s="120"/>
      <c r="AJ18" s="120"/>
      <c r="AK18" s="120"/>
    </row>
    <row r="19" spans="2:37" x14ac:dyDescent="0.2">
      <c r="D19" s="1759"/>
      <c r="E19" s="1759"/>
      <c r="F19" s="1759"/>
      <c r="G19" s="1759"/>
      <c r="H19" s="1759"/>
      <c r="I19" s="1759"/>
      <c r="J19" s="1759"/>
      <c r="K19" s="1759"/>
      <c r="L19" s="1759"/>
      <c r="M19" s="1759"/>
      <c r="N19" s="1759"/>
      <c r="O19" s="1759"/>
      <c r="P19" s="1759"/>
      <c r="Q19" s="1759"/>
      <c r="R19" s="1759"/>
      <c r="S19" s="1759"/>
      <c r="T19" s="1759"/>
      <c r="U19" s="1759"/>
      <c r="V19" s="1759"/>
      <c r="W19" s="1759"/>
      <c r="X19" s="1759"/>
      <c r="Y19" s="120"/>
      <c r="Z19" s="120"/>
      <c r="AA19" s="120"/>
      <c r="AB19" s="120"/>
      <c r="AC19" s="120"/>
      <c r="AD19" s="120"/>
      <c r="AE19" s="120"/>
      <c r="AF19" s="120"/>
      <c r="AG19" s="120"/>
      <c r="AH19" s="120"/>
      <c r="AI19" s="120"/>
      <c r="AJ19" s="120"/>
      <c r="AK19" s="120"/>
    </row>
    <row r="20" spans="2:37" x14ac:dyDescent="0.2">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2:37" x14ac:dyDescent="0.2">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3" spans="2:37" x14ac:dyDescent="0.2">
      <c r="B23" s="99"/>
    </row>
    <row r="25" spans="2:37" x14ac:dyDescent="0.2">
      <c r="C25" s="311"/>
      <c r="D25" s="311"/>
      <c r="E25" s="311"/>
      <c r="F25" s="311"/>
      <c r="G25" s="311"/>
      <c r="H25" s="311"/>
      <c r="I25" s="372"/>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row>
    <row r="26" spans="2:37" x14ac:dyDescent="0.2">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G26" s="311"/>
      <c r="AI26" s="311"/>
      <c r="AJ26" s="311"/>
    </row>
    <row r="27" spans="2:37" x14ac:dyDescent="0.2">
      <c r="C27" s="311"/>
      <c r="D27" s="311"/>
      <c r="E27" s="311"/>
      <c r="F27" s="311"/>
      <c r="G27" s="311"/>
      <c r="H27" s="311"/>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row>
    <row r="28" spans="2:37" x14ac:dyDescent="0.2">
      <c r="C28" s="311"/>
      <c r="D28" s="311"/>
      <c r="E28" s="311"/>
      <c r="F28" s="311"/>
      <c r="G28" s="311"/>
      <c r="H28" s="311"/>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2:37" x14ac:dyDescent="0.2">
      <c r="C29" s="311"/>
      <c r="D29" s="311"/>
      <c r="E29" s="311"/>
      <c r="F29" s="311"/>
      <c r="G29" s="311"/>
      <c r="H29" s="311"/>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2:37" x14ac:dyDescent="0.2">
      <c r="C30" s="311"/>
      <c r="D30" s="311"/>
      <c r="E30" s="311"/>
      <c r="F30" s="311"/>
      <c r="G30" s="311"/>
      <c r="H30" s="311"/>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row>
    <row r="31" spans="2:37" x14ac:dyDescent="0.2">
      <c r="C31" s="311"/>
      <c r="D31" s="311"/>
      <c r="E31" s="311"/>
      <c r="F31" s="311"/>
      <c r="G31" s="311"/>
      <c r="H31" s="311"/>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row>
    <row r="34" spans="4:37" x14ac:dyDescent="0.2">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4:37" x14ac:dyDescent="0.2">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sheetData>
  <mergeCells count="7">
    <mergeCell ref="D18:X19"/>
    <mergeCell ref="C3:Y3"/>
    <mergeCell ref="F9:J9"/>
    <mergeCell ref="M9:Q9"/>
    <mergeCell ref="T9:X9"/>
    <mergeCell ref="D13:X14"/>
    <mergeCell ref="C17:H17"/>
  </mergeCells>
  <phoneticPr fontId="2"/>
  <dataValidations count="1">
    <dataValidation type="list" allowBlank="1" showInputMessage="1" showErrorMessage="1" sqref="E9 S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B2:AD52"/>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 style="100" customWidth="1"/>
    <col min="29" max="50" width="3.6640625" style="100" customWidth="1"/>
    <col min="51" max="16384" width="9" style="100"/>
  </cols>
  <sheetData>
    <row r="2" spans="2:30" x14ac:dyDescent="0.2">
      <c r="B2" s="99" t="s">
        <v>709</v>
      </c>
      <c r="AD2" s="348" t="s">
        <v>710</v>
      </c>
    </row>
    <row r="3" spans="2:30" x14ac:dyDescent="0.2">
      <c r="C3" s="1769" t="s">
        <v>711</v>
      </c>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D3" s="348" t="s">
        <v>712</v>
      </c>
    </row>
    <row r="5" spans="2:30" x14ac:dyDescent="0.2">
      <c r="B5" s="99" t="s">
        <v>713</v>
      </c>
    </row>
    <row r="6" spans="2:30" x14ac:dyDescent="0.2">
      <c r="B6" s="99"/>
    </row>
    <row r="7" spans="2:30" ht="27" customHeight="1" x14ac:dyDescent="0.2">
      <c r="C7" s="1774" t="s">
        <v>714</v>
      </c>
      <c r="D7" s="1775"/>
      <c r="E7" s="1775"/>
      <c r="F7" s="1775"/>
      <c r="G7" s="1775"/>
      <c r="H7" s="1775"/>
      <c r="I7" s="1775"/>
      <c r="J7" s="1776"/>
      <c r="K7" s="1774" t="s">
        <v>791</v>
      </c>
      <c r="L7" s="1775"/>
      <c r="M7" s="1775"/>
      <c r="N7" s="1775"/>
      <c r="O7" s="1775"/>
      <c r="P7" s="1775"/>
      <c r="Q7" s="1776"/>
      <c r="R7" s="1774" t="s">
        <v>766</v>
      </c>
      <c r="S7" s="1775"/>
      <c r="T7" s="1775"/>
      <c r="U7" s="1775"/>
      <c r="V7" s="1776"/>
      <c r="W7" s="1774" t="s">
        <v>715</v>
      </c>
      <c r="X7" s="1775"/>
      <c r="Y7" s="1775"/>
      <c r="Z7" s="1776"/>
    </row>
    <row r="8" spans="2:30" x14ac:dyDescent="0.2">
      <c r="C8" s="1777"/>
      <c r="D8" s="1778"/>
      <c r="E8" s="1778"/>
      <c r="F8" s="1778"/>
      <c r="G8" s="1778"/>
      <c r="H8" s="1778"/>
      <c r="I8" s="1778"/>
      <c r="J8" s="1779"/>
      <c r="K8" s="1777"/>
      <c r="L8" s="1778"/>
      <c r="M8" s="1778"/>
      <c r="N8" s="1778"/>
      <c r="O8" s="1778"/>
      <c r="P8" s="1778"/>
      <c r="Q8" s="1779"/>
      <c r="R8" s="1792"/>
      <c r="S8" s="1793"/>
      <c r="T8" s="1798" t="s">
        <v>716</v>
      </c>
      <c r="U8" s="1798"/>
      <c r="V8" s="1799"/>
      <c r="X8" s="1804"/>
      <c r="Y8" s="1804"/>
      <c r="Z8" s="1751" t="s">
        <v>230</v>
      </c>
    </row>
    <row r="9" spans="2:30" x14ac:dyDescent="0.2">
      <c r="C9" s="1780"/>
      <c r="D9" s="1781"/>
      <c r="E9" s="1781"/>
      <c r="F9" s="1781"/>
      <c r="G9" s="1781"/>
      <c r="H9" s="1781"/>
      <c r="I9" s="1781"/>
      <c r="J9" s="1782"/>
      <c r="K9" s="1780"/>
      <c r="L9" s="1781"/>
      <c r="M9" s="1781"/>
      <c r="N9" s="1781"/>
      <c r="O9" s="1781"/>
      <c r="P9" s="1781"/>
      <c r="Q9" s="1782"/>
      <c r="R9" s="1794"/>
      <c r="S9" s="1795"/>
      <c r="T9" s="1800"/>
      <c r="U9" s="1800"/>
      <c r="V9" s="1801"/>
      <c r="X9" s="1752"/>
      <c r="Y9" s="1752"/>
      <c r="Z9" s="1747"/>
    </row>
    <row r="10" spans="2:30" x14ac:dyDescent="0.2">
      <c r="C10" s="1783"/>
      <c r="D10" s="1784"/>
      <c r="E10" s="1784"/>
      <c r="F10" s="1784"/>
      <c r="G10" s="1784"/>
      <c r="H10" s="1784"/>
      <c r="I10" s="1784"/>
      <c r="J10" s="1785"/>
      <c r="K10" s="1783"/>
      <c r="L10" s="1784"/>
      <c r="M10" s="1784"/>
      <c r="N10" s="1784"/>
      <c r="O10" s="1784"/>
      <c r="P10" s="1784"/>
      <c r="Q10" s="1785"/>
      <c r="R10" s="1796"/>
      <c r="S10" s="1797"/>
      <c r="T10" s="1802"/>
      <c r="U10" s="1802"/>
      <c r="V10" s="1803"/>
      <c r="W10" s="347"/>
      <c r="X10" s="1805"/>
      <c r="Y10" s="1805"/>
      <c r="Z10" s="1765"/>
    </row>
    <row r="11" spans="2:30" x14ac:dyDescent="0.2">
      <c r="C11" s="1789" t="s">
        <v>717</v>
      </c>
      <c r="D11" s="1753" t="s">
        <v>718</v>
      </c>
      <c r="E11" s="1754"/>
      <c r="F11" s="1754"/>
      <c r="G11" s="1754"/>
      <c r="H11" s="1754"/>
      <c r="I11" s="1754"/>
      <c r="J11" s="1754"/>
      <c r="K11" s="1754"/>
      <c r="L11" s="1754"/>
      <c r="M11" s="1754"/>
      <c r="N11" s="1754"/>
      <c r="O11" s="1754"/>
      <c r="P11" s="1754"/>
      <c r="Q11" s="1755"/>
      <c r="R11" s="1754"/>
      <c r="S11" s="1787" t="s">
        <v>710</v>
      </c>
      <c r="T11" s="1754" t="s">
        <v>719</v>
      </c>
      <c r="U11" s="344"/>
      <c r="V11" s="1754" t="s">
        <v>441</v>
      </c>
      <c r="W11" s="344"/>
      <c r="X11" s="1787" t="s">
        <v>720</v>
      </c>
      <c r="Y11" s="1754" t="s">
        <v>721</v>
      </c>
      <c r="Z11" s="345"/>
    </row>
    <row r="12" spans="2:30" x14ac:dyDescent="0.2">
      <c r="C12" s="1790"/>
      <c r="D12" s="1756"/>
      <c r="E12" s="1757"/>
      <c r="F12" s="1757"/>
      <c r="G12" s="1757"/>
      <c r="H12" s="1757"/>
      <c r="I12" s="1757"/>
      <c r="J12" s="1757"/>
      <c r="K12" s="1757"/>
      <c r="L12" s="1757"/>
      <c r="M12" s="1757"/>
      <c r="N12" s="1757"/>
      <c r="O12" s="1757"/>
      <c r="P12" s="1757"/>
      <c r="Q12" s="1758"/>
      <c r="R12" s="1757"/>
      <c r="S12" s="1788"/>
      <c r="T12" s="1757"/>
      <c r="U12" s="347"/>
      <c r="V12" s="1757"/>
      <c r="W12" s="347"/>
      <c r="X12" s="1788"/>
      <c r="Y12" s="1757"/>
      <c r="Z12" s="351"/>
    </row>
    <row r="13" spans="2:30" x14ac:dyDescent="0.2">
      <c r="C13" s="1790"/>
      <c r="D13" s="1777"/>
      <c r="E13" s="1778"/>
      <c r="F13" s="1778"/>
      <c r="G13" s="1778"/>
      <c r="H13" s="1778"/>
      <c r="I13" s="1778"/>
      <c r="J13" s="1778"/>
      <c r="K13" s="1778"/>
      <c r="L13" s="1778"/>
      <c r="M13" s="1778"/>
      <c r="N13" s="1778"/>
      <c r="O13" s="1778"/>
      <c r="P13" s="1778"/>
      <c r="Q13" s="1778"/>
      <c r="R13" s="1778"/>
      <c r="S13" s="1778"/>
      <c r="T13" s="1778"/>
      <c r="U13" s="1778"/>
      <c r="V13" s="1778"/>
      <c r="W13" s="1778"/>
      <c r="X13" s="1778"/>
      <c r="Y13" s="1778"/>
      <c r="Z13" s="1779"/>
    </row>
    <row r="14" spans="2:30" x14ac:dyDescent="0.2">
      <c r="C14" s="1790"/>
      <c r="D14" s="1780"/>
      <c r="E14" s="1781"/>
      <c r="F14" s="1781"/>
      <c r="G14" s="1781"/>
      <c r="H14" s="1781"/>
      <c r="I14" s="1781"/>
      <c r="J14" s="1781"/>
      <c r="K14" s="1781"/>
      <c r="L14" s="1781"/>
      <c r="M14" s="1781"/>
      <c r="N14" s="1781"/>
      <c r="O14" s="1781"/>
      <c r="P14" s="1781"/>
      <c r="Q14" s="1781"/>
      <c r="R14" s="1781"/>
      <c r="S14" s="1781"/>
      <c r="T14" s="1781"/>
      <c r="U14" s="1781"/>
      <c r="V14" s="1781"/>
      <c r="W14" s="1781"/>
      <c r="X14" s="1781"/>
      <c r="Y14" s="1781"/>
      <c r="Z14" s="1782"/>
    </row>
    <row r="15" spans="2:30" x14ac:dyDescent="0.2">
      <c r="C15" s="1790"/>
      <c r="D15" s="1780"/>
      <c r="E15" s="1781"/>
      <c r="F15" s="1781"/>
      <c r="G15" s="1781"/>
      <c r="H15" s="1781"/>
      <c r="I15" s="1781"/>
      <c r="J15" s="1781"/>
      <c r="K15" s="1781"/>
      <c r="L15" s="1781"/>
      <c r="M15" s="1781"/>
      <c r="N15" s="1781"/>
      <c r="O15" s="1781"/>
      <c r="P15" s="1781"/>
      <c r="Q15" s="1781"/>
      <c r="R15" s="1781"/>
      <c r="S15" s="1781"/>
      <c r="T15" s="1781"/>
      <c r="U15" s="1781"/>
      <c r="V15" s="1781"/>
      <c r="W15" s="1781"/>
      <c r="X15" s="1781"/>
      <c r="Y15" s="1781"/>
      <c r="Z15" s="1782"/>
    </row>
    <row r="16" spans="2:30" x14ac:dyDescent="0.2">
      <c r="C16" s="1790"/>
      <c r="D16" s="1780"/>
      <c r="E16" s="1781"/>
      <c r="F16" s="1781"/>
      <c r="G16" s="1781"/>
      <c r="H16" s="1781"/>
      <c r="I16" s="1781"/>
      <c r="J16" s="1781"/>
      <c r="K16" s="1781"/>
      <c r="L16" s="1781"/>
      <c r="M16" s="1781"/>
      <c r="N16" s="1781"/>
      <c r="O16" s="1781"/>
      <c r="P16" s="1781"/>
      <c r="Q16" s="1781"/>
      <c r="R16" s="1781"/>
      <c r="S16" s="1781"/>
      <c r="T16" s="1781"/>
      <c r="U16" s="1781"/>
      <c r="V16" s="1781"/>
      <c r="W16" s="1781"/>
      <c r="X16" s="1781"/>
      <c r="Y16" s="1781"/>
      <c r="Z16" s="1782"/>
    </row>
    <row r="17" spans="2:26" x14ac:dyDescent="0.2">
      <c r="C17" s="1790"/>
      <c r="D17" s="1780"/>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2"/>
    </row>
    <row r="18" spans="2:26" x14ac:dyDescent="0.2">
      <c r="C18" s="1790"/>
      <c r="D18" s="1780"/>
      <c r="E18" s="1781"/>
      <c r="F18" s="1781"/>
      <c r="G18" s="1781"/>
      <c r="H18" s="1781"/>
      <c r="I18" s="1781"/>
      <c r="J18" s="1781"/>
      <c r="K18" s="1781"/>
      <c r="L18" s="1781"/>
      <c r="M18" s="1781"/>
      <c r="N18" s="1781"/>
      <c r="O18" s="1781"/>
      <c r="P18" s="1781"/>
      <c r="Q18" s="1781"/>
      <c r="R18" s="1781"/>
      <c r="S18" s="1781"/>
      <c r="T18" s="1781"/>
      <c r="U18" s="1781"/>
      <c r="V18" s="1781"/>
      <c r="W18" s="1781"/>
      <c r="X18" s="1781"/>
      <c r="Y18" s="1781"/>
      <c r="Z18" s="1782"/>
    </row>
    <row r="19" spans="2:26" x14ac:dyDescent="0.2">
      <c r="C19" s="1791"/>
      <c r="D19" s="1783"/>
      <c r="E19" s="1784"/>
      <c r="F19" s="1784"/>
      <c r="G19" s="1784"/>
      <c r="H19" s="1784"/>
      <c r="I19" s="1784"/>
      <c r="J19" s="1784"/>
      <c r="K19" s="1784"/>
      <c r="L19" s="1784"/>
      <c r="M19" s="1784"/>
      <c r="N19" s="1784"/>
      <c r="O19" s="1784"/>
      <c r="P19" s="1784"/>
      <c r="Q19" s="1784"/>
      <c r="R19" s="1784"/>
      <c r="S19" s="1784"/>
      <c r="T19" s="1784"/>
      <c r="U19" s="1784"/>
      <c r="V19" s="1784"/>
      <c r="W19" s="1784"/>
      <c r="X19" s="1784"/>
      <c r="Y19" s="1784"/>
      <c r="Z19" s="1785"/>
    </row>
    <row r="21" spans="2:26" x14ac:dyDescent="0.2">
      <c r="B21" s="99" t="s">
        <v>722</v>
      </c>
    </row>
    <row r="23" spans="2:26" ht="27" customHeight="1" x14ac:dyDescent="0.2">
      <c r="C23" s="1774" t="s">
        <v>723</v>
      </c>
      <c r="D23" s="1775"/>
      <c r="E23" s="1775"/>
      <c r="F23" s="1775"/>
      <c r="G23" s="1775"/>
      <c r="H23" s="1775"/>
      <c r="I23" s="1775"/>
      <c r="J23" s="1776"/>
      <c r="K23" s="1774" t="s">
        <v>724</v>
      </c>
      <c r="L23" s="1775"/>
      <c r="M23" s="1775"/>
      <c r="N23" s="1775"/>
      <c r="O23" s="1775"/>
      <c r="P23" s="1775"/>
      <c r="Q23" s="1775"/>
      <c r="R23" s="1775"/>
      <c r="S23" s="1775"/>
      <c r="T23" s="1775"/>
      <c r="U23" s="1775"/>
      <c r="V23" s="1775"/>
      <c r="W23" s="1775"/>
      <c r="X23" s="1775"/>
      <c r="Y23" s="1775"/>
      <c r="Z23" s="1776"/>
    </row>
    <row r="24" spans="2:26" x14ac:dyDescent="0.2">
      <c r="C24" s="1777"/>
      <c r="D24" s="1778"/>
      <c r="E24" s="1778"/>
      <c r="F24" s="1778"/>
      <c r="G24" s="1778"/>
      <c r="H24" s="1778"/>
      <c r="I24" s="1778"/>
      <c r="J24" s="1779"/>
      <c r="K24" s="1777"/>
      <c r="L24" s="1778"/>
      <c r="M24" s="1778"/>
      <c r="N24" s="1778"/>
      <c r="O24" s="1778"/>
      <c r="P24" s="1778"/>
      <c r="Q24" s="1778"/>
      <c r="R24" s="1778"/>
      <c r="S24" s="1778"/>
      <c r="T24" s="1778"/>
      <c r="U24" s="1778"/>
      <c r="V24" s="1778"/>
      <c r="W24" s="1778"/>
      <c r="X24" s="1778"/>
      <c r="Y24" s="1778"/>
      <c r="Z24" s="1779"/>
    </row>
    <row r="25" spans="2:26" x14ac:dyDescent="0.2">
      <c r="C25" s="1780"/>
      <c r="D25" s="1781"/>
      <c r="E25" s="1781"/>
      <c r="F25" s="1781"/>
      <c r="G25" s="1781"/>
      <c r="H25" s="1781"/>
      <c r="I25" s="1781"/>
      <c r="J25" s="1782"/>
      <c r="K25" s="1780"/>
      <c r="L25" s="1781"/>
      <c r="M25" s="1781"/>
      <c r="N25" s="1781"/>
      <c r="O25" s="1781"/>
      <c r="P25" s="1781"/>
      <c r="Q25" s="1781"/>
      <c r="R25" s="1781"/>
      <c r="S25" s="1781"/>
      <c r="T25" s="1781"/>
      <c r="U25" s="1781"/>
      <c r="V25" s="1781"/>
      <c r="W25" s="1781"/>
      <c r="X25" s="1781"/>
      <c r="Y25" s="1781"/>
      <c r="Z25" s="1782"/>
    </row>
    <row r="26" spans="2:26" x14ac:dyDescent="0.2">
      <c r="C26" s="1780"/>
      <c r="D26" s="1781"/>
      <c r="E26" s="1781"/>
      <c r="F26" s="1781"/>
      <c r="G26" s="1781"/>
      <c r="H26" s="1781"/>
      <c r="I26" s="1781"/>
      <c r="J26" s="1782"/>
      <c r="K26" s="1780"/>
      <c r="L26" s="1781"/>
      <c r="M26" s="1781"/>
      <c r="N26" s="1781"/>
      <c r="O26" s="1781"/>
      <c r="P26" s="1781"/>
      <c r="Q26" s="1781"/>
      <c r="R26" s="1781"/>
      <c r="S26" s="1781"/>
      <c r="T26" s="1781"/>
      <c r="U26" s="1781"/>
      <c r="V26" s="1781"/>
      <c r="W26" s="1781"/>
      <c r="X26" s="1781"/>
      <c r="Y26" s="1781"/>
      <c r="Z26" s="1782"/>
    </row>
    <row r="27" spans="2:26" x14ac:dyDescent="0.2">
      <c r="C27" s="1780"/>
      <c r="D27" s="1781"/>
      <c r="E27" s="1781"/>
      <c r="F27" s="1781"/>
      <c r="G27" s="1781"/>
      <c r="H27" s="1781"/>
      <c r="I27" s="1781"/>
      <c r="J27" s="1782"/>
      <c r="K27" s="1780"/>
      <c r="L27" s="1781"/>
      <c r="M27" s="1781"/>
      <c r="N27" s="1781"/>
      <c r="O27" s="1781"/>
      <c r="P27" s="1781"/>
      <c r="Q27" s="1781"/>
      <c r="R27" s="1781"/>
      <c r="S27" s="1781"/>
      <c r="T27" s="1781"/>
      <c r="U27" s="1781"/>
      <c r="V27" s="1781"/>
      <c r="W27" s="1781"/>
      <c r="X27" s="1781"/>
      <c r="Y27" s="1781"/>
      <c r="Z27" s="1782"/>
    </row>
    <row r="28" spans="2:26" x14ac:dyDescent="0.2">
      <c r="C28" s="1780"/>
      <c r="D28" s="1781"/>
      <c r="E28" s="1781"/>
      <c r="F28" s="1781"/>
      <c r="G28" s="1781"/>
      <c r="H28" s="1781"/>
      <c r="I28" s="1781"/>
      <c r="J28" s="1782"/>
      <c r="K28" s="1780"/>
      <c r="L28" s="1781"/>
      <c r="M28" s="1781"/>
      <c r="N28" s="1781"/>
      <c r="O28" s="1781"/>
      <c r="P28" s="1781"/>
      <c r="Q28" s="1781"/>
      <c r="R28" s="1781"/>
      <c r="S28" s="1781"/>
      <c r="T28" s="1781"/>
      <c r="U28" s="1781"/>
      <c r="V28" s="1781"/>
      <c r="W28" s="1781"/>
      <c r="X28" s="1781"/>
      <c r="Y28" s="1781"/>
      <c r="Z28" s="1782"/>
    </row>
    <row r="29" spans="2:26" x14ac:dyDescent="0.2">
      <c r="C29" s="1783"/>
      <c r="D29" s="1784"/>
      <c r="E29" s="1784"/>
      <c r="F29" s="1784"/>
      <c r="G29" s="1784"/>
      <c r="H29" s="1784"/>
      <c r="I29" s="1784"/>
      <c r="J29" s="1785"/>
      <c r="K29" s="1783"/>
      <c r="L29" s="1784"/>
      <c r="M29" s="1784"/>
      <c r="N29" s="1784"/>
      <c r="O29" s="1784"/>
      <c r="P29" s="1784"/>
      <c r="Q29" s="1784"/>
      <c r="R29" s="1784"/>
      <c r="S29" s="1784"/>
      <c r="T29" s="1784"/>
      <c r="U29" s="1784"/>
      <c r="V29" s="1784"/>
      <c r="W29" s="1784"/>
      <c r="X29" s="1784"/>
      <c r="Y29" s="1784"/>
      <c r="Z29" s="1785"/>
    </row>
    <row r="31" spans="2:26" x14ac:dyDescent="0.2">
      <c r="B31" s="99" t="s">
        <v>725</v>
      </c>
    </row>
    <row r="33" spans="2:26" x14ac:dyDescent="0.2">
      <c r="C33" s="1777"/>
      <c r="D33" s="1778"/>
      <c r="E33" s="1778"/>
      <c r="F33" s="1778"/>
      <c r="G33" s="1778"/>
      <c r="H33" s="1778"/>
      <c r="I33" s="1778"/>
      <c r="J33" s="1778"/>
      <c r="K33" s="1778"/>
      <c r="L33" s="1778"/>
      <c r="M33" s="1778"/>
      <c r="N33" s="1778"/>
      <c r="O33" s="1778"/>
      <c r="P33" s="1778"/>
      <c r="Q33" s="1778"/>
      <c r="R33" s="1778"/>
      <c r="S33" s="1778"/>
      <c r="T33" s="1778"/>
      <c r="U33" s="1778"/>
      <c r="V33" s="1778"/>
      <c r="W33" s="1778"/>
      <c r="X33" s="1778"/>
      <c r="Y33" s="1778"/>
      <c r="Z33" s="1779"/>
    </row>
    <row r="34" spans="2:26" x14ac:dyDescent="0.2">
      <c r="C34" s="1780"/>
      <c r="D34" s="1781"/>
      <c r="E34" s="1781"/>
      <c r="F34" s="1781"/>
      <c r="G34" s="1781"/>
      <c r="H34" s="1781"/>
      <c r="I34" s="1781"/>
      <c r="J34" s="1781"/>
      <c r="K34" s="1781"/>
      <c r="L34" s="1781"/>
      <c r="M34" s="1781"/>
      <c r="N34" s="1781"/>
      <c r="O34" s="1781"/>
      <c r="P34" s="1781"/>
      <c r="Q34" s="1781"/>
      <c r="R34" s="1781"/>
      <c r="S34" s="1781"/>
      <c r="T34" s="1781"/>
      <c r="U34" s="1781"/>
      <c r="V34" s="1781"/>
      <c r="W34" s="1781"/>
      <c r="X34" s="1781"/>
      <c r="Y34" s="1781"/>
      <c r="Z34" s="1782"/>
    </row>
    <row r="35" spans="2:26" x14ac:dyDescent="0.2">
      <c r="C35" s="1780"/>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2"/>
    </row>
    <row r="36" spans="2:26" x14ac:dyDescent="0.2">
      <c r="C36" s="1780"/>
      <c r="D36" s="1781"/>
      <c r="E36" s="1781"/>
      <c r="F36" s="1781"/>
      <c r="G36" s="1781"/>
      <c r="H36" s="1781"/>
      <c r="I36" s="1781"/>
      <c r="J36" s="1781"/>
      <c r="K36" s="1781"/>
      <c r="L36" s="1781"/>
      <c r="M36" s="1781"/>
      <c r="N36" s="1781"/>
      <c r="O36" s="1781"/>
      <c r="P36" s="1781"/>
      <c r="Q36" s="1781"/>
      <c r="R36" s="1781"/>
      <c r="S36" s="1781"/>
      <c r="T36" s="1781"/>
      <c r="U36" s="1781"/>
      <c r="V36" s="1781"/>
      <c r="W36" s="1781"/>
      <c r="X36" s="1781"/>
      <c r="Y36" s="1781"/>
      <c r="Z36" s="1782"/>
    </row>
    <row r="37" spans="2:26" x14ac:dyDescent="0.2">
      <c r="C37" s="1780"/>
      <c r="D37" s="1781"/>
      <c r="E37" s="1781"/>
      <c r="F37" s="1781"/>
      <c r="G37" s="1781"/>
      <c r="H37" s="1781"/>
      <c r="I37" s="1781"/>
      <c r="J37" s="1781"/>
      <c r="K37" s="1781"/>
      <c r="L37" s="1781"/>
      <c r="M37" s="1781"/>
      <c r="N37" s="1781"/>
      <c r="O37" s="1781"/>
      <c r="P37" s="1781"/>
      <c r="Q37" s="1781"/>
      <c r="R37" s="1781"/>
      <c r="S37" s="1781"/>
      <c r="T37" s="1781"/>
      <c r="U37" s="1781"/>
      <c r="V37" s="1781"/>
      <c r="W37" s="1781"/>
      <c r="X37" s="1781"/>
      <c r="Y37" s="1781"/>
      <c r="Z37" s="1782"/>
    </row>
    <row r="38" spans="2:26" x14ac:dyDescent="0.2">
      <c r="C38" s="1783"/>
      <c r="D38" s="1784"/>
      <c r="E38" s="1784"/>
      <c r="F38" s="1784"/>
      <c r="G38" s="1784"/>
      <c r="H38" s="1784"/>
      <c r="I38" s="1784"/>
      <c r="J38" s="1784"/>
      <c r="K38" s="1784"/>
      <c r="L38" s="1784"/>
      <c r="M38" s="1784"/>
      <c r="N38" s="1784"/>
      <c r="O38" s="1784"/>
      <c r="P38" s="1784"/>
      <c r="Q38" s="1784"/>
      <c r="R38" s="1784"/>
      <c r="S38" s="1784"/>
      <c r="T38" s="1784"/>
      <c r="U38" s="1784"/>
      <c r="V38" s="1784"/>
      <c r="W38" s="1784"/>
      <c r="X38" s="1784"/>
      <c r="Y38" s="1784"/>
      <c r="Z38" s="1785"/>
    </row>
    <row r="40" spans="2:26" x14ac:dyDescent="0.2">
      <c r="B40" s="99" t="s">
        <v>726</v>
      </c>
    </row>
    <row r="42" spans="2:26" x14ac:dyDescent="0.2">
      <c r="C42" s="1753" t="s">
        <v>727</v>
      </c>
      <c r="D42" s="1754"/>
      <c r="E42" s="1754"/>
      <c r="F42" s="1754"/>
      <c r="G42" s="1754"/>
      <c r="H42" s="1755"/>
      <c r="I42" s="1786" t="s">
        <v>728</v>
      </c>
      <c r="J42" s="1754"/>
      <c r="K42" s="1754"/>
      <c r="L42" s="1754"/>
      <c r="M42" s="1754"/>
      <c r="N42" s="1754"/>
      <c r="O42" s="1754"/>
      <c r="P42" s="1754"/>
      <c r="Q42" s="1755"/>
      <c r="R42" s="1754"/>
      <c r="S42" s="1787" t="s">
        <v>117</v>
      </c>
      <c r="T42" s="1754" t="s">
        <v>719</v>
      </c>
      <c r="U42" s="344"/>
      <c r="V42" s="1754" t="s">
        <v>729</v>
      </c>
      <c r="W42" s="344"/>
      <c r="X42" s="1787" t="s">
        <v>730</v>
      </c>
      <c r="Y42" s="1754" t="s">
        <v>721</v>
      </c>
      <c r="Z42" s="345"/>
    </row>
    <row r="43" spans="2:26" x14ac:dyDescent="0.2">
      <c r="C43" s="1770"/>
      <c r="D43" s="1771"/>
      <c r="E43" s="1771"/>
      <c r="F43" s="1771"/>
      <c r="G43" s="1771"/>
      <c r="H43" s="1772"/>
      <c r="I43" s="1757"/>
      <c r="J43" s="1757"/>
      <c r="K43" s="1757"/>
      <c r="L43" s="1757"/>
      <c r="M43" s="1757"/>
      <c r="N43" s="1757"/>
      <c r="O43" s="1757"/>
      <c r="P43" s="1757"/>
      <c r="Q43" s="1758"/>
      <c r="R43" s="1757"/>
      <c r="S43" s="1788"/>
      <c r="T43" s="1757"/>
      <c r="U43" s="347"/>
      <c r="V43" s="1757"/>
      <c r="W43" s="347"/>
      <c r="X43" s="1788"/>
      <c r="Y43" s="1757"/>
      <c r="Z43" s="351"/>
    </row>
    <row r="44" spans="2:26" x14ac:dyDescent="0.2">
      <c r="C44" s="1770"/>
      <c r="D44" s="1771"/>
      <c r="E44" s="1771"/>
      <c r="F44" s="1771"/>
      <c r="G44" s="1771"/>
      <c r="H44" s="1772"/>
      <c r="I44" s="1777"/>
      <c r="J44" s="1778"/>
      <c r="K44" s="1778"/>
      <c r="L44" s="1778"/>
      <c r="M44" s="1778"/>
      <c r="N44" s="1778"/>
      <c r="O44" s="1778"/>
      <c r="P44" s="1778"/>
      <c r="Q44" s="1778"/>
      <c r="R44" s="1778"/>
      <c r="S44" s="1778"/>
      <c r="T44" s="1778"/>
      <c r="U44" s="1778"/>
      <c r="V44" s="1778"/>
      <c r="W44" s="1778"/>
      <c r="X44" s="1778"/>
      <c r="Y44" s="1778"/>
      <c r="Z44" s="1779"/>
    </row>
    <row r="45" spans="2:26" x14ac:dyDescent="0.2">
      <c r="C45" s="1770"/>
      <c r="D45" s="1771"/>
      <c r="E45" s="1771"/>
      <c r="F45" s="1771"/>
      <c r="G45" s="1771"/>
      <c r="H45" s="1772"/>
      <c r="I45" s="1780"/>
      <c r="J45" s="1781"/>
      <c r="K45" s="1781"/>
      <c r="L45" s="1781"/>
      <c r="M45" s="1781"/>
      <c r="N45" s="1781"/>
      <c r="O45" s="1781"/>
      <c r="P45" s="1781"/>
      <c r="Q45" s="1781"/>
      <c r="R45" s="1781"/>
      <c r="S45" s="1781"/>
      <c r="T45" s="1781"/>
      <c r="U45" s="1781"/>
      <c r="V45" s="1781"/>
      <c r="W45" s="1781"/>
      <c r="X45" s="1781"/>
      <c r="Y45" s="1781"/>
      <c r="Z45" s="1782"/>
    </row>
    <row r="46" spans="2:26" x14ac:dyDescent="0.2">
      <c r="C46" s="1770"/>
      <c r="D46" s="1771"/>
      <c r="E46" s="1771"/>
      <c r="F46" s="1771"/>
      <c r="G46" s="1771"/>
      <c r="H46" s="1772"/>
      <c r="I46" s="1780"/>
      <c r="J46" s="1781"/>
      <c r="K46" s="1781"/>
      <c r="L46" s="1781"/>
      <c r="M46" s="1781"/>
      <c r="N46" s="1781"/>
      <c r="O46" s="1781"/>
      <c r="P46" s="1781"/>
      <c r="Q46" s="1781"/>
      <c r="R46" s="1781"/>
      <c r="S46" s="1781"/>
      <c r="T46" s="1781"/>
      <c r="U46" s="1781"/>
      <c r="V46" s="1781"/>
      <c r="W46" s="1781"/>
      <c r="X46" s="1781"/>
      <c r="Y46" s="1781"/>
      <c r="Z46" s="1782"/>
    </row>
    <row r="47" spans="2:26" x14ac:dyDescent="0.2">
      <c r="C47" s="1770"/>
      <c r="D47" s="1771"/>
      <c r="E47" s="1771"/>
      <c r="F47" s="1771"/>
      <c r="G47" s="1771"/>
      <c r="H47" s="1772"/>
      <c r="I47" s="1780"/>
      <c r="J47" s="1781"/>
      <c r="K47" s="1781"/>
      <c r="L47" s="1781"/>
      <c r="M47" s="1781"/>
      <c r="N47" s="1781"/>
      <c r="O47" s="1781"/>
      <c r="P47" s="1781"/>
      <c r="Q47" s="1781"/>
      <c r="R47" s="1781"/>
      <c r="S47" s="1781"/>
      <c r="T47" s="1781"/>
      <c r="U47" s="1781"/>
      <c r="V47" s="1781"/>
      <c r="W47" s="1781"/>
      <c r="X47" s="1781"/>
      <c r="Y47" s="1781"/>
      <c r="Z47" s="1782"/>
    </row>
    <row r="48" spans="2:26" x14ac:dyDescent="0.2">
      <c r="C48" s="1756"/>
      <c r="D48" s="1757"/>
      <c r="E48" s="1757"/>
      <c r="F48" s="1757"/>
      <c r="G48" s="1757"/>
      <c r="H48" s="1758"/>
      <c r="I48" s="1783"/>
      <c r="J48" s="1784"/>
      <c r="K48" s="1784"/>
      <c r="L48" s="1784"/>
      <c r="M48" s="1784"/>
      <c r="N48" s="1784"/>
      <c r="O48" s="1784"/>
      <c r="P48" s="1784"/>
      <c r="Q48" s="1784"/>
      <c r="R48" s="1784"/>
      <c r="S48" s="1784"/>
      <c r="T48" s="1784"/>
      <c r="U48" s="1784"/>
      <c r="V48" s="1784"/>
      <c r="W48" s="1784"/>
      <c r="X48" s="1784"/>
      <c r="Y48" s="1784"/>
      <c r="Z48" s="1785"/>
    </row>
    <row r="50" spans="3:26" x14ac:dyDescent="0.2">
      <c r="C50" s="1746" t="s">
        <v>708</v>
      </c>
      <c r="D50" s="1746"/>
      <c r="E50" s="1746"/>
      <c r="F50" s="1746"/>
      <c r="G50" s="1746"/>
      <c r="H50" s="1746"/>
    </row>
    <row r="51" spans="3:26" x14ac:dyDescent="0.2">
      <c r="D51" s="1759" t="s">
        <v>731</v>
      </c>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row>
    <row r="52" spans="3:26" x14ac:dyDescent="0.2">
      <c r="D52" s="1759"/>
      <c r="E52" s="1759"/>
      <c r="F52" s="1759"/>
      <c r="G52" s="1759"/>
      <c r="H52" s="1759"/>
      <c r="I52" s="1759"/>
      <c r="J52" s="1759"/>
      <c r="K52" s="1759"/>
      <c r="L52" s="1759"/>
      <c r="M52" s="1759"/>
      <c r="N52" s="1759"/>
      <c r="O52" s="1759"/>
      <c r="P52" s="1759"/>
      <c r="Q52" s="1759"/>
      <c r="R52" s="1759"/>
      <c r="S52" s="1759"/>
      <c r="T52" s="1759"/>
      <c r="U52" s="1759"/>
      <c r="V52" s="1759"/>
      <c r="W52" s="1759"/>
      <c r="X52" s="1759"/>
      <c r="Y52" s="1759"/>
      <c r="Z52" s="1759"/>
    </row>
  </sheetData>
  <mergeCells count="36">
    <mergeCell ref="C3:Z3"/>
    <mergeCell ref="C7:J7"/>
    <mergeCell ref="K7:Q7"/>
    <mergeCell ref="R7:V7"/>
    <mergeCell ref="W7:Z7"/>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s>
  <phoneticPr fontId="2"/>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57"/>
  <sheetViews>
    <sheetView view="pageBreakPreview" zoomScaleNormal="100" zoomScaleSheetLayoutView="100" workbookViewId="0"/>
  </sheetViews>
  <sheetFormatPr defaultColWidth="9" defaultRowHeight="13.2" x14ac:dyDescent="0.2"/>
  <cols>
    <col min="1" max="1" width="2.21875" style="106" customWidth="1"/>
    <col min="2" max="3" width="2.44140625" style="106" customWidth="1"/>
    <col min="4" max="4" width="2.88671875" style="106" customWidth="1"/>
    <col min="5" max="5" width="1.88671875" style="106" customWidth="1"/>
    <col min="6" max="35" width="2.44140625" style="106" customWidth="1"/>
    <col min="36" max="37" width="1.77734375" style="106" customWidth="1"/>
    <col min="38" max="38" width="3.6640625" style="106" bestFit="1" customWidth="1"/>
    <col min="39" max="39" width="2.109375" style="106" customWidth="1"/>
    <col min="40" max="16384" width="9" style="106"/>
  </cols>
  <sheetData>
    <row r="1" spans="2:38" ht="15.45" customHeight="1" x14ac:dyDescent="0.2">
      <c r="B1" s="356" t="s">
        <v>682</v>
      </c>
      <c r="C1" s="302"/>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row>
    <row r="2" spans="2:38" ht="16.5" customHeight="1" x14ac:dyDescent="0.2">
      <c r="B2" s="1882" t="s">
        <v>683</v>
      </c>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L2" s="358" t="s">
        <v>684</v>
      </c>
    </row>
    <row r="3" spans="2:38" ht="16.5" customHeight="1" x14ac:dyDescent="0.2">
      <c r="B3" s="1883"/>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L3" s="358"/>
    </row>
    <row r="4" spans="2:38" ht="16.5" customHeight="1" x14ac:dyDescent="0.2">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row>
    <row r="5" spans="2:38" ht="16.2" x14ac:dyDescent="0.2">
      <c r="B5" s="1806" t="s">
        <v>685</v>
      </c>
      <c r="C5" s="1881"/>
      <c r="D5" s="1881"/>
      <c r="E5" s="1881"/>
      <c r="F5" s="1881"/>
      <c r="G5" s="1881"/>
      <c r="H5" s="1881"/>
      <c r="I5" s="1881"/>
      <c r="J5" s="1881"/>
      <c r="K5" s="1884"/>
      <c r="L5" s="360"/>
      <c r="M5" s="360"/>
      <c r="N5" s="360"/>
      <c r="O5" s="360"/>
      <c r="P5" s="360"/>
      <c r="Q5" s="360"/>
      <c r="R5" s="360"/>
      <c r="S5" s="360"/>
      <c r="T5" s="360"/>
      <c r="U5" s="360"/>
      <c r="V5" s="360"/>
      <c r="W5" s="360"/>
      <c r="X5" s="360"/>
      <c r="Y5" s="360"/>
      <c r="Z5" s="360"/>
      <c r="AA5" s="360"/>
      <c r="AB5" s="360"/>
      <c r="AC5" s="360"/>
      <c r="AD5" s="360"/>
      <c r="AE5" s="360"/>
      <c r="AF5" s="360"/>
      <c r="AG5" s="360"/>
      <c r="AH5" s="360"/>
      <c r="AI5" s="361"/>
    </row>
    <row r="6" spans="2:38" ht="15.45" customHeight="1" x14ac:dyDescent="0.2">
      <c r="B6" s="1885"/>
      <c r="C6" s="1886"/>
      <c r="D6" s="1886"/>
      <c r="E6" s="1886"/>
      <c r="F6" s="1886"/>
      <c r="G6" s="1886"/>
      <c r="H6" s="1886"/>
      <c r="I6" s="1886"/>
      <c r="J6" s="1886"/>
      <c r="K6" s="1887"/>
      <c r="L6" s="359"/>
      <c r="M6" s="356" t="s">
        <v>686</v>
      </c>
      <c r="N6" s="1891"/>
      <c r="O6" s="1891"/>
      <c r="P6" s="356" t="s">
        <v>687</v>
      </c>
      <c r="Q6" s="356"/>
      <c r="R6" s="356"/>
      <c r="S6" s="356"/>
      <c r="T6" s="356"/>
      <c r="U6" s="356"/>
      <c r="V6" s="356"/>
      <c r="W6" s="356"/>
      <c r="X6" s="356"/>
      <c r="Y6" s="356"/>
      <c r="Z6" s="356"/>
      <c r="AA6" s="356"/>
      <c r="AB6" s="356"/>
      <c r="AC6" s="356"/>
      <c r="AD6" s="356"/>
      <c r="AE6" s="356"/>
      <c r="AF6" s="359"/>
      <c r="AG6" s="359"/>
      <c r="AH6" s="359"/>
      <c r="AI6" s="362"/>
    </row>
    <row r="7" spans="2:38" ht="15.45" customHeight="1" x14ac:dyDescent="0.2">
      <c r="B7" s="1885"/>
      <c r="C7" s="1886"/>
      <c r="D7" s="1886"/>
      <c r="E7" s="1886"/>
      <c r="F7" s="1886"/>
      <c r="G7" s="1886"/>
      <c r="H7" s="1886"/>
      <c r="I7" s="1886"/>
      <c r="J7" s="1886"/>
      <c r="K7" s="1887"/>
      <c r="L7" s="359"/>
      <c r="M7" s="356" t="s">
        <v>688</v>
      </c>
      <c r="N7" s="1891"/>
      <c r="O7" s="1891"/>
      <c r="P7" s="356" t="s">
        <v>689</v>
      </c>
      <c r="Q7" s="356"/>
      <c r="R7" s="356"/>
      <c r="S7" s="356"/>
      <c r="T7" s="356"/>
      <c r="U7" s="356"/>
      <c r="V7" s="356"/>
      <c r="W7" s="356"/>
      <c r="X7" s="356"/>
      <c r="Y7" s="356"/>
      <c r="Z7" s="356"/>
      <c r="AA7" s="356"/>
      <c r="AB7" s="356"/>
      <c r="AC7" s="356"/>
      <c r="AD7" s="356"/>
      <c r="AE7" s="356"/>
      <c r="AF7" s="359"/>
      <c r="AG7" s="359"/>
      <c r="AH7" s="359"/>
      <c r="AI7" s="362"/>
    </row>
    <row r="8" spans="2:38" ht="15.45" customHeight="1" x14ac:dyDescent="0.2">
      <c r="B8" s="1885"/>
      <c r="C8" s="1886"/>
      <c r="D8" s="1886"/>
      <c r="E8" s="1886"/>
      <c r="F8" s="1886"/>
      <c r="G8" s="1886"/>
      <c r="H8" s="1886"/>
      <c r="I8" s="1886"/>
      <c r="J8" s="1886"/>
      <c r="K8" s="1887"/>
      <c r="L8" s="359"/>
      <c r="M8" s="356" t="s">
        <v>690</v>
      </c>
      <c r="N8" s="1891"/>
      <c r="O8" s="1891"/>
      <c r="P8" s="356" t="s">
        <v>691</v>
      </c>
      <c r="Q8" s="356"/>
      <c r="R8" s="356"/>
      <c r="S8" s="356"/>
      <c r="T8" s="356"/>
      <c r="U8" s="356"/>
      <c r="V8" s="356"/>
      <c r="W8" s="356"/>
      <c r="X8" s="356"/>
      <c r="Y8" s="356"/>
      <c r="Z8" s="356"/>
      <c r="AA8" s="356"/>
      <c r="AB8" s="356"/>
      <c r="AC8" s="356"/>
      <c r="AD8" s="356"/>
      <c r="AE8" s="356"/>
      <c r="AF8" s="359"/>
      <c r="AG8" s="359"/>
      <c r="AH8" s="359"/>
      <c r="AI8" s="362"/>
    </row>
    <row r="9" spans="2:38" ht="15.45" customHeight="1" x14ac:dyDescent="0.2">
      <c r="B9" s="1885"/>
      <c r="C9" s="1886"/>
      <c r="D9" s="1886"/>
      <c r="E9" s="1886"/>
      <c r="F9" s="1886"/>
      <c r="G9" s="1886"/>
      <c r="H9" s="1886"/>
      <c r="I9" s="1886"/>
      <c r="J9" s="1886"/>
      <c r="K9" s="1887"/>
      <c r="L9" s="359"/>
      <c r="M9" s="356" t="s">
        <v>686</v>
      </c>
      <c r="N9" s="1891"/>
      <c r="O9" s="1891"/>
      <c r="P9" s="356" t="s">
        <v>692</v>
      </c>
      <c r="Q9" s="356"/>
      <c r="R9" s="356"/>
      <c r="S9" s="356"/>
      <c r="T9" s="356"/>
      <c r="U9" s="356"/>
      <c r="V9" s="356"/>
      <c r="W9" s="356"/>
      <c r="X9" s="356"/>
      <c r="Y9" s="356"/>
      <c r="Z9" s="356"/>
      <c r="AA9" s="356"/>
      <c r="AB9" s="356"/>
      <c r="AC9" s="356"/>
      <c r="AD9" s="356"/>
      <c r="AE9" s="356"/>
      <c r="AF9" s="359"/>
      <c r="AG9" s="359"/>
      <c r="AH9" s="359"/>
      <c r="AI9" s="362"/>
    </row>
    <row r="10" spans="2:38" ht="15.45" customHeight="1" x14ac:dyDescent="0.2">
      <c r="B10" s="1888"/>
      <c r="C10" s="1889"/>
      <c r="D10" s="1889"/>
      <c r="E10" s="1889"/>
      <c r="F10" s="1889"/>
      <c r="G10" s="1889"/>
      <c r="H10" s="1889"/>
      <c r="I10" s="1889"/>
      <c r="J10" s="1889"/>
      <c r="K10" s="1890"/>
      <c r="L10" s="36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64"/>
    </row>
    <row r="11" spans="2:38" ht="14.1" customHeight="1" x14ac:dyDescent="0.2">
      <c r="B11" s="1870" t="s">
        <v>693</v>
      </c>
      <c r="C11" s="1871"/>
      <c r="D11" s="1871"/>
      <c r="E11" s="1872"/>
      <c r="F11" s="1807" t="s">
        <v>69</v>
      </c>
      <c r="G11" s="1807"/>
      <c r="H11" s="1807"/>
      <c r="I11" s="1807"/>
      <c r="J11" s="1807"/>
      <c r="K11" s="1824"/>
      <c r="L11" s="1865" t="s">
        <v>694</v>
      </c>
      <c r="M11" s="1865"/>
      <c r="N11" s="1851" t="s">
        <v>695</v>
      </c>
      <c r="O11" s="1851"/>
      <c r="P11" s="1879"/>
      <c r="Q11" s="1853"/>
      <c r="R11" s="1854"/>
      <c r="S11" s="1854"/>
      <c r="T11" s="1854"/>
      <c r="U11" s="1854"/>
      <c r="V11" s="1847" t="s">
        <v>696</v>
      </c>
      <c r="W11" s="1848"/>
      <c r="X11" s="1869" t="s">
        <v>436</v>
      </c>
      <c r="Y11" s="1865"/>
      <c r="Z11" s="1851" t="s">
        <v>695</v>
      </c>
      <c r="AA11" s="1851"/>
      <c r="AB11" s="1851"/>
      <c r="AC11" s="1853"/>
      <c r="AD11" s="1854"/>
      <c r="AE11" s="1854"/>
      <c r="AF11" s="1854"/>
      <c r="AG11" s="1854"/>
      <c r="AH11" s="1847" t="s">
        <v>696</v>
      </c>
      <c r="AI11" s="1848"/>
    </row>
    <row r="12" spans="2:38" ht="14.1" customHeight="1" x14ac:dyDescent="0.2">
      <c r="B12" s="1873"/>
      <c r="C12" s="1874"/>
      <c r="D12" s="1874"/>
      <c r="E12" s="1875"/>
      <c r="F12" s="1808"/>
      <c r="G12" s="1808"/>
      <c r="H12" s="1808"/>
      <c r="I12" s="1808"/>
      <c r="J12" s="1808"/>
      <c r="K12" s="1809"/>
      <c r="L12" s="1865"/>
      <c r="M12" s="1865"/>
      <c r="N12" s="1852"/>
      <c r="O12" s="1852"/>
      <c r="P12" s="1880"/>
      <c r="Q12" s="1855"/>
      <c r="R12" s="1856"/>
      <c r="S12" s="1856"/>
      <c r="T12" s="1856"/>
      <c r="U12" s="1856"/>
      <c r="V12" s="1849"/>
      <c r="W12" s="1850"/>
      <c r="X12" s="1869"/>
      <c r="Y12" s="1865"/>
      <c r="Z12" s="1852"/>
      <c r="AA12" s="1852"/>
      <c r="AB12" s="1852"/>
      <c r="AC12" s="1855"/>
      <c r="AD12" s="1856"/>
      <c r="AE12" s="1856"/>
      <c r="AF12" s="1856"/>
      <c r="AG12" s="1856"/>
      <c r="AH12" s="1849"/>
      <c r="AI12" s="1850"/>
    </row>
    <row r="13" spans="2:38" ht="14.1" customHeight="1" x14ac:dyDescent="0.2">
      <c r="B13" s="1873"/>
      <c r="C13" s="1874"/>
      <c r="D13" s="1874"/>
      <c r="E13" s="1875"/>
      <c r="F13" s="1808"/>
      <c r="G13" s="1808"/>
      <c r="H13" s="1808"/>
      <c r="I13" s="1808"/>
      <c r="J13" s="1808"/>
      <c r="K13" s="1809"/>
      <c r="L13" s="1865"/>
      <c r="M13" s="1865"/>
      <c r="N13" s="1857" t="s">
        <v>697</v>
      </c>
      <c r="O13" s="1857"/>
      <c r="P13" s="1857"/>
      <c r="Q13" s="1858"/>
      <c r="R13" s="1859"/>
      <c r="S13" s="1859"/>
      <c r="T13" s="1859"/>
      <c r="U13" s="1859"/>
      <c r="V13" s="1862" t="s">
        <v>696</v>
      </c>
      <c r="W13" s="1863"/>
      <c r="X13" s="1865"/>
      <c r="Y13" s="1865"/>
      <c r="Z13" s="1857" t="s">
        <v>697</v>
      </c>
      <c r="AA13" s="1857"/>
      <c r="AB13" s="1857"/>
      <c r="AC13" s="1858"/>
      <c r="AD13" s="1859"/>
      <c r="AE13" s="1859"/>
      <c r="AF13" s="1859"/>
      <c r="AG13" s="1859"/>
      <c r="AH13" s="1862" t="s">
        <v>696</v>
      </c>
      <c r="AI13" s="1863"/>
    </row>
    <row r="14" spans="2:38" ht="14.1" customHeight="1" x14ac:dyDescent="0.2">
      <c r="B14" s="1873"/>
      <c r="C14" s="1874"/>
      <c r="D14" s="1874"/>
      <c r="E14" s="1875"/>
      <c r="F14" s="1811"/>
      <c r="G14" s="1811"/>
      <c r="H14" s="1811"/>
      <c r="I14" s="1811"/>
      <c r="J14" s="1811"/>
      <c r="K14" s="1812"/>
      <c r="L14" s="1865"/>
      <c r="M14" s="1865"/>
      <c r="N14" s="1851"/>
      <c r="O14" s="1851"/>
      <c r="P14" s="1851"/>
      <c r="Q14" s="1860"/>
      <c r="R14" s="1861"/>
      <c r="S14" s="1861"/>
      <c r="T14" s="1861"/>
      <c r="U14" s="1861"/>
      <c r="V14" s="1867"/>
      <c r="W14" s="1868"/>
      <c r="X14" s="1865"/>
      <c r="Y14" s="1865"/>
      <c r="Z14" s="1851"/>
      <c r="AA14" s="1851"/>
      <c r="AB14" s="1851"/>
      <c r="AC14" s="1860"/>
      <c r="AD14" s="1861"/>
      <c r="AE14" s="1861"/>
      <c r="AF14" s="1861"/>
      <c r="AG14" s="1861"/>
      <c r="AH14" s="1867"/>
      <c r="AI14" s="1868"/>
    </row>
    <row r="15" spans="2:38" ht="14.1" customHeight="1" x14ac:dyDescent="0.2">
      <c r="B15" s="1873"/>
      <c r="C15" s="1874"/>
      <c r="D15" s="1874"/>
      <c r="E15" s="1875"/>
      <c r="F15" s="1807" t="s">
        <v>370</v>
      </c>
      <c r="G15" s="1807"/>
      <c r="H15" s="1807"/>
      <c r="I15" s="1807"/>
      <c r="J15" s="1807"/>
      <c r="K15" s="1824"/>
      <c r="L15" s="1865" t="s">
        <v>694</v>
      </c>
      <c r="M15" s="1865"/>
      <c r="N15" s="1851" t="s">
        <v>698</v>
      </c>
      <c r="O15" s="1851"/>
      <c r="P15" s="1851"/>
      <c r="Q15" s="1853"/>
      <c r="R15" s="1854"/>
      <c r="S15" s="1854"/>
      <c r="T15" s="1854"/>
      <c r="U15" s="1854"/>
      <c r="V15" s="1847" t="s">
        <v>696</v>
      </c>
      <c r="W15" s="1848"/>
      <c r="X15" s="1865" t="s">
        <v>436</v>
      </c>
      <c r="Y15" s="1865"/>
      <c r="Z15" s="1851" t="s">
        <v>698</v>
      </c>
      <c r="AA15" s="1851"/>
      <c r="AB15" s="1851"/>
      <c r="AC15" s="1853"/>
      <c r="AD15" s="1854"/>
      <c r="AE15" s="1854"/>
      <c r="AF15" s="1854"/>
      <c r="AG15" s="1854"/>
      <c r="AH15" s="1847" t="s">
        <v>696</v>
      </c>
      <c r="AI15" s="1848"/>
    </row>
    <row r="16" spans="2:38" ht="14.1" customHeight="1" x14ac:dyDescent="0.2">
      <c r="B16" s="1873"/>
      <c r="C16" s="1874"/>
      <c r="D16" s="1874"/>
      <c r="E16" s="1875"/>
      <c r="F16" s="1808"/>
      <c r="G16" s="1808"/>
      <c r="H16" s="1808"/>
      <c r="I16" s="1808"/>
      <c r="J16" s="1808"/>
      <c r="K16" s="1809"/>
      <c r="L16" s="1865"/>
      <c r="M16" s="1865"/>
      <c r="N16" s="1852"/>
      <c r="O16" s="1852"/>
      <c r="P16" s="1852"/>
      <c r="Q16" s="1855"/>
      <c r="R16" s="1856"/>
      <c r="S16" s="1856"/>
      <c r="T16" s="1856"/>
      <c r="U16" s="1856"/>
      <c r="V16" s="1849"/>
      <c r="W16" s="1850"/>
      <c r="X16" s="1865"/>
      <c r="Y16" s="1865"/>
      <c r="Z16" s="1852"/>
      <c r="AA16" s="1852"/>
      <c r="AB16" s="1852"/>
      <c r="AC16" s="1855"/>
      <c r="AD16" s="1856"/>
      <c r="AE16" s="1856"/>
      <c r="AF16" s="1856"/>
      <c r="AG16" s="1856"/>
      <c r="AH16" s="1849"/>
      <c r="AI16" s="1850"/>
    </row>
    <row r="17" spans="2:35" ht="14.1" customHeight="1" x14ac:dyDescent="0.2">
      <c r="B17" s="1873"/>
      <c r="C17" s="1874"/>
      <c r="D17" s="1874"/>
      <c r="E17" s="1875"/>
      <c r="F17" s="1808"/>
      <c r="G17" s="1808"/>
      <c r="H17" s="1808"/>
      <c r="I17" s="1808"/>
      <c r="J17" s="1808"/>
      <c r="K17" s="1809"/>
      <c r="L17" s="1865"/>
      <c r="M17" s="1865"/>
      <c r="N17" s="1857" t="s">
        <v>673</v>
      </c>
      <c r="O17" s="1857"/>
      <c r="P17" s="1857"/>
      <c r="Q17" s="1858"/>
      <c r="R17" s="1859"/>
      <c r="S17" s="1859"/>
      <c r="T17" s="1859"/>
      <c r="U17" s="1859"/>
      <c r="V17" s="1862" t="s">
        <v>696</v>
      </c>
      <c r="W17" s="1863"/>
      <c r="X17" s="1865"/>
      <c r="Y17" s="1865"/>
      <c r="Z17" s="1857" t="s">
        <v>673</v>
      </c>
      <c r="AA17" s="1857"/>
      <c r="AB17" s="1857"/>
      <c r="AC17" s="1858"/>
      <c r="AD17" s="1859"/>
      <c r="AE17" s="1859"/>
      <c r="AF17" s="1859"/>
      <c r="AG17" s="1859"/>
      <c r="AH17" s="1862" t="s">
        <v>696</v>
      </c>
      <c r="AI17" s="1863"/>
    </row>
    <row r="18" spans="2:35" ht="14.1" customHeight="1" x14ac:dyDescent="0.2">
      <c r="B18" s="1873"/>
      <c r="C18" s="1874"/>
      <c r="D18" s="1874"/>
      <c r="E18" s="1875"/>
      <c r="F18" s="1811"/>
      <c r="G18" s="1811"/>
      <c r="H18" s="1811"/>
      <c r="I18" s="1811"/>
      <c r="J18" s="1811"/>
      <c r="K18" s="1812"/>
      <c r="L18" s="1865"/>
      <c r="M18" s="1865"/>
      <c r="N18" s="1851"/>
      <c r="O18" s="1851"/>
      <c r="P18" s="1851"/>
      <c r="Q18" s="1860"/>
      <c r="R18" s="1861"/>
      <c r="S18" s="1861"/>
      <c r="T18" s="1861"/>
      <c r="U18" s="1861"/>
      <c r="V18" s="1867"/>
      <c r="W18" s="1868"/>
      <c r="X18" s="1865"/>
      <c r="Y18" s="1865"/>
      <c r="Z18" s="1851"/>
      <c r="AA18" s="1851"/>
      <c r="AB18" s="1851"/>
      <c r="AC18" s="1860"/>
      <c r="AD18" s="1861"/>
      <c r="AE18" s="1861"/>
      <c r="AF18" s="1861"/>
      <c r="AG18" s="1861"/>
      <c r="AH18" s="1867"/>
      <c r="AI18" s="1868"/>
    </row>
    <row r="19" spans="2:35" ht="14.1" customHeight="1" x14ac:dyDescent="0.2">
      <c r="B19" s="1873"/>
      <c r="C19" s="1874"/>
      <c r="D19" s="1874"/>
      <c r="E19" s="1875"/>
      <c r="F19" s="1807" t="s">
        <v>218</v>
      </c>
      <c r="G19" s="1807"/>
      <c r="H19" s="1807"/>
      <c r="I19" s="1807"/>
      <c r="J19" s="1807"/>
      <c r="K19" s="1824"/>
      <c r="L19" s="1865" t="s">
        <v>694</v>
      </c>
      <c r="M19" s="1865"/>
      <c r="N19" s="1851" t="s">
        <v>698</v>
      </c>
      <c r="O19" s="1851"/>
      <c r="P19" s="1851"/>
      <c r="Q19" s="1853"/>
      <c r="R19" s="1854"/>
      <c r="S19" s="1854"/>
      <c r="T19" s="1854"/>
      <c r="U19" s="1854"/>
      <c r="V19" s="1847" t="s">
        <v>696</v>
      </c>
      <c r="W19" s="1848"/>
      <c r="X19" s="1865" t="s">
        <v>436</v>
      </c>
      <c r="Y19" s="1865"/>
      <c r="Z19" s="1851" t="s">
        <v>698</v>
      </c>
      <c r="AA19" s="1851"/>
      <c r="AB19" s="1851"/>
      <c r="AC19" s="1853"/>
      <c r="AD19" s="1854"/>
      <c r="AE19" s="1854"/>
      <c r="AF19" s="1854"/>
      <c r="AG19" s="1854"/>
      <c r="AH19" s="1847" t="s">
        <v>696</v>
      </c>
      <c r="AI19" s="1848"/>
    </row>
    <row r="20" spans="2:35" ht="14.1" customHeight="1" x14ac:dyDescent="0.2">
      <c r="B20" s="1873"/>
      <c r="C20" s="1874"/>
      <c r="D20" s="1874"/>
      <c r="E20" s="1875"/>
      <c r="F20" s="1808"/>
      <c r="G20" s="1808"/>
      <c r="H20" s="1808"/>
      <c r="I20" s="1808"/>
      <c r="J20" s="1808"/>
      <c r="K20" s="1809"/>
      <c r="L20" s="1865"/>
      <c r="M20" s="1865"/>
      <c r="N20" s="1852"/>
      <c r="O20" s="1852"/>
      <c r="P20" s="1852"/>
      <c r="Q20" s="1855"/>
      <c r="R20" s="1856"/>
      <c r="S20" s="1856"/>
      <c r="T20" s="1856"/>
      <c r="U20" s="1856"/>
      <c r="V20" s="1849"/>
      <c r="W20" s="1850"/>
      <c r="X20" s="1865"/>
      <c r="Y20" s="1865"/>
      <c r="Z20" s="1852"/>
      <c r="AA20" s="1852"/>
      <c r="AB20" s="1852"/>
      <c r="AC20" s="1855"/>
      <c r="AD20" s="1856"/>
      <c r="AE20" s="1856"/>
      <c r="AF20" s="1856"/>
      <c r="AG20" s="1856"/>
      <c r="AH20" s="1849"/>
      <c r="AI20" s="1850"/>
    </row>
    <row r="21" spans="2:35" ht="14.1" customHeight="1" x14ac:dyDescent="0.2">
      <c r="B21" s="1873"/>
      <c r="C21" s="1874"/>
      <c r="D21" s="1874"/>
      <c r="E21" s="1875"/>
      <c r="F21" s="1808"/>
      <c r="G21" s="1808"/>
      <c r="H21" s="1808"/>
      <c r="I21" s="1808"/>
      <c r="J21" s="1808"/>
      <c r="K21" s="1809"/>
      <c r="L21" s="1865"/>
      <c r="M21" s="1865"/>
      <c r="N21" s="1857" t="s">
        <v>673</v>
      </c>
      <c r="O21" s="1857"/>
      <c r="P21" s="1857"/>
      <c r="Q21" s="1858"/>
      <c r="R21" s="1859"/>
      <c r="S21" s="1859"/>
      <c r="T21" s="1859"/>
      <c r="U21" s="1859"/>
      <c r="V21" s="1862" t="s">
        <v>696</v>
      </c>
      <c r="W21" s="1863"/>
      <c r="X21" s="1865"/>
      <c r="Y21" s="1865"/>
      <c r="Z21" s="1857" t="s">
        <v>673</v>
      </c>
      <c r="AA21" s="1857"/>
      <c r="AB21" s="1857"/>
      <c r="AC21" s="1858"/>
      <c r="AD21" s="1859"/>
      <c r="AE21" s="1859"/>
      <c r="AF21" s="1859"/>
      <c r="AG21" s="1859"/>
      <c r="AH21" s="1862" t="s">
        <v>696</v>
      </c>
      <c r="AI21" s="1863"/>
    </row>
    <row r="22" spans="2:35" ht="14.1" customHeight="1" x14ac:dyDescent="0.2">
      <c r="B22" s="1873"/>
      <c r="C22" s="1874"/>
      <c r="D22" s="1874"/>
      <c r="E22" s="1875"/>
      <c r="F22" s="1811"/>
      <c r="G22" s="1811"/>
      <c r="H22" s="1811"/>
      <c r="I22" s="1811"/>
      <c r="J22" s="1811"/>
      <c r="K22" s="1812"/>
      <c r="L22" s="1866"/>
      <c r="M22" s="1866"/>
      <c r="N22" s="1864"/>
      <c r="O22" s="1864"/>
      <c r="P22" s="1864"/>
      <c r="Q22" s="1860"/>
      <c r="R22" s="1861"/>
      <c r="S22" s="1861"/>
      <c r="T22" s="1861"/>
      <c r="U22" s="1861"/>
      <c r="V22" s="1867"/>
      <c r="W22" s="1868"/>
      <c r="X22" s="1866"/>
      <c r="Y22" s="1866"/>
      <c r="Z22" s="1864"/>
      <c r="AA22" s="1864"/>
      <c r="AB22" s="1864"/>
      <c r="AC22" s="1860"/>
      <c r="AD22" s="1861"/>
      <c r="AE22" s="1861"/>
      <c r="AF22" s="1861"/>
      <c r="AG22" s="1861"/>
      <c r="AH22" s="1867"/>
      <c r="AI22" s="1868"/>
    </row>
    <row r="23" spans="2:35" ht="14.1" customHeight="1" x14ac:dyDescent="0.2">
      <c r="B23" s="1873"/>
      <c r="C23" s="1874"/>
      <c r="D23" s="1874"/>
      <c r="E23" s="1875"/>
      <c r="F23" s="1807" t="s">
        <v>699</v>
      </c>
      <c r="G23" s="1807"/>
      <c r="H23" s="1807"/>
      <c r="I23" s="1807"/>
      <c r="J23" s="1807"/>
      <c r="K23" s="1824"/>
      <c r="L23" s="1865" t="s">
        <v>694</v>
      </c>
      <c r="M23" s="1865"/>
      <c r="N23" s="1851" t="s">
        <v>698</v>
      </c>
      <c r="O23" s="1851"/>
      <c r="P23" s="1851"/>
      <c r="Q23" s="1853"/>
      <c r="R23" s="1854"/>
      <c r="S23" s="1854"/>
      <c r="T23" s="1854"/>
      <c r="U23" s="1854"/>
      <c r="V23" s="1847" t="s">
        <v>696</v>
      </c>
      <c r="W23" s="1848"/>
      <c r="X23" s="1865" t="s">
        <v>436</v>
      </c>
      <c r="Y23" s="1865"/>
      <c r="Z23" s="1851" t="s">
        <v>698</v>
      </c>
      <c r="AA23" s="1851"/>
      <c r="AB23" s="1851"/>
      <c r="AC23" s="1853"/>
      <c r="AD23" s="1854"/>
      <c r="AE23" s="1854"/>
      <c r="AF23" s="1854"/>
      <c r="AG23" s="1854"/>
      <c r="AH23" s="1847" t="s">
        <v>696</v>
      </c>
      <c r="AI23" s="1848"/>
    </row>
    <row r="24" spans="2:35" ht="14.1" customHeight="1" x14ac:dyDescent="0.2">
      <c r="B24" s="1873"/>
      <c r="C24" s="1874"/>
      <c r="D24" s="1874"/>
      <c r="E24" s="1875"/>
      <c r="F24" s="1808"/>
      <c r="G24" s="1808"/>
      <c r="H24" s="1808"/>
      <c r="I24" s="1808"/>
      <c r="J24" s="1808"/>
      <c r="K24" s="1809"/>
      <c r="L24" s="1865"/>
      <c r="M24" s="1865"/>
      <c r="N24" s="1852"/>
      <c r="O24" s="1852"/>
      <c r="P24" s="1852"/>
      <c r="Q24" s="1855"/>
      <c r="R24" s="1856"/>
      <c r="S24" s="1856"/>
      <c r="T24" s="1856"/>
      <c r="U24" s="1856"/>
      <c r="V24" s="1849"/>
      <c r="W24" s="1850"/>
      <c r="X24" s="1865"/>
      <c r="Y24" s="1865"/>
      <c r="Z24" s="1852"/>
      <c r="AA24" s="1852"/>
      <c r="AB24" s="1852"/>
      <c r="AC24" s="1855"/>
      <c r="AD24" s="1856"/>
      <c r="AE24" s="1856"/>
      <c r="AF24" s="1856"/>
      <c r="AG24" s="1856"/>
      <c r="AH24" s="1849"/>
      <c r="AI24" s="1850"/>
    </row>
    <row r="25" spans="2:35" ht="14.1" customHeight="1" x14ac:dyDescent="0.2">
      <c r="B25" s="1873"/>
      <c r="C25" s="1874"/>
      <c r="D25" s="1874"/>
      <c r="E25" s="1875"/>
      <c r="F25" s="1808"/>
      <c r="G25" s="1808"/>
      <c r="H25" s="1808"/>
      <c r="I25" s="1808"/>
      <c r="J25" s="1808"/>
      <c r="K25" s="1809"/>
      <c r="L25" s="1865"/>
      <c r="M25" s="1865"/>
      <c r="N25" s="1857" t="s">
        <v>673</v>
      </c>
      <c r="O25" s="1857"/>
      <c r="P25" s="1857"/>
      <c r="Q25" s="1858"/>
      <c r="R25" s="1859"/>
      <c r="S25" s="1859"/>
      <c r="T25" s="1859"/>
      <c r="U25" s="1859"/>
      <c r="V25" s="1862" t="s">
        <v>696</v>
      </c>
      <c r="W25" s="1863"/>
      <c r="X25" s="1865"/>
      <c r="Y25" s="1865"/>
      <c r="Z25" s="1857" t="s">
        <v>673</v>
      </c>
      <c r="AA25" s="1857"/>
      <c r="AB25" s="1857"/>
      <c r="AC25" s="1858"/>
      <c r="AD25" s="1859"/>
      <c r="AE25" s="1859"/>
      <c r="AF25" s="1859"/>
      <c r="AG25" s="1859"/>
      <c r="AH25" s="1862" t="s">
        <v>696</v>
      </c>
      <c r="AI25" s="1863"/>
    </row>
    <row r="26" spans="2:35" ht="14.1" customHeight="1" x14ac:dyDescent="0.2">
      <c r="B26" s="1873"/>
      <c r="C26" s="1874"/>
      <c r="D26" s="1874"/>
      <c r="E26" s="1875"/>
      <c r="F26" s="1811"/>
      <c r="G26" s="1811"/>
      <c r="H26" s="1811"/>
      <c r="I26" s="1811"/>
      <c r="J26" s="1811"/>
      <c r="K26" s="1812"/>
      <c r="L26" s="1866"/>
      <c r="M26" s="1866"/>
      <c r="N26" s="1864"/>
      <c r="O26" s="1864"/>
      <c r="P26" s="1864"/>
      <c r="Q26" s="1860"/>
      <c r="R26" s="1861"/>
      <c r="S26" s="1861"/>
      <c r="T26" s="1861"/>
      <c r="U26" s="1861"/>
      <c r="V26" s="1867"/>
      <c r="W26" s="1868"/>
      <c r="X26" s="1866"/>
      <c r="Y26" s="1866"/>
      <c r="Z26" s="1864"/>
      <c r="AA26" s="1864"/>
      <c r="AB26" s="1864"/>
      <c r="AC26" s="1860"/>
      <c r="AD26" s="1861"/>
      <c r="AE26" s="1861"/>
      <c r="AF26" s="1861"/>
      <c r="AG26" s="1861"/>
      <c r="AH26" s="1867"/>
      <c r="AI26" s="1868"/>
    </row>
    <row r="27" spans="2:35" ht="14.1" customHeight="1" x14ac:dyDescent="0.2">
      <c r="B27" s="1873"/>
      <c r="C27" s="1874"/>
      <c r="D27" s="1874"/>
      <c r="E27" s="1875"/>
      <c r="F27" s="1881" t="s">
        <v>700</v>
      </c>
      <c r="G27" s="1807"/>
      <c r="H27" s="1807"/>
      <c r="I27" s="1807"/>
      <c r="J27" s="1807"/>
      <c r="K27" s="1824"/>
      <c r="L27" s="1865" t="s">
        <v>694</v>
      </c>
      <c r="M27" s="1865"/>
      <c r="N27" s="1851" t="s">
        <v>698</v>
      </c>
      <c r="O27" s="1851"/>
      <c r="P27" s="1851"/>
      <c r="Q27" s="1853"/>
      <c r="R27" s="1854"/>
      <c r="S27" s="1854"/>
      <c r="T27" s="1854"/>
      <c r="U27" s="1854"/>
      <c r="V27" s="1847" t="s">
        <v>696</v>
      </c>
      <c r="W27" s="1848"/>
      <c r="X27" s="1865" t="s">
        <v>436</v>
      </c>
      <c r="Y27" s="1865"/>
      <c r="Z27" s="1851" t="s">
        <v>698</v>
      </c>
      <c r="AA27" s="1851"/>
      <c r="AB27" s="1851"/>
      <c r="AC27" s="1853"/>
      <c r="AD27" s="1854"/>
      <c r="AE27" s="1854"/>
      <c r="AF27" s="1854"/>
      <c r="AG27" s="1854"/>
      <c r="AH27" s="1847" t="s">
        <v>696</v>
      </c>
      <c r="AI27" s="1848"/>
    </row>
    <row r="28" spans="2:35" ht="14.1" customHeight="1" x14ac:dyDescent="0.2">
      <c r="B28" s="1873"/>
      <c r="C28" s="1874"/>
      <c r="D28" s="1874"/>
      <c r="E28" s="1875"/>
      <c r="F28" s="1808"/>
      <c r="G28" s="1808"/>
      <c r="H28" s="1808"/>
      <c r="I28" s="1808"/>
      <c r="J28" s="1808"/>
      <c r="K28" s="1809"/>
      <c r="L28" s="1865"/>
      <c r="M28" s="1865"/>
      <c r="N28" s="1852"/>
      <c r="O28" s="1852"/>
      <c r="P28" s="1852"/>
      <c r="Q28" s="1855"/>
      <c r="R28" s="1856"/>
      <c r="S28" s="1856"/>
      <c r="T28" s="1856"/>
      <c r="U28" s="1856"/>
      <c r="V28" s="1849"/>
      <c r="W28" s="1850"/>
      <c r="X28" s="1865"/>
      <c r="Y28" s="1865"/>
      <c r="Z28" s="1852"/>
      <c r="AA28" s="1852"/>
      <c r="AB28" s="1852"/>
      <c r="AC28" s="1855"/>
      <c r="AD28" s="1856"/>
      <c r="AE28" s="1856"/>
      <c r="AF28" s="1856"/>
      <c r="AG28" s="1856"/>
      <c r="AH28" s="1849"/>
      <c r="AI28" s="1850"/>
    </row>
    <row r="29" spans="2:35" ht="14.1" customHeight="1" x14ac:dyDescent="0.2">
      <c r="B29" s="1873"/>
      <c r="C29" s="1874"/>
      <c r="D29" s="1874"/>
      <c r="E29" s="1875"/>
      <c r="F29" s="1808"/>
      <c r="G29" s="1808"/>
      <c r="H29" s="1808"/>
      <c r="I29" s="1808"/>
      <c r="J29" s="1808"/>
      <c r="K29" s="1809"/>
      <c r="L29" s="1865"/>
      <c r="M29" s="1865"/>
      <c r="N29" s="1857" t="s">
        <v>673</v>
      </c>
      <c r="O29" s="1857"/>
      <c r="P29" s="1857"/>
      <c r="Q29" s="1858"/>
      <c r="R29" s="1859"/>
      <c r="S29" s="1859"/>
      <c r="T29" s="1859"/>
      <c r="U29" s="1859"/>
      <c r="V29" s="1862" t="s">
        <v>696</v>
      </c>
      <c r="W29" s="1863"/>
      <c r="X29" s="1865"/>
      <c r="Y29" s="1865"/>
      <c r="Z29" s="1857" t="s">
        <v>673</v>
      </c>
      <c r="AA29" s="1857"/>
      <c r="AB29" s="1857"/>
      <c r="AC29" s="1858"/>
      <c r="AD29" s="1859"/>
      <c r="AE29" s="1859"/>
      <c r="AF29" s="1859"/>
      <c r="AG29" s="1859"/>
      <c r="AH29" s="1862" t="s">
        <v>696</v>
      </c>
      <c r="AI29" s="1863"/>
    </row>
    <row r="30" spans="2:35" ht="14.1" customHeight="1" x14ac:dyDescent="0.2">
      <c r="B30" s="1876"/>
      <c r="C30" s="1877"/>
      <c r="D30" s="1877"/>
      <c r="E30" s="1878"/>
      <c r="F30" s="1811"/>
      <c r="G30" s="1811"/>
      <c r="H30" s="1811"/>
      <c r="I30" s="1811"/>
      <c r="J30" s="1811"/>
      <c r="K30" s="1812"/>
      <c r="L30" s="1865"/>
      <c r="M30" s="1865"/>
      <c r="N30" s="1851"/>
      <c r="O30" s="1851"/>
      <c r="P30" s="1851"/>
      <c r="Q30" s="1860"/>
      <c r="R30" s="1861"/>
      <c r="S30" s="1859"/>
      <c r="T30" s="1859"/>
      <c r="U30" s="1859"/>
      <c r="V30" s="1862"/>
      <c r="W30" s="1863"/>
      <c r="X30" s="1866"/>
      <c r="Y30" s="1866"/>
      <c r="Z30" s="1864"/>
      <c r="AA30" s="1864"/>
      <c r="AB30" s="1864"/>
      <c r="AC30" s="1858"/>
      <c r="AD30" s="1859"/>
      <c r="AE30" s="1859"/>
      <c r="AF30" s="1859"/>
      <c r="AG30" s="1859"/>
      <c r="AH30" s="1862"/>
      <c r="AI30" s="1863"/>
    </row>
    <row r="31" spans="2:35" ht="15.45" customHeight="1" x14ac:dyDescent="0.2">
      <c r="B31" s="1823" t="s">
        <v>674</v>
      </c>
      <c r="C31" s="1807"/>
      <c r="D31" s="1807"/>
      <c r="E31" s="1807"/>
      <c r="F31" s="1807"/>
      <c r="G31" s="1807"/>
      <c r="H31" s="1807"/>
      <c r="I31" s="1807"/>
      <c r="J31" s="1807"/>
      <c r="K31" s="1824"/>
      <c r="L31" s="1826" t="s">
        <v>701</v>
      </c>
      <c r="M31" s="1827"/>
      <c r="N31" s="1827"/>
      <c r="O31" s="1827"/>
      <c r="P31" s="1827"/>
      <c r="Q31" s="1828"/>
      <c r="R31" s="1828"/>
      <c r="S31" s="1832"/>
      <c r="T31" s="1833"/>
      <c r="U31" s="1833"/>
      <c r="V31" s="1833"/>
      <c r="W31" s="1833"/>
      <c r="X31" s="1833"/>
      <c r="Y31" s="1833"/>
      <c r="Z31" s="1833"/>
      <c r="AA31" s="1833"/>
      <c r="AB31" s="1833"/>
      <c r="AC31" s="1836" t="s">
        <v>702</v>
      </c>
      <c r="AD31" s="1836"/>
      <c r="AE31" s="1836"/>
      <c r="AF31" s="1836"/>
      <c r="AG31" s="1836"/>
      <c r="AH31" s="1836"/>
      <c r="AI31" s="1837"/>
    </row>
    <row r="32" spans="2:35" ht="15.45" customHeight="1" x14ac:dyDescent="0.2">
      <c r="B32" s="1825"/>
      <c r="C32" s="1808"/>
      <c r="D32" s="1808"/>
      <c r="E32" s="1808"/>
      <c r="F32" s="1808"/>
      <c r="G32" s="1808"/>
      <c r="H32" s="1808"/>
      <c r="I32" s="1808"/>
      <c r="J32" s="1808"/>
      <c r="K32" s="1809"/>
      <c r="L32" s="1829"/>
      <c r="M32" s="1830"/>
      <c r="N32" s="1830"/>
      <c r="O32" s="1830"/>
      <c r="P32" s="1830"/>
      <c r="Q32" s="1831"/>
      <c r="R32" s="1831"/>
      <c r="S32" s="1834"/>
      <c r="T32" s="1835"/>
      <c r="U32" s="1835"/>
      <c r="V32" s="1835"/>
      <c r="W32" s="1835"/>
      <c r="X32" s="1835"/>
      <c r="Y32" s="1835"/>
      <c r="Z32" s="1835"/>
      <c r="AA32" s="1835"/>
      <c r="AB32" s="1835"/>
      <c r="AC32" s="1838"/>
      <c r="AD32" s="1838"/>
      <c r="AE32" s="1838"/>
      <c r="AF32" s="1838"/>
      <c r="AG32" s="1838"/>
      <c r="AH32" s="1838"/>
      <c r="AI32" s="1839"/>
    </row>
    <row r="33" spans="2:35" ht="15.45" customHeight="1" x14ac:dyDescent="0.2">
      <c r="B33" s="1825"/>
      <c r="C33" s="1808"/>
      <c r="D33" s="1808"/>
      <c r="E33" s="1808"/>
      <c r="F33" s="1808"/>
      <c r="G33" s="1808"/>
      <c r="H33" s="1808"/>
      <c r="I33" s="1808"/>
      <c r="J33" s="1808"/>
      <c r="K33" s="1809"/>
      <c r="L33" s="1829" t="s">
        <v>703</v>
      </c>
      <c r="M33" s="1830"/>
      <c r="N33" s="1830"/>
      <c r="O33" s="1830"/>
      <c r="P33" s="1830"/>
      <c r="Q33" s="1831"/>
      <c r="R33" s="1831"/>
      <c r="S33" s="1834"/>
      <c r="T33" s="1835"/>
      <c r="U33" s="1835"/>
      <c r="V33" s="1835"/>
      <c r="W33" s="1835"/>
      <c r="X33" s="1835"/>
      <c r="Y33" s="1835"/>
      <c r="Z33" s="1835"/>
      <c r="AA33" s="1835"/>
      <c r="AB33" s="1835"/>
      <c r="AC33" s="1838" t="s">
        <v>702</v>
      </c>
      <c r="AD33" s="1838"/>
      <c r="AE33" s="1838"/>
      <c r="AF33" s="1838"/>
      <c r="AG33" s="1838"/>
      <c r="AH33" s="1838"/>
      <c r="AI33" s="1839"/>
    </row>
    <row r="34" spans="2:35" ht="15.45" customHeight="1" x14ac:dyDescent="0.2">
      <c r="B34" s="1825"/>
      <c r="C34" s="1808"/>
      <c r="D34" s="1808"/>
      <c r="E34" s="1808"/>
      <c r="F34" s="1808"/>
      <c r="G34" s="1808"/>
      <c r="H34" s="1808"/>
      <c r="I34" s="1808"/>
      <c r="J34" s="1808"/>
      <c r="K34" s="1809"/>
      <c r="L34" s="1829"/>
      <c r="M34" s="1830"/>
      <c r="N34" s="1830"/>
      <c r="O34" s="1830"/>
      <c r="P34" s="1830"/>
      <c r="Q34" s="1831"/>
      <c r="R34" s="1831"/>
      <c r="S34" s="1834"/>
      <c r="T34" s="1835"/>
      <c r="U34" s="1835"/>
      <c r="V34" s="1835"/>
      <c r="W34" s="1835"/>
      <c r="X34" s="1835"/>
      <c r="Y34" s="1835"/>
      <c r="Z34" s="1835"/>
      <c r="AA34" s="1835"/>
      <c r="AB34" s="1835"/>
      <c r="AC34" s="1838"/>
      <c r="AD34" s="1838"/>
      <c r="AE34" s="1838"/>
      <c r="AF34" s="1838"/>
      <c r="AG34" s="1838"/>
      <c r="AH34" s="1838"/>
      <c r="AI34" s="1839"/>
    </row>
    <row r="35" spans="2:35" ht="15.45" customHeight="1" x14ac:dyDescent="0.2">
      <c r="B35" s="1825"/>
      <c r="C35" s="1808"/>
      <c r="D35" s="1808"/>
      <c r="E35" s="1808"/>
      <c r="F35" s="1808"/>
      <c r="G35" s="1808"/>
      <c r="H35" s="1808"/>
      <c r="I35" s="1808"/>
      <c r="J35" s="1808"/>
      <c r="K35" s="1809"/>
      <c r="L35" s="1829" t="s">
        <v>704</v>
      </c>
      <c r="M35" s="1830"/>
      <c r="N35" s="1830"/>
      <c r="O35" s="1830"/>
      <c r="P35" s="1830"/>
      <c r="Q35" s="1831"/>
      <c r="R35" s="1831"/>
      <c r="S35" s="1834"/>
      <c r="T35" s="1835"/>
      <c r="U35" s="1835"/>
      <c r="V35" s="1835"/>
      <c r="W35" s="1835"/>
      <c r="X35" s="1835"/>
      <c r="Y35" s="1835"/>
      <c r="Z35" s="1835"/>
      <c r="AA35" s="1835"/>
      <c r="AB35" s="1835"/>
      <c r="AC35" s="1838" t="s">
        <v>702</v>
      </c>
      <c r="AD35" s="1838"/>
      <c r="AE35" s="1838"/>
      <c r="AF35" s="1838"/>
      <c r="AG35" s="1838"/>
      <c r="AH35" s="1838"/>
      <c r="AI35" s="1839"/>
    </row>
    <row r="36" spans="2:35" ht="15.45" customHeight="1" x14ac:dyDescent="0.2">
      <c r="B36" s="1825"/>
      <c r="C36" s="1808"/>
      <c r="D36" s="1808"/>
      <c r="E36" s="1808"/>
      <c r="F36" s="1808"/>
      <c r="G36" s="1808"/>
      <c r="H36" s="1808"/>
      <c r="I36" s="1808"/>
      <c r="J36" s="1808"/>
      <c r="K36" s="1809"/>
      <c r="L36" s="1840"/>
      <c r="M36" s="1841"/>
      <c r="N36" s="1841"/>
      <c r="O36" s="1841"/>
      <c r="P36" s="1841"/>
      <c r="Q36" s="1842"/>
      <c r="R36" s="1842"/>
      <c r="S36" s="1843"/>
      <c r="T36" s="1844"/>
      <c r="U36" s="1844"/>
      <c r="V36" s="1844"/>
      <c r="W36" s="1844"/>
      <c r="X36" s="1844"/>
      <c r="Y36" s="1844"/>
      <c r="Z36" s="1844"/>
      <c r="AA36" s="1844"/>
      <c r="AB36" s="1844"/>
      <c r="AC36" s="1845"/>
      <c r="AD36" s="1845"/>
      <c r="AE36" s="1845"/>
      <c r="AF36" s="1845"/>
      <c r="AG36" s="1845"/>
      <c r="AH36" s="1845"/>
      <c r="AI36" s="1846"/>
    </row>
    <row r="37" spans="2:35" ht="15.45" customHeight="1" x14ac:dyDescent="0.2">
      <c r="B37" s="1806" t="s">
        <v>705</v>
      </c>
      <c r="C37" s="1807"/>
      <c r="D37" s="1807"/>
      <c r="E37" s="1807"/>
      <c r="F37" s="1807"/>
      <c r="G37" s="1807"/>
      <c r="H37" s="1807"/>
      <c r="I37" s="1807"/>
      <c r="J37" s="1807"/>
      <c r="K37" s="1807"/>
      <c r="L37" s="1808"/>
      <c r="M37" s="1808"/>
      <c r="N37" s="1808"/>
      <c r="O37" s="1808"/>
      <c r="P37" s="1808"/>
      <c r="Q37" s="1808"/>
      <c r="R37" s="1808"/>
      <c r="S37" s="1808"/>
      <c r="T37" s="1808"/>
      <c r="U37" s="1808"/>
      <c r="V37" s="1808"/>
      <c r="W37" s="1808"/>
      <c r="X37" s="1808"/>
      <c r="Y37" s="1808"/>
      <c r="Z37" s="1808"/>
      <c r="AA37" s="1808"/>
      <c r="AB37" s="1808"/>
      <c r="AC37" s="1808"/>
      <c r="AD37" s="1808"/>
      <c r="AE37" s="1808"/>
      <c r="AF37" s="1808"/>
      <c r="AG37" s="1808"/>
      <c r="AH37" s="1808"/>
      <c r="AI37" s="1809"/>
    </row>
    <row r="38" spans="2:35" ht="15.45" customHeight="1" x14ac:dyDescent="0.2">
      <c r="B38" s="1810"/>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812"/>
    </row>
    <row r="39" spans="2:35" x14ac:dyDescent="0.2">
      <c r="B39" s="1813"/>
      <c r="C39" s="1814"/>
      <c r="D39" s="1814"/>
      <c r="E39" s="1814"/>
      <c r="F39" s="1814"/>
      <c r="G39" s="1814"/>
      <c r="H39" s="1814"/>
      <c r="I39" s="1814"/>
      <c r="J39" s="1814"/>
      <c r="K39" s="1814"/>
      <c r="L39" s="1814"/>
      <c r="M39" s="1814"/>
      <c r="N39" s="1814"/>
      <c r="O39" s="1814"/>
      <c r="P39" s="1814"/>
      <c r="Q39" s="1814"/>
      <c r="R39" s="1814"/>
      <c r="S39" s="1814"/>
      <c r="T39" s="1814"/>
      <c r="U39" s="1814"/>
      <c r="V39" s="1814"/>
      <c r="W39" s="1814"/>
      <c r="X39" s="1814"/>
      <c r="Y39" s="1814"/>
      <c r="Z39" s="1814"/>
      <c r="AA39" s="1814"/>
      <c r="AB39" s="1814"/>
      <c r="AC39" s="1814"/>
      <c r="AD39" s="1814"/>
      <c r="AE39" s="1814"/>
      <c r="AF39" s="1814"/>
      <c r="AG39" s="1814"/>
      <c r="AH39" s="1814"/>
      <c r="AI39" s="1815"/>
    </row>
    <row r="40" spans="2:35" x14ac:dyDescent="0.2">
      <c r="B40" s="1816"/>
      <c r="C40" s="1817"/>
      <c r="D40" s="1817"/>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8"/>
    </row>
    <row r="41" spans="2:35" x14ac:dyDescent="0.2">
      <c r="B41" s="1816"/>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8"/>
    </row>
    <row r="42" spans="2:35" x14ac:dyDescent="0.2">
      <c r="B42" s="1816"/>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8"/>
    </row>
    <row r="43" spans="2:35" x14ac:dyDescent="0.2">
      <c r="B43" s="1816"/>
      <c r="C43" s="1817"/>
      <c r="D43" s="1817"/>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8"/>
    </row>
    <row r="44" spans="2:35" x14ac:dyDescent="0.2">
      <c r="B44" s="1816"/>
      <c r="C44" s="1817"/>
      <c r="D44" s="1817"/>
      <c r="E44" s="1817"/>
      <c r="F44" s="1817"/>
      <c r="G44" s="1817"/>
      <c r="H44" s="1817"/>
      <c r="I44" s="1817"/>
      <c r="J44" s="1817"/>
      <c r="K44" s="1817"/>
      <c r="L44" s="1817"/>
      <c r="M44" s="1817"/>
      <c r="N44" s="1817"/>
      <c r="O44" s="1817"/>
      <c r="P44" s="1817"/>
      <c r="Q44" s="1817"/>
      <c r="R44" s="1817"/>
      <c r="S44" s="1817"/>
      <c r="T44" s="1817"/>
      <c r="U44" s="1817"/>
      <c r="V44" s="1817"/>
      <c r="W44" s="1817"/>
      <c r="X44" s="1817"/>
      <c r="Y44" s="1817"/>
      <c r="Z44" s="1817"/>
      <c r="AA44" s="1817"/>
      <c r="AB44" s="1817"/>
      <c r="AC44" s="1817"/>
      <c r="AD44" s="1817"/>
      <c r="AE44" s="1817"/>
      <c r="AF44" s="1817"/>
      <c r="AG44" s="1817"/>
      <c r="AH44" s="1817"/>
      <c r="AI44" s="1818"/>
    </row>
    <row r="45" spans="2:35" x14ac:dyDescent="0.2">
      <c r="B45" s="1816"/>
      <c r="C45" s="1817"/>
      <c r="D45" s="1817"/>
      <c r="E45" s="1817"/>
      <c r="F45" s="1817"/>
      <c r="G45" s="1817"/>
      <c r="H45" s="1817"/>
      <c r="I45" s="1817"/>
      <c r="J45" s="1817"/>
      <c r="K45" s="1817"/>
      <c r="L45" s="1817"/>
      <c r="M45" s="1817"/>
      <c r="N45" s="1817"/>
      <c r="O45" s="1817"/>
      <c r="P45" s="1817"/>
      <c r="Q45" s="1817"/>
      <c r="R45" s="1817"/>
      <c r="S45" s="1817"/>
      <c r="T45" s="1817"/>
      <c r="U45" s="1817"/>
      <c r="V45" s="1817"/>
      <c r="W45" s="1817"/>
      <c r="X45" s="1817"/>
      <c r="Y45" s="1817"/>
      <c r="Z45" s="1817"/>
      <c r="AA45" s="1817"/>
      <c r="AB45" s="1817"/>
      <c r="AC45" s="1817"/>
      <c r="AD45" s="1817"/>
      <c r="AE45" s="1817"/>
      <c r="AF45" s="1817"/>
      <c r="AG45" s="1817"/>
      <c r="AH45" s="1817"/>
      <c r="AI45" s="1818"/>
    </row>
    <row r="46" spans="2:35" x14ac:dyDescent="0.2">
      <c r="B46" s="1816"/>
      <c r="C46" s="1817"/>
      <c r="D46" s="1817"/>
      <c r="E46" s="1817"/>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8"/>
    </row>
    <row r="47" spans="2:35" x14ac:dyDescent="0.2">
      <c r="B47" s="1816"/>
      <c r="C47" s="1817"/>
      <c r="D47" s="1817"/>
      <c r="E47" s="1817"/>
      <c r="F47" s="1817"/>
      <c r="G47" s="1817"/>
      <c r="H47" s="1817"/>
      <c r="I47" s="1817"/>
      <c r="J47" s="1817"/>
      <c r="K47" s="1817"/>
      <c r="L47" s="1817"/>
      <c r="M47" s="1817"/>
      <c r="N47" s="1817"/>
      <c r="O47" s="1817"/>
      <c r="P47" s="1817"/>
      <c r="Q47" s="1817"/>
      <c r="R47" s="1817"/>
      <c r="S47" s="1817"/>
      <c r="T47" s="1817"/>
      <c r="U47" s="1817"/>
      <c r="V47" s="1817"/>
      <c r="W47" s="1817"/>
      <c r="X47" s="1817"/>
      <c r="Y47" s="1817"/>
      <c r="Z47" s="1817"/>
      <c r="AA47" s="1817"/>
      <c r="AB47" s="1817"/>
      <c r="AC47" s="1817"/>
      <c r="AD47" s="1817"/>
      <c r="AE47" s="1817"/>
      <c r="AF47" s="1817"/>
      <c r="AG47" s="1817"/>
      <c r="AH47" s="1817"/>
      <c r="AI47" s="1818"/>
    </row>
    <row r="48" spans="2:35" x14ac:dyDescent="0.2">
      <c r="B48" s="1816"/>
      <c r="C48" s="1817"/>
      <c r="D48" s="1817"/>
      <c r="E48" s="1817"/>
      <c r="F48" s="1817"/>
      <c r="G48" s="1817"/>
      <c r="H48" s="1817"/>
      <c r="I48" s="1817"/>
      <c r="J48" s="1817"/>
      <c r="K48" s="1817"/>
      <c r="L48" s="1817"/>
      <c r="M48" s="1817"/>
      <c r="N48" s="1817"/>
      <c r="O48" s="1817"/>
      <c r="P48" s="1817"/>
      <c r="Q48" s="1817"/>
      <c r="R48" s="1817"/>
      <c r="S48" s="1817"/>
      <c r="T48" s="1817"/>
      <c r="U48" s="1817"/>
      <c r="V48" s="1817"/>
      <c r="W48" s="1817"/>
      <c r="X48" s="1817"/>
      <c r="Y48" s="1817"/>
      <c r="Z48" s="1817"/>
      <c r="AA48" s="1817"/>
      <c r="AB48" s="1817"/>
      <c r="AC48" s="1817"/>
      <c r="AD48" s="1817"/>
      <c r="AE48" s="1817"/>
      <c r="AF48" s="1817"/>
      <c r="AG48" s="1817"/>
      <c r="AH48" s="1817"/>
      <c r="AI48" s="1818"/>
    </row>
    <row r="49" spans="2:35" x14ac:dyDescent="0.2">
      <c r="B49" s="1816"/>
      <c r="C49" s="1817"/>
      <c r="D49" s="1817"/>
      <c r="E49" s="1817"/>
      <c r="F49" s="1817"/>
      <c r="G49" s="1817"/>
      <c r="H49" s="1817"/>
      <c r="I49" s="1817"/>
      <c r="J49" s="1817"/>
      <c r="K49" s="1817"/>
      <c r="L49" s="1817"/>
      <c r="M49" s="1817"/>
      <c r="N49" s="1817"/>
      <c r="O49" s="1817"/>
      <c r="P49" s="1817"/>
      <c r="Q49" s="1817"/>
      <c r="R49" s="1817"/>
      <c r="S49" s="1817"/>
      <c r="T49" s="1817"/>
      <c r="U49" s="1817"/>
      <c r="V49" s="1817"/>
      <c r="W49" s="1817"/>
      <c r="X49" s="1817"/>
      <c r="Y49" s="1817"/>
      <c r="Z49" s="1817"/>
      <c r="AA49" s="1817"/>
      <c r="AB49" s="1817"/>
      <c r="AC49" s="1817"/>
      <c r="AD49" s="1817"/>
      <c r="AE49" s="1817"/>
      <c r="AF49" s="1817"/>
      <c r="AG49" s="1817"/>
      <c r="AH49" s="1817"/>
      <c r="AI49" s="1818"/>
    </row>
    <row r="50" spans="2:35" x14ac:dyDescent="0.2">
      <c r="B50" s="1816"/>
      <c r="C50" s="1817"/>
      <c r="D50" s="1817"/>
      <c r="E50" s="1817"/>
      <c r="F50" s="1817"/>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8"/>
    </row>
    <row r="51" spans="2:35" x14ac:dyDescent="0.2">
      <c r="B51" s="1819"/>
      <c r="C51" s="1820"/>
      <c r="D51" s="1820"/>
      <c r="E51" s="1820"/>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1"/>
    </row>
    <row r="52" spans="2:35" ht="15.45" customHeight="1" x14ac:dyDescent="0.2">
      <c r="B52" s="1822" t="s">
        <v>706</v>
      </c>
      <c r="C52" s="1822"/>
      <c r="D52" s="1822"/>
      <c r="E52" s="1822"/>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row>
    <row r="53" spans="2:35" ht="15.45" customHeight="1" x14ac:dyDescent="0.2"/>
    <row r="54" spans="2:35" ht="15.45" customHeight="1" x14ac:dyDescent="0.2"/>
    <row r="55" spans="2:35" ht="15.45" customHeight="1" x14ac:dyDescent="0.2"/>
    <row r="56" spans="2:35" ht="15.45" customHeight="1" x14ac:dyDescent="0.2"/>
    <row r="57" spans="2:35" ht="15.45" customHeight="1" x14ac:dyDescent="0.2"/>
  </sheetData>
  <mergeCells count="95">
    <mergeCell ref="B2:AI3"/>
    <mergeCell ref="B5:K10"/>
    <mergeCell ref="N6:O6"/>
    <mergeCell ref="N7:O7"/>
    <mergeCell ref="N8:O8"/>
    <mergeCell ref="N9:O9"/>
    <mergeCell ref="B11:E30"/>
    <mergeCell ref="F11:K14"/>
    <mergeCell ref="L11:M14"/>
    <mergeCell ref="N11:P12"/>
    <mergeCell ref="Q11:U12"/>
    <mergeCell ref="F15:K18"/>
    <mergeCell ref="L15:M18"/>
    <mergeCell ref="N15:P16"/>
    <mergeCell ref="Q15:U16"/>
    <mergeCell ref="F27:K30"/>
    <mergeCell ref="L27:M30"/>
    <mergeCell ref="N27:P28"/>
    <mergeCell ref="Q27:U28"/>
    <mergeCell ref="X11:Y14"/>
    <mergeCell ref="Z11:AB12"/>
    <mergeCell ref="AC11:AG12"/>
    <mergeCell ref="AH11:AI12"/>
    <mergeCell ref="N13:P14"/>
    <mergeCell ref="Q13:U14"/>
    <mergeCell ref="V13:W14"/>
    <mergeCell ref="Z13:AB14"/>
    <mergeCell ref="AC13:AG14"/>
    <mergeCell ref="AH13:AI14"/>
    <mergeCell ref="V11:W12"/>
    <mergeCell ref="V15:W16"/>
    <mergeCell ref="X15:Y18"/>
    <mergeCell ref="Z15:AB16"/>
    <mergeCell ref="AC15:AG16"/>
    <mergeCell ref="AH15:AI16"/>
    <mergeCell ref="V17:W18"/>
    <mergeCell ref="Z17:AB18"/>
    <mergeCell ref="AC17:AG18"/>
    <mergeCell ref="AH21:AI22"/>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Z21:AB22"/>
    <mergeCell ref="AC21:AG22"/>
    <mergeCell ref="F23:K26"/>
    <mergeCell ref="L23:M26"/>
    <mergeCell ref="N23:P24"/>
    <mergeCell ref="Q23:U24"/>
    <mergeCell ref="V23:W24"/>
    <mergeCell ref="Z23:AB24"/>
    <mergeCell ref="AC23:AG24"/>
    <mergeCell ref="AH23:AI24"/>
    <mergeCell ref="N25:P26"/>
    <mergeCell ref="Q25:U26"/>
    <mergeCell ref="V25:W26"/>
    <mergeCell ref="Z25:AB26"/>
    <mergeCell ref="AC25:AG26"/>
    <mergeCell ref="AH25:AI26"/>
    <mergeCell ref="X23:Y26"/>
    <mergeCell ref="V27:W28"/>
    <mergeCell ref="Z27:AB28"/>
    <mergeCell ref="AC27:AG28"/>
    <mergeCell ref="AH27:AI28"/>
    <mergeCell ref="N29:P30"/>
    <mergeCell ref="Q29:U30"/>
    <mergeCell ref="V29:W30"/>
    <mergeCell ref="Z29:AB30"/>
    <mergeCell ref="AC29:AG30"/>
    <mergeCell ref="AH29:AI30"/>
    <mergeCell ref="X27:Y30"/>
    <mergeCell ref="B37:AI38"/>
    <mergeCell ref="B39:AI51"/>
    <mergeCell ref="B52:AI52"/>
    <mergeCell ref="B31:K36"/>
    <mergeCell ref="L31:R32"/>
    <mergeCell ref="S31:AB32"/>
    <mergeCell ref="AC31:AI32"/>
    <mergeCell ref="L33:R34"/>
    <mergeCell ref="S33:AB34"/>
    <mergeCell ref="AC33:AI34"/>
    <mergeCell ref="L35:R36"/>
    <mergeCell ref="S35:AB36"/>
    <mergeCell ref="AC35:AI36"/>
  </mergeCells>
  <phoneticPr fontId="2"/>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8FA4-4339-466E-AC66-AE84F4DB42C5}">
  <sheetPr>
    <tabColor rgb="FFFF0000"/>
    <pageSetUpPr fitToPage="1"/>
  </sheetPr>
  <dimension ref="B1:BB180"/>
  <sheetViews>
    <sheetView view="pageBreakPreview" zoomScale="70" zoomScaleNormal="70" zoomScaleSheetLayoutView="70" workbookViewId="0">
      <pane xSplit="4" ySplit="18" topLeftCell="E19" activePane="bottomRight" state="frozen"/>
      <selection activeCell="F43" sqref="F43"/>
      <selection pane="topRight" activeCell="F43" sqref="F43"/>
      <selection pane="bottomLeft" activeCell="F43" sqref="F43"/>
      <selection pane="bottomRight" activeCell="B1" sqref="B1"/>
    </sheetView>
  </sheetViews>
  <sheetFormatPr defaultColWidth="9" defaultRowHeight="12" x14ac:dyDescent="0.2"/>
  <cols>
    <col min="1" max="1" width="1" style="85" customWidth="1"/>
    <col min="2" max="2" width="8.21875" style="85" customWidth="1"/>
    <col min="3" max="3" width="30.109375" style="88" customWidth="1"/>
    <col min="4" max="4" width="7.33203125" style="88" customWidth="1"/>
    <col min="5" max="9" width="5.6640625" style="85" customWidth="1"/>
    <col min="10" max="12" width="7.44140625" style="85" customWidth="1"/>
    <col min="13" max="15" width="5.6640625" style="85" customWidth="1"/>
    <col min="16" max="16" width="5.77734375" style="542" customWidth="1"/>
    <col min="17" max="17" width="5.6640625" style="85" customWidth="1"/>
    <col min="18" max="18" width="6.88671875" style="85" customWidth="1"/>
    <col min="19" max="19" width="7" style="85" customWidth="1"/>
    <col min="20" max="20" width="7.109375" style="85" customWidth="1"/>
    <col min="21" max="23" width="5.6640625" style="85" customWidth="1"/>
    <col min="24" max="24" width="100.6640625" style="85" customWidth="1"/>
    <col min="25" max="48" width="3.109375" style="85" customWidth="1"/>
    <col min="49" max="16384" width="9" style="85"/>
  </cols>
  <sheetData>
    <row r="1" spans="2:48" ht="16.2" x14ac:dyDescent="0.2">
      <c r="B1" s="300" t="s">
        <v>2082</v>
      </c>
    </row>
    <row r="3" spans="2:48" s="87" customFormat="1" ht="13.5" customHeight="1" x14ac:dyDescent="0.2">
      <c r="B3" s="488"/>
      <c r="C3" s="489" t="s">
        <v>114</v>
      </c>
      <c r="D3" s="490"/>
      <c r="E3" s="491">
        <v>2</v>
      </c>
      <c r="F3" s="1171" t="s">
        <v>2066</v>
      </c>
      <c r="G3" s="492">
        <v>7</v>
      </c>
      <c r="H3" s="492">
        <v>11</v>
      </c>
      <c r="I3" s="492" t="s">
        <v>1576</v>
      </c>
      <c r="J3" s="491" t="s">
        <v>2006</v>
      </c>
      <c r="K3" s="491" t="s">
        <v>1928</v>
      </c>
      <c r="L3" s="491" t="s">
        <v>1732</v>
      </c>
      <c r="M3" s="491">
        <v>20</v>
      </c>
      <c r="N3" s="492">
        <v>22</v>
      </c>
      <c r="O3" s="492" t="s">
        <v>1922</v>
      </c>
      <c r="P3" s="1171">
        <v>24</v>
      </c>
      <c r="Q3" s="492">
        <v>28</v>
      </c>
      <c r="R3" s="491">
        <v>30</v>
      </c>
      <c r="S3" s="491" t="s">
        <v>1556</v>
      </c>
      <c r="T3" s="492">
        <v>31</v>
      </c>
      <c r="U3" s="492">
        <v>35</v>
      </c>
      <c r="V3" s="1171">
        <v>38</v>
      </c>
      <c r="W3" s="492">
        <v>40</v>
      </c>
      <c r="X3" s="493" t="s">
        <v>138</v>
      </c>
      <c r="Y3" s="95"/>
      <c r="Z3" s="95"/>
      <c r="AA3" s="95"/>
      <c r="AB3" s="95"/>
      <c r="AC3" s="95"/>
      <c r="AD3" s="95"/>
      <c r="AE3" s="95"/>
      <c r="AF3" s="95"/>
      <c r="AG3" s="95"/>
      <c r="AH3" s="95"/>
      <c r="AI3" s="95"/>
      <c r="AJ3" s="95"/>
      <c r="AK3" s="95"/>
      <c r="AL3" s="95"/>
      <c r="AM3" s="95"/>
      <c r="AN3" s="95"/>
      <c r="AO3" s="95"/>
      <c r="AP3" s="95"/>
      <c r="AQ3" s="95"/>
      <c r="AR3" s="95"/>
      <c r="AS3" s="95"/>
      <c r="AT3" s="95"/>
      <c r="AU3" s="95"/>
      <c r="AV3" s="95"/>
    </row>
    <row r="4" spans="2:48" ht="12" customHeight="1" x14ac:dyDescent="0.2">
      <c r="B4" s="494"/>
      <c r="C4" s="495"/>
      <c r="D4" s="496"/>
      <c r="E4" s="1309" t="s">
        <v>654</v>
      </c>
      <c r="F4" s="1309" t="s">
        <v>119</v>
      </c>
      <c r="G4" s="1305" t="s">
        <v>927</v>
      </c>
      <c r="H4" s="1305" t="s">
        <v>1962</v>
      </c>
      <c r="I4" s="1305" t="s">
        <v>1105</v>
      </c>
      <c r="J4" s="1324" t="s">
        <v>2007</v>
      </c>
      <c r="K4" s="1318" t="s">
        <v>1043</v>
      </c>
      <c r="L4" s="1318" t="s">
        <v>1044</v>
      </c>
      <c r="M4" s="1324" t="s">
        <v>1979</v>
      </c>
      <c r="N4" s="1305" t="s">
        <v>1106</v>
      </c>
      <c r="O4" s="1321" t="s">
        <v>1107</v>
      </c>
      <c r="P4" s="1318" t="s">
        <v>926</v>
      </c>
      <c r="Q4" s="1305" t="s">
        <v>1716</v>
      </c>
      <c r="R4" s="1318" t="s">
        <v>357</v>
      </c>
      <c r="S4" s="1318" t="s">
        <v>358</v>
      </c>
      <c r="T4" s="1315" t="s">
        <v>359</v>
      </c>
      <c r="U4" s="1305" t="s">
        <v>1660</v>
      </c>
      <c r="V4" s="1315" t="s">
        <v>925</v>
      </c>
      <c r="W4" s="1321" t="s">
        <v>1620</v>
      </c>
      <c r="X4" s="1312" t="s">
        <v>2047</v>
      </c>
      <c r="Y4" s="92"/>
      <c r="Z4" s="92"/>
      <c r="AA4" s="92"/>
      <c r="AB4" s="93"/>
      <c r="AC4" s="92"/>
      <c r="AD4" s="92"/>
      <c r="AE4" s="92" t="s">
        <v>133</v>
      </c>
      <c r="AF4" s="92"/>
      <c r="AG4" s="92" t="s">
        <v>133</v>
      </c>
      <c r="AH4" s="96"/>
      <c r="AI4" s="96"/>
      <c r="AJ4" s="92"/>
      <c r="AK4" s="92"/>
      <c r="AQ4" s="92"/>
      <c r="AV4" s="1327"/>
    </row>
    <row r="5" spans="2:48" ht="12" customHeight="1" x14ac:dyDescent="0.2">
      <c r="B5" s="494"/>
      <c r="C5" s="495"/>
      <c r="D5" s="496"/>
      <c r="E5" s="1310"/>
      <c r="F5" s="1310"/>
      <c r="G5" s="1306"/>
      <c r="H5" s="1306"/>
      <c r="I5" s="1306"/>
      <c r="J5" s="1325"/>
      <c r="K5" s="1319"/>
      <c r="L5" s="1319"/>
      <c r="M5" s="1325"/>
      <c r="N5" s="1306"/>
      <c r="O5" s="1322"/>
      <c r="P5" s="1319"/>
      <c r="Q5" s="1306"/>
      <c r="R5" s="1319"/>
      <c r="S5" s="1319"/>
      <c r="T5" s="1316"/>
      <c r="U5" s="1306"/>
      <c r="V5" s="1316"/>
      <c r="W5" s="1322"/>
      <c r="X5" s="1313"/>
      <c r="Y5" s="92"/>
      <c r="Z5" s="92"/>
      <c r="AA5" s="92"/>
      <c r="AB5" s="93"/>
      <c r="AC5" s="92"/>
      <c r="AD5" s="92"/>
      <c r="AE5" s="92"/>
      <c r="AF5" s="92"/>
      <c r="AG5" s="92"/>
      <c r="AH5" s="92"/>
      <c r="AI5" s="92"/>
      <c r="AJ5" s="92"/>
      <c r="AK5" s="92"/>
      <c r="AN5" s="92"/>
      <c r="AO5" s="93"/>
      <c r="AP5" s="92"/>
      <c r="AQ5" s="92"/>
      <c r="AR5" s="92"/>
      <c r="AS5" s="92"/>
      <c r="AT5" s="92"/>
      <c r="AU5" s="92"/>
      <c r="AV5" s="1327"/>
    </row>
    <row r="6" spans="2:48" ht="12" customHeight="1" x14ac:dyDescent="0.2">
      <c r="B6" s="494"/>
      <c r="C6" s="495"/>
      <c r="D6" s="496"/>
      <c r="E6" s="1310"/>
      <c r="F6" s="1310"/>
      <c r="G6" s="1306"/>
      <c r="H6" s="1306"/>
      <c r="I6" s="1306"/>
      <c r="J6" s="1325"/>
      <c r="K6" s="1319"/>
      <c r="L6" s="1319"/>
      <c r="M6" s="1325"/>
      <c r="N6" s="1306"/>
      <c r="O6" s="1322"/>
      <c r="P6" s="1319"/>
      <c r="Q6" s="1306"/>
      <c r="R6" s="1319"/>
      <c r="S6" s="1319"/>
      <c r="T6" s="1316"/>
      <c r="U6" s="1306"/>
      <c r="V6" s="1316"/>
      <c r="W6" s="1322"/>
      <c r="X6" s="1313"/>
      <c r="Y6" s="92"/>
      <c r="Z6" s="92"/>
      <c r="AA6" s="92"/>
      <c r="AB6" s="93"/>
      <c r="AC6" s="92"/>
      <c r="AD6" s="92"/>
      <c r="AE6" s="92"/>
      <c r="AF6" s="92"/>
      <c r="AG6" s="92"/>
      <c r="AH6" s="92"/>
      <c r="AI6" s="92"/>
      <c r="AJ6" s="92"/>
      <c r="AK6" s="92"/>
      <c r="AN6" s="92"/>
      <c r="AO6" s="93"/>
      <c r="AP6" s="92"/>
      <c r="AQ6" s="92"/>
      <c r="AR6" s="92"/>
      <c r="AS6" s="92"/>
      <c r="AT6" s="92"/>
      <c r="AU6" s="92"/>
      <c r="AV6" s="1327"/>
    </row>
    <row r="7" spans="2:48" ht="12" customHeight="1" x14ac:dyDescent="0.2">
      <c r="B7" s="494"/>
      <c r="C7" s="495"/>
      <c r="D7" s="496"/>
      <c r="E7" s="1310"/>
      <c r="F7" s="1310"/>
      <c r="G7" s="1306"/>
      <c r="H7" s="1306"/>
      <c r="I7" s="1306"/>
      <c r="J7" s="1325"/>
      <c r="K7" s="1319"/>
      <c r="L7" s="1319"/>
      <c r="M7" s="1325"/>
      <c r="N7" s="1306"/>
      <c r="O7" s="1322"/>
      <c r="P7" s="1319"/>
      <c r="Q7" s="1306"/>
      <c r="R7" s="1319"/>
      <c r="S7" s="1319"/>
      <c r="T7" s="1316"/>
      <c r="U7" s="1306"/>
      <c r="V7" s="1316"/>
      <c r="W7" s="1322"/>
      <c r="X7" s="1313"/>
      <c r="Y7" s="92"/>
      <c r="Z7" s="92"/>
      <c r="AA7" s="92"/>
      <c r="AB7" s="93"/>
      <c r="AC7" s="92"/>
      <c r="AD7" s="92"/>
      <c r="AE7" s="92"/>
      <c r="AF7" s="92"/>
      <c r="AG7" s="92"/>
      <c r="AH7" s="92"/>
      <c r="AI7" s="92"/>
      <c r="AJ7" s="92"/>
      <c r="AK7" s="92"/>
      <c r="AN7" s="92"/>
      <c r="AO7" s="93"/>
      <c r="AP7" s="92"/>
      <c r="AQ7" s="92"/>
      <c r="AR7" s="92"/>
      <c r="AS7" s="92"/>
      <c r="AT7" s="92"/>
      <c r="AU7" s="92"/>
      <c r="AV7" s="1327"/>
    </row>
    <row r="8" spans="2:48" ht="12" customHeight="1" x14ac:dyDescent="0.2">
      <c r="B8" s="494"/>
      <c r="C8" s="495"/>
      <c r="D8" s="496"/>
      <c r="E8" s="1310"/>
      <c r="F8" s="1310"/>
      <c r="G8" s="1306"/>
      <c r="H8" s="1306"/>
      <c r="I8" s="1306"/>
      <c r="J8" s="1325"/>
      <c r="K8" s="1319"/>
      <c r="L8" s="1319"/>
      <c r="M8" s="1325"/>
      <c r="N8" s="1306"/>
      <c r="O8" s="1322"/>
      <c r="P8" s="1319"/>
      <c r="Q8" s="1306"/>
      <c r="R8" s="1319"/>
      <c r="S8" s="1319"/>
      <c r="T8" s="1316"/>
      <c r="U8" s="1306"/>
      <c r="V8" s="1316"/>
      <c r="W8" s="1322"/>
      <c r="X8" s="1313"/>
      <c r="Y8" s="92"/>
      <c r="Z8" s="92"/>
      <c r="AA8" s="92"/>
      <c r="AB8" s="93"/>
      <c r="AC8" s="92"/>
      <c r="AD8" s="92"/>
      <c r="AE8" s="92"/>
      <c r="AF8" s="92"/>
      <c r="AG8" s="92"/>
      <c r="AH8" s="92"/>
      <c r="AI8" s="92"/>
      <c r="AJ8" s="92"/>
      <c r="AK8" s="92"/>
      <c r="AN8" s="92"/>
      <c r="AO8" s="93"/>
      <c r="AP8" s="92"/>
      <c r="AQ8" s="92"/>
      <c r="AR8" s="92"/>
      <c r="AS8" s="92"/>
      <c r="AT8" s="92"/>
      <c r="AU8" s="92"/>
      <c r="AV8" s="1327"/>
    </row>
    <row r="9" spans="2:48" ht="12" customHeight="1" x14ac:dyDescent="0.2">
      <c r="B9" s="494"/>
      <c r="C9" s="495"/>
      <c r="D9" s="496"/>
      <c r="E9" s="1310"/>
      <c r="F9" s="1310"/>
      <c r="G9" s="1306"/>
      <c r="H9" s="1306"/>
      <c r="I9" s="1306"/>
      <c r="J9" s="1325"/>
      <c r="K9" s="1319"/>
      <c r="L9" s="1319"/>
      <c r="M9" s="1325"/>
      <c r="N9" s="1306"/>
      <c r="O9" s="1322"/>
      <c r="P9" s="1319"/>
      <c r="Q9" s="1306"/>
      <c r="R9" s="1319"/>
      <c r="S9" s="1319"/>
      <c r="T9" s="1316"/>
      <c r="U9" s="1306"/>
      <c r="V9" s="1316"/>
      <c r="W9" s="1322"/>
      <c r="X9" s="1313"/>
      <c r="Y9" s="92"/>
      <c r="Z9" s="92"/>
      <c r="AA9" s="92"/>
      <c r="AB9" s="93"/>
      <c r="AC9" s="92"/>
      <c r="AD9" s="92"/>
      <c r="AE9" s="92"/>
      <c r="AF9" s="92"/>
      <c r="AG9" s="92"/>
      <c r="AH9" s="92"/>
      <c r="AI9" s="92"/>
      <c r="AJ9" s="92"/>
      <c r="AK9" s="92"/>
      <c r="AN9" s="92"/>
      <c r="AO9" s="93"/>
      <c r="AP9" s="92"/>
      <c r="AQ9" s="92"/>
      <c r="AR9" s="92"/>
      <c r="AS9" s="92"/>
      <c r="AT9" s="92"/>
      <c r="AU9" s="92"/>
      <c r="AV9" s="1327"/>
    </row>
    <row r="10" spans="2:48" ht="12" customHeight="1" x14ac:dyDescent="0.2">
      <c r="B10" s="494"/>
      <c r="C10" s="495"/>
      <c r="D10" s="496"/>
      <c r="E10" s="1310"/>
      <c r="F10" s="1310"/>
      <c r="G10" s="1306"/>
      <c r="H10" s="1306"/>
      <c r="I10" s="1306"/>
      <c r="J10" s="1325"/>
      <c r="K10" s="1319"/>
      <c r="L10" s="1319"/>
      <c r="M10" s="1325"/>
      <c r="N10" s="1306"/>
      <c r="O10" s="1322"/>
      <c r="P10" s="1319"/>
      <c r="Q10" s="1306"/>
      <c r="R10" s="1319"/>
      <c r="S10" s="1319"/>
      <c r="T10" s="1316"/>
      <c r="U10" s="1306"/>
      <c r="V10" s="1316"/>
      <c r="W10" s="1322"/>
      <c r="X10" s="1313"/>
      <c r="Y10" s="92"/>
      <c r="Z10" s="92"/>
      <c r="AA10" s="92"/>
      <c r="AB10" s="93"/>
      <c r="AC10" s="92"/>
      <c r="AD10" s="92"/>
      <c r="AE10" s="92"/>
      <c r="AF10" s="92"/>
      <c r="AG10" s="92"/>
      <c r="AH10" s="92"/>
      <c r="AI10" s="92"/>
      <c r="AJ10" s="92"/>
      <c r="AK10" s="92"/>
      <c r="AN10" s="92"/>
      <c r="AO10" s="93"/>
      <c r="AP10" s="92"/>
      <c r="AQ10" s="92"/>
      <c r="AR10" s="92"/>
      <c r="AS10" s="92"/>
      <c r="AT10" s="92"/>
      <c r="AU10" s="92"/>
      <c r="AV10" s="1327"/>
    </row>
    <row r="11" spans="2:48" ht="12" customHeight="1" x14ac:dyDescent="0.2">
      <c r="B11" s="494"/>
      <c r="C11" s="495"/>
      <c r="D11" s="496"/>
      <c r="E11" s="1310"/>
      <c r="F11" s="1310"/>
      <c r="G11" s="1306"/>
      <c r="H11" s="1306"/>
      <c r="I11" s="1306"/>
      <c r="J11" s="1325"/>
      <c r="K11" s="1319"/>
      <c r="L11" s="1319"/>
      <c r="M11" s="1325"/>
      <c r="N11" s="1306"/>
      <c r="O11" s="1322"/>
      <c r="P11" s="1319"/>
      <c r="Q11" s="1306"/>
      <c r="R11" s="1319"/>
      <c r="S11" s="1319"/>
      <c r="T11" s="1316"/>
      <c r="U11" s="1306"/>
      <c r="V11" s="1316"/>
      <c r="W11" s="1322"/>
      <c r="X11" s="1313"/>
      <c r="Y11" s="92"/>
      <c r="Z11" s="92"/>
      <c r="AA11" s="92"/>
      <c r="AB11" s="93"/>
      <c r="AC11" s="92"/>
      <c r="AD11" s="92"/>
      <c r="AE11" s="92"/>
      <c r="AF11" s="92"/>
      <c r="AG11" s="92"/>
      <c r="AH11" s="92"/>
      <c r="AI11" s="92"/>
      <c r="AJ11" s="92"/>
      <c r="AK11" s="92"/>
      <c r="AN11" s="92"/>
      <c r="AO11" s="93"/>
      <c r="AP11" s="92"/>
      <c r="AQ11" s="92"/>
      <c r="AR11" s="92"/>
      <c r="AS11" s="92"/>
      <c r="AT11" s="92"/>
      <c r="AU11" s="92"/>
      <c r="AV11" s="1327"/>
    </row>
    <row r="12" spans="2:48" ht="12" customHeight="1" x14ac:dyDescent="0.2">
      <c r="B12" s="494"/>
      <c r="C12" s="495"/>
      <c r="D12" s="496"/>
      <c r="E12" s="1310"/>
      <c r="F12" s="1310"/>
      <c r="G12" s="1306"/>
      <c r="H12" s="1306"/>
      <c r="I12" s="1306"/>
      <c r="J12" s="1325"/>
      <c r="K12" s="1319"/>
      <c r="L12" s="1319"/>
      <c r="M12" s="1325"/>
      <c r="N12" s="1306"/>
      <c r="O12" s="1322"/>
      <c r="P12" s="1319"/>
      <c r="Q12" s="1306"/>
      <c r="R12" s="1319"/>
      <c r="S12" s="1319"/>
      <c r="T12" s="1316"/>
      <c r="U12" s="1306"/>
      <c r="V12" s="1316"/>
      <c r="W12" s="1322"/>
      <c r="X12" s="1313"/>
      <c r="Y12" s="92"/>
      <c r="Z12" s="92"/>
      <c r="AA12" s="92"/>
      <c r="AB12" s="93"/>
      <c r="AC12" s="92"/>
      <c r="AD12" s="92"/>
      <c r="AE12" s="92"/>
      <c r="AF12" s="92"/>
      <c r="AG12" s="92"/>
      <c r="AH12" s="92"/>
      <c r="AI12" s="92"/>
      <c r="AJ12" s="92"/>
      <c r="AK12" s="92"/>
      <c r="AN12" s="92"/>
      <c r="AO12" s="93"/>
      <c r="AP12" s="92"/>
      <c r="AQ12" s="92"/>
      <c r="AR12" s="92"/>
      <c r="AS12" s="92"/>
      <c r="AT12" s="92"/>
      <c r="AU12" s="92"/>
      <c r="AV12" s="1327"/>
    </row>
    <row r="13" spans="2:48" ht="12" customHeight="1" x14ac:dyDescent="0.2">
      <c r="B13" s="494"/>
      <c r="C13" s="495"/>
      <c r="D13" s="496"/>
      <c r="E13" s="1310"/>
      <c r="F13" s="1310"/>
      <c r="G13" s="1306"/>
      <c r="H13" s="1306"/>
      <c r="I13" s="1306"/>
      <c r="J13" s="1325"/>
      <c r="K13" s="1319"/>
      <c r="L13" s="1319"/>
      <c r="M13" s="1325"/>
      <c r="N13" s="1306"/>
      <c r="O13" s="1322"/>
      <c r="P13" s="1319"/>
      <c r="Q13" s="1306"/>
      <c r="R13" s="1319"/>
      <c r="S13" s="1319"/>
      <c r="T13" s="1316"/>
      <c r="U13" s="1306"/>
      <c r="V13" s="1316"/>
      <c r="W13" s="1322"/>
      <c r="X13" s="1313"/>
      <c r="Y13" s="92"/>
      <c r="Z13" s="92"/>
      <c r="AA13" s="92"/>
      <c r="AB13" s="93"/>
      <c r="AC13" s="92"/>
      <c r="AD13" s="92"/>
      <c r="AE13" s="92"/>
      <c r="AF13" s="92"/>
      <c r="AG13" s="92"/>
      <c r="AH13" s="92"/>
      <c r="AI13" s="92"/>
      <c r="AJ13" s="92"/>
      <c r="AK13" s="92"/>
      <c r="AN13" s="92"/>
      <c r="AO13" s="93"/>
      <c r="AP13" s="92"/>
      <c r="AQ13" s="92"/>
      <c r="AR13" s="92"/>
      <c r="AS13" s="92"/>
      <c r="AT13" s="92"/>
      <c r="AU13" s="92"/>
      <c r="AV13" s="1327"/>
    </row>
    <row r="14" spans="2:48" ht="12" customHeight="1" x14ac:dyDescent="0.2">
      <c r="B14" s="494"/>
      <c r="C14" s="495"/>
      <c r="D14" s="496"/>
      <c r="E14" s="1310"/>
      <c r="F14" s="1310"/>
      <c r="G14" s="1306"/>
      <c r="H14" s="1306"/>
      <c r="I14" s="1306"/>
      <c r="J14" s="1325"/>
      <c r="K14" s="1319"/>
      <c r="L14" s="1319"/>
      <c r="M14" s="1325"/>
      <c r="N14" s="1306"/>
      <c r="O14" s="1322"/>
      <c r="P14" s="1319"/>
      <c r="Q14" s="1306"/>
      <c r="R14" s="1319"/>
      <c r="S14" s="1319"/>
      <c r="T14" s="1316"/>
      <c r="U14" s="1306"/>
      <c r="V14" s="1316"/>
      <c r="W14" s="1322"/>
      <c r="X14" s="1313"/>
      <c r="Y14" s="92"/>
      <c r="Z14" s="92"/>
      <c r="AA14" s="92"/>
      <c r="AB14" s="93"/>
      <c r="AC14" s="92"/>
      <c r="AD14" s="92"/>
      <c r="AE14" s="92"/>
      <c r="AF14" s="92"/>
      <c r="AG14" s="92"/>
      <c r="AH14" s="92"/>
      <c r="AI14" s="92"/>
      <c r="AJ14" s="92"/>
      <c r="AK14" s="92"/>
      <c r="AN14" s="92"/>
      <c r="AO14" s="93"/>
      <c r="AP14" s="92"/>
      <c r="AQ14" s="92"/>
      <c r="AR14" s="92"/>
      <c r="AS14" s="92"/>
      <c r="AT14" s="92"/>
      <c r="AU14" s="92"/>
      <c r="AV14" s="1327"/>
    </row>
    <row r="15" spans="2:48" ht="12" customHeight="1" x14ac:dyDescent="0.2">
      <c r="B15" s="494"/>
      <c r="C15" s="495"/>
      <c r="D15" s="496"/>
      <c r="E15" s="1310"/>
      <c r="F15" s="1310"/>
      <c r="G15" s="1306"/>
      <c r="H15" s="1306"/>
      <c r="I15" s="1306"/>
      <c r="J15" s="1325"/>
      <c r="K15" s="1319"/>
      <c r="L15" s="1319"/>
      <c r="M15" s="1325"/>
      <c r="N15" s="1306"/>
      <c r="O15" s="1322"/>
      <c r="P15" s="1319"/>
      <c r="Q15" s="1306"/>
      <c r="R15" s="1319"/>
      <c r="S15" s="1319"/>
      <c r="T15" s="1316"/>
      <c r="U15" s="1306"/>
      <c r="V15" s="1316"/>
      <c r="W15" s="1322"/>
      <c r="X15" s="1313"/>
      <c r="Y15" s="92"/>
      <c r="Z15" s="92"/>
      <c r="AA15" s="92"/>
      <c r="AB15" s="93"/>
      <c r="AC15" s="92"/>
      <c r="AD15" s="92"/>
      <c r="AE15" s="92"/>
      <c r="AF15" s="92"/>
      <c r="AG15" s="92"/>
      <c r="AH15" s="92"/>
      <c r="AI15" s="92"/>
      <c r="AJ15" s="92"/>
      <c r="AK15" s="92"/>
      <c r="AN15" s="92"/>
      <c r="AO15" s="93"/>
      <c r="AP15" s="92"/>
      <c r="AQ15" s="92"/>
      <c r="AR15" s="92"/>
      <c r="AS15" s="92"/>
      <c r="AT15" s="92"/>
      <c r="AU15" s="92"/>
      <c r="AV15" s="1327"/>
    </row>
    <row r="16" spans="2:48" ht="12" customHeight="1" x14ac:dyDescent="0.2">
      <c r="B16" s="494"/>
      <c r="C16" s="495"/>
      <c r="D16" s="496"/>
      <c r="E16" s="1310"/>
      <c r="F16" s="1310"/>
      <c r="G16" s="1306"/>
      <c r="H16" s="1306"/>
      <c r="I16" s="1306"/>
      <c r="J16" s="1325"/>
      <c r="K16" s="1319"/>
      <c r="L16" s="1319"/>
      <c r="M16" s="1325"/>
      <c r="N16" s="1306"/>
      <c r="O16" s="1322"/>
      <c r="P16" s="1319"/>
      <c r="Q16" s="1306"/>
      <c r="R16" s="1319"/>
      <c r="S16" s="1319"/>
      <c r="T16" s="1316"/>
      <c r="U16" s="1306"/>
      <c r="V16" s="1316"/>
      <c r="W16" s="1322"/>
      <c r="X16" s="1313"/>
      <c r="Y16" s="92"/>
      <c r="Z16" s="92"/>
      <c r="AA16" s="92"/>
      <c r="AB16" s="93"/>
      <c r="AC16" s="92"/>
      <c r="AD16" s="92"/>
      <c r="AE16" s="92"/>
      <c r="AF16" s="92"/>
      <c r="AG16" s="92"/>
      <c r="AH16" s="92"/>
      <c r="AI16" s="92"/>
      <c r="AJ16" s="92"/>
      <c r="AK16" s="92"/>
      <c r="AN16" s="92"/>
      <c r="AO16" s="93"/>
      <c r="AP16" s="92"/>
      <c r="AQ16" s="92"/>
      <c r="AR16" s="92"/>
      <c r="AS16" s="92"/>
      <c r="AT16" s="92"/>
      <c r="AU16" s="92"/>
      <c r="AV16" s="1327"/>
    </row>
    <row r="17" spans="2:48" ht="12" customHeight="1" x14ac:dyDescent="0.2">
      <c r="B17" s="494"/>
      <c r="C17" s="495"/>
      <c r="D17" s="496"/>
      <c r="E17" s="1310"/>
      <c r="F17" s="1310"/>
      <c r="G17" s="1306"/>
      <c r="H17" s="1306"/>
      <c r="I17" s="1306"/>
      <c r="J17" s="1325"/>
      <c r="K17" s="1319"/>
      <c r="L17" s="1319"/>
      <c r="M17" s="1325"/>
      <c r="N17" s="1306"/>
      <c r="O17" s="1322"/>
      <c r="P17" s="1319"/>
      <c r="Q17" s="1306"/>
      <c r="R17" s="1319"/>
      <c r="S17" s="1319"/>
      <c r="T17" s="1316"/>
      <c r="U17" s="1306"/>
      <c r="V17" s="1316"/>
      <c r="W17" s="1322"/>
      <c r="X17" s="1313"/>
      <c r="Y17" s="92"/>
      <c r="Z17" s="92"/>
      <c r="AA17" s="92"/>
      <c r="AB17" s="93"/>
      <c r="AC17" s="92"/>
      <c r="AD17" s="92"/>
      <c r="AE17" s="92"/>
      <c r="AF17" s="92"/>
      <c r="AG17" s="92"/>
      <c r="AH17" s="92"/>
      <c r="AI17" s="92"/>
      <c r="AJ17" s="92"/>
      <c r="AK17" s="92"/>
      <c r="AL17" s="92"/>
      <c r="AM17" s="92"/>
      <c r="AN17" s="92"/>
      <c r="AO17" s="93"/>
      <c r="AP17" s="92"/>
      <c r="AQ17" s="92"/>
      <c r="AR17" s="92"/>
      <c r="AS17" s="92"/>
      <c r="AT17" s="92"/>
      <c r="AU17" s="92"/>
      <c r="AV17" s="1327"/>
    </row>
    <row r="18" spans="2:48" ht="12" customHeight="1" x14ac:dyDescent="0.2">
      <c r="B18" s="497" t="s">
        <v>115</v>
      </c>
      <c r="C18" s="498" t="s">
        <v>113</v>
      </c>
      <c r="D18" s="499"/>
      <c r="E18" s="1311"/>
      <c r="F18" s="1311"/>
      <c r="G18" s="1307"/>
      <c r="H18" s="1307"/>
      <c r="I18" s="1307"/>
      <c r="J18" s="1326"/>
      <c r="K18" s="1320"/>
      <c r="L18" s="1320"/>
      <c r="M18" s="1326"/>
      <c r="N18" s="1307"/>
      <c r="O18" s="1323"/>
      <c r="P18" s="1320"/>
      <c r="Q18" s="1307"/>
      <c r="R18" s="1320"/>
      <c r="S18" s="1320"/>
      <c r="T18" s="1317"/>
      <c r="U18" s="1307"/>
      <c r="V18" s="1317"/>
      <c r="W18" s="1323"/>
      <c r="X18" s="1314"/>
      <c r="Y18" s="92"/>
      <c r="Z18" s="92"/>
      <c r="AA18" s="92"/>
      <c r="AB18" s="93"/>
      <c r="AC18" s="92"/>
      <c r="AD18" s="92"/>
      <c r="AE18" s="92"/>
      <c r="AF18" s="92"/>
      <c r="AG18" s="92"/>
      <c r="AH18" s="92"/>
      <c r="AI18" s="92"/>
      <c r="AJ18" s="92"/>
      <c r="AK18" s="92"/>
      <c r="AL18" s="92"/>
      <c r="AM18" s="92"/>
      <c r="AN18" s="92"/>
      <c r="AO18" s="93"/>
      <c r="AP18" s="92"/>
      <c r="AQ18" s="92"/>
      <c r="AR18" s="92"/>
      <c r="AS18" s="92"/>
      <c r="AT18" s="92"/>
      <c r="AU18" s="92"/>
      <c r="AV18" s="1327"/>
    </row>
    <row r="19" spans="2:48" ht="13.5" customHeight="1" x14ac:dyDescent="0.2">
      <c r="Z19" s="92"/>
      <c r="AA19" s="92"/>
      <c r="AB19" s="93"/>
      <c r="AC19" s="92"/>
      <c r="AD19" s="92"/>
      <c r="AE19" s="92"/>
      <c r="AF19" s="92"/>
      <c r="AG19" s="92"/>
    </row>
    <row r="20" spans="2:48" s="89" customFormat="1" ht="16.2" x14ac:dyDescent="0.2">
      <c r="B20" s="301" t="s">
        <v>240</v>
      </c>
      <c r="D20" s="89" t="s">
        <v>360</v>
      </c>
      <c r="E20" s="97"/>
      <c r="F20" s="97"/>
      <c r="G20" s="97"/>
      <c r="H20" s="97"/>
      <c r="I20" s="97"/>
      <c r="J20" s="97"/>
      <c r="K20" s="97"/>
      <c r="L20" s="97"/>
      <c r="M20" s="97"/>
      <c r="N20" s="97"/>
      <c r="O20" s="97"/>
      <c r="P20" s="1111"/>
      <c r="Q20" s="97"/>
      <c r="R20" s="97"/>
      <c r="S20" s="97"/>
      <c r="T20" s="97"/>
      <c r="U20" s="97"/>
      <c r="V20" s="97"/>
      <c r="W20" s="97"/>
      <c r="Z20" s="90"/>
      <c r="AA20" s="90"/>
      <c r="AB20" s="90"/>
      <c r="AC20" s="90"/>
      <c r="AD20" s="90"/>
      <c r="AE20" s="90"/>
      <c r="AF20" s="90"/>
      <c r="AG20" s="90"/>
      <c r="AH20" s="91"/>
      <c r="AI20" s="91"/>
      <c r="AJ20" s="91"/>
      <c r="AK20" s="91"/>
      <c r="AL20" s="91"/>
      <c r="AM20" s="91"/>
      <c r="AN20" s="91"/>
      <c r="AO20" s="91"/>
      <c r="AP20" s="91"/>
      <c r="AQ20" s="91"/>
      <c r="AR20" s="91"/>
      <c r="AS20" s="91"/>
      <c r="AT20" s="91"/>
      <c r="AU20" s="91"/>
      <c r="AV20" s="91"/>
    </row>
    <row r="21" spans="2:48" ht="36" x14ac:dyDescent="0.2">
      <c r="B21" s="904" t="s">
        <v>239</v>
      </c>
      <c r="C21" s="316" t="s">
        <v>364</v>
      </c>
      <c r="D21" s="317" t="s">
        <v>363</v>
      </c>
      <c r="E21" s="318" t="s">
        <v>161</v>
      </c>
      <c r="F21" s="318" t="s">
        <v>161</v>
      </c>
      <c r="G21" s="319" t="s">
        <v>137</v>
      </c>
      <c r="H21" s="319"/>
      <c r="I21" s="319"/>
      <c r="J21" s="318"/>
      <c r="K21" s="318"/>
      <c r="L21" s="318"/>
      <c r="M21" s="318"/>
      <c r="N21" s="319"/>
      <c r="O21" s="319"/>
      <c r="P21" s="1043"/>
      <c r="Q21" s="319"/>
      <c r="R21" s="318" t="s">
        <v>161</v>
      </c>
      <c r="S21" s="318"/>
      <c r="T21" s="319"/>
      <c r="U21" s="319"/>
      <c r="V21" s="318"/>
      <c r="W21" s="319"/>
      <c r="X21" s="320"/>
      <c r="AB21" s="90"/>
      <c r="AC21" s="90"/>
      <c r="AD21" s="90"/>
      <c r="AE21" s="90"/>
      <c r="AF21" s="90"/>
      <c r="AG21" s="90"/>
      <c r="AH21" s="90"/>
      <c r="AI21" s="90"/>
      <c r="AJ21" s="90"/>
      <c r="AK21" s="90"/>
      <c r="AL21" s="1287"/>
      <c r="AM21" s="1287"/>
      <c r="AN21" s="1287"/>
      <c r="AO21" s="1287"/>
      <c r="AP21" s="90"/>
      <c r="AQ21" s="90"/>
      <c r="AR21" s="90"/>
      <c r="AS21" s="1287"/>
      <c r="AT21" s="1287"/>
      <c r="AU21" s="1287"/>
      <c r="AV21" s="1287"/>
    </row>
    <row r="22" spans="2:48" ht="36" x14ac:dyDescent="0.2">
      <c r="B22" s="905" t="s">
        <v>254</v>
      </c>
      <c r="C22" s="321" t="s">
        <v>365</v>
      </c>
      <c r="D22" s="322" t="s">
        <v>656</v>
      </c>
      <c r="E22" s="323" t="s">
        <v>161</v>
      </c>
      <c r="F22" s="323" t="s">
        <v>161</v>
      </c>
      <c r="G22" s="324" t="s">
        <v>137</v>
      </c>
      <c r="H22" s="324"/>
      <c r="I22" s="324"/>
      <c r="J22" s="323"/>
      <c r="K22" s="323"/>
      <c r="L22" s="323"/>
      <c r="M22" s="323"/>
      <c r="N22" s="324"/>
      <c r="O22" s="324"/>
      <c r="P22" s="1050"/>
      <c r="Q22" s="324"/>
      <c r="R22" s="323"/>
      <c r="S22" s="323" t="s">
        <v>161</v>
      </c>
      <c r="T22" s="324"/>
      <c r="U22" s="324"/>
      <c r="V22" s="323"/>
      <c r="W22" s="324"/>
      <c r="X22" s="325"/>
      <c r="AB22" s="90"/>
      <c r="AC22" s="90"/>
      <c r="AD22" s="90"/>
      <c r="AE22" s="90"/>
      <c r="AF22" s="90"/>
      <c r="AG22" s="90"/>
      <c r="AH22" s="90"/>
      <c r="AI22" s="90"/>
      <c r="AJ22" s="90"/>
      <c r="AK22" s="90"/>
      <c r="AL22" s="90"/>
      <c r="AM22" s="90"/>
      <c r="AN22" s="90"/>
      <c r="AO22" s="90"/>
      <c r="AP22" s="90"/>
      <c r="AQ22" s="90"/>
      <c r="AR22" s="90"/>
      <c r="AS22" s="90"/>
      <c r="AT22" s="90"/>
      <c r="AU22" s="90"/>
      <c r="AV22" s="90"/>
    </row>
    <row r="23" spans="2:48" ht="36" x14ac:dyDescent="0.2">
      <c r="B23" s="905" t="s">
        <v>255</v>
      </c>
      <c r="C23" s="321" t="s">
        <v>361</v>
      </c>
      <c r="D23" s="322" t="s">
        <v>251</v>
      </c>
      <c r="E23" s="323" t="s">
        <v>161</v>
      </c>
      <c r="F23" s="323" t="s">
        <v>161</v>
      </c>
      <c r="G23" s="324" t="s">
        <v>137</v>
      </c>
      <c r="H23" s="324"/>
      <c r="I23" s="324"/>
      <c r="J23" s="323"/>
      <c r="K23" s="323"/>
      <c r="L23" s="323"/>
      <c r="M23" s="323"/>
      <c r="N23" s="324"/>
      <c r="O23" s="324"/>
      <c r="P23" s="1050"/>
      <c r="Q23" s="324"/>
      <c r="R23" s="323" t="s">
        <v>2039</v>
      </c>
      <c r="S23" s="323" t="s">
        <v>2039</v>
      </c>
      <c r="T23" s="324"/>
      <c r="U23" s="324"/>
      <c r="V23" s="323"/>
      <c r="W23" s="324"/>
      <c r="X23" s="325" t="s">
        <v>2052</v>
      </c>
      <c r="AB23" s="90"/>
      <c r="AC23" s="90"/>
      <c r="AD23" s="90"/>
      <c r="AE23" s="90"/>
      <c r="AF23" s="90"/>
      <c r="AG23" s="90"/>
      <c r="AH23" s="90"/>
      <c r="AI23" s="90"/>
      <c r="AJ23" s="90"/>
      <c r="AK23" s="90"/>
      <c r="AL23" s="90"/>
      <c r="AM23" s="90"/>
      <c r="AN23" s="90"/>
      <c r="AO23" s="90"/>
      <c r="AP23" s="90"/>
      <c r="AQ23" s="90"/>
      <c r="AR23" s="90"/>
      <c r="AS23" s="90"/>
      <c r="AT23" s="90"/>
      <c r="AU23" s="90"/>
      <c r="AV23" s="90"/>
    </row>
    <row r="24" spans="2:48" ht="25.2" customHeight="1" x14ac:dyDescent="0.2">
      <c r="B24" s="905" t="s">
        <v>256</v>
      </c>
      <c r="C24" s="326" t="s">
        <v>105</v>
      </c>
      <c r="D24" s="321" t="s">
        <v>142</v>
      </c>
      <c r="E24" s="323" t="s">
        <v>136</v>
      </c>
      <c r="F24" s="323" t="s">
        <v>136</v>
      </c>
      <c r="G24" s="324" t="s">
        <v>137</v>
      </c>
      <c r="H24" s="324"/>
      <c r="I24" s="327"/>
      <c r="J24" s="327"/>
      <c r="K24" s="327"/>
      <c r="L24" s="327"/>
      <c r="M24" s="327"/>
      <c r="N24" s="327"/>
      <c r="O24" s="327"/>
      <c r="P24" s="1112"/>
      <c r="Q24" s="327"/>
      <c r="R24" s="327"/>
      <c r="S24" s="327"/>
      <c r="T24" s="327"/>
      <c r="U24" s="327"/>
      <c r="V24" s="327"/>
      <c r="W24" s="327"/>
      <c r="X24" s="325" t="s">
        <v>2011</v>
      </c>
      <c r="AB24" s="90"/>
      <c r="AC24" s="90"/>
      <c r="AD24" s="90"/>
      <c r="AE24" s="90"/>
      <c r="AF24" s="90"/>
      <c r="AG24" s="90"/>
      <c r="AH24" s="90"/>
      <c r="AI24" s="90"/>
      <c r="AJ24" s="90"/>
      <c r="AK24" s="90"/>
      <c r="AL24" s="90"/>
      <c r="AM24" s="90"/>
      <c r="AN24" s="90"/>
      <c r="AO24" s="90"/>
      <c r="AP24" s="90"/>
      <c r="AQ24" s="90"/>
      <c r="AR24" s="90"/>
      <c r="AS24" s="90"/>
      <c r="AT24" s="90"/>
      <c r="AU24" s="90"/>
      <c r="AV24" s="90"/>
    </row>
    <row r="25" spans="2:48" ht="25.2" customHeight="1" x14ac:dyDescent="0.2">
      <c r="B25" s="905" t="s">
        <v>257</v>
      </c>
      <c r="C25" s="328" t="s">
        <v>90</v>
      </c>
      <c r="D25" s="322" t="s">
        <v>142</v>
      </c>
      <c r="E25" s="323" t="s">
        <v>136</v>
      </c>
      <c r="F25" s="323" t="s">
        <v>136</v>
      </c>
      <c r="G25" s="324" t="s">
        <v>137</v>
      </c>
      <c r="H25" s="324"/>
      <c r="I25" s="324"/>
      <c r="J25" s="323"/>
      <c r="K25" s="323"/>
      <c r="L25" s="323"/>
      <c r="M25" s="323"/>
      <c r="N25" s="324"/>
      <c r="O25" s="324"/>
      <c r="P25" s="1050"/>
      <c r="Q25" s="324"/>
      <c r="R25" s="323"/>
      <c r="S25" s="323"/>
      <c r="T25" s="324"/>
      <c r="U25" s="324"/>
      <c r="V25" s="323"/>
      <c r="W25" s="324"/>
      <c r="X25" s="325" t="s">
        <v>2012</v>
      </c>
      <c r="AB25" s="90"/>
      <c r="AC25" s="90"/>
      <c r="AD25" s="90"/>
      <c r="AE25" s="90"/>
      <c r="AF25" s="90"/>
      <c r="AG25" s="90"/>
      <c r="AH25" s="90"/>
      <c r="AI25" s="90"/>
      <c r="AJ25" s="90"/>
      <c r="AK25" s="90"/>
      <c r="AL25" s="90"/>
      <c r="AM25" s="90"/>
      <c r="AN25" s="90"/>
      <c r="AO25" s="90"/>
      <c r="AP25" s="90"/>
      <c r="AQ25" s="90"/>
      <c r="AR25" s="90"/>
      <c r="AS25" s="90"/>
      <c r="AT25" s="90"/>
      <c r="AU25" s="1287"/>
      <c r="AV25" s="1287"/>
    </row>
    <row r="26" spans="2:48" ht="25.2" customHeight="1" x14ac:dyDescent="0.2">
      <c r="B26" s="905" t="s">
        <v>258</v>
      </c>
      <c r="C26" s="1169" t="s">
        <v>91</v>
      </c>
      <c r="D26" s="1170" t="s">
        <v>243</v>
      </c>
      <c r="E26" s="1125" t="s">
        <v>161</v>
      </c>
      <c r="F26" s="1125" t="s">
        <v>136</v>
      </c>
      <c r="G26" s="1092" t="s">
        <v>162</v>
      </c>
      <c r="H26" s="1092"/>
      <c r="I26" s="324"/>
      <c r="J26" s="323"/>
      <c r="K26" s="323"/>
      <c r="L26" s="323"/>
      <c r="M26" s="323"/>
      <c r="N26" s="324"/>
      <c r="O26" s="324"/>
      <c r="P26" s="1050"/>
      <c r="Q26" s="324"/>
      <c r="R26" s="323"/>
      <c r="S26" s="323"/>
      <c r="T26" s="324"/>
      <c r="U26" s="324"/>
      <c r="V26" s="323"/>
      <c r="W26" s="324"/>
      <c r="X26" s="325"/>
      <c r="AB26" s="90"/>
      <c r="AC26" s="90"/>
      <c r="AD26" s="90"/>
      <c r="AE26" s="90"/>
      <c r="AF26" s="90"/>
      <c r="AG26" s="90"/>
      <c r="AH26" s="90"/>
      <c r="AI26" s="90"/>
      <c r="AJ26" s="90"/>
      <c r="AK26" s="90"/>
      <c r="AL26" s="90"/>
      <c r="AM26" s="90"/>
      <c r="AN26" s="90"/>
      <c r="AO26" s="90"/>
      <c r="AP26" s="90"/>
      <c r="AQ26" s="90"/>
      <c r="AR26" s="90"/>
      <c r="AS26" s="90"/>
      <c r="AT26" s="90"/>
      <c r="AU26" s="1287"/>
      <c r="AV26" s="1287"/>
    </row>
    <row r="27" spans="2:48" ht="25.2" customHeight="1" x14ac:dyDescent="0.2">
      <c r="B27" s="905" t="s">
        <v>259</v>
      </c>
      <c r="C27" s="1169" t="s">
        <v>106</v>
      </c>
      <c r="D27" s="1166" t="s">
        <v>142</v>
      </c>
      <c r="E27" s="1125" t="s">
        <v>161</v>
      </c>
      <c r="F27" s="1125" t="s">
        <v>161</v>
      </c>
      <c r="G27" s="1092"/>
      <c r="H27" s="1092"/>
      <c r="I27" s="324"/>
      <c r="J27" s="323"/>
      <c r="K27" s="323"/>
      <c r="L27" s="323"/>
      <c r="M27" s="323"/>
      <c r="N27" s="324"/>
      <c r="O27" s="324"/>
      <c r="P27" s="1050"/>
      <c r="Q27" s="324"/>
      <c r="R27" s="323"/>
      <c r="S27" s="323"/>
      <c r="T27" s="324"/>
      <c r="U27" s="324"/>
      <c r="V27" s="323"/>
      <c r="W27" s="324"/>
      <c r="X27" s="325"/>
      <c r="AB27" s="90"/>
      <c r="AC27" s="90"/>
      <c r="AD27" s="90"/>
      <c r="AE27" s="90"/>
      <c r="AF27" s="90"/>
      <c r="AG27" s="90"/>
      <c r="AH27" s="90"/>
      <c r="AI27" s="90"/>
      <c r="AJ27" s="90"/>
      <c r="AK27" s="90"/>
      <c r="AL27" s="90"/>
      <c r="AM27" s="90"/>
      <c r="AN27" s="90"/>
      <c r="AO27" s="90"/>
      <c r="AP27" s="90"/>
      <c r="AQ27" s="90"/>
      <c r="AR27" s="90"/>
      <c r="AS27" s="90"/>
      <c r="AT27" s="90"/>
      <c r="AU27" s="1287"/>
      <c r="AV27" s="1287"/>
    </row>
    <row r="28" spans="2:48" ht="25.2" customHeight="1" x14ac:dyDescent="0.2">
      <c r="B28" s="905" t="s">
        <v>260</v>
      </c>
      <c r="C28" s="1169" t="s">
        <v>792</v>
      </c>
      <c r="D28" s="1166" t="s">
        <v>142</v>
      </c>
      <c r="E28" s="1125" t="s">
        <v>161</v>
      </c>
      <c r="F28" s="1125" t="s">
        <v>161</v>
      </c>
      <c r="G28" s="1092"/>
      <c r="H28" s="1092"/>
      <c r="I28" s="324"/>
      <c r="J28" s="323"/>
      <c r="K28" s="323"/>
      <c r="L28" s="323"/>
      <c r="M28" s="323"/>
      <c r="N28" s="324"/>
      <c r="O28" s="324"/>
      <c r="P28" s="1050"/>
      <c r="Q28" s="324"/>
      <c r="R28" s="323"/>
      <c r="S28" s="323"/>
      <c r="T28" s="324"/>
      <c r="U28" s="324"/>
      <c r="V28" s="323"/>
      <c r="W28" s="324"/>
      <c r="X28" s="325"/>
      <c r="AB28" s="90"/>
      <c r="AC28" s="90"/>
      <c r="AD28" s="90"/>
      <c r="AE28" s="90"/>
      <c r="AF28" s="90"/>
      <c r="AG28" s="90"/>
      <c r="AH28" s="90"/>
      <c r="AI28" s="90"/>
      <c r="AJ28" s="90"/>
      <c r="AK28" s="90"/>
      <c r="AL28" s="90"/>
      <c r="AM28" s="90"/>
      <c r="AN28" s="90"/>
      <c r="AO28" s="90"/>
      <c r="AP28" s="90"/>
      <c r="AQ28" s="90"/>
      <c r="AR28" s="90"/>
      <c r="AS28" s="90"/>
      <c r="AT28" s="90"/>
      <c r="AU28" s="90"/>
      <c r="AV28" s="90"/>
    </row>
    <row r="29" spans="2:48" ht="25.2" customHeight="1" x14ac:dyDescent="0.2">
      <c r="B29" s="905" t="s">
        <v>261</v>
      </c>
      <c r="C29" s="1169" t="s">
        <v>1563</v>
      </c>
      <c r="D29" s="1166" t="s">
        <v>142</v>
      </c>
      <c r="E29" s="1125" t="s">
        <v>161</v>
      </c>
      <c r="F29" s="1125" t="s">
        <v>161</v>
      </c>
      <c r="G29" s="1092"/>
      <c r="H29" s="1092"/>
      <c r="I29" s="324"/>
      <c r="J29" s="323"/>
      <c r="K29" s="323"/>
      <c r="L29" s="323"/>
      <c r="M29" s="323"/>
      <c r="N29" s="324"/>
      <c r="O29" s="324"/>
      <c r="P29" s="1050"/>
      <c r="Q29" s="324"/>
      <c r="R29" s="323"/>
      <c r="S29" s="323"/>
      <c r="T29" s="324"/>
      <c r="U29" s="884"/>
      <c r="V29" s="323"/>
      <c r="W29" s="324"/>
      <c r="X29" s="325"/>
      <c r="AB29" s="90"/>
      <c r="AC29" s="90"/>
      <c r="AD29" s="90"/>
      <c r="AE29" s="90"/>
      <c r="AF29" s="90"/>
      <c r="AG29" s="90"/>
      <c r="AH29" s="90"/>
      <c r="AI29" s="90"/>
      <c r="AJ29" s="90"/>
      <c r="AK29" s="90"/>
      <c r="AL29" s="90"/>
      <c r="AM29" s="90"/>
      <c r="AN29" s="90"/>
      <c r="AO29" s="90"/>
      <c r="AP29" s="90"/>
      <c r="AQ29" s="90"/>
      <c r="AR29" s="90"/>
      <c r="AS29" s="90"/>
      <c r="AT29" s="90"/>
      <c r="AU29" s="90"/>
      <c r="AV29" s="90"/>
    </row>
    <row r="30" spans="2:48" ht="25.2" customHeight="1" x14ac:dyDescent="0.2">
      <c r="B30" s="905" t="s">
        <v>262</v>
      </c>
      <c r="C30" s="1169" t="s">
        <v>1564</v>
      </c>
      <c r="D30" s="1166" t="s">
        <v>142</v>
      </c>
      <c r="E30" s="1125" t="s">
        <v>161</v>
      </c>
      <c r="F30" s="1125" t="s">
        <v>161</v>
      </c>
      <c r="G30" s="1092"/>
      <c r="H30" s="1092"/>
      <c r="I30" s="324"/>
      <c r="J30" s="323"/>
      <c r="K30" s="323"/>
      <c r="L30" s="323"/>
      <c r="M30" s="323"/>
      <c r="N30" s="324"/>
      <c r="O30" s="324"/>
      <c r="P30" s="1050"/>
      <c r="Q30" s="324"/>
      <c r="R30" s="323"/>
      <c r="S30" s="323"/>
      <c r="T30" s="324"/>
      <c r="U30" s="884"/>
      <c r="V30" s="323"/>
      <c r="W30" s="324"/>
      <c r="X30" s="325"/>
      <c r="AB30" s="90"/>
      <c r="AC30" s="90"/>
      <c r="AD30" s="90"/>
      <c r="AE30" s="90"/>
      <c r="AF30" s="90"/>
      <c r="AG30" s="90"/>
      <c r="AH30" s="90"/>
      <c r="AI30" s="90"/>
      <c r="AJ30" s="90"/>
      <c r="AK30" s="90"/>
      <c r="AL30" s="90"/>
      <c r="AM30" s="90"/>
      <c r="AN30" s="90"/>
      <c r="AO30" s="90"/>
      <c r="AP30" s="90"/>
      <c r="AQ30" s="90"/>
      <c r="AR30" s="90"/>
      <c r="AS30" s="90"/>
      <c r="AT30" s="90"/>
      <c r="AU30" s="90"/>
      <c r="AV30" s="90"/>
    </row>
    <row r="31" spans="2:48" ht="25.2" customHeight="1" x14ac:dyDescent="0.2">
      <c r="B31" s="905" t="s">
        <v>263</v>
      </c>
      <c r="C31" s="328" t="s">
        <v>793</v>
      </c>
      <c r="D31" s="322" t="s">
        <v>142</v>
      </c>
      <c r="E31" s="323" t="s">
        <v>161</v>
      </c>
      <c r="F31" s="323" t="s">
        <v>161</v>
      </c>
      <c r="G31" s="324"/>
      <c r="H31" s="324"/>
      <c r="I31" s="324"/>
      <c r="J31" s="323"/>
      <c r="K31" s="323"/>
      <c r="L31" s="323"/>
      <c r="M31" s="323"/>
      <c r="N31" s="324"/>
      <c r="O31" s="324"/>
      <c r="P31" s="1050"/>
      <c r="Q31" s="324"/>
      <c r="R31" s="323"/>
      <c r="S31" s="323"/>
      <c r="T31" s="324"/>
      <c r="U31" s="324"/>
      <c r="V31" s="323"/>
      <c r="W31" s="324"/>
      <c r="X31" s="325"/>
      <c r="AB31" s="90"/>
      <c r="AC31" s="90"/>
      <c r="AD31" s="90"/>
      <c r="AE31" s="90"/>
      <c r="AF31" s="90"/>
      <c r="AG31" s="90"/>
      <c r="AH31" s="90"/>
      <c r="AI31" s="90"/>
      <c r="AJ31" s="90"/>
      <c r="AK31" s="90"/>
      <c r="AL31" s="90"/>
      <c r="AM31" s="90"/>
      <c r="AN31" s="90"/>
      <c r="AO31" s="90"/>
      <c r="AP31" s="90"/>
      <c r="AQ31" s="90"/>
      <c r="AR31" s="90"/>
      <c r="AS31" s="90"/>
      <c r="AT31" s="90"/>
      <c r="AU31" s="90"/>
      <c r="AV31" s="90"/>
    </row>
    <row r="32" spans="2:48" ht="25.2" customHeight="1" x14ac:dyDescent="0.2">
      <c r="B32" s="905" t="s">
        <v>264</v>
      </c>
      <c r="C32" s="328" t="s">
        <v>247</v>
      </c>
      <c r="D32" s="322" t="s">
        <v>142</v>
      </c>
      <c r="E32" s="323" t="s">
        <v>161</v>
      </c>
      <c r="F32" s="323" t="s">
        <v>161</v>
      </c>
      <c r="G32" s="324"/>
      <c r="H32" s="324"/>
      <c r="I32" s="324"/>
      <c r="J32" s="323"/>
      <c r="K32" s="323"/>
      <c r="L32" s="323"/>
      <c r="M32" s="323"/>
      <c r="N32" s="324"/>
      <c r="O32" s="324"/>
      <c r="P32" s="1050"/>
      <c r="Q32" s="324"/>
      <c r="R32" s="323"/>
      <c r="S32" s="323"/>
      <c r="T32" s="324"/>
      <c r="U32" s="324"/>
      <c r="V32" s="323"/>
      <c r="W32" s="324"/>
      <c r="X32" s="1126"/>
      <c r="AB32" s="90"/>
      <c r="AC32" s="90"/>
      <c r="AD32" s="90"/>
      <c r="AE32" s="90"/>
      <c r="AF32" s="90"/>
      <c r="AG32" s="90"/>
      <c r="AH32" s="90"/>
      <c r="AI32" s="90"/>
      <c r="AJ32" s="90"/>
      <c r="AK32" s="90"/>
      <c r="AL32" s="90"/>
      <c r="AM32" s="90"/>
      <c r="AN32" s="90"/>
      <c r="AO32" s="90"/>
      <c r="AP32" s="90"/>
      <c r="AQ32" s="90"/>
      <c r="AR32" s="90"/>
      <c r="AS32" s="90"/>
      <c r="AT32" s="90"/>
      <c r="AU32" s="1287"/>
      <c r="AV32" s="1287"/>
    </row>
    <row r="33" spans="2:48" ht="25.2" customHeight="1" x14ac:dyDescent="0.2">
      <c r="B33" s="905" t="s">
        <v>265</v>
      </c>
      <c r="C33" s="328" t="s">
        <v>249</v>
      </c>
      <c r="D33" s="322" t="s">
        <v>142</v>
      </c>
      <c r="E33" s="323" t="s">
        <v>161</v>
      </c>
      <c r="F33" s="323" t="s">
        <v>161</v>
      </c>
      <c r="G33" s="324"/>
      <c r="H33" s="324"/>
      <c r="I33" s="324"/>
      <c r="J33" s="323"/>
      <c r="K33" s="323"/>
      <c r="L33" s="323"/>
      <c r="M33" s="323"/>
      <c r="N33" s="324"/>
      <c r="O33" s="324"/>
      <c r="P33" s="1050"/>
      <c r="Q33" s="324"/>
      <c r="R33" s="323"/>
      <c r="S33" s="323"/>
      <c r="T33" s="324"/>
      <c r="U33" s="324"/>
      <c r="V33" s="323"/>
      <c r="W33" s="324"/>
      <c r="X33" s="1126"/>
      <c r="AB33" s="90"/>
      <c r="AC33" s="90"/>
      <c r="AD33" s="90"/>
      <c r="AE33" s="90"/>
      <c r="AF33" s="90"/>
      <c r="AG33" s="90"/>
      <c r="AH33" s="90"/>
      <c r="AI33" s="90"/>
      <c r="AJ33" s="90"/>
      <c r="AK33" s="90"/>
      <c r="AL33" s="90"/>
      <c r="AM33" s="90"/>
      <c r="AN33" s="90"/>
      <c r="AO33" s="90"/>
      <c r="AP33" s="90"/>
      <c r="AQ33" s="90"/>
      <c r="AR33" s="90"/>
      <c r="AS33" s="90"/>
      <c r="AT33" s="90"/>
      <c r="AU33" s="1287"/>
      <c r="AV33" s="1287"/>
    </row>
    <row r="34" spans="2:48" ht="25.2" customHeight="1" x14ac:dyDescent="0.2">
      <c r="B34" s="905" t="s">
        <v>266</v>
      </c>
      <c r="C34" s="328" t="s">
        <v>139</v>
      </c>
      <c r="D34" s="322" t="s">
        <v>142</v>
      </c>
      <c r="E34" s="323" t="s">
        <v>161</v>
      </c>
      <c r="F34" s="323" t="s">
        <v>161</v>
      </c>
      <c r="G34" s="324"/>
      <c r="H34" s="324"/>
      <c r="I34" s="324"/>
      <c r="J34" s="323"/>
      <c r="K34" s="323"/>
      <c r="L34" s="323"/>
      <c r="M34" s="323"/>
      <c r="N34" s="324"/>
      <c r="O34" s="324"/>
      <c r="P34" s="1050"/>
      <c r="Q34" s="324"/>
      <c r="R34" s="323"/>
      <c r="S34" s="323"/>
      <c r="T34" s="324"/>
      <c r="U34" s="324"/>
      <c r="V34" s="323"/>
      <c r="W34" s="324"/>
      <c r="X34" s="1127"/>
      <c r="AB34" s="90"/>
      <c r="AC34" s="90"/>
      <c r="AD34" s="90"/>
      <c r="AE34" s="90"/>
      <c r="AF34" s="90"/>
      <c r="AG34" s="90"/>
      <c r="AH34" s="90"/>
      <c r="AI34" s="90"/>
      <c r="AJ34" s="90"/>
      <c r="AK34" s="90"/>
      <c r="AL34" s="90"/>
      <c r="AM34" s="90"/>
      <c r="AN34" s="90"/>
      <c r="AO34" s="90"/>
      <c r="AP34" s="90"/>
      <c r="AQ34" s="90"/>
      <c r="AR34" s="90"/>
      <c r="AS34" s="90"/>
      <c r="AT34" s="90"/>
      <c r="AU34" s="1287"/>
      <c r="AV34" s="1287"/>
    </row>
    <row r="35" spans="2:48" ht="25.2" customHeight="1" x14ac:dyDescent="0.2">
      <c r="B35" s="905" t="s">
        <v>267</v>
      </c>
      <c r="C35" s="328" t="s">
        <v>794</v>
      </c>
      <c r="D35" s="322" t="s">
        <v>142</v>
      </c>
      <c r="E35" s="323" t="s">
        <v>161</v>
      </c>
      <c r="F35" s="323" t="s">
        <v>161</v>
      </c>
      <c r="G35" s="324" t="s">
        <v>137</v>
      </c>
      <c r="H35" s="324"/>
      <c r="I35" s="324"/>
      <c r="J35" s="323"/>
      <c r="K35" s="323"/>
      <c r="L35" s="323"/>
      <c r="M35" s="323"/>
      <c r="N35" s="324"/>
      <c r="O35" s="324"/>
      <c r="P35" s="1050"/>
      <c r="Q35" s="324"/>
      <c r="R35" s="323"/>
      <c r="S35" s="323"/>
      <c r="T35" s="324"/>
      <c r="U35" s="324"/>
      <c r="V35" s="323" t="s">
        <v>161</v>
      </c>
      <c r="W35" s="324"/>
      <c r="X35" s="325" t="s">
        <v>2013</v>
      </c>
      <c r="AB35" s="90"/>
      <c r="AC35" s="90"/>
      <c r="AD35" s="90"/>
      <c r="AE35" s="90"/>
      <c r="AF35" s="90"/>
      <c r="AG35" s="90"/>
      <c r="AH35" s="90"/>
      <c r="AI35" s="90"/>
      <c r="AJ35" s="90"/>
      <c r="AK35" s="90"/>
      <c r="AL35" s="90"/>
      <c r="AM35" s="90"/>
      <c r="AN35" s="90"/>
      <c r="AO35" s="90"/>
      <c r="AP35" s="90"/>
      <c r="AQ35" s="90"/>
      <c r="AR35" s="90"/>
      <c r="AS35" s="90"/>
      <c r="AT35" s="90"/>
      <c r="AU35" s="1287"/>
      <c r="AV35" s="1287"/>
    </row>
    <row r="36" spans="2:48" ht="25.2" customHeight="1" x14ac:dyDescent="0.2">
      <c r="B36" s="905" t="s">
        <v>268</v>
      </c>
      <c r="C36" s="328" t="s">
        <v>140</v>
      </c>
      <c r="D36" s="322" t="s">
        <v>142</v>
      </c>
      <c r="E36" s="323" t="s">
        <v>161</v>
      </c>
      <c r="F36" s="323" t="s">
        <v>161</v>
      </c>
      <c r="G36" s="324"/>
      <c r="H36" s="324"/>
      <c r="I36" s="324"/>
      <c r="J36" s="323"/>
      <c r="K36" s="323"/>
      <c r="L36" s="323"/>
      <c r="M36" s="323"/>
      <c r="N36" s="324"/>
      <c r="O36" s="324"/>
      <c r="P36" s="1050"/>
      <c r="Q36" s="324"/>
      <c r="R36" s="323"/>
      <c r="S36" s="323"/>
      <c r="T36" s="324"/>
      <c r="U36" s="324"/>
      <c r="V36" s="323"/>
      <c r="W36" s="324"/>
      <c r="X36" s="325"/>
      <c r="AB36" s="90"/>
      <c r="AC36" s="90"/>
      <c r="AD36" s="90"/>
      <c r="AE36" s="90"/>
      <c r="AF36" s="90"/>
      <c r="AG36" s="90"/>
      <c r="AH36" s="90"/>
      <c r="AI36" s="90"/>
      <c r="AJ36" s="90"/>
      <c r="AK36" s="90"/>
      <c r="AL36" s="90"/>
      <c r="AM36" s="90"/>
      <c r="AN36" s="90"/>
      <c r="AO36" s="90"/>
      <c r="AP36" s="90"/>
      <c r="AQ36" s="90"/>
      <c r="AR36" s="90"/>
      <c r="AS36" s="90"/>
      <c r="AT36" s="90"/>
      <c r="AU36" s="1287"/>
      <c r="AV36" s="1287"/>
    </row>
    <row r="37" spans="2:48" ht="25.2" customHeight="1" x14ac:dyDescent="0.2">
      <c r="B37" s="905" t="s">
        <v>269</v>
      </c>
      <c r="C37" s="378" t="s">
        <v>1046</v>
      </c>
      <c r="D37" s="379" t="s">
        <v>241</v>
      </c>
      <c r="E37" s="377" t="s">
        <v>161</v>
      </c>
      <c r="F37" s="377" t="s">
        <v>161</v>
      </c>
      <c r="G37" s="380"/>
      <c r="H37" s="380"/>
      <c r="I37" s="380"/>
      <c r="J37" s="377"/>
      <c r="K37" s="377"/>
      <c r="L37" s="377"/>
      <c r="M37" s="377"/>
      <c r="N37" s="380"/>
      <c r="O37" s="380"/>
      <c r="P37" s="380"/>
      <c r="Q37" s="380"/>
      <c r="R37" s="377"/>
      <c r="S37" s="377"/>
      <c r="T37" s="380"/>
      <c r="U37" s="380"/>
      <c r="V37" s="377"/>
      <c r="W37" s="380"/>
      <c r="X37" s="381"/>
      <c r="AB37" s="90"/>
      <c r="AC37" s="90"/>
      <c r="AD37" s="90"/>
      <c r="AE37" s="90"/>
      <c r="AF37" s="90"/>
      <c r="AG37" s="90"/>
      <c r="AH37" s="90"/>
      <c r="AI37" s="90"/>
      <c r="AJ37" s="90"/>
      <c r="AK37" s="90"/>
      <c r="AL37" s="90"/>
      <c r="AM37" s="90"/>
      <c r="AN37" s="90"/>
      <c r="AO37" s="90"/>
      <c r="AP37" s="90"/>
      <c r="AQ37" s="90"/>
      <c r="AR37" s="90"/>
      <c r="AS37" s="90"/>
      <c r="AT37" s="90"/>
      <c r="AU37" s="90"/>
      <c r="AV37" s="90"/>
    </row>
    <row r="38" spans="2:48" ht="25.2" customHeight="1" x14ac:dyDescent="0.2">
      <c r="B38" s="905" t="s">
        <v>270</v>
      </c>
      <c r="C38" s="378" t="s">
        <v>1047</v>
      </c>
      <c r="D38" s="379" t="s">
        <v>241</v>
      </c>
      <c r="E38" s="377" t="s">
        <v>161</v>
      </c>
      <c r="F38" s="377" t="s">
        <v>161</v>
      </c>
      <c r="G38" s="380" t="s">
        <v>162</v>
      </c>
      <c r="H38" s="380"/>
      <c r="I38" s="380"/>
      <c r="J38" s="377"/>
      <c r="K38" s="377"/>
      <c r="L38" s="377"/>
      <c r="M38" s="377"/>
      <c r="N38" s="380"/>
      <c r="O38" s="380"/>
      <c r="P38" s="1113"/>
      <c r="Q38" s="380"/>
      <c r="R38" s="377"/>
      <c r="S38" s="377"/>
      <c r="T38" s="380"/>
      <c r="U38" s="380"/>
      <c r="V38" s="377"/>
      <c r="W38" s="380"/>
      <c r="X38" s="381"/>
      <c r="AB38" s="90"/>
      <c r="AC38" s="90"/>
      <c r="AD38" s="90"/>
      <c r="AE38" s="90"/>
      <c r="AF38" s="90"/>
      <c r="AG38" s="90"/>
      <c r="AH38" s="90"/>
      <c r="AI38" s="90"/>
      <c r="AJ38" s="90"/>
      <c r="AK38" s="90"/>
      <c r="AL38" s="90"/>
      <c r="AM38" s="90"/>
      <c r="AN38" s="90"/>
      <c r="AO38" s="90"/>
      <c r="AP38" s="90"/>
      <c r="AQ38" s="90"/>
      <c r="AR38" s="90"/>
      <c r="AS38" s="90"/>
      <c r="AT38" s="90"/>
      <c r="AU38" s="90"/>
      <c r="AV38" s="90"/>
    </row>
    <row r="39" spans="2:48" ht="25.2" customHeight="1" x14ac:dyDescent="0.2">
      <c r="B39" s="905" t="s">
        <v>271</v>
      </c>
      <c r="C39" s="378" t="s">
        <v>1048</v>
      </c>
      <c r="D39" s="379" t="s">
        <v>241</v>
      </c>
      <c r="E39" s="377" t="s">
        <v>161</v>
      </c>
      <c r="F39" s="377" t="s">
        <v>161</v>
      </c>
      <c r="G39" s="380" t="s">
        <v>162</v>
      </c>
      <c r="H39" s="380"/>
      <c r="I39" s="380"/>
      <c r="J39" s="377"/>
      <c r="K39" s="377"/>
      <c r="L39" s="377"/>
      <c r="M39" s="377"/>
      <c r="N39" s="380"/>
      <c r="O39" s="380"/>
      <c r="P39" s="1113"/>
      <c r="Q39" s="380"/>
      <c r="R39" s="377"/>
      <c r="S39" s="377"/>
      <c r="T39" s="380"/>
      <c r="U39" s="380"/>
      <c r="V39" s="377"/>
      <c r="W39" s="380"/>
      <c r="X39" s="381"/>
      <c r="AB39" s="90"/>
      <c r="AC39" s="90"/>
      <c r="AD39" s="90"/>
      <c r="AE39" s="90"/>
      <c r="AF39" s="90"/>
      <c r="AG39" s="90"/>
      <c r="AH39" s="90"/>
      <c r="AI39" s="90"/>
      <c r="AJ39" s="90"/>
      <c r="AK39" s="90"/>
      <c r="AL39" s="90"/>
      <c r="AM39" s="90"/>
      <c r="AN39" s="90"/>
      <c r="AO39" s="90"/>
      <c r="AP39" s="90"/>
      <c r="AQ39" s="90"/>
      <c r="AR39" s="90"/>
      <c r="AS39" s="90"/>
      <c r="AT39" s="90"/>
      <c r="AU39" s="90"/>
      <c r="AV39" s="90"/>
    </row>
    <row r="40" spans="2:48" ht="25.2" customHeight="1" x14ac:dyDescent="0.2">
      <c r="B40" s="905" t="s">
        <v>772</v>
      </c>
      <c r="C40" s="378" t="s">
        <v>1049</v>
      </c>
      <c r="D40" s="379" t="s">
        <v>242</v>
      </c>
      <c r="E40" s="377" t="s">
        <v>161</v>
      </c>
      <c r="F40" s="377" t="s">
        <v>161</v>
      </c>
      <c r="G40" s="380" t="s">
        <v>162</v>
      </c>
      <c r="H40" s="380"/>
      <c r="I40" s="380"/>
      <c r="J40" s="377"/>
      <c r="K40" s="377"/>
      <c r="L40" s="377"/>
      <c r="M40" s="377"/>
      <c r="N40" s="380"/>
      <c r="O40" s="380"/>
      <c r="P40" s="1113"/>
      <c r="Q40" s="380"/>
      <c r="R40" s="377"/>
      <c r="S40" s="377"/>
      <c r="T40" s="380"/>
      <c r="U40" s="380"/>
      <c r="V40" s="377"/>
      <c r="W40" s="380"/>
      <c r="X40" s="381"/>
      <c r="AB40" s="90"/>
      <c r="AC40" s="90"/>
      <c r="AD40" s="90"/>
      <c r="AE40" s="90"/>
      <c r="AF40" s="90"/>
      <c r="AG40" s="90"/>
      <c r="AH40" s="90"/>
      <c r="AI40" s="90"/>
      <c r="AJ40" s="90"/>
      <c r="AK40" s="90"/>
      <c r="AL40" s="1287"/>
      <c r="AM40" s="1287"/>
      <c r="AN40" s="1287"/>
      <c r="AO40" s="1287"/>
      <c r="AP40" s="90"/>
      <c r="AQ40" s="90"/>
      <c r="AR40" s="90"/>
      <c r="AS40" s="1287"/>
      <c r="AT40" s="1287"/>
      <c r="AU40" s="1287"/>
      <c r="AV40" s="1287"/>
    </row>
    <row r="41" spans="2:48" ht="25.2" customHeight="1" x14ac:dyDescent="0.2">
      <c r="B41" s="905" t="s">
        <v>773</v>
      </c>
      <c r="C41" s="378" t="s">
        <v>768</v>
      </c>
      <c r="D41" s="379" t="s">
        <v>242</v>
      </c>
      <c r="E41" s="377" t="s">
        <v>161</v>
      </c>
      <c r="F41" s="377" t="s">
        <v>161</v>
      </c>
      <c r="G41" s="380" t="s">
        <v>162</v>
      </c>
      <c r="H41" s="380"/>
      <c r="I41" s="380"/>
      <c r="J41" s="377"/>
      <c r="K41" s="377"/>
      <c r="L41" s="377"/>
      <c r="M41" s="377"/>
      <c r="N41" s="380"/>
      <c r="O41" s="380"/>
      <c r="P41" s="1113"/>
      <c r="Q41" s="380"/>
      <c r="R41" s="377"/>
      <c r="S41" s="377"/>
      <c r="T41" s="380"/>
      <c r="U41" s="380"/>
      <c r="V41" s="377"/>
      <c r="W41" s="380"/>
      <c r="X41" s="381"/>
      <c r="AB41" s="90"/>
      <c r="AC41" s="90"/>
      <c r="AD41" s="90"/>
      <c r="AE41" s="90"/>
      <c r="AF41" s="90"/>
      <c r="AG41" s="90"/>
      <c r="AH41" s="90"/>
      <c r="AI41" s="90"/>
      <c r="AJ41" s="90"/>
      <c r="AK41" s="90"/>
      <c r="AL41" s="90"/>
      <c r="AM41" s="90"/>
      <c r="AN41" s="90"/>
      <c r="AO41" s="90"/>
      <c r="AP41" s="90"/>
      <c r="AQ41" s="90"/>
      <c r="AR41" s="90"/>
      <c r="AS41" s="90"/>
      <c r="AT41" s="90"/>
      <c r="AU41" s="90"/>
      <c r="AV41" s="90"/>
    </row>
    <row r="42" spans="2:48" ht="25.2" customHeight="1" x14ac:dyDescent="0.2">
      <c r="B42" s="905" t="s">
        <v>774</v>
      </c>
      <c r="C42" s="378" t="s">
        <v>769</v>
      </c>
      <c r="D42" s="379" t="s">
        <v>242</v>
      </c>
      <c r="E42" s="377" t="s">
        <v>161</v>
      </c>
      <c r="F42" s="377" t="s">
        <v>161</v>
      </c>
      <c r="G42" s="380" t="s">
        <v>162</v>
      </c>
      <c r="H42" s="380"/>
      <c r="I42" s="380"/>
      <c r="J42" s="377"/>
      <c r="K42" s="377"/>
      <c r="L42" s="377"/>
      <c r="M42" s="377"/>
      <c r="N42" s="380"/>
      <c r="O42" s="380"/>
      <c r="P42" s="1113"/>
      <c r="Q42" s="380"/>
      <c r="R42" s="377"/>
      <c r="S42" s="377"/>
      <c r="T42" s="380"/>
      <c r="U42" s="380"/>
      <c r="V42" s="377"/>
      <c r="W42" s="380"/>
      <c r="X42" s="381"/>
      <c r="AB42" s="90"/>
      <c r="AC42" s="90"/>
      <c r="AD42" s="90"/>
      <c r="AE42" s="90"/>
      <c r="AF42" s="90"/>
      <c r="AG42" s="90"/>
      <c r="AH42" s="90"/>
      <c r="AI42" s="90"/>
      <c r="AJ42" s="90"/>
      <c r="AK42" s="90"/>
      <c r="AL42" s="90"/>
      <c r="AM42" s="90"/>
      <c r="AN42" s="90"/>
      <c r="AO42" s="90"/>
      <c r="AP42" s="90"/>
      <c r="AQ42" s="90"/>
      <c r="AR42" s="90"/>
      <c r="AS42" s="90"/>
      <c r="AT42" s="90"/>
      <c r="AU42" s="90"/>
      <c r="AV42" s="90"/>
    </row>
    <row r="43" spans="2:48" ht="25.2" customHeight="1" x14ac:dyDescent="0.2">
      <c r="B43" s="905" t="s">
        <v>775</v>
      </c>
      <c r="C43" s="378" t="s">
        <v>770</v>
      </c>
      <c r="D43" s="379" t="s">
        <v>242</v>
      </c>
      <c r="E43" s="377" t="s">
        <v>161</v>
      </c>
      <c r="F43" s="377" t="s">
        <v>161</v>
      </c>
      <c r="G43" s="380" t="s">
        <v>162</v>
      </c>
      <c r="H43" s="380"/>
      <c r="I43" s="380"/>
      <c r="J43" s="377"/>
      <c r="K43" s="377"/>
      <c r="L43" s="377"/>
      <c r="M43" s="377"/>
      <c r="N43" s="380"/>
      <c r="O43" s="380"/>
      <c r="P43" s="1113"/>
      <c r="Q43" s="380"/>
      <c r="R43" s="377"/>
      <c r="S43" s="377"/>
      <c r="T43" s="380"/>
      <c r="U43" s="380"/>
      <c r="V43" s="377"/>
      <c r="W43" s="380"/>
      <c r="X43" s="381"/>
      <c r="AB43" s="90"/>
      <c r="AC43" s="90"/>
      <c r="AD43" s="90"/>
      <c r="AE43" s="90"/>
      <c r="AF43" s="90"/>
      <c r="AG43" s="90"/>
      <c r="AH43" s="90"/>
      <c r="AI43" s="90"/>
      <c r="AJ43" s="90"/>
      <c r="AK43" s="90"/>
      <c r="AL43" s="90"/>
      <c r="AM43" s="90"/>
      <c r="AN43" s="90"/>
      <c r="AO43" s="90"/>
      <c r="AP43" s="90"/>
      <c r="AQ43" s="90"/>
      <c r="AR43" s="90"/>
      <c r="AS43" s="90"/>
      <c r="AT43" s="90"/>
      <c r="AU43" s="90"/>
      <c r="AV43" s="90"/>
    </row>
    <row r="44" spans="2:48" ht="25.2" customHeight="1" x14ac:dyDescent="0.2">
      <c r="B44" s="905" t="s">
        <v>776</v>
      </c>
      <c r="C44" s="378" t="s">
        <v>771</v>
      </c>
      <c r="D44" s="379" t="s">
        <v>242</v>
      </c>
      <c r="E44" s="377" t="s">
        <v>161</v>
      </c>
      <c r="F44" s="377" t="s">
        <v>161</v>
      </c>
      <c r="G44" s="380"/>
      <c r="H44" s="380"/>
      <c r="I44" s="380"/>
      <c r="J44" s="377"/>
      <c r="K44" s="377"/>
      <c r="L44" s="377"/>
      <c r="M44" s="377"/>
      <c r="N44" s="380"/>
      <c r="O44" s="380"/>
      <c r="P44" s="380"/>
      <c r="Q44" s="380"/>
      <c r="R44" s="377"/>
      <c r="S44" s="377"/>
      <c r="T44" s="380"/>
      <c r="U44" s="380"/>
      <c r="V44" s="377"/>
      <c r="W44" s="380"/>
      <c r="X44" s="903"/>
      <c r="AB44" s="90"/>
      <c r="AC44" s="90"/>
      <c r="AD44" s="90"/>
      <c r="AE44" s="90"/>
      <c r="AF44" s="90"/>
      <c r="AG44" s="90"/>
      <c r="AH44" s="90"/>
      <c r="AI44" s="90"/>
      <c r="AJ44" s="90"/>
      <c r="AK44" s="90"/>
      <c r="AL44" s="90"/>
      <c r="AM44" s="90"/>
      <c r="AN44" s="90"/>
      <c r="AO44" s="90"/>
      <c r="AP44" s="90"/>
      <c r="AQ44" s="90"/>
      <c r="AR44" s="90"/>
      <c r="AS44" s="90"/>
      <c r="AT44" s="90"/>
      <c r="AU44" s="90"/>
      <c r="AV44" s="90"/>
    </row>
    <row r="45" spans="2:48" ht="25.2" customHeight="1" x14ac:dyDescent="0.2">
      <c r="B45" s="905" t="s">
        <v>777</v>
      </c>
      <c r="C45" s="378" t="s">
        <v>1562</v>
      </c>
      <c r="D45" s="379" t="s">
        <v>242</v>
      </c>
      <c r="E45" s="377" t="s">
        <v>161</v>
      </c>
      <c r="F45" s="377" t="s">
        <v>161</v>
      </c>
      <c r="G45" s="380"/>
      <c r="H45" s="380"/>
      <c r="I45" s="380"/>
      <c r="J45" s="377"/>
      <c r="K45" s="377"/>
      <c r="L45" s="377"/>
      <c r="M45" s="377"/>
      <c r="N45" s="380"/>
      <c r="O45" s="380"/>
      <c r="P45" s="380"/>
      <c r="Q45" s="380"/>
      <c r="R45" s="377"/>
      <c r="S45" s="377"/>
      <c r="T45" s="380"/>
      <c r="U45" s="380"/>
      <c r="V45" s="377"/>
      <c r="W45" s="380"/>
      <c r="X45" s="381"/>
      <c r="AB45" s="90"/>
      <c r="AC45" s="90"/>
      <c r="AD45" s="90"/>
      <c r="AE45" s="90"/>
      <c r="AF45" s="90"/>
      <c r="AG45" s="90"/>
      <c r="AH45" s="90"/>
      <c r="AI45" s="90"/>
      <c r="AJ45" s="90"/>
      <c r="AK45" s="90"/>
      <c r="AL45" s="90"/>
      <c r="AM45" s="90"/>
      <c r="AN45" s="90"/>
      <c r="AO45" s="90"/>
      <c r="AP45" s="90"/>
      <c r="AQ45" s="90"/>
      <c r="AR45" s="90"/>
      <c r="AS45" s="90"/>
      <c r="AT45" s="90"/>
      <c r="AU45" s="90"/>
      <c r="AV45" s="90"/>
    </row>
    <row r="46" spans="2:48" ht="25.2" customHeight="1" x14ac:dyDescent="0.2">
      <c r="B46" s="905" t="s">
        <v>800</v>
      </c>
      <c r="C46" s="328" t="s">
        <v>245</v>
      </c>
      <c r="D46" s="322" t="s">
        <v>242</v>
      </c>
      <c r="E46" s="323" t="s">
        <v>161</v>
      </c>
      <c r="F46" s="323" t="s">
        <v>161</v>
      </c>
      <c r="G46" s="324" t="s">
        <v>162</v>
      </c>
      <c r="H46" s="324"/>
      <c r="I46" s="324"/>
      <c r="J46" s="323"/>
      <c r="K46" s="323"/>
      <c r="L46" s="323"/>
      <c r="M46" s="323"/>
      <c r="N46" s="324"/>
      <c r="O46" s="324"/>
      <c r="P46" s="324"/>
      <c r="Q46" s="324"/>
      <c r="R46" s="323"/>
      <c r="S46" s="323"/>
      <c r="T46" s="324"/>
      <c r="U46" s="324"/>
      <c r="V46" s="323"/>
      <c r="W46" s="324"/>
      <c r="X46" s="1127"/>
      <c r="AB46" s="90"/>
      <c r="AC46" s="90"/>
      <c r="AD46" s="90"/>
      <c r="AE46" s="90"/>
      <c r="AF46" s="90"/>
      <c r="AG46" s="90"/>
      <c r="AH46" s="90"/>
      <c r="AI46" s="90"/>
      <c r="AJ46" s="90"/>
      <c r="AK46" s="90"/>
      <c r="AL46" s="90"/>
      <c r="AM46" s="90"/>
      <c r="AN46" s="90"/>
      <c r="AO46" s="90"/>
      <c r="AP46" s="90"/>
      <c r="AQ46" s="90"/>
      <c r="AR46" s="90"/>
      <c r="AS46" s="90"/>
      <c r="AT46" s="90"/>
      <c r="AU46" s="90"/>
      <c r="AV46" s="90"/>
    </row>
    <row r="47" spans="2:48" ht="25.2" customHeight="1" x14ac:dyDescent="0.2">
      <c r="B47" s="905" t="s">
        <v>801</v>
      </c>
      <c r="C47" s="1169" t="s">
        <v>141</v>
      </c>
      <c r="D47" s="1166" t="s">
        <v>142</v>
      </c>
      <c r="E47" s="1125" t="s">
        <v>161</v>
      </c>
      <c r="F47" s="1125" t="s">
        <v>161</v>
      </c>
      <c r="G47" s="1092"/>
      <c r="H47" s="1092"/>
      <c r="I47" s="1092" t="s">
        <v>161</v>
      </c>
      <c r="J47" s="1125"/>
      <c r="K47" s="1125"/>
      <c r="L47" s="1125"/>
      <c r="M47" s="1125"/>
      <c r="N47" s="1092"/>
      <c r="O47" s="1092"/>
      <c r="P47" s="1125"/>
      <c r="Q47" s="1092"/>
      <c r="R47" s="1125"/>
      <c r="S47" s="1125"/>
      <c r="T47" s="1092"/>
      <c r="U47" s="1092"/>
      <c r="V47" s="1125"/>
      <c r="W47" s="1092"/>
      <c r="X47" s="1127"/>
      <c r="AB47" s="90"/>
      <c r="AC47" s="90"/>
      <c r="AD47" s="90"/>
      <c r="AE47" s="90"/>
      <c r="AF47" s="90"/>
      <c r="AG47" s="90"/>
      <c r="AH47" s="90"/>
      <c r="AI47" s="90"/>
      <c r="AJ47" s="90"/>
      <c r="AK47" s="90"/>
      <c r="AL47" s="90"/>
      <c r="AM47" s="90"/>
      <c r="AN47" s="90"/>
      <c r="AO47" s="90"/>
      <c r="AP47" s="90"/>
      <c r="AQ47" s="90"/>
      <c r="AR47" s="90"/>
      <c r="AS47" s="90"/>
      <c r="AT47" s="90"/>
      <c r="AU47" s="1287"/>
      <c r="AV47" s="1287"/>
    </row>
    <row r="48" spans="2:48" ht="25.2" customHeight="1" x14ac:dyDescent="0.2">
      <c r="B48" s="905" t="s">
        <v>802</v>
      </c>
      <c r="C48" s="1169" t="s">
        <v>1582</v>
      </c>
      <c r="D48" s="1166" t="s">
        <v>142</v>
      </c>
      <c r="E48" s="1125" t="s">
        <v>161</v>
      </c>
      <c r="F48" s="1125" t="s">
        <v>161</v>
      </c>
      <c r="G48" s="1092"/>
      <c r="H48" s="1092"/>
      <c r="I48" s="1092"/>
      <c r="J48" s="1125"/>
      <c r="K48" s="1125"/>
      <c r="L48" s="1125"/>
      <c r="M48" s="1125"/>
      <c r="N48" s="1092"/>
      <c r="O48" s="1092"/>
      <c r="P48" s="1125"/>
      <c r="Q48" s="1092"/>
      <c r="R48" s="1125"/>
      <c r="S48" s="1125"/>
      <c r="T48" s="1092"/>
      <c r="U48" s="1092"/>
      <c r="V48" s="1125"/>
      <c r="W48" s="1092" t="s">
        <v>161</v>
      </c>
      <c r="X48" s="1127"/>
      <c r="AB48" s="90"/>
      <c r="AC48" s="90"/>
      <c r="AD48" s="90"/>
      <c r="AE48" s="90"/>
      <c r="AF48" s="90"/>
      <c r="AG48" s="90"/>
      <c r="AH48" s="90"/>
      <c r="AI48" s="90"/>
      <c r="AJ48" s="90"/>
      <c r="AK48" s="90"/>
      <c r="AL48" s="90"/>
      <c r="AM48" s="90"/>
      <c r="AN48" s="90"/>
      <c r="AO48" s="90"/>
      <c r="AP48" s="90"/>
      <c r="AQ48" s="90"/>
      <c r="AR48" s="90"/>
      <c r="AS48" s="90"/>
      <c r="AT48" s="90"/>
      <c r="AU48" s="90"/>
      <c r="AV48" s="90"/>
    </row>
    <row r="49" spans="2:52" ht="25.2" customHeight="1" x14ac:dyDescent="0.2">
      <c r="B49" s="905" t="s">
        <v>803</v>
      </c>
      <c r="C49" s="1169" t="s">
        <v>244</v>
      </c>
      <c r="D49" s="1166" t="s">
        <v>142</v>
      </c>
      <c r="E49" s="1125" t="s">
        <v>161</v>
      </c>
      <c r="F49" s="1125" t="s">
        <v>161</v>
      </c>
      <c r="G49" s="1092" t="s">
        <v>162</v>
      </c>
      <c r="H49" s="1092"/>
      <c r="I49" s="1092"/>
      <c r="J49" s="1125"/>
      <c r="K49" s="1125"/>
      <c r="L49" s="1125"/>
      <c r="M49" s="1125"/>
      <c r="N49" s="1092"/>
      <c r="O49" s="1092"/>
      <c r="P49" s="1125"/>
      <c r="Q49" s="1092"/>
      <c r="R49" s="1125"/>
      <c r="S49" s="1125"/>
      <c r="T49" s="1092" t="s">
        <v>161</v>
      </c>
      <c r="U49" s="1092"/>
      <c r="V49" s="1125"/>
      <c r="W49" s="1092"/>
      <c r="X49" s="1127"/>
      <c r="AB49" s="90"/>
      <c r="AC49" s="90"/>
      <c r="AD49" s="90"/>
      <c r="AE49" s="90"/>
      <c r="AF49" s="90"/>
      <c r="AG49" s="90"/>
      <c r="AH49" s="90"/>
      <c r="AI49" s="90"/>
      <c r="AJ49" s="90"/>
      <c r="AK49" s="90"/>
      <c r="AL49" s="1287"/>
      <c r="AM49" s="1287"/>
      <c r="AN49" s="1287"/>
      <c r="AO49" s="1287"/>
      <c r="AP49" s="90"/>
      <c r="AQ49" s="90"/>
      <c r="AR49" s="90"/>
      <c r="AS49" s="1287"/>
      <c r="AT49" s="1287"/>
      <c r="AU49" s="1287"/>
      <c r="AV49" s="1287"/>
    </row>
    <row r="50" spans="2:52" ht="25.2" customHeight="1" x14ac:dyDescent="0.2">
      <c r="B50" s="905" t="s">
        <v>804</v>
      </c>
      <c r="C50" s="1172" t="s">
        <v>795</v>
      </c>
      <c r="D50" s="1166" t="s">
        <v>242</v>
      </c>
      <c r="E50" s="1125" t="s">
        <v>161</v>
      </c>
      <c r="F50" s="1125" t="s">
        <v>161</v>
      </c>
      <c r="G50" s="1174"/>
      <c r="H50" s="1174"/>
      <c r="I50" s="1174"/>
      <c r="J50" s="1173"/>
      <c r="K50" s="1173"/>
      <c r="L50" s="1173"/>
      <c r="M50" s="1173"/>
      <c r="N50" s="1174"/>
      <c r="O50" s="1174"/>
      <c r="P50" s="1125"/>
      <c r="Q50" s="1174"/>
      <c r="R50" s="1173"/>
      <c r="S50" s="1173"/>
      <c r="T50" s="1174"/>
      <c r="U50" s="1174"/>
      <c r="V50" s="1173"/>
      <c r="W50" s="1174"/>
      <c r="X50" s="1129"/>
      <c r="AB50" s="90"/>
      <c r="AC50" s="90"/>
      <c r="AD50" s="90"/>
      <c r="AE50" s="90"/>
      <c r="AF50" s="90"/>
      <c r="AG50" s="90"/>
      <c r="AH50" s="90"/>
      <c r="AI50" s="90"/>
      <c r="AJ50" s="90"/>
      <c r="AK50" s="90"/>
      <c r="AL50" s="90"/>
      <c r="AM50" s="90"/>
      <c r="AN50" s="90"/>
      <c r="AO50" s="90"/>
      <c r="AP50" s="90"/>
      <c r="AQ50" s="90"/>
      <c r="AR50" s="90"/>
      <c r="AS50" s="90"/>
      <c r="AT50" s="90"/>
      <c r="AU50" s="90"/>
      <c r="AV50" s="90"/>
    </row>
    <row r="51" spans="2:52" ht="25.2" customHeight="1" x14ac:dyDescent="0.2">
      <c r="B51" s="905" t="s">
        <v>805</v>
      </c>
      <c r="C51" s="1172" t="s">
        <v>796</v>
      </c>
      <c r="D51" s="1166" t="s">
        <v>242</v>
      </c>
      <c r="E51" s="1125" t="s">
        <v>161</v>
      </c>
      <c r="F51" s="1125" t="s">
        <v>161</v>
      </c>
      <c r="G51" s="1174"/>
      <c r="H51" s="1174"/>
      <c r="I51" s="1174"/>
      <c r="J51" s="1173"/>
      <c r="K51" s="1173"/>
      <c r="L51" s="1173"/>
      <c r="M51" s="1173"/>
      <c r="N51" s="1174"/>
      <c r="O51" s="1174"/>
      <c r="P51" s="1125"/>
      <c r="Q51" s="1174"/>
      <c r="R51" s="1173"/>
      <c r="S51" s="1173"/>
      <c r="T51" s="1174"/>
      <c r="U51" s="1174"/>
      <c r="V51" s="1173"/>
      <c r="W51" s="1174"/>
      <c r="X51" s="1129"/>
      <c r="AB51" s="90"/>
      <c r="AC51" s="90"/>
      <c r="AD51" s="90"/>
      <c r="AE51" s="90"/>
      <c r="AF51" s="90"/>
      <c r="AG51" s="90"/>
      <c r="AH51" s="90"/>
      <c r="AI51" s="90"/>
      <c r="AJ51" s="90"/>
      <c r="AK51" s="90"/>
      <c r="AL51" s="90"/>
      <c r="AM51" s="90"/>
      <c r="AN51" s="90"/>
      <c r="AO51" s="90"/>
      <c r="AP51" s="90"/>
      <c r="AQ51" s="90"/>
      <c r="AR51" s="90"/>
      <c r="AS51" s="90"/>
      <c r="AT51" s="90"/>
      <c r="AU51" s="90"/>
      <c r="AV51" s="90"/>
    </row>
    <row r="52" spans="2:52" ht="25.2" customHeight="1" x14ac:dyDescent="0.2">
      <c r="B52" s="905" t="s">
        <v>1733</v>
      </c>
      <c r="C52" s="1172" t="s">
        <v>797</v>
      </c>
      <c r="D52" s="1166" t="s">
        <v>242</v>
      </c>
      <c r="E52" s="1125" t="s">
        <v>161</v>
      </c>
      <c r="F52" s="1125" t="s">
        <v>161</v>
      </c>
      <c r="G52" s="1174"/>
      <c r="H52" s="1174"/>
      <c r="I52" s="1174"/>
      <c r="J52" s="1173"/>
      <c r="K52" s="1173"/>
      <c r="L52" s="1173"/>
      <c r="M52" s="1173"/>
      <c r="N52" s="1174"/>
      <c r="O52" s="1174"/>
      <c r="P52" s="1173"/>
      <c r="Q52" s="1174"/>
      <c r="R52" s="1173"/>
      <c r="S52" s="1173"/>
      <c r="T52" s="1174"/>
      <c r="U52" s="1174"/>
      <c r="V52" s="1092"/>
      <c r="W52" s="1174"/>
      <c r="X52" s="1129"/>
      <c r="AB52" s="90"/>
      <c r="AC52" s="90"/>
      <c r="AD52" s="90"/>
      <c r="AE52" s="90"/>
      <c r="AF52" s="90"/>
      <c r="AG52" s="90"/>
      <c r="AH52" s="90"/>
      <c r="AI52" s="90"/>
      <c r="AJ52" s="90"/>
      <c r="AK52" s="90"/>
      <c r="AL52" s="90"/>
      <c r="AM52" s="90"/>
      <c r="AN52" s="90"/>
      <c r="AO52" s="90"/>
      <c r="AP52" s="90"/>
      <c r="AQ52" s="90"/>
      <c r="AR52" s="90"/>
      <c r="AS52" s="90"/>
      <c r="AT52" s="90"/>
      <c r="AU52" s="90"/>
      <c r="AV52" s="90"/>
    </row>
    <row r="53" spans="2:52" ht="25.2" customHeight="1" x14ac:dyDescent="0.2">
      <c r="B53" s="905" t="s">
        <v>1734</v>
      </c>
      <c r="C53" s="1172" t="s">
        <v>798</v>
      </c>
      <c r="D53" s="1166" t="s">
        <v>242</v>
      </c>
      <c r="E53" s="1125" t="s">
        <v>161</v>
      </c>
      <c r="F53" s="1125" t="s">
        <v>161</v>
      </c>
      <c r="G53" s="1174"/>
      <c r="H53" s="1174"/>
      <c r="I53" s="1174"/>
      <c r="J53" s="1173"/>
      <c r="K53" s="1173"/>
      <c r="L53" s="1173"/>
      <c r="M53" s="1173"/>
      <c r="N53" s="1174"/>
      <c r="O53" s="1174"/>
      <c r="P53" s="1173"/>
      <c r="Q53" s="1174"/>
      <c r="R53" s="1173"/>
      <c r="S53" s="1173"/>
      <c r="T53" s="1174"/>
      <c r="U53" s="1174"/>
      <c r="V53" s="1173"/>
      <c r="W53" s="1174"/>
      <c r="X53" s="1129"/>
      <c r="AB53" s="90"/>
      <c r="AC53" s="90"/>
      <c r="AD53" s="90"/>
      <c r="AE53" s="90"/>
      <c r="AF53" s="90"/>
      <c r="AG53" s="90"/>
      <c r="AH53" s="90"/>
      <c r="AI53" s="90"/>
      <c r="AJ53" s="90"/>
      <c r="AK53" s="90"/>
      <c r="AL53" s="90"/>
      <c r="AM53" s="90"/>
      <c r="AN53" s="90"/>
      <c r="AO53" s="90"/>
      <c r="AP53" s="90"/>
      <c r="AQ53" s="90"/>
      <c r="AR53" s="90"/>
      <c r="AS53" s="90"/>
      <c r="AT53" s="90"/>
      <c r="AU53" s="90"/>
      <c r="AV53" s="90"/>
    </row>
    <row r="54" spans="2:52" ht="25.2" customHeight="1" x14ac:dyDescent="0.2">
      <c r="B54" s="905" t="s">
        <v>1735</v>
      </c>
      <c r="C54" s="1172" t="s">
        <v>1621</v>
      </c>
      <c r="D54" s="1166" t="s">
        <v>142</v>
      </c>
      <c r="E54" s="1125" t="s">
        <v>161</v>
      </c>
      <c r="F54" s="1125" t="s">
        <v>161</v>
      </c>
      <c r="G54" s="1174"/>
      <c r="H54" s="1174"/>
      <c r="I54" s="1174"/>
      <c r="J54" s="1173"/>
      <c r="K54" s="1173"/>
      <c r="L54" s="1173"/>
      <c r="M54" s="1173"/>
      <c r="N54" s="1174"/>
      <c r="O54" s="1174"/>
      <c r="P54" s="1173"/>
      <c r="Q54" s="1174"/>
      <c r="R54" s="1173"/>
      <c r="S54" s="1173"/>
      <c r="T54" s="1174"/>
      <c r="U54" s="1174" t="s">
        <v>161</v>
      </c>
      <c r="V54" s="1173"/>
      <c r="W54" s="1174"/>
      <c r="X54" s="1129"/>
      <c r="AB54" s="90"/>
      <c r="AC54" s="90"/>
      <c r="AD54" s="90"/>
      <c r="AE54" s="90"/>
      <c r="AF54" s="90"/>
      <c r="AG54" s="90"/>
      <c r="AH54" s="90"/>
      <c r="AI54" s="90"/>
      <c r="AJ54" s="90"/>
      <c r="AK54" s="90"/>
      <c r="AL54" s="90"/>
      <c r="AM54" s="90"/>
      <c r="AN54" s="90"/>
      <c r="AO54" s="90"/>
      <c r="AP54" s="90"/>
      <c r="AQ54" s="90"/>
      <c r="AR54" s="90"/>
      <c r="AS54" s="90"/>
      <c r="AT54" s="90"/>
      <c r="AU54" s="90"/>
      <c r="AV54" s="90"/>
    </row>
    <row r="55" spans="2:52" ht="25.2" customHeight="1" x14ac:dyDescent="0.2">
      <c r="B55" s="905" t="s">
        <v>1736</v>
      </c>
      <c r="C55" s="1172" t="s">
        <v>1622</v>
      </c>
      <c r="D55" s="1166" t="s">
        <v>142</v>
      </c>
      <c r="E55" s="1125" t="s">
        <v>161</v>
      </c>
      <c r="F55" s="1125" t="s">
        <v>161</v>
      </c>
      <c r="G55" s="1174"/>
      <c r="H55" s="1174"/>
      <c r="I55" s="1174"/>
      <c r="J55" s="1173"/>
      <c r="K55" s="1173"/>
      <c r="L55" s="1173"/>
      <c r="M55" s="1173"/>
      <c r="N55" s="1174"/>
      <c r="O55" s="1174"/>
      <c r="P55" s="1173"/>
      <c r="Q55" s="1174"/>
      <c r="R55" s="1173"/>
      <c r="S55" s="1173"/>
      <c r="T55" s="1174"/>
      <c r="U55" s="1174" t="s">
        <v>161</v>
      </c>
      <c r="V55" s="1173"/>
      <c r="W55" s="1174"/>
      <c r="X55" s="1129"/>
      <c r="AB55" s="90"/>
      <c r="AC55" s="90"/>
      <c r="AD55" s="90"/>
      <c r="AE55" s="90"/>
      <c r="AF55" s="90"/>
      <c r="AG55" s="90"/>
      <c r="AH55" s="90"/>
      <c r="AI55" s="90"/>
      <c r="AJ55" s="90"/>
      <c r="AK55" s="90"/>
      <c r="AL55" s="90"/>
      <c r="AM55" s="90"/>
      <c r="AN55" s="90"/>
      <c r="AO55" s="90"/>
      <c r="AP55" s="90"/>
      <c r="AQ55" s="90"/>
      <c r="AR55" s="90"/>
      <c r="AS55" s="90"/>
      <c r="AT55" s="90"/>
      <c r="AU55" s="90"/>
      <c r="AV55" s="90"/>
    </row>
    <row r="56" spans="2:52" ht="25.2" customHeight="1" x14ac:dyDescent="0.2">
      <c r="B56" s="905" t="s">
        <v>1737</v>
      </c>
      <c r="C56" s="1172" t="s">
        <v>1623</v>
      </c>
      <c r="D56" s="1166" t="s">
        <v>142</v>
      </c>
      <c r="E56" s="1125" t="s">
        <v>161</v>
      </c>
      <c r="F56" s="1125" t="s">
        <v>161</v>
      </c>
      <c r="G56" s="1174"/>
      <c r="H56" s="1174"/>
      <c r="I56" s="1174"/>
      <c r="J56" s="1173"/>
      <c r="K56" s="1173"/>
      <c r="L56" s="1173"/>
      <c r="M56" s="1173"/>
      <c r="N56" s="1174"/>
      <c r="O56" s="1174"/>
      <c r="P56" s="1173"/>
      <c r="Q56" s="1174" t="s">
        <v>161</v>
      </c>
      <c r="R56" s="1173"/>
      <c r="S56" s="1173"/>
      <c r="T56" s="1174"/>
      <c r="U56" s="1174"/>
      <c r="V56" s="1173"/>
      <c r="W56" s="1174"/>
      <c r="X56" s="1129"/>
      <c r="AB56" s="90"/>
      <c r="AC56" s="90"/>
      <c r="AD56" s="90"/>
      <c r="AE56" s="90"/>
      <c r="AF56" s="90"/>
      <c r="AG56" s="90"/>
      <c r="AH56" s="90"/>
      <c r="AI56" s="90"/>
      <c r="AJ56" s="90"/>
      <c r="AK56" s="90"/>
      <c r="AL56" s="90"/>
      <c r="AM56" s="90"/>
      <c r="AN56" s="90"/>
      <c r="AO56" s="90"/>
      <c r="AP56" s="90"/>
      <c r="AQ56" s="90"/>
      <c r="AR56" s="90"/>
      <c r="AS56" s="90"/>
      <c r="AT56" s="90"/>
      <c r="AU56" s="90"/>
      <c r="AV56" s="90"/>
    </row>
    <row r="57" spans="2:52" ht="25.2" customHeight="1" x14ac:dyDescent="0.2">
      <c r="B57" s="905" t="s">
        <v>1738</v>
      </c>
      <c r="C57" s="1169" t="s">
        <v>108</v>
      </c>
      <c r="D57" s="1165" t="s">
        <v>142</v>
      </c>
      <c r="E57" s="1125" t="s">
        <v>161</v>
      </c>
      <c r="F57" s="1125" t="s">
        <v>161</v>
      </c>
      <c r="G57" s="1092"/>
      <c r="H57" s="1092"/>
      <c r="I57" s="1092"/>
      <c r="J57" s="1125"/>
      <c r="K57" s="1125"/>
      <c r="L57" s="1125" t="s">
        <v>161</v>
      </c>
      <c r="M57" s="1125"/>
      <c r="N57" s="1092"/>
      <c r="O57" s="1092"/>
      <c r="P57" s="1173"/>
      <c r="Q57" s="1092"/>
      <c r="R57" s="1092"/>
      <c r="S57" s="1125"/>
      <c r="T57" s="1092"/>
      <c r="U57" s="1092"/>
      <c r="V57" s="1125"/>
      <c r="W57" s="1092"/>
      <c r="X57" s="1129"/>
      <c r="AB57" s="90"/>
      <c r="AC57" s="90"/>
      <c r="AD57" s="90"/>
      <c r="AE57" s="90"/>
      <c r="AF57" s="90"/>
      <c r="AG57" s="90"/>
      <c r="AH57" s="90"/>
      <c r="AI57" s="90"/>
      <c r="AJ57" s="90"/>
      <c r="AK57" s="90"/>
      <c r="AL57" s="90"/>
      <c r="AM57" s="90"/>
      <c r="AN57" s="90"/>
      <c r="AO57" s="90"/>
      <c r="AP57" s="90"/>
      <c r="AQ57" s="90"/>
      <c r="AR57" s="90"/>
      <c r="AS57" s="90"/>
      <c r="AT57" s="90"/>
      <c r="AU57" s="90"/>
      <c r="AV57" s="90"/>
    </row>
    <row r="58" spans="2:52" ht="25.2" customHeight="1" x14ac:dyDescent="0.2">
      <c r="B58" s="906" t="s">
        <v>1739</v>
      </c>
      <c r="C58" s="1193" t="s">
        <v>799</v>
      </c>
      <c r="D58" s="1194" t="s">
        <v>142</v>
      </c>
      <c r="E58" s="1179" t="s">
        <v>161</v>
      </c>
      <c r="F58" s="1179" t="s">
        <v>161</v>
      </c>
      <c r="G58" s="1180"/>
      <c r="H58" s="1180"/>
      <c r="I58" s="1180"/>
      <c r="J58" s="1179"/>
      <c r="K58" s="1179"/>
      <c r="L58" s="1179"/>
      <c r="M58" s="1179"/>
      <c r="N58" s="1180"/>
      <c r="O58" s="1180"/>
      <c r="P58" s="1195"/>
      <c r="Q58" s="1180"/>
      <c r="R58" s="1179"/>
      <c r="S58" s="1179"/>
      <c r="T58" s="1180"/>
      <c r="U58" s="1180"/>
      <c r="V58" s="1179"/>
      <c r="W58" s="1180"/>
      <c r="X58" s="1130"/>
      <c r="AB58" s="90"/>
      <c r="AC58" s="90"/>
      <c r="AD58" s="90"/>
      <c r="AE58" s="90"/>
      <c r="AF58" s="90"/>
      <c r="AG58" s="90"/>
      <c r="AH58" s="90"/>
      <c r="AI58" s="90"/>
      <c r="AJ58" s="90"/>
      <c r="AK58" s="90"/>
      <c r="AL58" s="1287"/>
      <c r="AM58" s="1287"/>
      <c r="AN58" s="1287"/>
      <c r="AO58" s="1287"/>
      <c r="AP58" s="90"/>
      <c r="AQ58" s="90"/>
      <c r="AR58" s="90"/>
      <c r="AS58" s="1287"/>
      <c r="AT58" s="1287"/>
      <c r="AU58" s="1287"/>
      <c r="AV58" s="1287"/>
    </row>
    <row r="59" spans="2:52" x14ac:dyDescent="0.2">
      <c r="Z59" s="92"/>
      <c r="AA59" s="92"/>
      <c r="AB59" s="93"/>
      <c r="AC59" s="92"/>
      <c r="AD59" s="92"/>
      <c r="AE59" s="92"/>
      <c r="AF59" s="92"/>
      <c r="AG59" s="92"/>
    </row>
    <row r="60" spans="2:52" s="89" customFormat="1" ht="14.4" x14ac:dyDescent="0.2">
      <c r="D60" s="86"/>
    </row>
    <row r="61" spans="2:52" s="89" customFormat="1" ht="16.2" x14ac:dyDescent="0.2">
      <c r="B61" s="301" t="s">
        <v>220</v>
      </c>
      <c r="D61" s="86"/>
      <c r="P61" s="542"/>
      <c r="X61" s="1175" t="s">
        <v>1815</v>
      </c>
    </row>
    <row r="62" spans="2:52" s="542" customFormat="1" ht="25.2" customHeight="1" x14ac:dyDescent="0.2">
      <c r="B62" s="500" t="s">
        <v>150</v>
      </c>
      <c r="C62" s="1082" t="s">
        <v>189</v>
      </c>
      <c r="D62" s="1080" t="s">
        <v>1852</v>
      </c>
      <c r="E62" s="1043" t="s">
        <v>161</v>
      </c>
      <c r="F62" s="1043" t="s">
        <v>161</v>
      </c>
      <c r="G62" s="1042"/>
      <c r="H62" s="1043"/>
      <c r="I62" s="1043"/>
      <c r="J62" s="1043"/>
      <c r="K62" s="1042"/>
      <c r="L62" s="1043"/>
      <c r="M62" s="1043"/>
      <c r="N62" s="1043"/>
      <c r="O62" s="1043"/>
      <c r="P62" s="1043"/>
      <c r="Q62" s="1043"/>
      <c r="R62" s="1042"/>
      <c r="S62" s="1042"/>
      <c r="T62" s="1042"/>
      <c r="U62" s="1043"/>
      <c r="V62" s="1043"/>
      <c r="W62" s="1043"/>
      <c r="X62" s="1235"/>
      <c r="AD62" s="1038"/>
      <c r="AE62" s="1038"/>
      <c r="AF62" s="1048"/>
      <c r="AG62" s="1048"/>
      <c r="AH62" s="1048"/>
      <c r="AI62" s="1048"/>
      <c r="AJ62" s="1048"/>
      <c r="AK62" s="1048"/>
      <c r="AL62" s="1308"/>
      <c r="AM62" s="1308"/>
      <c r="AN62" s="1308"/>
      <c r="AO62" s="1308"/>
      <c r="AP62" s="1308"/>
      <c r="AQ62" s="1308"/>
      <c r="AR62" s="1308"/>
      <c r="AS62" s="1308"/>
      <c r="AT62" s="1048"/>
      <c r="AU62" s="1048"/>
      <c r="AV62" s="1048"/>
      <c r="AW62" s="1308"/>
      <c r="AX62" s="1308"/>
      <c r="AY62" s="1308"/>
      <c r="AZ62" s="1308"/>
    </row>
    <row r="63" spans="2:52" s="542" customFormat="1" ht="25.2" customHeight="1" x14ac:dyDescent="0.2">
      <c r="B63" s="1065" t="s">
        <v>175</v>
      </c>
      <c r="C63" s="1165" t="s">
        <v>90</v>
      </c>
      <c r="D63" s="1167" t="s">
        <v>1852</v>
      </c>
      <c r="E63" s="1125" t="s">
        <v>136</v>
      </c>
      <c r="F63" s="1125" t="s">
        <v>136</v>
      </c>
      <c r="G63" s="1092" t="s">
        <v>137</v>
      </c>
      <c r="H63" s="1125"/>
      <c r="I63" s="1125"/>
      <c r="J63" s="1125"/>
      <c r="K63" s="1092"/>
      <c r="L63" s="1125"/>
      <c r="M63" s="1125"/>
      <c r="N63" s="1125"/>
      <c r="O63" s="1125"/>
      <c r="P63" s="1050"/>
      <c r="Q63" s="1050"/>
      <c r="R63" s="1051"/>
      <c r="S63" s="1051"/>
      <c r="T63" s="1051"/>
      <c r="U63" s="1050"/>
      <c r="V63" s="1050"/>
      <c r="W63" s="1050"/>
      <c r="X63" s="1236" t="s">
        <v>2012</v>
      </c>
      <c r="AD63" s="1038"/>
      <c r="AE63" s="1038"/>
      <c r="AF63" s="1048"/>
      <c r="AG63" s="1048"/>
      <c r="AH63" s="1048"/>
      <c r="AI63" s="1048"/>
      <c r="AJ63" s="1048"/>
      <c r="AK63" s="1048"/>
      <c r="AL63" s="1048"/>
      <c r="AM63" s="1048"/>
      <c r="AN63" s="1048"/>
      <c r="AO63" s="1048"/>
      <c r="AP63" s="1048"/>
      <c r="AQ63" s="1048"/>
      <c r="AR63" s="1048"/>
      <c r="AS63" s="1048"/>
      <c r="AT63" s="1048"/>
      <c r="AU63" s="1048"/>
      <c r="AV63" s="1048"/>
      <c r="AW63" s="1048"/>
      <c r="AX63" s="1048"/>
      <c r="AY63" s="1048"/>
      <c r="AZ63" s="1048"/>
    </row>
    <row r="64" spans="2:52" s="542" customFormat="1" ht="25.2" customHeight="1" x14ac:dyDescent="0.2">
      <c r="B64" s="1065" t="s">
        <v>176</v>
      </c>
      <c r="C64" s="1165" t="s">
        <v>1819</v>
      </c>
      <c r="D64" s="1167" t="s">
        <v>1852</v>
      </c>
      <c r="E64" s="1125" t="s">
        <v>161</v>
      </c>
      <c r="F64" s="1125" t="s">
        <v>161</v>
      </c>
      <c r="G64" s="1092"/>
      <c r="H64" s="1125"/>
      <c r="I64" s="1125"/>
      <c r="J64" s="1125"/>
      <c r="K64" s="1092"/>
      <c r="L64" s="1125"/>
      <c r="M64" s="1125"/>
      <c r="N64" s="1125"/>
      <c r="O64" s="1125"/>
      <c r="P64" s="1050"/>
      <c r="Q64" s="1050"/>
      <c r="R64" s="1051"/>
      <c r="S64" s="1051"/>
      <c r="T64" s="1051"/>
      <c r="U64" s="1050"/>
      <c r="V64" s="1050"/>
      <c r="W64" s="1050"/>
      <c r="X64" s="1236"/>
      <c r="AF64" s="1038"/>
      <c r="AG64" s="1038"/>
      <c r="AH64" s="1038"/>
      <c r="AI64" s="1038"/>
      <c r="AJ64" s="1038"/>
      <c r="AK64" s="1038"/>
      <c r="AL64" s="1038"/>
      <c r="AM64" s="1038"/>
      <c r="AN64" s="1038"/>
      <c r="AO64" s="1038"/>
      <c r="AP64" s="1038"/>
      <c r="AQ64" s="1038"/>
      <c r="AR64" s="1038"/>
      <c r="AS64" s="1038"/>
      <c r="AT64" s="1038"/>
      <c r="AU64" s="1038"/>
      <c r="AV64" s="1038"/>
      <c r="AW64" s="1038"/>
      <c r="AX64" s="1038"/>
      <c r="AY64" s="1038"/>
      <c r="AZ64" s="1038"/>
    </row>
    <row r="65" spans="2:52" s="542" customFormat="1" ht="25.2" customHeight="1" x14ac:dyDescent="0.2">
      <c r="B65" s="1065" t="s">
        <v>177</v>
      </c>
      <c r="C65" s="1165" t="s">
        <v>1850</v>
      </c>
      <c r="D65" s="1167" t="s">
        <v>1852</v>
      </c>
      <c r="E65" s="1125" t="s">
        <v>161</v>
      </c>
      <c r="F65" s="1125" t="s">
        <v>161</v>
      </c>
      <c r="G65" s="1092"/>
      <c r="H65" s="1125"/>
      <c r="I65" s="1125"/>
      <c r="J65" s="1125"/>
      <c r="K65" s="1092"/>
      <c r="L65" s="1125"/>
      <c r="M65" s="1125"/>
      <c r="N65" s="1125"/>
      <c r="O65" s="1125"/>
      <c r="P65" s="1050"/>
      <c r="Q65" s="1050"/>
      <c r="R65" s="1051"/>
      <c r="S65" s="1051"/>
      <c r="T65" s="1051"/>
      <c r="U65" s="1050"/>
      <c r="V65" s="1050"/>
      <c r="W65" s="1050"/>
      <c r="X65" s="1236"/>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row>
    <row r="66" spans="2:52" s="542" customFormat="1" ht="48" customHeight="1" x14ac:dyDescent="0.2">
      <c r="B66" s="1065" t="s">
        <v>178</v>
      </c>
      <c r="C66" s="1165" t="s">
        <v>806</v>
      </c>
      <c r="D66" s="1167" t="s">
        <v>1852</v>
      </c>
      <c r="E66" s="1125" t="s">
        <v>136</v>
      </c>
      <c r="F66" s="1125" t="s">
        <v>136</v>
      </c>
      <c r="G66" s="1092"/>
      <c r="H66" s="1125"/>
      <c r="I66" s="1125"/>
      <c r="J66" s="1125"/>
      <c r="K66" s="1092"/>
      <c r="L66" s="1125"/>
      <c r="M66" s="1125"/>
      <c r="N66" s="1125"/>
      <c r="O66" s="1125"/>
      <c r="P66" s="1050"/>
      <c r="Q66" s="1050"/>
      <c r="R66" s="1051"/>
      <c r="S66" s="1051"/>
      <c r="T66" s="1051"/>
      <c r="U66" s="1050"/>
      <c r="V66" s="1050"/>
      <c r="W66" s="1050"/>
      <c r="X66" s="1236" t="s">
        <v>1851</v>
      </c>
      <c r="AD66" s="1038"/>
      <c r="AE66" s="1038"/>
      <c r="AF66" s="1048"/>
      <c r="AG66" s="1048"/>
      <c r="AH66" s="1048"/>
      <c r="AI66" s="1048"/>
      <c r="AJ66" s="1048"/>
      <c r="AK66" s="1048"/>
      <c r="AL66" s="1048"/>
      <c r="AM66" s="1048"/>
      <c r="AN66" s="1048"/>
      <c r="AO66" s="1048"/>
      <c r="AP66" s="1048"/>
      <c r="AQ66" s="1048"/>
      <c r="AR66" s="1048"/>
      <c r="AS66" s="1048"/>
      <c r="AT66" s="1048"/>
      <c r="AU66" s="1048"/>
      <c r="AV66" s="1048"/>
      <c r="AW66" s="1048"/>
      <c r="AX66" s="1048"/>
      <c r="AY66" s="1048"/>
      <c r="AZ66" s="1048"/>
    </row>
    <row r="67" spans="2:52" s="542" customFormat="1" ht="25.2" customHeight="1" x14ac:dyDescent="0.2">
      <c r="B67" s="1065" t="s">
        <v>179</v>
      </c>
      <c r="C67" s="1165" t="s">
        <v>143</v>
      </c>
      <c r="D67" s="1167" t="s">
        <v>1852</v>
      </c>
      <c r="E67" s="1125" t="s">
        <v>161</v>
      </c>
      <c r="F67" s="1125" t="s">
        <v>161</v>
      </c>
      <c r="G67" s="1092" t="s">
        <v>162</v>
      </c>
      <c r="H67" s="1125"/>
      <c r="I67" s="1125"/>
      <c r="J67" s="1125"/>
      <c r="K67" s="1092"/>
      <c r="L67" s="1125"/>
      <c r="M67" s="1125"/>
      <c r="N67" s="1125"/>
      <c r="O67" s="1125"/>
      <c r="P67" s="1050"/>
      <c r="Q67" s="1050"/>
      <c r="R67" s="1051"/>
      <c r="S67" s="1051"/>
      <c r="T67" s="1051"/>
      <c r="U67" s="1050"/>
      <c r="V67" s="1050"/>
      <c r="W67" s="1050"/>
      <c r="X67" s="1236" t="s">
        <v>2014</v>
      </c>
      <c r="AD67" s="1038"/>
      <c r="AE67" s="1038"/>
      <c r="AF67" s="1048"/>
      <c r="AG67" s="1048"/>
      <c r="AH67" s="1048"/>
      <c r="AI67" s="1048"/>
      <c r="AJ67" s="1048"/>
      <c r="AK67" s="1048"/>
      <c r="AL67" s="1308"/>
      <c r="AM67" s="1308"/>
      <c r="AN67" s="1308"/>
      <c r="AO67" s="1308"/>
      <c r="AP67" s="1308"/>
      <c r="AQ67" s="1308"/>
      <c r="AR67" s="1308"/>
      <c r="AS67" s="1308"/>
      <c r="AT67" s="1048"/>
      <c r="AU67" s="1048"/>
      <c r="AV67" s="1048"/>
      <c r="AW67" s="1308"/>
      <c r="AX67" s="1308"/>
      <c r="AY67" s="1308"/>
      <c r="AZ67" s="1308"/>
    </row>
    <row r="68" spans="2:52" s="542" customFormat="1" ht="25.2" customHeight="1" x14ac:dyDescent="0.2">
      <c r="B68" s="1065" t="s">
        <v>180</v>
      </c>
      <c r="C68" s="1165" t="s">
        <v>144</v>
      </c>
      <c r="D68" s="1167" t="s">
        <v>1852</v>
      </c>
      <c r="E68" s="1125" t="s">
        <v>161</v>
      </c>
      <c r="F68" s="1125" t="s">
        <v>161</v>
      </c>
      <c r="G68" s="1092" t="s">
        <v>162</v>
      </c>
      <c r="H68" s="1125"/>
      <c r="I68" s="1125"/>
      <c r="J68" s="1125"/>
      <c r="K68" s="1092"/>
      <c r="L68" s="1125"/>
      <c r="M68" s="1125"/>
      <c r="N68" s="1125"/>
      <c r="O68" s="1125"/>
      <c r="P68" s="1050"/>
      <c r="Q68" s="1050"/>
      <c r="R68" s="1051"/>
      <c r="S68" s="1051"/>
      <c r="T68" s="1051"/>
      <c r="U68" s="1050"/>
      <c r="V68" s="1050"/>
      <c r="W68" s="1050"/>
      <c r="X68" s="1236" t="s">
        <v>2014</v>
      </c>
      <c r="AF68" s="1048"/>
      <c r="AG68" s="1048"/>
      <c r="AH68" s="1048"/>
      <c r="AI68" s="1048"/>
      <c r="AJ68" s="1048"/>
      <c r="AK68" s="1048"/>
      <c r="AL68" s="1308"/>
      <c r="AM68" s="1308"/>
      <c r="AN68" s="1308"/>
      <c r="AO68" s="1308"/>
      <c r="AP68" s="1308"/>
      <c r="AQ68" s="1308"/>
      <c r="AR68" s="1308"/>
      <c r="AS68" s="1308"/>
      <c r="AT68" s="1048"/>
      <c r="AU68" s="1048"/>
      <c r="AV68" s="1048"/>
      <c r="AW68" s="1308"/>
      <c r="AX68" s="1308"/>
      <c r="AY68" s="1308"/>
      <c r="AZ68" s="1308"/>
    </row>
    <row r="69" spans="2:52" s="542" customFormat="1" ht="25.2" customHeight="1" x14ac:dyDescent="0.2">
      <c r="B69" s="1065" t="s">
        <v>181</v>
      </c>
      <c r="C69" s="1165" t="s">
        <v>1050</v>
      </c>
      <c r="D69" s="1167" t="s">
        <v>1852</v>
      </c>
      <c r="E69" s="1125" t="s">
        <v>161</v>
      </c>
      <c r="F69" s="1125" t="s">
        <v>161</v>
      </c>
      <c r="G69" s="1092"/>
      <c r="H69" s="1125"/>
      <c r="I69" s="1125"/>
      <c r="J69" s="1125"/>
      <c r="K69" s="1092"/>
      <c r="L69" s="1125"/>
      <c r="M69" s="1125"/>
      <c r="N69" s="1125"/>
      <c r="O69" s="1125"/>
      <c r="P69" s="1050"/>
      <c r="Q69" s="1050"/>
      <c r="R69" s="1051"/>
      <c r="S69" s="1051"/>
      <c r="T69" s="1051"/>
      <c r="U69" s="1050"/>
      <c r="V69" s="1050"/>
      <c r="W69" s="1050"/>
      <c r="X69" s="1233"/>
      <c r="AD69" s="1081"/>
      <c r="AE69" s="1081"/>
      <c r="AF69" s="1048"/>
      <c r="AG69" s="1048"/>
      <c r="AH69" s="1048"/>
      <c r="AI69" s="1048"/>
      <c r="AJ69" s="1048"/>
      <c r="AK69" s="1048"/>
      <c r="AL69" s="1308"/>
      <c r="AM69" s="1308"/>
      <c r="AN69" s="1308"/>
      <c r="AO69" s="1308"/>
      <c r="AP69" s="1308"/>
      <c r="AQ69" s="1308"/>
      <c r="AR69" s="1308"/>
      <c r="AS69" s="1308"/>
      <c r="AT69" s="1048"/>
      <c r="AU69" s="1048"/>
      <c r="AV69" s="1048"/>
      <c r="AW69" s="1308"/>
      <c r="AX69" s="1308"/>
      <c r="AY69" s="1308"/>
      <c r="AZ69" s="1308"/>
    </row>
    <row r="70" spans="2:52" s="542" customFormat="1" ht="25.2" customHeight="1" x14ac:dyDescent="0.2">
      <c r="B70" s="1065" t="s">
        <v>182</v>
      </c>
      <c r="C70" s="1165" t="s">
        <v>145</v>
      </c>
      <c r="D70" s="1167" t="s">
        <v>1852</v>
      </c>
      <c r="E70" s="1125" t="s">
        <v>161</v>
      </c>
      <c r="F70" s="1125" t="s">
        <v>161</v>
      </c>
      <c r="G70" s="1092" t="s">
        <v>162</v>
      </c>
      <c r="H70" s="1125"/>
      <c r="I70" s="1125"/>
      <c r="J70" s="1125"/>
      <c r="K70" s="1092"/>
      <c r="L70" s="1125"/>
      <c r="M70" s="1125"/>
      <c r="N70" s="1125"/>
      <c r="O70" s="1125"/>
      <c r="P70" s="1050"/>
      <c r="Q70" s="1050"/>
      <c r="R70" s="1051"/>
      <c r="S70" s="1051"/>
      <c r="T70" s="1051"/>
      <c r="U70" s="1050"/>
      <c r="V70" s="1050"/>
      <c r="W70" s="1050"/>
      <c r="X70" s="1236" t="s">
        <v>2014</v>
      </c>
      <c r="AD70" s="1038"/>
      <c r="AE70" s="1038"/>
      <c r="AF70" s="1048"/>
      <c r="AG70" s="1048"/>
      <c r="AH70" s="1048"/>
      <c r="AI70" s="1048"/>
      <c r="AJ70" s="1048"/>
      <c r="AK70" s="1048"/>
      <c r="AL70" s="1308"/>
      <c r="AM70" s="1308"/>
      <c r="AN70" s="1308"/>
      <c r="AO70" s="1308"/>
      <c r="AP70" s="1308"/>
      <c r="AQ70" s="1308"/>
      <c r="AR70" s="1308"/>
      <c r="AS70" s="1308"/>
      <c r="AT70" s="1048"/>
      <c r="AU70" s="1048"/>
      <c r="AV70" s="1048"/>
      <c r="AW70" s="1308"/>
      <c r="AX70" s="1308"/>
      <c r="AY70" s="1308"/>
      <c r="AZ70" s="1308"/>
    </row>
    <row r="71" spans="2:52" s="542" customFormat="1" ht="25.2" customHeight="1" x14ac:dyDescent="0.2">
      <c r="B71" s="1065" t="s">
        <v>183</v>
      </c>
      <c r="C71" s="1165" t="s">
        <v>1250</v>
      </c>
      <c r="D71" s="1167" t="s">
        <v>1852</v>
      </c>
      <c r="E71" s="1125" t="s">
        <v>161</v>
      </c>
      <c r="F71" s="1125" t="s">
        <v>161</v>
      </c>
      <c r="G71" s="1092"/>
      <c r="H71" s="1125"/>
      <c r="I71" s="1125"/>
      <c r="J71" s="1125"/>
      <c r="K71" s="1092"/>
      <c r="L71" s="1125"/>
      <c r="M71" s="1125"/>
      <c r="N71" s="1125"/>
      <c r="O71" s="1125"/>
      <c r="P71" s="1050"/>
      <c r="Q71" s="1050"/>
      <c r="R71" s="1051"/>
      <c r="S71" s="1051"/>
      <c r="T71" s="1051"/>
      <c r="U71" s="1050"/>
      <c r="V71" s="1050"/>
      <c r="W71" s="1050"/>
      <c r="X71" s="1236"/>
      <c r="AD71" s="1038"/>
      <c r="AE71" s="1038"/>
      <c r="AF71" s="1048"/>
      <c r="AG71" s="1048"/>
      <c r="AH71" s="1048"/>
      <c r="AI71" s="1048"/>
      <c r="AJ71" s="1048"/>
      <c r="AK71" s="1048"/>
      <c r="AL71" s="1048"/>
      <c r="AM71" s="1048"/>
      <c r="AN71" s="1048"/>
      <c r="AO71" s="1048"/>
      <c r="AP71" s="1048"/>
      <c r="AQ71" s="1048"/>
      <c r="AR71" s="1048"/>
      <c r="AS71" s="1048"/>
      <c r="AT71" s="1048"/>
      <c r="AU71" s="1048"/>
      <c r="AV71" s="1048"/>
      <c r="AW71" s="1048"/>
      <c r="AX71" s="1048"/>
      <c r="AY71" s="1048"/>
      <c r="AZ71" s="1048"/>
    </row>
    <row r="72" spans="2:52" s="542" customFormat="1" ht="25.2" customHeight="1" x14ac:dyDescent="0.2">
      <c r="B72" s="1065" t="s">
        <v>184</v>
      </c>
      <c r="C72" s="1127" t="s">
        <v>146</v>
      </c>
      <c r="D72" s="1167" t="s">
        <v>1852</v>
      </c>
      <c r="E72" s="1125" t="s">
        <v>161</v>
      </c>
      <c r="F72" s="1125" t="s">
        <v>161</v>
      </c>
      <c r="G72" s="1092" t="s">
        <v>162</v>
      </c>
      <c r="H72" s="1125"/>
      <c r="I72" s="1125"/>
      <c r="J72" s="1125"/>
      <c r="K72" s="1092"/>
      <c r="L72" s="1125"/>
      <c r="M72" s="1125"/>
      <c r="N72" s="1125"/>
      <c r="O72" s="1125"/>
      <c r="P72" s="1050"/>
      <c r="Q72" s="1050"/>
      <c r="R72" s="1051"/>
      <c r="S72" s="1051"/>
      <c r="T72" s="1051"/>
      <c r="U72" s="1050"/>
      <c r="V72" s="1050"/>
      <c r="W72" s="1050"/>
      <c r="X72" s="1236" t="s">
        <v>2014</v>
      </c>
      <c r="AD72" s="1038"/>
      <c r="AE72" s="1038"/>
      <c r="AF72" s="1048"/>
      <c r="AG72" s="1048"/>
      <c r="AH72" s="1048"/>
      <c r="AI72" s="1048"/>
      <c r="AJ72" s="1048"/>
      <c r="AK72" s="1048"/>
      <c r="AL72" s="1308"/>
      <c r="AM72" s="1308"/>
      <c r="AN72" s="1308"/>
      <c r="AO72" s="1308"/>
      <c r="AP72" s="1308"/>
      <c r="AQ72" s="1308"/>
      <c r="AR72" s="1308"/>
      <c r="AS72" s="1308"/>
      <c r="AT72" s="1048"/>
      <c r="AU72" s="1048"/>
      <c r="AV72" s="1048"/>
      <c r="AW72" s="1308"/>
      <c r="AX72" s="1308"/>
      <c r="AY72" s="1308"/>
      <c r="AZ72" s="1308"/>
    </row>
    <row r="73" spans="2:52" s="542" customFormat="1" ht="25.2" customHeight="1" x14ac:dyDescent="0.2">
      <c r="B73" s="1065" t="s">
        <v>185</v>
      </c>
      <c r="C73" s="1127" t="s">
        <v>147</v>
      </c>
      <c r="D73" s="1167" t="s">
        <v>1852</v>
      </c>
      <c r="E73" s="1125" t="s">
        <v>161</v>
      </c>
      <c r="F73" s="1125" t="s">
        <v>161</v>
      </c>
      <c r="G73" s="1092" t="s">
        <v>162</v>
      </c>
      <c r="H73" s="1125"/>
      <c r="I73" s="1125"/>
      <c r="J73" s="1125"/>
      <c r="K73" s="1092"/>
      <c r="L73" s="1125"/>
      <c r="M73" s="1125"/>
      <c r="N73" s="1125"/>
      <c r="O73" s="1125"/>
      <c r="P73" s="1050"/>
      <c r="Q73" s="1050"/>
      <c r="R73" s="1051"/>
      <c r="S73" s="1051"/>
      <c r="T73" s="1051"/>
      <c r="U73" s="1050"/>
      <c r="V73" s="1050"/>
      <c r="W73" s="1050"/>
      <c r="X73" s="1237" t="s">
        <v>2014</v>
      </c>
      <c r="AD73" s="1038"/>
      <c r="AE73" s="1038"/>
      <c r="AF73" s="1048"/>
      <c r="AG73" s="1048"/>
      <c r="AH73" s="1048"/>
      <c r="AI73" s="1048"/>
      <c r="AJ73" s="1048"/>
      <c r="AK73" s="1048"/>
      <c r="AL73" s="1308"/>
      <c r="AM73" s="1308"/>
      <c r="AN73" s="1308"/>
      <c r="AO73" s="1308"/>
      <c r="AP73" s="1308"/>
      <c r="AQ73" s="1308"/>
      <c r="AR73" s="1308"/>
      <c r="AS73" s="1308"/>
      <c r="AT73" s="1048"/>
      <c r="AU73" s="1048"/>
      <c r="AV73" s="1048"/>
      <c r="AW73" s="1308"/>
      <c r="AX73" s="1308"/>
      <c r="AY73" s="1308"/>
      <c r="AZ73" s="1308"/>
    </row>
    <row r="74" spans="2:52" s="542" customFormat="1" ht="25.2" customHeight="1" x14ac:dyDescent="0.2">
      <c r="B74" s="1065" t="s">
        <v>186</v>
      </c>
      <c r="C74" s="1165" t="s">
        <v>148</v>
      </c>
      <c r="D74" s="1167" t="s">
        <v>1852</v>
      </c>
      <c r="E74" s="1125" t="s">
        <v>161</v>
      </c>
      <c r="F74" s="1125" t="s">
        <v>161</v>
      </c>
      <c r="G74" s="1092"/>
      <c r="H74" s="1125"/>
      <c r="I74" s="1125"/>
      <c r="J74" s="1125"/>
      <c r="K74" s="1092"/>
      <c r="L74" s="1125"/>
      <c r="M74" s="1125"/>
      <c r="N74" s="1125"/>
      <c r="O74" s="1125"/>
      <c r="P74" s="1050"/>
      <c r="Q74" s="1050"/>
      <c r="R74" s="1051"/>
      <c r="S74" s="1051"/>
      <c r="T74" s="1051"/>
      <c r="U74" s="1050"/>
      <c r="V74" s="1050"/>
      <c r="W74" s="1050"/>
      <c r="X74" s="1236"/>
      <c r="AD74" s="1038"/>
      <c r="AE74" s="1038"/>
      <c r="AF74" s="1048"/>
      <c r="AG74" s="1048"/>
      <c r="AH74" s="1048"/>
      <c r="AI74" s="1048"/>
      <c r="AJ74" s="1048"/>
      <c r="AK74" s="1048"/>
      <c r="AL74" s="1308"/>
      <c r="AM74" s="1308"/>
      <c r="AN74" s="1308"/>
      <c r="AO74" s="1308"/>
      <c r="AP74" s="1308"/>
      <c r="AQ74" s="1308"/>
      <c r="AR74" s="1308"/>
      <c r="AS74" s="1308"/>
      <c r="AT74" s="1048"/>
      <c r="AU74" s="1048"/>
      <c r="AV74" s="1048"/>
      <c r="AW74" s="1308"/>
      <c r="AX74" s="1308"/>
      <c r="AY74" s="1308"/>
      <c r="AZ74" s="1308"/>
    </row>
    <row r="75" spans="2:52" s="542" customFormat="1" ht="25.2" customHeight="1" x14ac:dyDescent="0.2">
      <c r="B75" s="1065" t="s">
        <v>187</v>
      </c>
      <c r="C75" s="1165" t="s">
        <v>807</v>
      </c>
      <c r="D75" s="1167" t="s">
        <v>1852</v>
      </c>
      <c r="E75" s="1125" t="s">
        <v>161</v>
      </c>
      <c r="F75" s="1125" t="s">
        <v>161</v>
      </c>
      <c r="G75" s="1092" t="s">
        <v>162</v>
      </c>
      <c r="H75" s="1125"/>
      <c r="I75" s="1125"/>
      <c r="J75" s="1125"/>
      <c r="K75" s="1092"/>
      <c r="L75" s="1125"/>
      <c r="M75" s="1125"/>
      <c r="N75" s="1125"/>
      <c r="O75" s="1125"/>
      <c r="P75" s="1050"/>
      <c r="Q75" s="1050"/>
      <c r="R75" s="1051"/>
      <c r="S75" s="1051"/>
      <c r="T75" s="1051"/>
      <c r="U75" s="1050"/>
      <c r="V75" s="1050"/>
      <c r="W75" s="1050"/>
      <c r="X75" s="1236" t="s">
        <v>2014</v>
      </c>
      <c r="AD75" s="1038"/>
      <c r="AE75" s="1038"/>
      <c r="AF75" s="1048"/>
      <c r="AG75" s="1048"/>
      <c r="AH75" s="1048"/>
      <c r="AI75" s="1048"/>
      <c r="AJ75" s="1048"/>
      <c r="AK75" s="1048"/>
      <c r="AL75" s="1308"/>
      <c r="AM75" s="1308"/>
      <c r="AN75" s="1308"/>
      <c r="AO75" s="1308"/>
      <c r="AP75" s="1308"/>
      <c r="AQ75" s="1308"/>
      <c r="AR75" s="1308"/>
      <c r="AS75" s="1308"/>
      <c r="AT75" s="1048"/>
      <c r="AU75" s="1048"/>
      <c r="AV75" s="1048"/>
      <c r="AW75" s="1308"/>
      <c r="AX75" s="1308"/>
      <c r="AY75" s="1308"/>
      <c r="AZ75" s="1308"/>
    </row>
    <row r="76" spans="2:52" s="542" customFormat="1" ht="25.2" customHeight="1" x14ac:dyDescent="0.2">
      <c r="B76" s="1065" t="s">
        <v>188</v>
      </c>
      <c r="C76" s="1165" t="s">
        <v>921</v>
      </c>
      <c r="D76" s="1167" t="s">
        <v>1852</v>
      </c>
      <c r="E76" s="1125" t="s">
        <v>161</v>
      </c>
      <c r="F76" s="1125" t="s">
        <v>161</v>
      </c>
      <c r="G76" s="1092" t="s">
        <v>162</v>
      </c>
      <c r="H76" s="1125"/>
      <c r="I76" s="1125"/>
      <c r="J76" s="1125"/>
      <c r="K76" s="1092"/>
      <c r="L76" s="1125"/>
      <c r="M76" s="1125"/>
      <c r="N76" s="1125"/>
      <c r="O76" s="1125"/>
      <c r="P76" s="1050"/>
      <c r="Q76" s="1050"/>
      <c r="R76" s="1051"/>
      <c r="S76" s="1051"/>
      <c r="T76" s="1051"/>
      <c r="U76" s="1050"/>
      <c r="V76" s="1050"/>
      <c r="W76" s="1050"/>
      <c r="X76" s="1236" t="s">
        <v>2014</v>
      </c>
      <c r="AD76" s="1038"/>
      <c r="AE76" s="1038"/>
      <c r="AF76" s="1048"/>
      <c r="AG76" s="1048"/>
      <c r="AH76" s="1048"/>
      <c r="AI76" s="1048"/>
      <c r="AJ76" s="1048"/>
      <c r="AK76" s="1048"/>
      <c r="AL76" s="1308"/>
      <c r="AM76" s="1308"/>
      <c r="AN76" s="1308"/>
      <c r="AO76" s="1308"/>
      <c r="AP76" s="1308"/>
      <c r="AQ76" s="1308"/>
      <c r="AR76" s="1308"/>
      <c r="AS76" s="1308"/>
      <c r="AT76" s="1048"/>
      <c r="AU76" s="1048"/>
      <c r="AV76" s="1048"/>
      <c r="AW76" s="1308"/>
      <c r="AX76" s="1308"/>
      <c r="AY76" s="1308"/>
      <c r="AZ76" s="1308"/>
    </row>
    <row r="77" spans="2:52" s="542" customFormat="1" ht="25.2" customHeight="1" x14ac:dyDescent="0.2">
      <c r="B77" s="1065" t="s">
        <v>809</v>
      </c>
      <c r="C77" s="1165" t="s">
        <v>149</v>
      </c>
      <c r="D77" s="1167" t="s">
        <v>1852</v>
      </c>
      <c r="E77" s="1125" t="s">
        <v>161</v>
      </c>
      <c r="F77" s="1125" t="s">
        <v>161</v>
      </c>
      <c r="G77" s="1092" t="s">
        <v>162</v>
      </c>
      <c r="H77" s="1125"/>
      <c r="I77" s="1125"/>
      <c r="J77" s="1125"/>
      <c r="K77" s="1092"/>
      <c r="L77" s="1125"/>
      <c r="M77" s="1125"/>
      <c r="N77" s="1125" t="s">
        <v>136</v>
      </c>
      <c r="O77" s="1125" t="s">
        <v>136</v>
      </c>
      <c r="P77" s="1050"/>
      <c r="Q77" s="1050"/>
      <c r="R77" s="1051"/>
      <c r="S77" s="1051"/>
      <c r="T77" s="1051"/>
      <c r="U77" s="1050"/>
      <c r="V77" s="1050"/>
      <c r="W77" s="1050"/>
      <c r="X77" s="1236" t="s">
        <v>2014</v>
      </c>
      <c r="AD77" s="1038"/>
      <c r="AE77" s="1038"/>
      <c r="AF77" s="1048"/>
      <c r="AG77" s="1048"/>
      <c r="AH77" s="1048"/>
      <c r="AI77" s="1048"/>
      <c r="AJ77" s="1048"/>
      <c r="AK77" s="1048"/>
      <c r="AL77" s="1308"/>
      <c r="AM77" s="1308"/>
      <c r="AN77" s="1308"/>
      <c r="AO77" s="1308"/>
      <c r="AP77" s="1308"/>
      <c r="AQ77" s="1308"/>
      <c r="AR77" s="1308"/>
      <c r="AS77" s="1308"/>
      <c r="AT77" s="1048"/>
      <c r="AU77" s="1048"/>
      <c r="AV77" s="1048"/>
      <c r="AW77" s="1308"/>
      <c r="AX77" s="1308"/>
      <c r="AY77" s="1308"/>
      <c r="AZ77" s="1308"/>
    </row>
    <row r="78" spans="2:52" s="542" customFormat="1" ht="25.2" customHeight="1" x14ac:dyDescent="0.2">
      <c r="B78" s="1065" t="s">
        <v>810</v>
      </c>
      <c r="C78" s="1053" t="s">
        <v>797</v>
      </c>
      <c r="D78" s="1049" t="s">
        <v>1852</v>
      </c>
      <c r="E78" s="1050" t="s">
        <v>161</v>
      </c>
      <c r="F78" s="1050" t="s">
        <v>161</v>
      </c>
      <c r="G78" s="1051"/>
      <c r="H78" s="1050"/>
      <c r="I78" s="1050"/>
      <c r="J78" s="1050"/>
      <c r="K78" s="1051"/>
      <c r="L78" s="1050"/>
      <c r="M78" s="1050"/>
      <c r="N78" s="1050"/>
      <c r="O78" s="1050"/>
      <c r="P78" s="1050"/>
      <c r="Q78" s="1050"/>
      <c r="R78" s="1051"/>
      <c r="S78" s="1051"/>
      <c r="T78" s="1051"/>
      <c r="U78" s="1050"/>
      <c r="V78" s="1050"/>
      <c r="W78" s="1050"/>
      <c r="X78" s="1236"/>
      <c r="AD78" s="1038"/>
      <c r="AE78" s="1038"/>
      <c r="AF78" s="1048"/>
      <c r="AG78" s="1048"/>
      <c r="AH78" s="1048"/>
      <c r="AI78" s="1048"/>
      <c r="AJ78" s="1048"/>
      <c r="AK78" s="1048"/>
      <c r="AL78" s="1048"/>
      <c r="AM78" s="1048"/>
      <c r="AN78" s="1048"/>
      <c r="AO78" s="1048"/>
      <c r="AP78" s="1048"/>
      <c r="AQ78" s="1048"/>
      <c r="AR78" s="1048"/>
      <c r="AS78" s="1048"/>
      <c r="AT78" s="1048"/>
      <c r="AU78" s="1048"/>
      <c r="AV78" s="1048"/>
      <c r="AW78" s="1048"/>
      <c r="AX78" s="1048"/>
      <c r="AY78" s="1048"/>
      <c r="AZ78" s="1048"/>
    </row>
    <row r="79" spans="2:52" s="542" customFormat="1" ht="25.2" customHeight="1" x14ac:dyDescent="0.2">
      <c r="B79" s="1065" t="s">
        <v>1847</v>
      </c>
      <c r="C79" s="1053" t="s">
        <v>808</v>
      </c>
      <c r="D79" s="1049" t="s">
        <v>1852</v>
      </c>
      <c r="E79" s="1050" t="s">
        <v>161</v>
      </c>
      <c r="F79" s="1050" t="s">
        <v>161</v>
      </c>
      <c r="G79" s="1051"/>
      <c r="H79" s="1050"/>
      <c r="I79" s="1050"/>
      <c r="J79" s="1050"/>
      <c r="K79" s="1051"/>
      <c r="L79" s="1050"/>
      <c r="M79" s="1050"/>
      <c r="N79" s="1050"/>
      <c r="O79" s="1050"/>
      <c r="P79" s="1050" t="s">
        <v>161</v>
      </c>
      <c r="Q79" s="1050"/>
      <c r="R79" s="1051"/>
      <c r="S79" s="1051"/>
      <c r="T79" s="1051"/>
      <c r="U79" s="1050"/>
      <c r="V79" s="1050"/>
      <c r="W79" s="1050"/>
      <c r="X79" s="1236"/>
      <c r="AD79" s="1038"/>
      <c r="AE79" s="1038"/>
      <c r="AF79" s="1048"/>
      <c r="AG79" s="1048"/>
      <c r="AH79" s="1048"/>
      <c r="AI79" s="1048"/>
      <c r="AJ79" s="1048"/>
      <c r="AK79" s="1048"/>
      <c r="AL79" s="1308"/>
      <c r="AM79" s="1308"/>
      <c r="AN79" s="1308"/>
      <c r="AO79" s="1308"/>
      <c r="AP79" s="1308"/>
      <c r="AQ79" s="1308"/>
      <c r="AR79" s="1308"/>
      <c r="AS79" s="1308"/>
      <c r="AT79" s="1048"/>
      <c r="AU79" s="1048"/>
      <c r="AV79" s="1048"/>
      <c r="AW79" s="1308"/>
      <c r="AX79" s="1308"/>
      <c r="AY79" s="1308"/>
      <c r="AZ79" s="1308"/>
    </row>
    <row r="80" spans="2:52" s="542" customFormat="1" ht="25.2" customHeight="1" x14ac:dyDescent="0.2">
      <c r="B80" s="1065" t="s">
        <v>1848</v>
      </c>
      <c r="C80" s="1053" t="s">
        <v>108</v>
      </c>
      <c r="D80" s="1049" t="s">
        <v>1852</v>
      </c>
      <c r="E80" s="1050" t="s">
        <v>161</v>
      </c>
      <c r="F80" s="1050" t="s">
        <v>161</v>
      </c>
      <c r="G80" s="1051"/>
      <c r="H80" s="1050"/>
      <c r="I80" s="1050"/>
      <c r="J80" s="1050"/>
      <c r="K80" s="1051" t="s">
        <v>161</v>
      </c>
      <c r="L80" s="1050"/>
      <c r="M80" s="1050"/>
      <c r="N80" s="1050"/>
      <c r="O80" s="1050"/>
      <c r="P80" s="1050"/>
      <c r="Q80" s="1050"/>
      <c r="R80" s="1051"/>
      <c r="S80" s="1051"/>
      <c r="T80" s="1051"/>
      <c r="U80" s="1050"/>
      <c r="V80" s="1050"/>
      <c r="W80" s="1050"/>
      <c r="X80" s="1236"/>
      <c r="AD80" s="1038"/>
      <c r="AE80" s="1038"/>
      <c r="AF80" s="1048"/>
      <c r="AG80" s="1048"/>
      <c r="AH80" s="1048"/>
      <c r="AI80" s="1048"/>
      <c r="AJ80" s="1048"/>
      <c r="AK80" s="1048"/>
      <c r="AL80" s="1048"/>
      <c r="AM80" s="1048"/>
      <c r="AN80" s="1048"/>
      <c r="AO80" s="1048"/>
      <c r="AP80" s="1048"/>
      <c r="AQ80" s="1048"/>
      <c r="AR80" s="1048"/>
      <c r="AS80" s="1048"/>
      <c r="AT80" s="1048"/>
      <c r="AU80" s="1048"/>
      <c r="AV80" s="1048"/>
      <c r="AW80" s="1048"/>
      <c r="AX80" s="1048"/>
      <c r="AY80" s="1048"/>
      <c r="AZ80" s="1048"/>
    </row>
    <row r="81" spans="2:52" s="542" customFormat="1" ht="25.2" customHeight="1" x14ac:dyDescent="0.2">
      <c r="B81" s="502" t="s">
        <v>1849</v>
      </c>
      <c r="C81" s="1083" t="s">
        <v>799</v>
      </c>
      <c r="D81" s="1057" t="s">
        <v>1852</v>
      </c>
      <c r="E81" s="1058" t="s">
        <v>161</v>
      </c>
      <c r="F81" s="1058" t="s">
        <v>161</v>
      </c>
      <c r="G81" s="1059"/>
      <c r="H81" s="1058"/>
      <c r="I81" s="1058"/>
      <c r="J81" s="1058"/>
      <c r="K81" s="1059"/>
      <c r="L81" s="1058"/>
      <c r="M81" s="1058"/>
      <c r="N81" s="1058"/>
      <c r="O81" s="1058"/>
      <c r="P81" s="1058"/>
      <c r="Q81" s="1058"/>
      <c r="R81" s="1059"/>
      <c r="S81" s="1059"/>
      <c r="T81" s="1059"/>
      <c r="U81" s="1058"/>
      <c r="V81" s="1058"/>
      <c r="W81" s="1058"/>
      <c r="X81" s="1239"/>
      <c r="AD81" s="1038"/>
      <c r="AE81" s="1038"/>
      <c r="AF81" s="1048"/>
      <c r="AG81" s="1048"/>
      <c r="AH81" s="1048"/>
      <c r="AI81" s="1048"/>
      <c r="AJ81" s="1048"/>
      <c r="AK81" s="1048"/>
      <c r="AL81" s="1308"/>
      <c r="AM81" s="1308"/>
      <c r="AN81" s="1308"/>
      <c r="AO81" s="1308"/>
      <c r="AP81" s="1308"/>
      <c r="AQ81" s="1308"/>
      <c r="AR81" s="1308"/>
      <c r="AS81" s="1308"/>
      <c r="AT81" s="1048"/>
      <c r="AU81" s="1048"/>
      <c r="AV81" s="1048"/>
      <c r="AW81" s="1308"/>
      <c r="AX81" s="1308"/>
      <c r="AY81" s="1308"/>
      <c r="AZ81" s="1308"/>
    </row>
    <row r="82" spans="2:52" x14ac:dyDescent="0.2">
      <c r="X82" s="98"/>
      <c r="Z82" s="90"/>
      <c r="AA82" s="90"/>
    </row>
    <row r="83" spans="2:52" x14ac:dyDescent="0.2">
      <c r="X83" s="98"/>
      <c r="Z83" s="90"/>
      <c r="AA83" s="90"/>
    </row>
    <row r="84" spans="2:52" s="89" customFormat="1" ht="16.2" x14ac:dyDescent="0.2">
      <c r="B84" s="301" t="s">
        <v>221</v>
      </c>
      <c r="D84" s="86"/>
      <c r="P84" s="542"/>
      <c r="X84" s="89" t="s">
        <v>273</v>
      </c>
    </row>
    <row r="85" spans="2:52" s="542" customFormat="1" ht="25.2" customHeight="1" x14ac:dyDescent="0.2">
      <c r="B85" s="500" t="s">
        <v>151</v>
      </c>
      <c r="C85" s="1191" t="s">
        <v>90</v>
      </c>
      <c r="D85" s="1176" t="s">
        <v>120</v>
      </c>
      <c r="E85" s="1151" t="s">
        <v>136</v>
      </c>
      <c r="F85" s="1151" t="s">
        <v>136</v>
      </c>
      <c r="G85" s="1164" t="s">
        <v>137</v>
      </c>
      <c r="H85" s="1151"/>
      <c r="I85" s="1151"/>
      <c r="J85" s="1151"/>
      <c r="K85" s="1164"/>
      <c r="L85" s="1151"/>
      <c r="M85" s="1043"/>
      <c r="N85" s="1043"/>
      <c r="O85" s="1043"/>
      <c r="P85" s="1043"/>
      <c r="Q85" s="1043"/>
      <c r="R85" s="1042"/>
      <c r="S85" s="1042"/>
      <c r="T85" s="1042"/>
      <c r="U85" s="1043"/>
      <c r="V85" s="1043"/>
      <c r="W85" s="1043"/>
      <c r="X85" s="1235" t="s">
        <v>215</v>
      </c>
      <c r="AD85" s="1038"/>
      <c r="AE85" s="1038"/>
      <c r="AF85" s="1048"/>
      <c r="AG85" s="1048"/>
      <c r="AH85" s="1048"/>
      <c r="AI85" s="1048"/>
      <c r="AJ85" s="1048"/>
      <c r="AK85" s="1048"/>
      <c r="AL85" s="1308"/>
      <c r="AM85" s="1308"/>
      <c r="AN85" s="1308"/>
      <c r="AO85" s="1308"/>
      <c r="AP85" s="1308"/>
      <c r="AQ85" s="1308"/>
      <c r="AR85" s="1308"/>
      <c r="AS85" s="1308"/>
      <c r="AT85" s="1048"/>
      <c r="AU85" s="1048"/>
      <c r="AV85" s="1048"/>
      <c r="AW85" s="1308"/>
      <c r="AX85" s="1308"/>
      <c r="AY85" s="1308"/>
      <c r="AZ85" s="1308"/>
    </row>
    <row r="86" spans="2:52" s="542" customFormat="1" ht="25.2" customHeight="1" x14ac:dyDescent="0.2">
      <c r="B86" s="501" t="s">
        <v>152</v>
      </c>
      <c r="C86" s="1169" t="s">
        <v>1819</v>
      </c>
      <c r="D86" s="1167" t="s">
        <v>120</v>
      </c>
      <c r="E86" s="1125" t="s">
        <v>161</v>
      </c>
      <c r="F86" s="1125" t="s">
        <v>161</v>
      </c>
      <c r="G86" s="1092"/>
      <c r="H86" s="1125"/>
      <c r="I86" s="1125"/>
      <c r="J86" s="1125"/>
      <c r="K86" s="1092"/>
      <c r="L86" s="1125"/>
      <c r="M86" s="1050"/>
      <c r="N86" s="1050"/>
      <c r="O86" s="1050"/>
      <c r="P86" s="1050"/>
      <c r="Q86" s="1050"/>
      <c r="R86" s="1051"/>
      <c r="S86" s="1051"/>
      <c r="T86" s="1051"/>
      <c r="U86" s="1050"/>
      <c r="V86" s="1050"/>
      <c r="W86" s="1050"/>
      <c r="X86" s="1236"/>
      <c r="AF86" s="1038"/>
      <c r="AG86" s="1038"/>
      <c r="AH86" s="1038"/>
      <c r="AI86" s="1038"/>
      <c r="AJ86" s="1038"/>
      <c r="AK86" s="1038"/>
      <c r="AL86" s="1038"/>
      <c r="AM86" s="1038"/>
      <c r="AN86" s="1038"/>
      <c r="AO86" s="1038"/>
      <c r="AP86" s="1038"/>
      <c r="AQ86" s="1038"/>
      <c r="AR86" s="1038"/>
      <c r="AS86" s="1038"/>
      <c r="AT86" s="1038"/>
      <c r="AU86" s="1038"/>
      <c r="AV86" s="1038"/>
      <c r="AW86" s="1038"/>
      <c r="AX86" s="1038"/>
      <c r="AY86" s="1038"/>
      <c r="AZ86" s="1038"/>
    </row>
    <row r="87" spans="2:52" s="542" customFormat="1" ht="25.2" customHeight="1" x14ac:dyDescent="0.2">
      <c r="B87" s="501" t="s">
        <v>153</v>
      </c>
      <c r="C87" s="1169" t="s">
        <v>1850</v>
      </c>
      <c r="D87" s="1167" t="s">
        <v>120</v>
      </c>
      <c r="E87" s="1125" t="s">
        <v>161</v>
      </c>
      <c r="F87" s="1125" t="s">
        <v>161</v>
      </c>
      <c r="G87" s="1092"/>
      <c r="H87" s="1125"/>
      <c r="I87" s="1125"/>
      <c r="J87" s="1125"/>
      <c r="K87" s="1092"/>
      <c r="L87" s="1125"/>
      <c r="M87" s="1050"/>
      <c r="N87" s="1050"/>
      <c r="O87" s="1050"/>
      <c r="P87" s="1050"/>
      <c r="Q87" s="1050"/>
      <c r="R87" s="1051"/>
      <c r="S87" s="1051"/>
      <c r="T87" s="1051"/>
      <c r="U87" s="1050"/>
      <c r="V87" s="1050"/>
      <c r="W87" s="1050"/>
      <c r="X87" s="1236"/>
      <c r="AF87" s="1038"/>
      <c r="AG87" s="1038"/>
      <c r="AH87" s="1038"/>
      <c r="AI87" s="1038"/>
      <c r="AJ87" s="1038"/>
      <c r="AK87" s="1038"/>
      <c r="AL87" s="1038"/>
      <c r="AM87" s="1038"/>
      <c r="AN87" s="1038"/>
      <c r="AO87" s="1038"/>
      <c r="AP87" s="1038"/>
      <c r="AQ87" s="1038"/>
      <c r="AR87" s="1038"/>
      <c r="AS87" s="1038"/>
      <c r="AT87" s="1038"/>
      <c r="AU87" s="1038"/>
      <c r="AV87" s="1038"/>
      <c r="AW87" s="1038"/>
      <c r="AX87" s="1038"/>
      <c r="AY87" s="1038"/>
      <c r="AZ87" s="1038"/>
    </row>
    <row r="88" spans="2:52" s="542" customFormat="1" ht="25.2" customHeight="1" x14ac:dyDescent="0.2">
      <c r="B88" s="501" t="s">
        <v>154</v>
      </c>
      <c r="C88" s="1169" t="s">
        <v>147</v>
      </c>
      <c r="D88" s="1167" t="s">
        <v>120</v>
      </c>
      <c r="E88" s="1125" t="s">
        <v>136</v>
      </c>
      <c r="F88" s="1125" t="s">
        <v>136</v>
      </c>
      <c r="G88" s="1092" t="s">
        <v>137</v>
      </c>
      <c r="H88" s="1125"/>
      <c r="I88" s="1125"/>
      <c r="J88" s="1125"/>
      <c r="K88" s="1092"/>
      <c r="L88" s="1125"/>
      <c r="M88" s="1050"/>
      <c r="N88" s="1050"/>
      <c r="O88" s="1050"/>
      <c r="P88" s="1050"/>
      <c r="Q88" s="1050"/>
      <c r="R88" s="1051"/>
      <c r="S88" s="1051"/>
      <c r="T88" s="1051"/>
      <c r="U88" s="1050"/>
      <c r="V88" s="1050"/>
      <c r="W88" s="1050"/>
      <c r="X88" s="1237" t="s">
        <v>2015</v>
      </c>
      <c r="AF88" s="1048"/>
      <c r="AG88" s="1048"/>
      <c r="AH88" s="1048"/>
      <c r="AI88" s="1048"/>
      <c r="AJ88" s="1048"/>
      <c r="AK88" s="1048"/>
      <c r="AL88" s="1308"/>
      <c r="AM88" s="1308"/>
      <c r="AN88" s="1308"/>
      <c r="AO88" s="1308"/>
      <c r="AP88" s="1308"/>
      <c r="AQ88" s="1308"/>
      <c r="AR88" s="1308"/>
      <c r="AS88" s="1308"/>
      <c r="AT88" s="1048"/>
      <c r="AU88" s="1048"/>
      <c r="AV88" s="1048"/>
      <c r="AW88" s="1308"/>
      <c r="AX88" s="1308"/>
      <c r="AY88" s="1308"/>
      <c r="AZ88" s="1308"/>
    </row>
    <row r="89" spans="2:52" s="542" customFormat="1" ht="25.2" customHeight="1" x14ac:dyDescent="0.2">
      <c r="B89" s="501" t="s">
        <v>155</v>
      </c>
      <c r="C89" s="1169" t="s">
        <v>148</v>
      </c>
      <c r="D89" s="1167" t="s">
        <v>120</v>
      </c>
      <c r="E89" s="1125" t="s">
        <v>161</v>
      </c>
      <c r="F89" s="1125" t="s">
        <v>161</v>
      </c>
      <c r="G89" s="1092"/>
      <c r="H89" s="1125"/>
      <c r="I89" s="1125"/>
      <c r="J89" s="1125"/>
      <c r="K89" s="1092"/>
      <c r="L89" s="1125"/>
      <c r="M89" s="1050"/>
      <c r="N89" s="1050"/>
      <c r="O89" s="1050"/>
      <c r="P89" s="1050"/>
      <c r="Q89" s="1050"/>
      <c r="R89" s="1051"/>
      <c r="S89" s="1051"/>
      <c r="T89" s="1051"/>
      <c r="U89" s="1050"/>
      <c r="V89" s="1050"/>
      <c r="W89" s="1050"/>
      <c r="X89" s="1236"/>
      <c r="AD89" s="1081"/>
      <c r="AE89" s="1081"/>
      <c r="AF89" s="1048"/>
      <c r="AG89" s="1048"/>
      <c r="AH89" s="1048"/>
      <c r="AI89" s="1048"/>
      <c r="AJ89" s="1048"/>
      <c r="AK89" s="1048"/>
      <c r="AL89" s="1308"/>
      <c r="AM89" s="1308"/>
      <c r="AN89" s="1308"/>
      <c r="AO89" s="1308"/>
      <c r="AP89" s="1308"/>
      <c r="AQ89" s="1308"/>
      <c r="AR89" s="1308"/>
      <c r="AS89" s="1308"/>
      <c r="AT89" s="1048"/>
      <c r="AU89" s="1048"/>
      <c r="AV89" s="1048"/>
      <c r="AW89" s="1308"/>
      <c r="AX89" s="1308"/>
      <c r="AY89" s="1308"/>
      <c r="AZ89" s="1308"/>
    </row>
    <row r="90" spans="2:52" s="542" customFormat="1" ht="25.2" customHeight="1" x14ac:dyDescent="0.2">
      <c r="B90" s="501" t="s">
        <v>156</v>
      </c>
      <c r="C90" s="1169" t="s">
        <v>807</v>
      </c>
      <c r="D90" s="1167" t="s">
        <v>120</v>
      </c>
      <c r="E90" s="1125" t="s">
        <v>161</v>
      </c>
      <c r="F90" s="1125" t="s">
        <v>161</v>
      </c>
      <c r="G90" s="1092" t="s">
        <v>162</v>
      </c>
      <c r="H90" s="1125"/>
      <c r="I90" s="1125"/>
      <c r="J90" s="1125"/>
      <c r="K90" s="1092"/>
      <c r="L90" s="1125"/>
      <c r="M90" s="1050"/>
      <c r="N90" s="1050"/>
      <c r="O90" s="1050"/>
      <c r="P90" s="1050"/>
      <c r="Q90" s="1050"/>
      <c r="R90" s="1051"/>
      <c r="S90" s="1051"/>
      <c r="T90" s="1051"/>
      <c r="U90" s="1050"/>
      <c r="V90" s="1050"/>
      <c r="W90" s="1050"/>
      <c r="X90" s="1236" t="s">
        <v>2015</v>
      </c>
      <c r="AD90" s="1038"/>
      <c r="AE90" s="1038"/>
      <c r="AF90" s="1048"/>
      <c r="AG90" s="1048"/>
      <c r="AH90" s="1048"/>
      <c r="AI90" s="1048"/>
      <c r="AJ90" s="1048"/>
      <c r="AK90" s="1048"/>
      <c r="AL90" s="1308"/>
      <c r="AM90" s="1308"/>
      <c r="AN90" s="1308"/>
      <c r="AO90" s="1308"/>
      <c r="AP90" s="1308"/>
      <c r="AQ90" s="1308"/>
      <c r="AR90" s="1308"/>
      <c r="AS90" s="1308"/>
      <c r="AT90" s="1048"/>
      <c r="AU90" s="1048"/>
      <c r="AV90" s="1048"/>
      <c r="AW90" s="1308"/>
      <c r="AX90" s="1308"/>
      <c r="AY90" s="1308"/>
      <c r="AZ90" s="1308"/>
    </row>
    <row r="91" spans="2:52" s="542" customFormat="1" ht="25.2" customHeight="1" x14ac:dyDescent="0.2">
      <c r="B91" s="501" t="s">
        <v>157</v>
      </c>
      <c r="C91" s="1169" t="s">
        <v>921</v>
      </c>
      <c r="D91" s="1167" t="s">
        <v>120</v>
      </c>
      <c r="E91" s="1125" t="s">
        <v>161</v>
      </c>
      <c r="F91" s="1125" t="s">
        <v>161</v>
      </c>
      <c r="G91" s="1092" t="s">
        <v>162</v>
      </c>
      <c r="H91" s="1125"/>
      <c r="I91" s="1125"/>
      <c r="J91" s="1125"/>
      <c r="K91" s="1092"/>
      <c r="L91" s="1125"/>
      <c r="M91" s="1050"/>
      <c r="N91" s="1050"/>
      <c r="O91" s="1050"/>
      <c r="P91" s="1050"/>
      <c r="Q91" s="1050"/>
      <c r="R91" s="1051"/>
      <c r="S91" s="1051"/>
      <c r="T91" s="1051"/>
      <c r="U91" s="1050"/>
      <c r="V91" s="1050"/>
      <c r="W91" s="1050"/>
      <c r="X91" s="1237" t="s">
        <v>2015</v>
      </c>
      <c r="AD91" s="1038"/>
      <c r="AE91" s="1038"/>
      <c r="AF91" s="1048"/>
      <c r="AG91" s="1048"/>
      <c r="AH91" s="1048"/>
      <c r="AI91" s="1048"/>
      <c r="AJ91" s="1048"/>
      <c r="AK91" s="1048"/>
      <c r="AL91" s="1308"/>
      <c r="AM91" s="1308"/>
      <c r="AN91" s="1308"/>
      <c r="AO91" s="1308"/>
      <c r="AP91" s="1308"/>
      <c r="AQ91" s="1308"/>
      <c r="AR91" s="1308"/>
      <c r="AS91" s="1308"/>
      <c r="AT91" s="1048"/>
      <c r="AU91" s="1048"/>
      <c r="AV91" s="1048"/>
      <c r="AW91" s="1308"/>
      <c r="AX91" s="1308"/>
      <c r="AY91" s="1308"/>
      <c r="AZ91" s="1308"/>
    </row>
    <row r="92" spans="2:52" s="542" customFormat="1" ht="25.2" customHeight="1" x14ac:dyDescent="0.2">
      <c r="B92" s="501" t="s">
        <v>158</v>
      </c>
      <c r="C92" s="1169" t="s">
        <v>1853</v>
      </c>
      <c r="D92" s="1167" t="s">
        <v>120</v>
      </c>
      <c r="E92" s="1125" t="s">
        <v>161</v>
      </c>
      <c r="F92" s="1125" t="s">
        <v>161</v>
      </c>
      <c r="G92" s="1092"/>
      <c r="H92" s="1125"/>
      <c r="I92" s="1125"/>
      <c r="J92" s="1125"/>
      <c r="K92" s="1092"/>
      <c r="L92" s="1125"/>
      <c r="M92" s="1050"/>
      <c r="N92" s="1050"/>
      <c r="O92" s="1050"/>
      <c r="P92" s="1050"/>
      <c r="Q92" s="1050"/>
      <c r="R92" s="1051"/>
      <c r="S92" s="1051"/>
      <c r="T92" s="1051"/>
      <c r="U92" s="1050"/>
      <c r="V92" s="1050"/>
      <c r="W92" s="1050"/>
      <c r="X92" s="1236"/>
      <c r="AD92" s="1038"/>
      <c r="AE92" s="1038"/>
      <c r="AF92" s="1048"/>
      <c r="AG92" s="1048"/>
      <c r="AH92" s="1048"/>
      <c r="AI92" s="1048"/>
      <c r="AJ92" s="1048"/>
      <c r="AK92" s="1048"/>
      <c r="AL92" s="1308"/>
      <c r="AM92" s="1308"/>
      <c r="AN92" s="1308"/>
      <c r="AO92" s="1308"/>
      <c r="AP92" s="1308"/>
      <c r="AQ92" s="1308"/>
      <c r="AR92" s="1308"/>
      <c r="AS92" s="1308"/>
      <c r="AT92" s="1048"/>
      <c r="AU92" s="1048"/>
      <c r="AV92" s="1048"/>
      <c r="AW92" s="1308"/>
      <c r="AX92" s="1308"/>
      <c r="AY92" s="1308"/>
      <c r="AZ92" s="1308"/>
    </row>
    <row r="93" spans="2:52" s="542" customFormat="1" ht="25.2" customHeight="1" x14ac:dyDescent="0.2">
      <c r="B93" s="501" t="s">
        <v>159</v>
      </c>
      <c r="C93" s="1172" t="s">
        <v>797</v>
      </c>
      <c r="D93" s="1167" t="s">
        <v>120</v>
      </c>
      <c r="E93" s="1173" t="s">
        <v>161</v>
      </c>
      <c r="F93" s="1173" t="s">
        <v>161</v>
      </c>
      <c r="G93" s="1174"/>
      <c r="H93" s="1173"/>
      <c r="I93" s="1173"/>
      <c r="J93" s="1173"/>
      <c r="K93" s="1174"/>
      <c r="L93" s="1173"/>
      <c r="M93" s="1087"/>
      <c r="N93" s="1087"/>
      <c r="O93" s="1087"/>
      <c r="P93" s="1087"/>
      <c r="Q93" s="1087"/>
      <c r="R93" s="1054"/>
      <c r="S93" s="1054"/>
      <c r="T93" s="1054"/>
      <c r="U93" s="1087"/>
      <c r="V93" s="1087"/>
      <c r="W93" s="1087"/>
      <c r="X93" s="1238"/>
      <c r="AD93" s="1038"/>
      <c r="AE93" s="1038"/>
      <c r="AF93" s="1048"/>
      <c r="AG93" s="1048"/>
      <c r="AH93" s="1048"/>
      <c r="AI93" s="1048"/>
      <c r="AJ93" s="1048"/>
      <c r="AK93" s="1048"/>
      <c r="AL93" s="1048"/>
      <c r="AM93" s="1048"/>
      <c r="AN93" s="1048"/>
      <c r="AO93" s="1048"/>
      <c r="AP93" s="1048"/>
      <c r="AQ93" s="1048"/>
      <c r="AR93" s="1048"/>
      <c r="AS93" s="1048"/>
      <c r="AT93" s="1048"/>
      <c r="AU93" s="1048"/>
      <c r="AV93" s="1048"/>
      <c r="AW93" s="1048"/>
      <c r="AX93" s="1048"/>
      <c r="AY93" s="1048"/>
      <c r="AZ93" s="1048"/>
    </row>
    <row r="94" spans="2:52" s="542" customFormat="1" ht="25.2" customHeight="1" x14ac:dyDescent="0.2">
      <c r="B94" s="501" t="s">
        <v>160</v>
      </c>
      <c r="C94" s="1172" t="s">
        <v>108</v>
      </c>
      <c r="D94" s="1167" t="s">
        <v>120</v>
      </c>
      <c r="E94" s="1125" t="s">
        <v>161</v>
      </c>
      <c r="F94" s="1125" t="s">
        <v>161</v>
      </c>
      <c r="G94" s="1092"/>
      <c r="H94" s="1125"/>
      <c r="I94" s="1125"/>
      <c r="J94" s="1125"/>
      <c r="K94" s="1092" t="s">
        <v>161</v>
      </c>
      <c r="L94" s="1125"/>
      <c r="M94" s="1050"/>
      <c r="N94" s="1050"/>
      <c r="O94" s="1051"/>
      <c r="P94" s="1051"/>
      <c r="Q94" s="1050"/>
      <c r="R94" s="1051"/>
      <c r="S94" s="1051"/>
      <c r="T94" s="1051"/>
      <c r="U94" s="1050"/>
      <c r="V94" s="1050"/>
      <c r="W94" s="1050"/>
      <c r="X94" s="1236"/>
      <c r="AD94" s="1038"/>
      <c r="AE94" s="1038"/>
      <c r="AF94" s="1048"/>
      <c r="AG94" s="1048"/>
      <c r="AH94" s="1048"/>
      <c r="AI94" s="1048"/>
      <c r="AJ94" s="1048"/>
      <c r="AK94" s="1048"/>
      <c r="AL94" s="1308"/>
      <c r="AM94" s="1308"/>
      <c r="AN94" s="1308"/>
      <c r="AO94" s="1308"/>
      <c r="AP94" s="1308"/>
      <c r="AQ94" s="1308"/>
      <c r="AR94" s="1308"/>
      <c r="AS94" s="1308"/>
      <c r="AT94" s="1048"/>
      <c r="AU94" s="1048"/>
      <c r="AV94" s="1048"/>
      <c r="AW94" s="1308"/>
      <c r="AX94" s="1308"/>
      <c r="AY94" s="1308"/>
      <c r="AZ94" s="1308"/>
    </row>
    <row r="95" spans="2:52" s="542" customFormat="1" ht="25.2" customHeight="1" x14ac:dyDescent="0.2">
      <c r="B95" s="502" t="s">
        <v>811</v>
      </c>
      <c r="C95" s="1088" t="s">
        <v>799</v>
      </c>
      <c r="D95" s="1057" t="s">
        <v>120</v>
      </c>
      <c r="E95" s="1058" t="s">
        <v>161</v>
      </c>
      <c r="F95" s="1058" t="s">
        <v>161</v>
      </c>
      <c r="G95" s="1059"/>
      <c r="H95" s="1058"/>
      <c r="I95" s="1058"/>
      <c r="J95" s="1058"/>
      <c r="K95" s="1059"/>
      <c r="L95" s="1058"/>
      <c r="M95" s="1058"/>
      <c r="N95" s="1058"/>
      <c r="O95" s="1058"/>
      <c r="P95" s="1058"/>
      <c r="Q95" s="1058"/>
      <c r="R95" s="1059"/>
      <c r="S95" s="1059"/>
      <c r="T95" s="1059"/>
      <c r="U95" s="1058"/>
      <c r="V95" s="1058"/>
      <c r="W95" s="1058"/>
      <c r="X95" s="1239"/>
      <c r="AD95" s="1038"/>
      <c r="AE95" s="1038"/>
      <c r="AF95" s="1048"/>
      <c r="AG95" s="1048"/>
      <c r="AH95" s="1048"/>
      <c r="AI95" s="1048"/>
      <c r="AJ95" s="1048"/>
      <c r="AK95" s="1048"/>
      <c r="AL95" s="1308"/>
      <c r="AM95" s="1308"/>
      <c r="AN95" s="1308"/>
      <c r="AO95" s="1308"/>
      <c r="AP95" s="1308"/>
      <c r="AQ95" s="1308"/>
      <c r="AR95" s="1308"/>
      <c r="AS95" s="1308"/>
      <c r="AT95" s="1048"/>
      <c r="AU95" s="1048"/>
      <c r="AV95" s="1048"/>
      <c r="AW95" s="1308"/>
      <c r="AX95" s="1308"/>
      <c r="AY95" s="1308"/>
      <c r="AZ95" s="1308"/>
    </row>
    <row r="96" spans="2:52" x14ac:dyDescent="0.2">
      <c r="X96" s="98"/>
      <c r="Z96" s="90"/>
      <c r="AA96" s="90"/>
    </row>
    <row r="97" spans="2:52" s="89" customFormat="1" ht="14.4" x14ac:dyDescent="0.2">
      <c r="D97" s="86"/>
      <c r="Z97" s="90"/>
      <c r="AA97" s="90"/>
    </row>
    <row r="98" spans="2:52" s="89" customFormat="1" ht="16.2" x14ac:dyDescent="0.2">
      <c r="B98" s="301" t="s">
        <v>223</v>
      </c>
      <c r="D98" s="89" t="s">
        <v>272</v>
      </c>
      <c r="P98" s="1058"/>
      <c r="Z98" s="90"/>
      <c r="AA98" s="90"/>
    </row>
    <row r="99" spans="2:52" ht="36" customHeight="1" x14ac:dyDescent="0.2">
      <c r="B99" s="500" t="s">
        <v>190</v>
      </c>
      <c r="C99" s="316" t="s">
        <v>364</v>
      </c>
      <c r="D99" s="317" t="s">
        <v>363</v>
      </c>
      <c r="E99" s="318" t="s">
        <v>161</v>
      </c>
      <c r="F99" s="318" t="s">
        <v>161</v>
      </c>
      <c r="G99" s="319" t="s">
        <v>137</v>
      </c>
      <c r="H99" s="319"/>
      <c r="I99" s="319"/>
      <c r="J99" s="318"/>
      <c r="K99" s="318"/>
      <c r="L99" s="318"/>
      <c r="M99" s="318"/>
      <c r="N99" s="319"/>
      <c r="O99" s="319"/>
      <c r="P99" s="319"/>
      <c r="Q99" s="319"/>
      <c r="R99" s="318" t="s">
        <v>161</v>
      </c>
      <c r="S99" s="318"/>
      <c r="T99" s="319"/>
      <c r="U99" s="319"/>
      <c r="V99" s="318"/>
      <c r="W99" s="319"/>
      <c r="X99" s="320"/>
      <c r="AB99" s="90"/>
      <c r="AC99" s="90"/>
      <c r="AD99" s="90"/>
      <c r="AE99" s="90"/>
      <c r="AF99" s="90"/>
      <c r="AG99" s="90"/>
      <c r="AH99" s="90"/>
      <c r="AI99" s="90"/>
      <c r="AJ99" s="90"/>
      <c r="AK99" s="90"/>
      <c r="AL99" s="1287"/>
      <c r="AM99" s="1287"/>
      <c r="AN99" s="1287"/>
      <c r="AO99" s="1287"/>
      <c r="AP99" s="90"/>
      <c r="AQ99" s="90"/>
      <c r="AR99" s="90"/>
      <c r="AS99" s="1287"/>
      <c r="AT99" s="1287"/>
      <c r="AU99" s="1287"/>
      <c r="AV99" s="1287"/>
    </row>
    <row r="100" spans="2:52" ht="36" customHeight="1" x14ac:dyDescent="0.2">
      <c r="B100" s="501" t="s">
        <v>191</v>
      </c>
      <c r="C100" s="321" t="s">
        <v>365</v>
      </c>
      <c r="D100" s="322" t="s">
        <v>656</v>
      </c>
      <c r="E100" s="323" t="s">
        <v>161</v>
      </c>
      <c r="F100" s="323" t="s">
        <v>161</v>
      </c>
      <c r="G100" s="324" t="s">
        <v>137</v>
      </c>
      <c r="H100" s="324"/>
      <c r="I100" s="324"/>
      <c r="J100" s="323"/>
      <c r="K100" s="323"/>
      <c r="L100" s="323"/>
      <c r="M100" s="323"/>
      <c r="N100" s="324"/>
      <c r="O100" s="324"/>
      <c r="P100" s="324"/>
      <c r="Q100" s="324"/>
      <c r="R100" s="323"/>
      <c r="S100" s="323" t="s">
        <v>161</v>
      </c>
      <c r="T100" s="324"/>
      <c r="U100" s="324"/>
      <c r="V100" s="323"/>
      <c r="W100" s="324"/>
      <c r="X100" s="325"/>
      <c r="AB100" s="90"/>
      <c r="AC100" s="90"/>
      <c r="AD100" s="90"/>
      <c r="AE100" s="90"/>
      <c r="AF100" s="90"/>
      <c r="AG100" s="90"/>
      <c r="AH100" s="90"/>
      <c r="AI100" s="90"/>
      <c r="AJ100" s="90"/>
      <c r="AK100" s="90"/>
      <c r="AL100" s="90"/>
      <c r="AM100" s="90"/>
      <c r="AN100" s="90"/>
      <c r="AO100" s="90"/>
      <c r="AP100" s="90"/>
      <c r="AQ100" s="90"/>
      <c r="AR100" s="90"/>
      <c r="AS100" s="90"/>
      <c r="AT100" s="90"/>
      <c r="AU100" s="90"/>
      <c r="AV100" s="90"/>
    </row>
    <row r="101" spans="2:52" ht="36" customHeight="1" x14ac:dyDescent="0.2">
      <c r="B101" s="501" t="s">
        <v>192</v>
      </c>
      <c r="C101" s="321" t="s">
        <v>361</v>
      </c>
      <c r="D101" s="322" t="s">
        <v>251</v>
      </c>
      <c r="E101" s="323" t="s">
        <v>161</v>
      </c>
      <c r="F101" s="323" t="s">
        <v>161</v>
      </c>
      <c r="G101" s="324" t="s">
        <v>137</v>
      </c>
      <c r="H101" s="324"/>
      <c r="I101" s="324"/>
      <c r="J101" s="323"/>
      <c r="K101" s="323"/>
      <c r="L101" s="323"/>
      <c r="M101" s="323"/>
      <c r="N101" s="324"/>
      <c r="O101" s="324"/>
      <c r="P101" s="324"/>
      <c r="Q101" s="324"/>
      <c r="R101" s="323" t="s">
        <v>2039</v>
      </c>
      <c r="S101" s="323" t="s">
        <v>2039</v>
      </c>
      <c r="T101" s="324"/>
      <c r="U101" s="324"/>
      <c r="V101" s="323"/>
      <c r="W101" s="324"/>
      <c r="X101" s="325" t="s">
        <v>2051</v>
      </c>
      <c r="AB101" s="90"/>
      <c r="AC101" s="90"/>
      <c r="AD101" s="90"/>
      <c r="AE101" s="90"/>
      <c r="AF101" s="90"/>
      <c r="AG101" s="90"/>
      <c r="AH101" s="90"/>
      <c r="AI101" s="90"/>
      <c r="AJ101" s="90"/>
      <c r="AK101" s="90"/>
      <c r="AL101" s="90"/>
      <c r="AM101" s="90"/>
      <c r="AN101" s="90"/>
      <c r="AO101" s="90"/>
      <c r="AP101" s="90"/>
      <c r="AQ101" s="90"/>
      <c r="AR101" s="90"/>
      <c r="AS101" s="90"/>
      <c r="AT101" s="90"/>
      <c r="AU101" s="90"/>
      <c r="AV101" s="90"/>
    </row>
    <row r="102" spans="2:52" ht="25.2" customHeight="1" x14ac:dyDescent="0.2">
      <c r="B102" s="501" t="s">
        <v>193</v>
      </c>
      <c r="C102" s="328" t="s">
        <v>105</v>
      </c>
      <c r="D102" s="329" t="s">
        <v>142</v>
      </c>
      <c r="E102" s="323" t="s">
        <v>136</v>
      </c>
      <c r="F102" s="323" t="s">
        <v>136</v>
      </c>
      <c r="G102" s="324" t="s">
        <v>137</v>
      </c>
      <c r="H102" s="324"/>
      <c r="I102" s="324"/>
      <c r="J102" s="323"/>
      <c r="K102" s="323"/>
      <c r="L102" s="323"/>
      <c r="M102" s="323"/>
      <c r="N102" s="324"/>
      <c r="O102" s="324"/>
      <c r="P102" s="324"/>
      <c r="Q102" s="324"/>
      <c r="R102" s="323"/>
      <c r="S102" s="323"/>
      <c r="T102" s="324"/>
      <c r="U102" s="324"/>
      <c r="V102" s="323"/>
      <c r="W102" s="324"/>
      <c r="X102" s="325" t="s">
        <v>2011</v>
      </c>
      <c r="Z102" s="90"/>
      <c r="AA102" s="90"/>
      <c r="AB102" s="94"/>
      <c r="AC102" s="94"/>
      <c r="AD102" s="94"/>
      <c r="AE102" s="94"/>
      <c r="AF102" s="94"/>
      <c r="AG102" s="94"/>
      <c r="AH102" s="1288"/>
      <c r="AI102" s="1288"/>
      <c r="AJ102" s="1288"/>
      <c r="AK102" s="1288"/>
      <c r="AL102" s="1288"/>
      <c r="AM102" s="1288"/>
      <c r="AN102" s="1288"/>
      <c r="AO102" s="1288"/>
      <c r="AP102" s="94"/>
      <c r="AQ102" s="94"/>
      <c r="AR102" s="94"/>
      <c r="AS102" s="1288"/>
      <c r="AT102" s="1288"/>
      <c r="AU102" s="1288"/>
      <c r="AV102" s="1288"/>
    </row>
    <row r="103" spans="2:52" ht="25.2" customHeight="1" x14ac:dyDescent="0.2">
      <c r="B103" s="501" t="s">
        <v>194</v>
      </c>
      <c r="C103" s="328" t="s">
        <v>90</v>
      </c>
      <c r="D103" s="329" t="s">
        <v>142</v>
      </c>
      <c r="E103" s="323" t="s">
        <v>136</v>
      </c>
      <c r="F103" s="323" t="s">
        <v>136</v>
      </c>
      <c r="G103" s="324" t="s">
        <v>137</v>
      </c>
      <c r="H103" s="324"/>
      <c r="I103" s="324"/>
      <c r="J103" s="323"/>
      <c r="K103" s="323"/>
      <c r="L103" s="323"/>
      <c r="M103" s="323"/>
      <c r="N103" s="324"/>
      <c r="O103" s="324"/>
      <c r="P103" s="1050"/>
      <c r="Q103" s="324"/>
      <c r="R103" s="323"/>
      <c r="S103" s="323"/>
      <c r="T103" s="324"/>
      <c r="U103" s="324"/>
      <c r="V103" s="323"/>
      <c r="W103" s="324"/>
      <c r="X103" s="325" t="s">
        <v>2012</v>
      </c>
      <c r="Z103" s="90"/>
      <c r="AA103" s="90"/>
      <c r="AB103" s="94"/>
      <c r="AC103" s="94"/>
      <c r="AD103" s="94"/>
      <c r="AE103" s="94"/>
      <c r="AF103" s="94"/>
      <c r="AG103" s="94"/>
      <c r="AH103" s="1288"/>
      <c r="AI103" s="1288"/>
      <c r="AJ103" s="1288"/>
      <c r="AK103" s="1288"/>
      <c r="AL103" s="1288"/>
      <c r="AM103" s="1288"/>
      <c r="AN103" s="1288"/>
      <c r="AO103" s="1288"/>
      <c r="AP103" s="94"/>
      <c r="AQ103" s="94"/>
      <c r="AR103" s="94"/>
      <c r="AS103" s="1288"/>
      <c r="AT103" s="1288"/>
      <c r="AU103" s="1288"/>
      <c r="AV103" s="1288"/>
    </row>
    <row r="104" spans="2:52" s="542" customFormat="1" ht="25.2" customHeight="1" x14ac:dyDescent="0.2">
      <c r="B104" s="501" t="s">
        <v>195</v>
      </c>
      <c r="C104" s="1225" t="s">
        <v>106</v>
      </c>
      <c r="D104" s="1226" t="s">
        <v>142</v>
      </c>
      <c r="E104" s="1227" t="s">
        <v>161</v>
      </c>
      <c r="F104" s="1227" t="s">
        <v>161</v>
      </c>
      <c r="G104" s="1227"/>
      <c r="H104" s="1228"/>
      <c r="I104" s="1229"/>
      <c r="J104" s="1230"/>
      <c r="K104" s="1229"/>
      <c r="L104" s="1229"/>
      <c r="M104" s="1229"/>
      <c r="N104" s="1229"/>
      <c r="O104" s="1230"/>
      <c r="P104" s="1230"/>
      <c r="Q104" s="1229"/>
      <c r="R104" s="1230"/>
      <c r="S104" s="1229"/>
      <c r="T104" s="1229"/>
      <c r="U104" s="1229"/>
      <c r="V104" s="1229"/>
      <c r="W104" s="1229"/>
      <c r="X104" s="1230"/>
      <c r="AF104" s="1038"/>
      <c r="AG104" s="1038"/>
      <c r="AH104" s="1038"/>
      <c r="AI104" s="1038"/>
      <c r="AJ104" s="1038"/>
      <c r="AK104" s="1038"/>
      <c r="AL104" s="1038"/>
      <c r="AM104" s="1038"/>
      <c r="AN104" s="1038"/>
      <c r="AO104" s="1038"/>
      <c r="AP104" s="1038"/>
      <c r="AQ104" s="1038"/>
      <c r="AR104" s="1038"/>
      <c r="AS104" s="1038"/>
      <c r="AT104" s="1038"/>
      <c r="AU104" s="1038"/>
      <c r="AV104" s="1038"/>
      <c r="AW104" s="1038"/>
      <c r="AX104" s="1038"/>
      <c r="AY104" s="1292"/>
      <c r="AZ104" s="1292"/>
    </row>
    <row r="105" spans="2:52" ht="25.2" customHeight="1" x14ac:dyDescent="0.2">
      <c r="B105" s="501" t="s">
        <v>196</v>
      </c>
      <c r="C105" s="1169" t="s">
        <v>91</v>
      </c>
      <c r="D105" s="1170" t="s">
        <v>243</v>
      </c>
      <c r="E105" s="1125" t="s">
        <v>161</v>
      </c>
      <c r="F105" s="1125" t="s">
        <v>161</v>
      </c>
      <c r="G105" s="1092"/>
      <c r="H105" s="1092"/>
      <c r="I105" s="1092"/>
      <c r="J105" s="1125"/>
      <c r="K105" s="1125"/>
      <c r="L105" s="1125"/>
      <c r="M105" s="1125"/>
      <c r="N105" s="1092"/>
      <c r="O105" s="1092"/>
      <c r="P105" s="1050"/>
      <c r="Q105" s="324"/>
      <c r="R105" s="323"/>
      <c r="S105" s="323"/>
      <c r="T105" s="324"/>
      <c r="U105" s="324"/>
      <c r="V105" s="323"/>
      <c r="W105" s="324"/>
      <c r="X105" s="325"/>
      <c r="Z105" s="90"/>
      <c r="AA105" s="90"/>
      <c r="AB105" s="94"/>
      <c r="AC105" s="94"/>
      <c r="AD105" s="94"/>
      <c r="AE105" s="94"/>
      <c r="AF105" s="94"/>
      <c r="AG105" s="94"/>
      <c r="AH105" s="1288"/>
      <c r="AI105" s="1288"/>
      <c r="AJ105" s="1288"/>
      <c r="AK105" s="1288"/>
      <c r="AL105" s="1288"/>
      <c r="AM105" s="1288"/>
      <c r="AN105" s="1288"/>
      <c r="AO105" s="1288"/>
      <c r="AP105" s="94"/>
      <c r="AQ105" s="94"/>
      <c r="AR105" s="94"/>
      <c r="AS105" s="1288"/>
      <c r="AT105" s="1288"/>
      <c r="AU105" s="1288"/>
      <c r="AV105" s="1288"/>
    </row>
    <row r="106" spans="2:52" ht="25.2" customHeight="1" x14ac:dyDescent="0.2">
      <c r="B106" s="501" t="s">
        <v>197</v>
      </c>
      <c r="C106" s="1169" t="s">
        <v>1819</v>
      </c>
      <c r="D106" s="1170" t="s">
        <v>142</v>
      </c>
      <c r="E106" s="1125" t="s">
        <v>136</v>
      </c>
      <c r="F106" s="1125" t="s">
        <v>136</v>
      </c>
      <c r="G106" s="1092"/>
      <c r="H106" s="1092"/>
      <c r="I106" s="1092"/>
      <c r="J106" s="1125"/>
      <c r="K106" s="1125"/>
      <c r="L106" s="1125"/>
      <c r="M106" s="1125"/>
      <c r="N106" s="1092"/>
      <c r="O106" s="1092"/>
      <c r="P106" s="1050"/>
      <c r="Q106" s="324"/>
      <c r="R106" s="323"/>
      <c r="S106" s="323"/>
      <c r="T106" s="324"/>
      <c r="U106" s="324"/>
      <c r="V106" s="323"/>
      <c r="W106" s="324"/>
      <c r="X106" s="325"/>
      <c r="Z106" s="90"/>
      <c r="AA106" s="90"/>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2:52" ht="25.2" customHeight="1" x14ac:dyDescent="0.2">
      <c r="B107" s="501" t="s">
        <v>198</v>
      </c>
      <c r="C107" s="1169" t="s">
        <v>1850</v>
      </c>
      <c r="D107" s="1170" t="s">
        <v>142</v>
      </c>
      <c r="E107" s="1125" t="s">
        <v>136</v>
      </c>
      <c r="F107" s="1125" t="s">
        <v>136</v>
      </c>
      <c r="G107" s="1092"/>
      <c r="H107" s="1092"/>
      <c r="I107" s="1092"/>
      <c r="J107" s="1125"/>
      <c r="K107" s="1125"/>
      <c r="L107" s="1125"/>
      <c r="M107" s="1125"/>
      <c r="N107" s="1092"/>
      <c r="O107" s="1092"/>
      <c r="P107" s="1050"/>
      <c r="Q107" s="324"/>
      <c r="R107" s="323"/>
      <c r="S107" s="323"/>
      <c r="T107" s="324"/>
      <c r="U107" s="324"/>
      <c r="V107" s="323"/>
      <c r="W107" s="324"/>
      <c r="X107" s="325"/>
      <c r="Z107" s="90"/>
      <c r="AA107" s="90"/>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2:52" ht="25.2" customHeight="1" x14ac:dyDescent="0.2">
      <c r="B108" s="501" t="s">
        <v>199</v>
      </c>
      <c r="C108" s="1169" t="s">
        <v>246</v>
      </c>
      <c r="D108" s="1170" t="s">
        <v>142</v>
      </c>
      <c r="E108" s="1125" t="s">
        <v>136</v>
      </c>
      <c r="F108" s="1125" t="s">
        <v>136</v>
      </c>
      <c r="G108" s="1092"/>
      <c r="H108" s="1092"/>
      <c r="I108" s="1092"/>
      <c r="J108" s="1125"/>
      <c r="K108" s="1125"/>
      <c r="L108" s="1125"/>
      <c r="M108" s="1125"/>
      <c r="N108" s="1092"/>
      <c r="O108" s="1092"/>
      <c r="P108" s="1050"/>
      <c r="Q108" s="324"/>
      <c r="R108" s="323"/>
      <c r="S108" s="323"/>
      <c r="T108" s="324"/>
      <c r="U108" s="324"/>
      <c r="V108" s="323"/>
      <c r="W108" s="324"/>
      <c r="X108" s="1126"/>
      <c r="Z108" s="90"/>
      <c r="AA108" s="90"/>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2:52" ht="25.2" customHeight="1" x14ac:dyDescent="0.2">
      <c r="B109" s="501" t="s">
        <v>200</v>
      </c>
      <c r="C109" s="1169" t="s">
        <v>248</v>
      </c>
      <c r="D109" s="1170" t="s">
        <v>142</v>
      </c>
      <c r="E109" s="1125" t="s">
        <v>136</v>
      </c>
      <c r="F109" s="1125" t="s">
        <v>136</v>
      </c>
      <c r="G109" s="1092"/>
      <c r="H109" s="1092"/>
      <c r="I109" s="1092"/>
      <c r="J109" s="1125"/>
      <c r="K109" s="1125"/>
      <c r="L109" s="1125"/>
      <c r="M109" s="1125"/>
      <c r="N109" s="1092"/>
      <c r="O109" s="1092"/>
      <c r="P109" s="1050"/>
      <c r="Q109" s="324"/>
      <c r="R109" s="323"/>
      <c r="S109" s="323"/>
      <c r="T109" s="324"/>
      <c r="U109" s="324"/>
      <c r="V109" s="323"/>
      <c r="W109" s="324"/>
      <c r="X109" s="1126"/>
      <c r="Z109" s="90"/>
      <c r="AA109" s="90"/>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2:52" ht="25.2" customHeight="1" x14ac:dyDescent="0.2">
      <c r="B110" s="501" t="s">
        <v>201</v>
      </c>
      <c r="C110" s="1169" t="s">
        <v>148</v>
      </c>
      <c r="D110" s="1170" t="s">
        <v>142</v>
      </c>
      <c r="E110" s="1125" t="s">
        <v>136</v>
      </c>
      <c r="F110" s="1125" t="s">
        <v>136</v>
      </c>
      <c r="G110" s="1182"/>
      <c r="H110" s="1182"/>
      <c r="I110" s="1182"/>
      <c r="J110" s="1183"/>
      <c r="K110" s="1183"/>
      <c r="L110" s="1183"/>
      <c r="M110" s="1183"/>
      <c r="N110" s="1182"/>
      <c r="O110" s="1182"/>
      <c r="P110" s="1050"/>
      <c r="Q110" s="335"/>
      <c r="R110" s="336"/>
      <c r="S110" s="336"/>
      <c r="T110" s="335"/>
      <c r="U110" s="335"/>
      <c r="V110" s="336"/>
      <c r="W110" s="335"/>
      <c r="X110" s="325"/>
      <c r="Y110" s="1288"/>
      <c r="Z110" s="1288"/>
      <c r="AA110" s="94"/>
      <c r="AB110" s="94"/>
      <c r="AC110" s="94"/>
      <c r="AD110" s="94"/>
      <c r="AE110" s="94"/>
      <c r="AF110" s="94"/>
      <c r="AG110" s="94"/>
      <c r="AH110" s="1288"/>
      <c r="AI110" s="1288"/>
      <c r="AJ110" s="1288"/>
      <c r="AK110" s="1288"/>
      <c r="AL110" s="1288"/>
      <c r="AM110" s="1288"/>
      <c r="AN110" s="1288"/>
      <c r="AO110" s="1288"/>
      <c r="AP110" s="94"/>
      <c r="AQ110" s="94"/>
      <c r="AR110" s="94"/>
      <c r="AS110" s="1288"/>
      <c r="AT110" s="1288"/>
      <c r="AU110" s="1288"/>
      <c r="AV110" s="1288"/>
    </row>
    <row r="111" spans="2:52" ht="25.2" customHeight="1" x14ac:dyDescent="0.2">
      <c r="B111" s="501" t="s">
        <v>202</v>
      </c>
      <c r="C111" s="1169" t="s">
        <v>112</v>
      </c>
      <c r="D111" s="1170" t="s">
        <v>142</v>
      </c>
      <c r="E111" s="1125" t="s">
        <v>136</v>
      </c>
      <c r="F111" s="1125" t="s">
        <v>136</v>
      </c>
      <c r="G111" s="1182"/>
      <c r="H111" s="1182"/>
      <c r="I111" s="1182"/>
      <c r="J111" s="1183"/>
      <c r="K111" s="1183"/>
      <c r="L111" s="1183"/>
      <c r="M111" s="1183"/>
      <c r="N111" s="1182"/>
      <c r="O111" s="1182"/>
      <c r="P111" s="1050"/>
      <c r="Q111" s="335"/>
      <c r="R111" s="336"/>
      <c r="S111" s="336"/>
      <c r="T111" s="335"/>
      <c r="U111" s="335"/>
      <c r="V111" s="336"/>
      <c r="W111" s="335"/>
      <c r="X111" s="325"/>
      <c r="Y111" s="1288"/>
      <c r="Z111" s="1288"/>
      <c r="AA111" s="94"/>
      <c r="AB111" s="94"/>
      <c r="AC111" s="94"/>
      <c r="AD111" s="94"/>
      <c r="AE111" s="94"/>
      <c r="AF111" s="94"/>
      <c r="AG111" s="94"/>
      <c r="AH111" s="1288"/>
      <c r="AI111" s="1288"/>
      <c r="AJ111" s="1288"/>
      <c r="AK111" s="1288"/>
      <c r="AL111" s="1288"/>
      <c r="AM111" s="1288"/>
      <c r="AN111" s="1288"/>
      <c r="AO111" s="1288"/>
      <c r="AP111" s="94"/>
      <c r="AQ111" s="94"/>
      <c r="AR111" s="94"/>
      <c r="AS111" s="1288"/>
      <c r="AT111" s="1288"/>
      <c r="AU111" s="1288"/>
      <c r="AV111" s="1288"/>
    </row>
    <row r="112" spans="2:52" ht="25.2" customHeight="1" x14ac:dyDescent="0.2">
      <c r="B112" s="501" t="s">
        <v>465</v>
      </c>
      <c r="C112" s="1169" t="s">
        <v>1941</v>
      </c>
      <c r="D112" s="1170" t="s">
        <v>142</v>
      </c>
      <c r="E112" s="1125" t="s">
        <v>136</v>
      </c>
      <c r="F112" s="1125" t="s">
        <v>136</v>
      </c>
      <c r="G112" s="1182"/>
      <c r="H112" s="1092" t="s">
        <v>161</v>
      </c>
      <c r="I112" s="1182"/>
      <c r="J112" s="1183"/>
      <c r="K112" s="1183"/>
      <c r="L112" s="1183"/>
      <c r="M112" s="1183"/>
      <c r="N112" s="1182"/>
      <c r="O112" s="1182"/>
      <c r="P112" s="1050"/>
      <c r="Q112" s="335"/>
      <c r="R112" s="336"/>
      <c r="S112" s="336"/>
      <c r="T112" s="335"/>
      <c r="U112" s="335"/>
      <c r="V112" s="336"/>
      <c r="W112" s="335"/>
      <c r="X112" s="325"/>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2:48" ht="25.2" customHeight="1" x14ac:dyDescent="0.2">
      <c r="B113" s="501" t="s">
        <v>466</v>
      </c>
      <c r="C113" s="1169" t="s">
        <v>107</v>
      </c>
      <c r="D113" s="1170" t="s">
        <v>142</v>
      </c>
      <c r="E113" s="1125" t="s">
        <v>136</v>
      </c>
      <c r="F113" s="1125" t="s">
        <v>136</v>
      </c>
      <c r="G113" s="1092"/>
      <c r="H113" s="1092"/>
      <c r="I113" s="1092"/>
      <c r="J113" s="1125"/>
      <c r="K113" s="1125"/>
      <c r="L113" s="1125"/>
      <c r="M113" s="1125"/>
      <c r="N113" s="1092"/>
      <c r="O113" s="1092"/>
      <c r="P113" s="1050"/>
      <c r="Q113" s="324"/>
      <c r="R113" s="323"/>
      <c r="S113" s="323"/>
      <c r="T113" s="324"/>
      <c r="U113" s="324"/>
      <c r="V113" s="323"/>
      <c r="W113" s="324"/>
      <c r="X113" s="325"/>
      <c r="Y113" s="1288"/>
      <c r="Z113" s="1288"/>
      <c r="AA113" s="94"/>
      <c r="AB113" s="94"/>
      <c r="AC113" s="94"/>
      <c r="AD113" s="94"/>
      <c r="AE113" s="94"/>
      <c r="AF113" s="94"/>
      <c r="AG113" s="94"/>
      <c r="AH113" s="1288"/>
      <c r="AI113" s="1288"/>
      <c r="AJ113" s="1288"/>
      <c r="AK113" s="1288"/>
      <c r="AL113" s="1288"/>
      <c r="AM113" s="1288"/>
      <c r="AN113" s="1288"/>
      <c r="AO113" s="1288"/>
      <c r="AP113" s="94"/>
      <c r="AQ113" s="94"/>
      <c r="AR113" s="94"/>
      <c r="AS113" s="1288"/>
      <c r="AT113" s="1288"/>
      <c r="AU113" s="1288"/>
      <c r="AV113" s="1288"/>
    </row>
    <row r="114" spans="2:48" ht="25.2" customHeight="1" x14ac:dyDescent="0.2">
      <c r="B114" s="501" t="s">
        <v>467</v>
      </c>
      <c r="C114" s="1169" t="s">
        <v>141</v>
      </c>
      <c r="D114" s="1170" t="s">
        <v>142</v>
      </c>
      <c r="E114" s="1125" t="s">
        <v>136</v>
      </c>
      <c r="F114" s="1125" t="s">
        <v>136</v>
      </c>
      <c r="G114" s="1092"/>
      <c r="H114" s="1092"/>
      <c r="I114" s="1092" t="s">
        <v>161</v>
      </c>
      <c r="J114" s="1125"/>
      <c r="K114" s="1125"/>
      <c r="L114" s="1125"/>
      <c r="M114" s="1125"/>
      <c r="N114" s="1092"/>
      <c r="O114" s="1092"/>
      <c r="P114" s="1050"/>
      <c r="Q114" s="324"/>
      <c r="R114" s="323"/>
      <c r="S114" s="323"/>
      <c r="T114" s="324"/>
      <c r="U114" s="324"/>
      <c r="V114" s="323"/>
      <c r="W114" s="324"/>
      <c r="X114" s="325"/>
      <c r="Y114" s="1288"/>
      <c r="Z114" s="1288"/>
      <c r="AA114" s="94"/>
      <c r="AB114" s="94"/>
      <c r="AC114" s="94"/>
      <c r="AD114" s="94"/>
      <c r="AE114" s="94"/>
      <c r="AF114" s="94"/>
      <c r="AG114" s="94"/>
      <c r="AH114" s="1288"/>
      <c r="AI114" s="1288"/>
      <c r="AJ114" s="1288"/>
      <c r="AK114" s="1288"/>
      <c r="AL114" s="1288"/>
      <c r="AM114" s="1288"/>
      <c r="AN114" s="1288"/>
      <c r="AO114" s="1288"/>
      <c r="AP114" s="94"/>
      <c r="AQ114" s="94"/>
      <c r="AR114" s="94"/>
      <c r="AS114" s="1288"/>
      <c r="AT114" s="1288"/>
      <c r="AU114" s="1288"/>
      <c r="AV114" s="1288"/>
    </row>
    <row r="115" spans="2:48" ht="25.2" customHeight="1" x14ac:dyDescent="0.2">
      <c r="B115" s="501" t="s">
        <v>778</v>
      </c>
      <c r="C115" s="1169" t="s">
        <v>244</v>
      </c>
      <c r="D115" s="1170" t="s">
        <v>142</v>
      </c>
      <c r="E115" s="1125" t="s">
        <v>136</v>
      </c>
      <c r="F115" s="1125" t="s">
        <v>136</v>
      </c>
      <c r="G115" s="1092"/>
      <c r="H115" s="1092"/>
      <c r="I115" s="1092"/>
      <c r="J115" s="1125"/>
      <c r="K115" s="1125"/>
      <c r="L115" s="1125"/>
      <c r="M115" s="1125"/>
      <c r="N115" s="1092"/>
      <c r="O115" s="1092"/>
      <c r="P115" s="1050"/>
      <c r="Q115" s="324"/>
      <c r="R115" s="323"/>
      <c r="S115" s="323"/>
      <c r="T115" s="324" t="s">
        <v>161</v>
      </c>
      <c r="U115" s="324"/>
      <c r="V115" s="323"/>
      <c r="W115" s="324"/>
      <c r="X115" s="325"/>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2:48" ht="25.2" customHeight="1" x14ac:dyDescent="0.2">
      <c r="B116" s="501" t="s">
        <v>779</v>
      </c>
      <c r="C116" s="1165" t="s">
        <v>1046</v>
      </c>
      <c r="D116" s="1166" t="s">
        <v>241</v>
      </c>
      <c r="E116" s="1125" t="s">
        <v>161</v>
      </c>
      <c r="F116" s="1125" t="s">
        <v>161</v>
      </c>
      <c r="G116" s="1092"/>
      <c r="H116" s="1092"/>
      <c r="I116" s="1092"/>
      <c r="J116" s="1125"/>
      <c r="K116" s="1125"/>
      <c r="L116" s="1125"/>
      <c r="M116" s="1125"/>
      <c r="N116" s="1092"/>
      <c r="O116" s="1092"/>
      <c r="P116" s="1115"/>
      <c r="Q116" s="324"/>
      <c r="R116" s="323"/>
      <c r="S116" s="323"/>
      <c r="T116" s="324"/>
      <c r="U116" s="324"/>
      <c r="V116" s="323"/>
      <c r="W116" s="324"/>
      <c r="X116" s="334"/>
      <c r="AB116" s="90"/>
      <c r="AC116" s="90"/>
      <c r="AD116" s="90"/>
      <c r="AE116" s="90"/>
      <c r="AF116" s="90"/>
      <c r="AG116" s="90"/>
      <c r="AH116" s="90"/>
      <c r="AI116" s="90"/>
      <c r="AJ116" s="90"/>
      <c r="AK116" s="90"/>
      <c r="AL116" s="90"/>
      <c r="AM116" s="90"/>
      <c r="AN116" s="90"/>
      <c r="AO116" s="90"/>
      <c r="AP116" s="90"/>
      <c r="AQ116" s="90"/>
      <c r="AR116" s="90"/>
      <c r="AS116" s="90"/>
      <c r="AT116" s="90"/>
      <c r="AU116" s="90"/>
      <c r="AV116" s="90"/>
    </row>
    <row r="117" spans="2:48" ht="25.2" customHeight="1" x14ac:dyDescent="0.2">
      <c r="B117" s="501" t="s">
        <v>780</v>
      </c>
      <c r="C117" s="1165" t="s">
        <v>1047</v>
      </c>
      <c r="D117" s="1166" t="s">
        <v>241</v>
      </c>
      <c r="E117" s="1125" t="s">
        <v>161</v>
      </c>
      <c r="F117" s="1125" t="s">
        <v>161</v>
      </c>
      <c r="G117" s="1092"/>
      <c r="H117" s="1092"/>
      <c r="I117" s="1092"/>
      <c r="J117" s="1125"/>
      <c r="K117" s="1125"/>
      <c r="L117" s="1125"/>
      <c r="M117" s="1125"/>
      <c r="N117" s="1092"/>
      <c r="O117" s="1092"/>
      <c r="P117" s="1115"/>
      <c r="Q117" s="324"/>
      <c r="R117" s="323"/>
      <c r="S117" s="323"/>
      <c r="T117" s="324"/>
      <c r="U117" s="324"/>
      <c r="V117" s="323"/>
      <c r="W117" s="324"/>
      <c r="X117" s="334"/>
      <c r="AB117" s="90"/>
      <c r="AC117" s="90"/>
      <c r="AD117" s="90"/>
      <c r="AE117" s="90"/>
      <c r="AF117" s="90"/>
      <c r="AG117" s="90"/>
      <c r="AH117" s="90"/>
      <c r="AI117" s="90"/>
      <c r="AJ117" s="90"/>
      <c r="AK117" s="90"/>
      <c r="AL117" s="90"/>
      <c r="AM117" s="90"/>
      <c r="AN117" s="90"/>
      <c r="AO117" s="90"/>
      <c r="AP117" s="90"/>
      <c r="AQ117" s="90"/>
      <c r="AR117" s="90"/>
      <c r="AS117" s="90"/>
      <c r="AT117" s="90"/>
      <c r="AU117" s="90"/>
      <c r="AV117" s="90"/>
    </row>
    <row r="118" spans="2:48" ht="25.2" customHeight="1" x14ac:dyDescent="0.2">
      <c r="B118" s="501" t="s">
        <v>781</v>
      </c>
      <c r="C118" s="321" t="s">
        <v>1048</v>
      </c>
      <c r="D118" s="322" t="s">
        <v>241</v>
      </c>
      <c r="E118" s="323" t="s">
        <v>161</v>
      </c>
      <c r="F118" s="323" t="s">
        <v>161</v>
      </c>
      <c r="G118" s="324"/>
      <c r="H118" s="324"/>
      <c r="I118" s="324"/>
      <c r="J118" s="323"/>
      <c r="K118" s="323"/>
      <c r="L118" s="323"/>
      <c r="M118" s="323"/>
      <c r="N118" s="324"/>
      <c r="O118" s="324"/>
      <c r="P118" s="1115"/>
      <c r="Q118" s="324"/>
      <c r="R118" s="323"/>
      <c r="S118" s="323"/>
      <c r="T118" s="324"/>
      <c r="U118" s="324"/>
      <c r="V118" s="323"/>
      <c r="W118" s="324"/>
      <c r="X118" s="334"/>
      <c r="AB118" s="90"/>
      <c r="AC118" s="90"/>
      <c r="AD118" s="90"/>
      <c r="AE118" s="90"/>
      <c r="AF118" s="90"/>
      <c r="AG118" s="90"/>
      <c r="AH118" s="90"/>
      <c r="AI118" s="90"/>
      <c r="AJ118" s="90"/>
      <c r="AK118" s="90"/>
      <c r="AL118" s="90"/>
      <c r="AM118" s="90"/>
      <c r="AN118" s="90"/>
      <c r="AO118" s="90"/>
      <c r="AP118" s="90"/>
      <c r="AQ118" s="90"/>
      <c r="AR118" s="90"/>
      <c r="AS118" s="90"/>
      <c r="AT118" s="90"/>
      <c r="AU118" s="90"/>
      <c r="AV118" s="90"/>
    </row>
    <row r="119" spans="2:48" ht="25.2" customHeight="1" x14ac:dyDescent="0.2">
      <c r="B119" s="501" t="s">
        <v>782</v>
      </c>
      <c r="C119" s="321" t="s">
        <v>1049</v>
      </c>
      <c r="D119" s="322" t="s">
        <v>242</v>
      </c>
      <c r="E119" s="323" t="s">
        <v>161</v>
      </c>
      <c r="F119" s="323" t="s">
        <v>161</v>
      </c>
      <c r="G119" s="324"/>
      <c r="H119" s="324"/>
      <c r="I119" s="324"/>
      <c r="J119" s="323"/>
      <c r="K119" s="323"/>
      <c r="L119" s="323"/>
      <c r="M119" s="323"/>
      <c r="N119" s="324"/>
      <c r="O119" s="324"/>
      <c r="P119" s="1115"/>
      <c r="Q119" s="324"/>
      <c r="R119" s="323"/>
      <c r="S119" s="323"/>
      <c r="T119" s="324"/>
      <c r="U119" s="324"/>
      <c r="V119" s="323"/>
      <c r="W119" s="324"/>
      <c r="X119" s="334"/>
      <c r="AB119" s="90"/>
      <c r="AC119" s="90"/>
      <c r="AD119" s="90"/>
      <c r="AE119" s="90"/>
      <c r="AF119" s="90"/>
      <c r="AG119" s="90"/>
      <c r="AH119" s="90"/>
      <c r="AI119" s="90"/>
      <c r="AJ119" s="90"/>
      <c r="AK119" s="90"/>
      <c r="AL119" s="1287"/>
      <c r="AM119" s="1287"/>
      <c r="AN119" s="1287"/>
      <c r="AO119" s="1287"/>
      <c r="AP119" s="90"/>
      <c r="AQ119" s="90"/>
      <c r="AR119" s="90"/>
      <c r="AS119" s="1287"/>
      <c r="AT119" s="1287"/>
      <c r="AU119" s="1287"/>
      <c r="AV119" s="1287"/>
    </row>
    <row r="120" spans="2:48" ht="25.2" customHeight="1" x14ac:dyDescent="0.2">
      <c r="B120" s="501" t="s">
        <v>783</v>
      </c>
      <c r="C120" s="321" t="s">
        <v>768</v>
      </c>
      <c r="D120" s="322" t="s">
        <v>242</v>
      </c>
      <c r="E120" s="323" t="s">
        <v>161</v>
      </c>
      <c r="F120" s="323" t="s">
        <v>161</v>
      </c>
      <c r="G120" s="324"/>
      <c r="H120" s="324"/>
      <c r="I120" s="324"/>
      <c r="J120" s="323"/>
      <c r="K120" s="323"/>
      <c r="L120" s="323"/>
      <c r="M120" s="323"/>
      <c r="N120" s="324"/>
      <c r="O120" s="324"/>
      <c r="P120" s="1050"/>
      <c r="Q120" s="324"/>
      <c r="R120" s="323"/>
      <c r="S120" s="323"/>
      <c r="T120" s="324"/>
      <c r="U120" s="324"/>
      <c r="V120" s="323"/>
      <c r="W120" s="324"/>
      <c r="X120" s="334"/>
      <c r="AB120" s="90"/>
      <c r="AC120" s="90"/>
      <c r="AD120" s="90"/>
      <c r="AE120" s="90"/>
      <c r="AF120" s="90"/>
      <c r="AG120" s="90"/>
      <c r="AH120" s="90"/>
      <c r="AI120" s="90"/>
      <c r="AJ120" s="90"/>
      <c r="AK120" s="90"/>
      <c r="AL120" s="90"/>
      <c r="AM120" s="90"/>
      <c r="AN120" s="90"/>
      <c r="AO120" s="90"/>
      <c r="AP120" s="90"/>
      <c r="AQ120" s="90"/>
      <c r="AR120" s="90"/>
      <c r="AS120" s="90"/>
      <c r="AT120" s="90"/>
      <c r="AU120" s="90"/>
      <c r="AV120" s="90"/>
    </row>
    <row r="121" spans="2:48" ht="25.2" customHeight="1" x14ac:dyDescent="0.2">
      <c r="B121" s="501" t="s">
        <v>812</v>
      </c>
      <c r="C121" s="321" t="s">
        <v>769</v>
      </c>
      <c r="D121" s="322" t="s">
        <v>242</v>
      </c>
      <c r="E121" s="323" t="s">
        <v>161</v>
      </c>
      <c r="F121" s="323" t="s">
        <v>161</v>
      </c>
      <c r="G121" s="324"/>
      <c r="H121" s="324"/>
      <c r="I121" s="324"/>
      <c r="J121" s="323"/>
      <c r="K121" s="323"/>
      <c r="L121" s="323"/>
      <c r="M121" s="323"/>
      <c r="N121" s="324"/>
      <c r="O121" s="324"/>
      <c r="P121" s="1050"/>
      <c r="Q121" s="324"/>
      <c r="R121" s="323"/>
      <c r="S121" s="323"/>
      <c r="T121" s="324"/>
      <c r="U121" s="324"/>
      <c r="V121" s="323"/>
      <c r="W121" s="324"/>
      <c r="X121" s="334"/>
      <c r="AB121" s="90"/>
      <c r="AC121" s="90"/>
      <c r="AD121" s="90"/>
      <c r="AE121" s="90"/>
      <c r="AF121" s="90"/>
      <c r="AG121" s="90"/>
      <c r="AH121" s="90"/>
      <c r="AI121" s="90"/>
      <c r="AJ121" s="90"/>
      <c r="AK121" s="90"/>
      <c r="AL121" s="90"/>
      <c r="AM121" s="90"/>
      <c r="AN121" s="90"/>
      <c r="AO121" s="90"/>
      <c r="AP121" s="90"/>
      <c r="AQ121" s="90"/>
      <c r="AR121" s="90"/>
      <c r="AS121" s="90"/>
      <c r="AT121" s="90"/>
      <c r="AU121" s="90"/>
      <c r="AV121" s="90"/>
    </row>
    <row r="122" spans="2:48" ht="25.2" customHeight="1" x14ac:dyDescent="0.2">
      <c r="B122" s="501" t="s">
        <v>1964</v>
      </c>
      <c r="C122" s="321" t="s">
        <v>770</v>
      </c>
      <c r="D122" s="322" t="s">
        <v>242</v>
      </c>
      <c r="E122" s="323" t="s">
        <v>161</v>
      </c>
      <c r="F122" s="323" t="s">
        <v>161</v>
      </c>
      <c r="G122" s="324"/>
      <c r="H122" s="324"/>
      <c r="I122" s="324"/>
      <c r="J122" s="323"/>
      <c r="K122" s="323"/>
      <c r="L122" s="323"/>
      <c r="M122" s="323"/>
      <c r="N122" s="324"/>
      <c r="O122" s="324"/>
      <c r="P122" s="1050"/>
      <c r="Q122" s="324"/>
      <c r="R122" s="323"/>
      <c r="S122" s="323"/>
      <c r="T122" s="324"/>
      <c r="U122" s="324"/>
      <c r="V122" s="323"/>
      <c r="W122" s="324"/>
      <c r="X122" s="334"/>
      <c r="AB122" s="90"/>
      <c r="AC122" s="90"/>
      <c r="AD122" s="90"/>
      <c r="AE122" s="90"/>
      <c r="AF122" s="90"/>
      <c r="AG122" s="90"/>
      <c r="AH122" s="90"/>
      <c r="AI122" s="90"/>
      <c r="AJ122" s="90"/>
      <c r="AK122" s="90"/>
      <c r="AL122" s="90"/>
      <c r="AM122" s="90"/>
      <c r="AN122" s="90"/>
      <c r="AO122" s="90"/>
      <c r="AP122" s="90"/>
      <c r="AQ122" s="90"/>
      <c r="AR122" s="90"/>
      <c r="AS122" s="90"/>
      <c r="AT122" s="90"/>
      <c r="AU122" s="90"/>
      <c r="AV122" s="90"/>
    </row>
    <row r="123" spans="2:48" ht="25.2" customHeight="1" x14ac:dyDescent="0.2">
      <c r="B123" s="501" t="s">
        <v>1965</v>
      </c>
      <c r="C123" s="321" t="s">
        <v>771</v>
      </c>
      <c r="D123" s="322" t="s">
        <v>242</v>
      </c>
      <c r="E123" s="323" t="s">
        <v>161</v>
      </c>
      <c r="F123" s="323" t="s">
        <v>161</v>
      </c>
      <c r="G123" s="324"/>
      <c r="H123" s="324"/>
      <c r="I123" s="324"/>
      <c r="J123" s="323"/>
      <c r="K123" s="323"/>
      <c r="L123" s="323"/>
      <c r="M123" s="323"/>
      <c r="N123" s="324"/>
      <c r="O123" s="324"/>
      <c r="P123" s="1087"/>
      <c r="Q123" s="324"/>
      <c r="R123" s="323"/>
      <c r="S123" s="323"/>
      <c r="T123" s="324"/>
      <c r="U123" s="324"/>
      <c r="V123" s="323"/>
      <c r="W123" s="324"/>
      <c r="X123" s="1126"/>
      <c r="AB123" s="90"/>
      <c r="AC123" s="90"/>
      <c r="AD123" s="90"/>
      <c r="AE123" s="90"/>
      <c r="AF123" s="90"/>
      <c r="AG123" s="90"/>
      <c r="AH123" s="90"/>
      <c r="AI123" s="90"/>
      <c r="AJ123" s="90"/>
      <c r="AK123" s="90"/>
      <c r="AL123" s="90"/>
      <c r="AM123" s="90"/>
      <c r="AN123" s="90"/>
      <c r="AO123" s="90"/>
      <c r="AP123" s="90"/>
      <c r="AQ123" s="90"/>
      <c r="AR123" s="90"/>
      <c r="AS123" s="90"/>
      <c r="AT123" s="90"/>
      <c r="AU123" s="90"/>
      <c r="AV123" s="90"/>
    </row>
    <row r="124" spans="2:48" ht="25.2" customHeight="1" x14ac:dyDescent="0.2">
      <c r="B124" s="501" t="s">
        <v>1966</v>
      </c>
      <c r="C124" s="1184" t="s">
        <v>1963</v>
      </c>
      <c r="D124" s="1185" t="s">
        <v>142</v>
      </c>
      <c r="E124" s="1173" t="s">
        <v>136</v>
      </c>
      <c r="F124" s="1173" t="s">
        <v>136</v>
      </c>
      <c r="G124" s="1174"/>
      <c r="H124" s="1174"/>
      <c r="I124" s="1174"/>
      <c r="J124" s="1173"/>
      <c r="K124" s="1173"/>
      <c r="L124" s="1173"/>
      <c r="M124" s="1173"/>
      <c r="N124" s="1174"/>
      <c r="O124" s="1174"/>
      <c r="P124" s="1173"/>
      <c r="Q124" s="1174" t="s">
        <v>161</v>
      </c>
      <c r="R124" s="383"/>
      <c r="S124" s="383"/>
      <c r="T124" s="384"/>
      <c r="U124" s="384"/>
      <c r="V124" s="383"/>
      <c r="W124" s="384"/>
      <c r="X124" s="1128"/>
      <c r="AB124" s="90"/>
      <c r="AC124" s="90"/>
      <c r="AD124" s="90"/>
      <c r="AE124" s="90"/>
      <c r="AF124" s="90"/>
      <c r="AG124" s="90"/>
      <c r="AH124" s="90"/>
      <c r="AI124" s="90"/>
      <c r="AJ124" s="90"/>
      <c r="AK124" s="90"/>
      <c r="AL124" s="90"/>
      <c r="AM124" s="90"/>
      <c r="AN124" s="90"/>
      <c r="AO124" s="90"/>
      <c r="AP124" s="90"/>
      <c r="AQ124" s="90"/>
      <c r="AR124" s="90"/>
      <c r="AS124" s="90"/>
      <c r="AT124" s="90"/>
      <c r="AU124" s="90"/>
      <c r="AV124" s="90"/>
    </row>
    <row r="125" spans="2:48" ht="25.2" customHeight="1" x14ac:dyDescent="0.2">
      <c r="B125" s="501" t="s">
        <v>1967</v>
      </c>
      <c r="C125" s="389" t="s">
        <v>108</v>
      </c>
      <c r="D125" s="382" t="s">
        <v>142</v>
      </c>
      <c r="E125" s="383" t="s">
        <v>136</v>
      </c>
      <c r="F125" s="383" t="s">
        <v>136</v>
      </c>
      <c r="G125" s="384"/>
      <c r="H125" s="384"/>
      <c r="I125" s="384"/>
      <c r="J125" s="383"/>
      <c r="K125" s="383"/>
      <c r="L125" s="383" t="s">
        <v>136</v>
      </c>
      <c r="M125" s="383"/>
      <c r="N125" s="384"/>
      <c r="O125" s="384"/>
      <c r="P125" s="1050"/>
      <c r="Q125" s="384"/>
      <c r="R125" s="383"/>
      <c r="S125" s="383"/>
      <c r="T125" s="384"/>
      <c r="U125" s="384"/>
      <c r="V125" s="383"/>
      <c r="W125" s="384"/>
      <c r="X125" s="385"/>
      <c r="AB125" s="90"/>
      <c r="AC125" s="90"/>
      <c r="AD125" s="90"/>
      <c r="AE125" s="90"/>
      <c r="AF125" s="90"/>
      <c r="AG125" s="90"/>
      <c r="AH125" s="90"/>
      <c r="AI125" s="90"/>
      <c r="AJ125" s="90"/>
      <c r="AK125" s="90"/>
      <c r="AL125" s="90"/>
      <c r="AM125" s="90"/>
      <c r="AN125" s="90"/>
      <c r="AO125" s="90"/>
      <c r="AP125" s="90"/>
      <c r="AQ125" s="90"/>
      <c r="AR125" s="90"/>
      <c r="AS125" s="90"/>
      <c r="AT125" s="90"/>
      <c r="AU125" s="90"/>
      <c r="AV125" s="90"/>
    </row>
    <row r="126" spans="2:48" ht="25.2" customHeight="1" x14ac:dyDescent="0.2">
      <c r="B126" s="502" t="s">
        <v>2078</v>
      </c>
      <c r="C126" s="330" t="s">
        <v>799</v>
      </c>
      <c r="D126" s="337" t="s">
        <v>142</v>
      </c>
      <c r="E126" s="331" t="s">
        <v>161</v>
      </c>
      <c r="F126" s="331" t="s">
        <v>161</v>
      </c>
      <c r="G126" s="332"/>
      <c r="H126" s="332"/>
      <c r="I126" s="332"/>
      <c r="J126" s="331"/>
      <c r="K126" s="331"/>
      <c r="L126" s="331"/>
      <c r="M126" s="331"/>
      <c r="N126" s="332"/>
      <c r="O126" s="332"/>
      <c r="P126" s="332"/>
      <c r="Q126" s="332"/>
      <c r="R126" s="331"/>
      <c r="S126" s="331"/>
      <c r="T126" s="332"/>
      <c r="U126" s="332"/>
      <c r="V126" s="331"/>
      <c r="W126" s="332"/>
      <c r="X126" s="333"/>
      <c r="Y126" s="1288"/>
      <c r="Z126" s="1288"/>
      <c r="AA126" s="94"/>
      <c r="AB126" s="94"/>
      <c r="AC126" s="94"/>
      <c r="AD126" s="94"/>
      <c r="AE126" s="94"/>
      <c r="AF126" s="94"/>
      <c r="AG126" s="94"/>
      <c r="AH126" s="1288"/>
      <c r="AI126" s="1288"/>
      <c r="AJ126" s="1288"/>
      <c r="AK126" s="1288"/>
      <c r="AL126" s="1288"/>
      <c r="AM126" s="1288"/>
      <c r="AN126" s="1288"/>
      <c r="AO126" s="1288"/>
      <c r="AP126" s="94"/>
      <c r="AQ126" s="94"/>
      <c r="AR126" s="94"/>
      <c r="AS126" s="1288"/>
      <c r="AT126" s="1288"/>
      <c r="AU126" s="1288"/>
      <c r="AV126" s="1288"/>
    </row>
    <row r="127" spans="2:48" x14ac:dyDescent="0.2">
      <c r="X127" s="98"/>
    </row>
    <row r="128" spans="2:48" s="89" customFormat="1" ht="14.4" x14ac:dyDescent="0.2">
      <c r="D128" s="86"/>
      <c r="Z128" s="90"/>
      <c r="AA128" s="90"/>
    </row>
    <row r="129" spans="2:52" s="89" customFormat="1" ht="16.2" x14ac:dyDescent="0.2">
      <c r="B129" s="301" t="s">
        <v>222</v>
      </c>
      <c r="D129" s="89" t="s">
        <v>272</v>
      </c>
      <c r="P129" s="1058"/>
      <c r="Z129" s="90"/>
      <c r="AA129" s="90"/>
    </row>
    <row r="130" spans="2:52" ht="36" customHeight="1" x14ac:dyDescent="0.2">
      <c r="B130" s="904" t="s">
        <v>203</v>
      </c>
      <c r="C130" s="316" t="s">
        <v>364</v>
      </c>
      <c r="D130" s="317" t="s">
        <v>363</v>
      </c>
      <c r="E130" s="318" t="s">
        <v>161</v>
      </c>
      <c r="F130" s="318" t="s">
        <v>161</v>
      </c>
      <c r="G130" s="319" t="s">
        <v>137</v>
      </c>
      <c r="H130" s="319"/>
      <c r="I130" s="319"/>
      <c r="J130" s="318"/>
      <c r="K130" s="318"/>
      <c r="L130" s="318"/>
      <c r="M130" s="318"/>
      <c r="N130" s="319"/>
      <c r="O130" s="319"/>
      <c r="P130" s="319"/>
      <c r="Q130" s="319"/>
      <c r="R130" s="318" t="s">
        <v>161</v>
      </c>
      <c r="S130" s="318"/>
      <c r="T130" s="319"/>
      <c r="U130" s="319"/>
      <c r="V130" s="318"/>
      <c r="W130" s="319"/>
      <c r="X130" s="320"/>
      <c r="AB130" s="90"/>
      <c r="AC130" s="90"/>
      <c r="AD130" s="90"/>
      <c r="AE130" s="90"/>
      <c r="AF130" s="90"/>
      <c r="AG130" s="90"/>
      <c r="AH130" s="90"/>
      <c r="AI130" s="90"/>
      <c r="AJ130" s="90"/>
      <c r="AK130" s="90"/>
      <c r="AL130" s="1287"/>
      <c r="AM130" s="1287"/>
      <c r="AN130" s="1287"/>
      <c r="AO130" s="1287"/>
      <c r="AP130" s="90"/>
      <c r="AQ130" s="90"/>
      <c r="AR130" s="90"/>
      <c r="AS130" s="1287"/>
      <c r="AT130" s="1287"/>
      <c r="AU130" s="1287"/>
      <c r="AV130" s="1287"/>
    </row>
    <row r="131" spans="2:52" ht="36" customHeight="1" x14ac:dyDescent="0.2">
      <c r="B131" s="905" t="s">
        <v>204</v>
      </c>
      <c r="C131" s="321" t="s">
        <v>365</v>
      </c>
      <c r="D131" s="322" t="s">
        <v>656</v>
      </c>
      <c r="E131" s="323" t="s">
        <v>161</v>
      </c>
      <c r="F131" s="323" t="s">
        <v>161</v>
      </c>
      <c r="G131" s="324" t="s">
        <v>137</v>
      </c>
      <c r="H131" s="324"/>
      <c r="I131" s="324"/>
      <c r="J131" s="323"/>
      <c r="K131" s="323"/>
      <c r="L131" s="323"/>
      <c r="M131" s="323"/>
      <c r="N131" s="324"/>
      <c r="O131" s="324"/>
      <c r="P131" s="324"/>
      <c r="Q131" s="324"/>
      <c r="R131" s="323"/>
      <c r="S131" s="323" t="s">
        <v>161</v>
      </c>
      <c r="T131" s="324"/>
      <c r="U131" s="324"/>
      <c r="V131" s="323"/>
      <c r="W131" s="324"/>
      <c r="X131" s="325"/>
      <c r="AB131" s="90"/>
      <c r="AC131" s="90"/>
      <c r="AD131" s="90"/>
      <c r="AE131" s="90"/>
      <c r="AF131" s="90"/>
      <c r="AG131" s="90"/>
      <c r="AH131" s="90"/>
      <c r="AI131" s="90"/>
      <c r="AJ131" s="90"/>
      <c r="AK131" s="90"/>
      <c r="AL131" s="90"/>
      <c r="AM131" s="90"/>
      <c r="AN131" s="90"/>
      <c r="AO131" s="90"/>
      <c r="AP131" s="90"/>
      <c r="AQ131" s="90"/>
      <c r="AR131" s="90"/>
      <c r="AS131" s="90"/>
      <c r="AT131" s="90"/>
      <c r="AU131" s="90"/>
      <c r="AV131" s="90"/>
    </row>
    <row r="132" spans="2:52" ht="36" customHeight="1" x14ac:dyDescent="0.2">
      <c r="B132" s="905" t="s">
        <v>205</v>
      </c>
      <c r="C132" s="321" t="s">
        <v>361</v>
      </c>
      <c r="D132" s="322" t="s">
        <v>251</v>
      </c>
      <c r="E132" s="323" t="s">
        <v>161</v>
      </c>
      <c r="F132" s="323" t="s">
        <v>161</v>
      </c>
      <c r="G132" s="324" t="s">
        <v>137</v>
      </c>
      <c r="H132" s="324"/>
      <c r="I132" s="324"/>
      <c r="J132" s="323"/>
      <c r="K132" s="323"/>
      <c r="L132" s="323"/>
      <c r="M132" s="323"/>
      <c r="N132" s="324"/>
      <c r="O132" s="324"/>
      <c r="P132" s="324"/>
      <c r="Q132" s="324"/>
      <c r="R132" s="323" t="s">
        <v>2039</v>
      </c>
      <c r="S132" s="323" t="s">
        <v>2039</v>
      </c>
      <c r="T132" s="324"/>
      <c r="U132" s="324"/>
      <c r="V132" s="323"/>
      <c r="W132" s="324"/>
      <c r="X132" s="325" t="s">
        <v>2050</v>
      </c>
      <c r="AB132" s="90"/>
      <c r="AC132" s="90"/>
      <c r="AD132" s="90"/>
      <c r="AE132" s="90"/>
      <c r="AF132" s="90"/>
      <c r="AG132" s="90"/>
      <c r="AH132" s="90"/>
      <c r="AI132" s="90"/>
      <c r="AJ132" s="90"/>
      <c r="AK132" s="90"/>
      <c r="AL132" s="90"/>
      <c r="AM132" s="90"/>
      <c r="AN132" s="90"/>
      <c r="AO132" s="90"/>
      <c r="AP132" s="90"/>
      <c r="AQ132" s="90"/>
      <c r="AR132" s="90"/>
      <c r="AS132" s="90"/>
      <c r="AT132" s="90"/>
      <c r="AU132" s="90"/>
      <c r="AV132" s="90"/>
    </row>
    <row r="133" spans="2:52" ht="25.2" customHeight="1" x14ac:dyDescent="0.2">
      <c r="B133" s="905" t="s">
        <v>206</v>
      </c>
      <c r="C133" s="328" t="s">
        <v>105</v>
      </c>
      <c r="D133" s="329" t="s">
        <v>142</v>
      </c>
      <c r="E133" s="323" t="s">
        <v>136</v>
      </c>
      <c r="F133" s="323" t="s">
        <v>161</v>
      </c>
      <c r="G133" s="324" t="s">
        <v>137</v>
      </c>
      <c r="H133" s="324"/>
      <c r="I133" s="324"/>
      <c r="J133" s="323"/>
      <c r="K133" s="323"/>
      <c r="L133" s="323"/>
      <c r="M133" s="323"/>
      <c r="N133" s="324"/>
      <c r="O133" s="324"/>
      <c r="P133" s="324"/>
      <c r="Q133" s="324"/>
      <c r="R133" s="323"/>
      <c r="S133" s="323"/>
      <c r="T133" s="324"/>
      <c r="U133" s="324"/>
      <c r="V133" s="323"/>
      <c r="W133" s="324"/>
      <c r="X133" s="325" t="s">
        <v>2016</v>
      </c>
      <c r="Z133" s="90"/>
      <c r="AA133" s="90"/>
      <c r="AB133" s="94"/>
      <c r="AC133" s="94"/>
      <c r="AD133" s="94"/>
      <c r="AE133" s="94"/>
      <c r="AF133" s="94"/>
      <c r="AG133" s="94"/>
      <c r="AH133" s="1288"/>
      <c r="AI133" s="1288"/>
      <c r="AJ133" s="1288"/>
      <c r="AK133" s="1288"/>
      <c r="AL133" s="1288"/>
      <c r="AM133" s="1288"/>
      <c r="AN133" s="1288"/>
      <c r="AO133" s="1288"/>
      <c r="AP133" s="94"/>
      <c r="AQ133" s="94"/>
      <c r="AR133" s="94"/>
      <c r="AS133" s="1288"/>
      <c r="AT133" s="1288"/>
      <c r="AU133" s="1288"/>
      <c r="AV133" s="1288"/>
    </row>
    <row r="134" spans="2:52" ht="25.2" customHeight="1" x14ac:dyDescent="0.2">
      <c r="B134" s="905" t="s">
        <v>207</v>
      </c>
      <c r="C134" s="328" t="s">
        <v>90</v>
      </c>
      <c r="D134" s="329" t="s">
        <v>142</v>
      </c>
      <c r="E134" s="323" t="s">
        <v>136</v>
      </c>
      <c r="F134" s="323" t="s">
        <v>161</v>
      </c>
      <c r="G134" s="324" t="s">
        <v>137</v>
      </c>
      <c r="H134" s="324"/>
      <c r="I134" s="324"/>
      <c r="J134" s="323"/>
      <c r="K134" s="323"/>
      <c r="L134" s="323"/>
      <c r="M134" s="323"/>
      <c r="N134" s="324"/>
      <c r="O134" s="324"/>
      <c r="P134" s="324"/>
      <c r="Q134" s="324"/>
      <c r="R134" s="323"/>
      <c r="S134" s="323"/>
      <c r="T134" s="324"/>
      <c r="U134" s="324"/>
      <c r="V134" s="323"/>
      <c r="W134" s="324"/>
      <c r="X134" s="325" t="s">
        <v>2012</v>
      </c>
      <c r="Z134" s="90"/>
      <c r="AA134" s="90"/>
      <c r="AB134" s="94"/>
      <c r="AC134" s="94"/>
      <c r="AD134" s="94"/>
      <c r="AE134" s="94"/>
      <c r="AF134" s="94"/>
      <c r="AG134" s="94"/>
      <c r="AH134" s="1288"/>
      <c r="AI134" s="1288"/>
      <c r="AJ134" s="1288"/>
      <c r="AK134" s="1288"/>
      <c r="AL134" s="1288"/>
      <c r="AM134" s="1288"/>
      <c r="AN134" s="1288"/>
      <c r="AO134" s="1288"/>
      <c r="AP134" s="94"/>
      <c r="AQ134" s="94"/>
      <c r="AR134" s="94"/>
      <c r="AS134" s="1288"/>
      <c r="AT134" s="1288"/>
      <c r="AU134" s="1288"/>
      <c r="AV134" s="1288"/>
    </row>
    <row r="135" spans="2:52" s="542" customFormat="1" ht="25.2" customHeight="1" x14ac:dyDescent="0.2">
      <c r="B135" s="905" t="s">
        <v>208</v>
      </c>
      <c r="C135" s="1225" t="s">
        <v>106</v>
      </c>
      <c r="D135" s="1226" t="s">
        <v>142</v>
      </c>
      <c r="E135" s="1227" t="s">
        <v>161</v>
      </c>
      <c r="F135" s="1227" t="s">
        <v>161</v>
      </c>
      <c r="G135" s="1227"/>
      <c r="H135" s="1228"/>
      <c r="I135" s="1229"/>
      <c r="J135" s="1230"/>
      <c r="K135" s="1229"/>
      <c r="L135" s="1229"/>
      <c r="M135" s="1229"/>
      <c r="N135" s="1229"/>
      <c r="O135" s="1230"/>
      <c r="P135" s="1230"/>
      <c r="Q135" s="1229"/>
      <c r="R135" s="1230"/>
      <c r="S135" s="1229"/>
      <c r="T135" s="1229"/>
      <c r="U135" s="1229"/>
      <c r="V135" s="1229"/>
      <c r="W135" s="1229"/>
      <c r="X135" s="1230"/>
      <c r="AF135" s="1038"/>
      <c r="AG135" s="1038"/>
      <c r="AH135" s="1038"/>
      <c r="AI135" s="1038"/>
      <c r="AJ135" s="1038"/>
      <c r="AK135" s="1038"/>
      <c r="AL135" s="1038"/>
      <c r="AM135" s="1038"/>
      <c r="AN135" s="1038"/>
      <c r="AO135" s="1038"/>
      <c r="AP135" s="1038"/>
      <c r="AQ135" s="1038"/>
      <c r="AR135" s="1038"/>
      <c r="AS135" s="1038"/>
      <c r="AT135" s="1038"/>
      <c r="AU135" s="1038"/>
      <c r="AV135" s="1038"/>
      <c r="AW135" s="1038"/>
      <c r="AX135" s="1038"/>
      <c r="AY135" s="1292"/>
      <c r="AZ135" s="1292"/>
    </row>
    <row r="136" spans="2:52" ht="25.2" customHeight="1" x14ac:dyDescent="0.2">
      <c r="B136" s="905" t="s">
        <v>209</v>
      </c>
      <c r="C136" s="328" t="s">
        <v>91</v>
      </c>
      <c r="D136" s="329" t="s">
        <v>243</v>
      </c>
      <c r="E136" s="323" t="s">
        <v>161</v>
      </c>
      <c r="F136" s="323" t="s">
        <v>161</v>
      </c>
      <c r="G136" s="324"/>
      <c r="H136" s="324"/>
      <c r="I136" s="324"/>
      <c r="J136" s="323"/>
      <c r="K136" s="323"/>
      <c r="L136" s="323"/>
      <c r="M136" s="323"/>
      <c r="N136" s="324"/>
      <c r="O136" s="324"/>
      <c r="P136" s="1050"/>
      <c r="Q136" s="324"/>
      <c r="R136" s="323"/>
      <c r="S136" s="323"/>
      <c r="T136" s="324"/>
      <c r="U136" s="324"/>
      <c r="V136" s="323"/>
      <c r="W136" s="324"/>
      <c r="X136" s="325"/>
      <c r="Z136" s="90"/>
      <c r="AA136" s="90"/>
      <c r="AB136" s="94"/>
      <c r="AC136" s="94"/>
      <c r="AD136" s="94"/>
      <c r="AE136" s="94"/>
      <c r="AF136" s="94"/>
      <c r="AG136" s="94"/>
      <c r="AH136" s="1288"/>
      <c r="AI136" s="1288"/>
      <c r="AJ136" s="1288"/>
      <c r="AK136" s="1288"/>
      <c r="AL136" s="1288"/>
      <c r="AM136" s="1288"/>
      <c r="AN136" s="1288"/>
      <c r="AO136" s="1288"/>
      <c r="AP136" s="94"/>
      <c r="AQ136" s="94"/>
      <c r="AR136" s="94"/>
      <c r="AS136" s="1288"/>
      <c r="AT136" s="1288"/>
      <c r="AU136" s="1288"/>
      <c r="AV136" s="1288"/>
    </row>
    <row r="137" spans="2:52" ht="25.2" customHeight="1" x14ac:dyDescent="0.2">
      <c r="B137" s="905" t="s">
        <v>210</v>
      </c>
      <c r="C137" s="1169" t="s">
        <v>1819</v>
      </c>
      <c r="D137" s="1170" t="s">
        <v>142</v>
      </c>
      <c r="E137" s="1125" t="s">
        <v>136</v>
      </c>
      <c r="F137" s="323" t="s">
        <v>161</v>
      </c>
      <c r="G137" s="1092"/>
      <c r="H137" s="324"/>
      <c r="I137" s="324"/>
      <c r="J137" s="323"/>
      <c r="K137" s="323"/>
      <c r="L137" s="323"/>
      <c r="M137" s="323"/>
      <c r="N137" s="324"/>
      <c r="O137" s="324"/>
      <c r="P137" s="1050"/>
      <c r="Q137" s="324"/>
      <c r="R137" s="323"/>
      <c r="S137" s="323"/>
      <c r="T137" s="324"/>
      <c r="U137" s="324"/>
      <c r="V137" s="323"/>
      <c r="W137" s="324"/>
      <c r="X137" s="325"/>
      <c r="Z137" s="90"/>
      <c r="AA137" s="90"/>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2:52" ht="25.2" customHeight="1" x14ac:dyDescent="0.2">
      <c r="B138" s="905" t="s">
        <v>211</v>
      </c>
      <c r="C138" s="1169" t="s">
        <v>1850</v>
      </c>
      <c r="D138" s="1170" t="s">
        <v>142</v>
      </c>
      <c r="E138" s="1125" t="s">
        <v>136</v>
      </c>
      <c r="F138" s="323" t="s">
        <v>161</v>
      </c>
      <c r="G138" s="1092"/>
      <c r="H138" s="324"/>
      <c r="I138" s="324"/>
      <c r="J138" s="323"/>
      <c r="K138" s="323"/>
      <c r="L138" s="323"/>
      <c r="M138" s="323"/>
      <c r="N138" s="324"/>
      <c r="O138" s="324"/>
      <c r="P138" s="1050"/>
      <c r="Q138" s="324"/>
      <c r="R138" s="323"/>
      <c r="S138" s="323"/>
      <c r="T138" s="324"/>
      <c r="U138" s="324"/>
      <c r="V138" s="323"/>
      <c r="W138" s="324"/>
      <c r="X138" s="325"/>
      <c r="Z138" s="90"/>
      <c r="AA138" s="90"/>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2:52" ht="25.2" customHeight="1" x14ac:dyDescent="0.2">
      <c r="B139" s="905" t="s">
        <v>212</v>
      </c>
      <c r="C139" s="1169" t="s">
        <v>246</v>
      </c>
      <c r="D139" s="1170" t="s">
        <v>142</v>
      </c>
      <c r="E139" s="1125" t="s">
        <v>136</v>
      </c>
      <c r="F139" s="323" t="s">
        <v>161</v>
      </c>
      <c r="G139" s="1092"/>
      <c r="H139" s="324"/>
      <c r="I139" s="324"/>
      <c r="J139" s="323"/>
      <c r="K139" s="323"/>
      <c r="L139" s="323"/>
      <c r="M139" s="323"/>
      <c r="N139" s="324"/>
      <c r="O139" s="324"/>
      <c r="P139" s="1050"/>
      <c r="Q139" s="324"/>
      <c r="R139" s="323"/>
      <c r="S139" s="323"/>
      <c r="T139" s="324"/>
      <c r="U139" s="324"/>
      <c r="V139" s="323"/>
      <c r="W139" s="324"/>
      <c r="X139" s="1126"/>
      <c r="Z139" s="90"/>
      <c r="AA139" s="90"/>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2:52" ht="25.2" customHeight="1" x14ac:dyDescent="0.2">
      <c r="B140" s="905" t="s">
        <v>213</v>
      </c>
      <c r="C140" s="328" t="s">
        <v>248</v>
      </c>
      <c r="D140" s="329" t="s">
        <v>142</v>
      </c>
      <c r="E140" s="323" t="s">
        <v>136</v>
      </c>
      <c r="F140" s="323" t="s">
        <v>161</v>
      </c>
      <c r="G140" s="324"/>
      <c r="H140" s="324"/>
      <c r="I140" s="324"/>
      <c r="J140" s="323"/>
      <c r="K140" s="323"/>
      <c r="L140" s="323"/>
      <c r="M140" s="323"/>
      <c r="N140" s="324"/>
      <c r="O140" s="324"/>
      <c r="P140" s="1050"/>
      <c r="Q140" s="324"/>
      <c r="R140" s="323"/>
      <c r="S140" s="323"/>
      <c r="T140" s="324"/>
      <c r="U140" s="324"/>
      <c r="V140" s="323"/>
      <c r="W140" s="324"/>
      <c r="X140" s="1126"/>
      <c r="Z140" s="90"/>
      <c r="AA140" s="90"/>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2:52" ht="25.2" customHeight="1" x14ac:dyDescent="0.2">
      <c r="B141" s="905" t="s">
        <v>214</v>
      </c>
      <c r="C141" s="328" t="s">
        <v>148</v>
      </c>
      <c r="D141" s="329" t="s">
        <v>142</v>
      </c>
      <c r="E141" s="323" t="s">
        <v>136</v>
      </c>
      <c r="F141" s="323" t="s">
        <v>161</v>
      </c>
      <c r="G141" s="335"/>
      <c r="H141" s="335"/>
      <c r="I141" s="335"/>
      <c r="J141" s="336"/>
      <c r="K141" s="336"/>
      <c r="L141" s="336"/>
      <c r="M141" s="336"/>
      <c r="N141" s="335"/>
      <c r="O141" s="335"/>
      <c r="P141" s="1050"/>
      <c r="Q141" s="335"/>
      <c r="R141" s="336"/>
      <c r="S141" s="336"/>
      <c r="T141" s="335"/>
      <c r="U141" s="335"/>
      <c r="V141" s="336"/>
      <c r="W141" s="335"/>
      <c r="X141" s="1127"/>
      <c r="Y141" s="1288"/>
      <c r="Z141" s="1288"/>
      <c r="AA141" s="94"/>
      <c r="AB141" s="94"/>
      <c r="AC141" s="94"/>
      <c r="AD141" s="94"/>
      <c r="AE141" s="94"/>
      <c r="AF141" s="94"/>
      <c r="AG141" s="94"/>
      <c r="AH141" s="1288"/>
      <c r="AI141" s="1288"/>
      <c r="AJ141" s="1288"/>
      <c r="AK141" s="1288"/>
      <c r="AL141" s="1288"/>
      <c r="AM141" s="1288"/>
      <c r="AN141" s="1288"/>
      <c r="AO141" s="1288"/>
      <c r="AP141" s="94"/>
      <c r="AQ141" s="94"/>
      <c r="AR141" s="94"/>
      <c r="AS141" s="1288"/>
      <c r="AT141" s="1288"/>
      <c r="AU141" s="1288"/>
      <c r="AV141" s="1288"/>
    </row>
    <row r="142" spans="2:52" ht="25.2" customHeight="1" x14ac:dyDescent="0.2">
      <c r="B142" s="905" t="s">
        <v>468</v>
      </c>
      <c r="C142" s="328" t="s">
        <v>112</v>
      </c>
      <c r="D142" s="329" t="s">
        <v>142</v>
      </c>
      <c r="E142" s="323" t="s">
        <v>136</v>
      </c>
      <c r="F142" s="323" t="s">
        <v>161</v>
      </c>
      <c r="G142" s="335"/>
      <c r="H142" s="335"/>
      <c r="I142" s="335"/>
      <c r="J142" s="336"/>
      <c r="K142" s="336"/>
      <c r="L142" s="336"/>
      <c r="M142" s="336"/>
      <c r="N142" s="335"/>
      <c r="O142" s="335"/>
      <c r="P142" s="1115"/>
      <c r="Q142" s="335"/>
      <c r="R142" s="336"/>
      <c r="S142" s="336"/>
      <c r="T142" s="335"/>
      <c r="U142" s="335"/>
      <c r="V142" s="336"/>
      <c r="W142" s="335"/>
      <c r="X142" s="1127"/>
      <c r="Y142" s="1288"/>
      <c r="Z142" s="1288"/>
      <c r="AA142" s="94"/>
      <c r="AB142" s="94"/>
      <c r="AC142" s="94"/>
      <c r="AD142" s="94"/>
      <c r="AE142" s="94"/>
      <c r="AF142" s="94"/>
      <c r="AG142" s="94"/>
      <c r="AH142" s="1288"/>
      <c r="AI142" s="1288"/>
      <c r="AJ142" s="1288"/>
      <c r="AK142" s="1288"/>
      <c r="AL142" s="1288"/>
      <c r="AM142" s="1288"/>
      <c r="AN142" s="1288"/>
      <c r="AO142" s="1288"/>
      <c r="AP142" s="94"/>
      <c r="AQ142" s="94"/>
      <c r="AR142" s="94"/>
      <c r="AS142" s="1288"/>
      <c r="AT142" s="1288"/>
      <c r="AU142" s="1288"/>
      <c r="AV142" s="1288"/>
    </row>
    <row r="143" spans="2:52" ht="25.2" customHeight="1" x14ac:dyDescent="0.2">
      <c r="B143" s="905" t="s">
        <v>469</v>
      </c>
      <c r="C143" s="328" t="s">
        <v>107</v>
      </c>
      <c r="D143" s="329" t="s">
        <v>142</v>
      </c>
      <c r="E143" s="323" t="s">
        <v>136</v>
      </c>
      <c r="F143" s="323" t="s">
        <v>161</v>
      </c>
      <c r="G143" s="324"/>
      <c r="H143" s="324"/>
      <c r="I143" s="324"/>
      <c r="J143" s="323"/>
      <c r="K143" s="323"/>
      <c r="L143" s="323"/>
      <c r="M143" s="323"/>
      <c r="N143" s="324"/>
      <c r="O143" s="324"/>
      <c r="P143" s="1115"/>
      <c r="Q143" s="324"/>
      <c r="R143" s="323"/>
      <c r="S143" s="323"/>
      <c r="T143" s="324"/>
      <c r="U143" s="324"/>
      <c r="V143" s="323"/>
      <c r="W143" s="324"/>
      <c r="X143" s="325"/>
      <c r="Y143" s="1288"/>
      <c r="Z143" s="1288"/>
      <c r="AA143" s="94"/>
      <c r="AB143" s="94"/>
      <c r="AC143" s="94"/>
      <c r="AD143" s="94"/>
      <c r="AE143" s="94"/>
      <c r="AF143" s="94"/>
      <c r="AG143" s="94"/>
      <c r="AH143" s="1288"/>
      <c r="AI143" s="1288"/>
      <c r="AJ143" s="1288"/>
      <c r="AK143" s="1288"/>
      <c r="AL143" s="1288"/>
      <c r="AM143" s="1288"/>
      <c r="AN143" s="1288"/>
      <c r="AO143" s="1288"/>
      <c r="AP143" s="94"/>
      <c r="AQ143" s="94"/>
      <c r="AR143" s="94"/>
      <c r="AS143" s="1288"/>
      <c r="AT143" s="1288"/>
      <c r="AU143" s="1288"/>
      <c r="AV143" s="1288"/>
    </row>
    <row r="144" spans="2:52" ht="25.2" customHeight="1" x14ac:dyDescent="0.2">
      <c r="B144" s="905" t="s">
        <v>470</v>
      </c>
      <c r="C144" s="328" t="s">
        <v>141</v>
      </c>
      <c r="D144" s="329" t="s">
        <v>142</v>
      </c>
      <c r="E144" s="323" t="s">
        <v>136</v>
      </c>
      <c r="F144" s="323" t="s">
        <v>161</v>
      </c>
      <c r="G144" s="324"/>
      <c r="H144" s="324"/>
      <c r="I144" s="324" t="s">
        <v>161</v>
      </c>
      <c r="J144" s="323"/>
      <c r="K144" s="323"/>
      <c r="L144" s="323"/>
      <c r="M144" s="323"/>
      <c r="N144" s="324"/>
      <c r="O144" s="324"/>
      <c r="P144" s="1115"/>
      <c r="Q144" s="324"/>
      <c r="R144" s="323"/>
      <c r="S144" s="323"/>
      <c r="T144" s="324"/>
      <c r="U144" s="324"/>
      <c r="V144" s="323"/>
      <c r="W144" s="324"/>
      <c r="X144" s="325"/>
      <c r="Y144" s="1288"/>
      <c r="Z144" s="1288"/>
      <c r="AA144" s="94"/>
      <c r="AB144" s="94"/>
      <c r="AC144" s="94"/>
      <c r="AD144" s="94"/>
      <c r="AE144" s="94"/>
      <c r="AF144" s="94"/>
      <c r="AG144" s="94"/>
      <c r="AH144" s="1288"/>
      <c r="AI144" s="1288"/>
      <c r="AJ144" s="1288"/>
      <c r="AK144" s="1288"/>
      <c r="AL144" s="1288"/>
      <c r="AM144" s="1288"/>
      <c r="AN144" s="1288"/>
      <c r="AO144" s="1288"/>
      <c r="AP144" s="94"/>
      <c r="AQ144" s="94"/>
      <c r="AR144" s="94"/>
      <c r="AS144" s="1288"/>
      <c r="AT144" s="1288"/>
      <c r="AU144" s="1288"/>
      <c r="AV144" s="1288"/>
    </row>
    <row r="145" spans="2:54" ht="25.2" customHeight="1" x14ac:dyDescent="0.2">
      <c r="B145" s="905" t="s">
        <v>784</v>
      </c>
      <c r="C145" s="321" t="s">
        <v>1046</v>
      </c>
      <c r="D145" s="322" t="s">
        <v>241</v>
      </c>
      <c r="E145" s="323" t="s">
        <v>161</v>
      </c>
      <c r="F145" s="323" t="s">
        <v>161</v>
      </c>
      <c r="G145" s="324"/>
      <c r="H145" s="324"/>
      <c r="I145" s="324"/>
      <c r="J145" s="323"/>
      <c r="K145" s="323"/>
      <c r="L145" s="323"/>
      <c r="M145" s="323"/>
      <c r="N145" s="324"/>
      <c r="O145" s="324"/>
      <c r="P145" s="1050"/>
      <c r="Q145" s="324"/>
      <c r="R145" s="323"/>
      <c r="S145" s="323"/>
      <c r="T145" s="324"/>
      <c r="U145" s="324"/>
      <c r="V145" s="323"/>
      <c r="W145" s="324"/>
      <c r="X145" s="334"/>
      <c r="AB145" s="90"/>
      <c r="AC145" s="90"/>
      <c r="AD145" s="90"/>
      <c r="AE145" s="90"/>
      <c r="AF145" s="90"/>
      <c r="AG145" s="90"/>
      <c r="AH145" s="90"/>
      <c r="AI145" s="90"/>
      <c r="AJ145" s="90"/>
      <c r="AK145" s="90"/>
      <c r="AL145" s="90"/>
      <c r="AM145" s="90"/>
      <c r="AN145" s="90"/>
      <c r="AO145" s="90"/>
      <c r="AP145" s="90"/>
      <c r="AQ145" s="90"/>
      <c r="AR145" s="90"/>
      <c r="AS145" s="90"/>
      <c r="AT145" s="90"/>
      <c r="AU145" s="90"/>
      <c r="AV145" s="90"/>
    </row>
    <row r="146" spans="2:54" ht="25.2" customHeight="1" x14ac:dyDescent="0.2">
      <c r="B146" s="905" t="s">
        <v>785</v>
      </c>
      <c r="C146" s="321" t="s">
        <v>1047</v>
      </c>
      <c r="D146" s="322" t="s">
        <v>241</v>
      </c>
      <c r="E146" s="323" t="s">
        <v>161</v>
      </c>
      <c r="F146" s="323" t="s">
        <v>161</v>
      </c>
      <c r="G146" s="324"/>
      <c r="H146" s="324"/>
      <c r="I146" s="324"/>
      <c r="J146" s="323"/>
      <c r="K146" s="323"/>
      <c r="L146" s="323"/>
      <c r="M146" s="323"/>
      <c r="N146" s="324"/>
      <c r="O146" s="324"/>
      <c r="P146" s="1050"/>
      <c r="Q146" s="324"/>
      <c r="R146" s="323"/>
      <c r="S146" s="323"/>
      <c r="T146" s="324"/>
      <c r="U146" s="324"/>
      <c r="V146" s="323"/>
      <c r="W146" s="324"/>
      <c r="X146" s="334"/>
      <c r="AB146" s="90"/>
      <c r="AC146" s="90"/>
      <c r="AD146" s="90"/>
      <c r="AE146" s="90"/>
      <c r="AF146" s="90"/>
      <c r="AG146" s="90"/>
      <c r="AH146" s="90"/>
      <c r="AI146" s="90"/>
      <c r="AJ146" s="90"/>
      <c r="AK146" s="90"/>
      <c r="AL146" s="90"/>
      <c r="AM146" s="90"/>
      <c r="AN146" s="90"/>
      <c r="AO146" s="90"/>
      <c r="AP146" s="90"/>
      <c r="AQ146" s="90"/>
      <c r="AR146" s="90"/>
      <c r="AS146" s="90"/>
      <c r="AT146" s="90"/>
      <c r="AU146" s="90"/>
      <c r="AV146" s="90"/>
    </row>
    <row r="147" spans="2:54" ht="25.2" customHeight="1" x14ac:dyDescent="0.2">
      <c r="B147" s="905" t="s">
        <v>786</v>
      </c>
      <c r="C147" s="321" t="s">
        <v>1048</v>
      </c>
      <c r="D147" s="322" t="s">
        <v>241</v>
      </c>
      <c r="E147" s="323" t="s">
        <v>161</v>
      </c>
      <c r="F147" s="323" t="s">
        <v>161</v>
      </c>
      <c r="G147" s="324"/>
      <c r="H147" s="324"/>
      <c r="I147" s="324"/>
      <c r="J147" s="323"/>
      <c r="K147" s="323"/>
      <c r="L147" s="323"/>
      <c r="M147" s="323"/>
      <c r="N147" s="324"/>
      <c r="O147" s="324"/>
      <c r="P147" s="1115"/>
      <c r="Q147" s="324"/>
      <c r="R147" s="323"/>
      <c r="S147" s="323"/>
      <c r="T147" s="324"/>
      <c r="U147" s="324"/>
      <c r="V147" s="323"/>
      <c r="W147" s="324"/>
      <c r="X147" s="334"/>
      <c r="AB147" s="90"/>
      <c r="AC147" s="90"/>
      <c r="AD147" s="90"/>
      <c r="AE147" s="90"/>
      <c r="AF147" s="90"/>
      <c r="AG147" s="90"/>
      <c r="AH147" s="90"/>
      <c r="AI147" s="90"/>
      <c r="AJ147" s="90"/>
      <c r="AK147" s="90"/>
      <c r="AL147" s="90"/>
      <c r="AM147" s="90"/>
      <c r="AN147" s="90"/>
      <c r="AO147" s="90"/>
      <c r="AP147" s="90"/>
      <c r="AQ147" s="90"/>
      <c r="AR147" s="90"/>
      <c r="AS147" s="90"/>
      <c r="AT147" s="90"/>
      <c r="AU147" s="90"/>
      <c r="AV147" s="90"/>
    </row>
    <row r="148" spans="2:54" ht="25.2" customHeight="1" x14ac:dyDescent="0.2">
      <c r="B148" s="905" t="s">
        <v>787</v>
      </c>
      <c r="C148" s="321" t="s">
        <v>1049</v>
      </c>
      <c r="D148" s="322" t="s">
        <v>242</v>
      </c>
      <c r="E148" s="323" t="s">
        <v>161</v>
      </c>
      <c r="F148" s="323" t="s">
        <v>161</v>
      </c>
      <c r="G148" s="324"/>
      <c r="H148" s="324"/>
      <c r="I148" s="324"/>
      <c r="J148" s="323"/>
      <c r="K148" s="323"/>
      <c r="L148" s="323"/>
      <c r="M148" s="323"/>
      <c r="N148" s="324"/>
      <c r="O148" s="324"/>
      <c r="P148" s="1050"/>
      <c r="Q148" s="324"/>
      <c r="R148" s="323"/>
      <c r="S148" s="323"/>
      <c r="T148" s="324"/>
      <c r="U148" s="324"/>
      <c r="V148" s="323"/>
      <c r="W148" s="324"/>
      <c r="X148" s="334"/>
      <c r="AB148" s="90"/>
      <c r="AC148" s="90"/>
      <c r="AD148" s="90"/>
      <c r="AE148" s="90"/>
      <c r="AF148" s="90"/>
      <c r="AG148" s="90"/>
      <c r="AH148" s="90"/>
      <c r="AI148" s="90"/>
      <c r="AJ148" s="90"/>
      <c r="AK148" s="90"/>
      <c r="AL148" s="1287"/>
      <c r="AM148" s="1287"/>
      <c r="AN148" s="1287"/>
      <c r="AO148" s="1287"/>
      <c r="AP148" s="90"/>
      <c r="AQ148" s="90"/>
      <c r="AR148" s="90"/>
      <c r="AS148" s="1287"/>
      <c r="AT148" s="1287"/>
      <c r="AU148" s="1287"/>
      <c r="AV148" s="1287"/>
    </row>
    <row r="149" spans="2:54" ht="25.2" customHeight="1" x14ac:dyDescent="0.2">
      <c r="B149" s="905" t="s">
        <v>788</v>
      </c>
      <c r="C149" s="321" t="s">
        <v>768</v>
      </c>
      <c r="D149" s="322" t="s">
        <v>242</v>
      </c>
      <c r="E149" s="323" t="s">
        <v>161</v>
      </c>
      <c r="F149" s="323" t="s">
        <v>161</v>
      </c>
      <c r="G149" s="324"/>
      <c r="H149" s="324"/>
      <c r="I149" s="324"/>
      <c r="J149" s="323"/>
      <c r="K149" s="323"/>
      <c r="L149" s="323"/>
      <c r="M149" s="323"/>
      <c r="N149" s="324"/>
      <c r="O149" s="324"/>
      <c r="P149" s="1115"/>
      <c r="Q149" s="324"/>
      <c r="R149" s="323"/>
      <c r="S149" s="323"/>
      <c r="T149" s="324"/>
      <c r="U149" s="324"/>
      <c r="V149" s="323"/>
      <c r="W149" s="324"/>
      <c r="X149" s="334"/>
      <c r="AB149" s="90"/>
      <c r="AC149" s="90"/>
      <c r="AD149" s="90"/>
      <c r="AE149" s="90"/>
      <c r="AF149" s="90"/>
      <c r="AG149" s="90"/>
      <c r="AH149" s="90"/>
      <c r="AI149" s="90"/>
      <c r="AJ149" s="90"/>
      <c r="AK149" s="90"/>
      <c r="AL149" s="90"/>
      <c r="AM149" s="90"/>
      <c r="AN149" s="90"/>
      <c r="AO149" s="90"/>
      <c r="AP149" s="90"/>
      <c r="AQ149" s="90"/>
      <c r="AR149" s="90"/>
      <c r="AS149" s="90"/>
      <c r="AT149" s="90"/>
      <c r="AU149" s="90"/>
      <c r="AV149" s="90"/>
    </row>
    <row r="150" spans="2:54" ht="25.2" customHeight="1" x14ac:dyDescent="0.2">
      <c r="B150" s="905" t="s">
        <v>789</v>
      </c>
      <c r="C150" s="321" t="s">
        <v>769</v>
      </c>
      <c r="D150" s="322" t="s">
        <v>242</v>
      </c>
      <c r="E150" s="323" t="s">
        <v>161</v>
      </c>
      <c r="F150" s="323" t="s">
        <v>161</v>
      </c>
      <c r="G150" s="324"/>
      <c r="H150" s="324"/>
      <c r="I150" s="324"/>
      <c r="J150" s="323"/>
      <c r="K150" s="323"/>
      <c r="L150" s="323"/>
      <c r="M150" s="323"/>
      <c r="N150" s="324"/>
      <c r="O150" s="324"/>
      <c r="P150" s="1050"/>
      <c r="Q150" s="324"/>
      <c r="R150" s="323"/>
      <c r="S150" s="323"/>
      <c r="T150" s="324"/>
      <c r="U150" s="324"/>
      <c r="V150" s="323"/>
      <c r="W150" s="324"/>
      <c r="X150" s="334"/>
      <c r="AB150" s="90"/>
      <c r="AC150" s="90"/>
      <c r="AD150" s="90"/>
      <c r="AE150" s="90"/>
      <c r="AF150" s="90"/>
      <c r="AG150" s="90"/>
      <c r="AH150" s="90"/>
      <c r="AI150" s="90"/>
      <c r="AJ150" s="90"/>
      <c r="AK150" s="90"/>
      <c r="AL150" s="90"/>
      <c r="AM150" s="90"/>
      <c r="AN150" s="90"/>
      <c r="AO150" s="90"/>
      <c r="AP150" s="90"/>
      <c r="AQ150" s="90"/>
      <c r="AR150" s="90"/>
      <c r="AS150" s="90"/>
      <c r="AT150" s="90"/>
      <c r="AU150" s="90"/>
      <c r="AV150" s="90"/>
    </row>
    <row r="151" spans="2:54" ht="25.2" customHeight="1" x14ac:dyDescent="0.2">
      <c r="B151" s="905" t="s">
        <v>813</v>
      </c>
      <c r="C151" s="321" t="s">
        <v>770</v>
      </c>
      <c r="D151" s="322" t="s">
        <v>242</v>
      </c>
      <c r="E151" s="323" t="s">
        <v>161</v>
      </c>
      <c r="F151" s="323" t="s">
        <v>161</v>
      </c>
      <c r="G151" s="324"/>
      <c r="H151" s="324"/>
      <c r="I151" s="324"/>
      <c r="J151" s="323"/>
      <c r="K151" s="323"/>
      <c r="L151" s="323"/>
      <c r="M151" s="323"/>
      <c r="N151" s="324"/>
      <c r="O151" s="324"/>
      <c r="P151" s="1050"/>
      <c r="Q151" s="324"/>
      <c r="R151" s="323"/>
      <c r="S151" s="323"/>
      <c r="T151" s="324"/>
      <c r="U151" s="324"/>
      <c r="V151" s="323"/>
      <c r="W151" s="324"/>
      <c r="X151" s="334"/>
      <c r="AB151" s="90"/>
      <c r="AC151" s="90"/>
      <c r="AD151" s="90"/>
      <c r="AE151" s="90"/>
      <c r="AF151" s="90"/>
      <c r="AG151" s="90"/>
      <c r="AH151" s="90"/>
      <c r="AI151" s="90"/>
      <c r="AJ151" s="90"/>
      <c r="AK151" s="90"/>
      <c r="AL151" s="90"/>
      <c r="AM151" s="90"/>
      <c r="AN151" s="90"/>
      <c r="AO151" s="90"/>
      <c r="AP151" s="90"/>
      <c r="AQ151" s="90"/>
      <c r="AR151" s="90"/>
      <c r="AS151" s="90"/>
      <c r="AT151" s="90"/>
      <c r="AU151" s="90"/>
      <c r="AV151" s="90"/>
    </row>
    <row r="152" spans="2:54" ht="25.2" customHeight="1" x14ac:dyDescent="0.2">
      <c r="B152" s="905" t="s">
        <v>2008</v>
      </c>
      <c r="C152" s="321" t="s">
        <v>771</v>
      </c>
      <c r="D152" s="322" t="s">
        <v>242</v>
      </c>
      <c r="E152" s="323" t="s">
        <v>161</v>
      </c>
      <c r="F152" s="323" t="s">
        <v>161</v>
      </c>
      <c r="G152" s="324"/>
      <c r="H152" s="324"/>
      <c r="I152" s="324"/>
      <c r="J152" s="323"/>
      <c r="K152" s="323"/>
      <c r="L152" s="323"/>
      <c r="M152" s="323"/>
      <c r="N152" s="324"/>
      <c r="O152" s="324"/>
      <c r="P152" s="324"/>
      <c r="Q152" s="1087"/>
      <c r="R152" s="323"/>
      <c r="S152" s="323"/>
      <c r="T152" s="324"/>
      <c r="U152" s="324"/>
      <c r="V152" s="323"/>
      <c r="W152" s="324"/>
      <c r="X152" s="1131"/>
      <c r="AB152" s="90"/>
      <c r="AC152" s="90"/>
      <c r="AD152" s="90"/>
      <c r="AE152" s="90"/>
      <c r="AF152" s="90"/>
      <c r="AG152" s="90"/>
      <c r="AH152" s="90"/>
      <c r="AI152" s="90"/>
      <c r="AJ152" s="90"/>
      <c r="AK152" s="90"/>
      <c r="AL152" s="90"/>
      <c r="AM152" s="90"/>
      <c r="AN152" s="90"/>
      <c r="AO152" s="90"/>
      <c r="AP152" s="90"/>
      <c r="AQ152" s="90"/>
      <c r="AR152" s="90"/>
      <c r="AS152" s="90"/>
      <c r="AT152" s="90"/>
      <c r="AU152" s="90"/>
      <c r="AV152" s="90"/>
    </row>
    <row r="153" spans="2:54" ht="25.2" customHeight="1" x14ac:dyDescent="0.2">
      <c r="B153" s="905" t="s">
        <v>2009</v>
      </c>
      <c r="C153" s="1184" t="s">
        <v>1963</v>
      </c>
      <c r="D153" s="1185" t="s">
        <v>142</v>
      </c>
      <c r="E153" s="1173" t="s">
        <v>136</v>
      </c>
      <c r="F153" s="323" t="s">
        <v>161</v>
      </c>
      <c r="G153" s="1174"/>
      <c r="H153" s="1174"/>
      <c r="I153" s="1174"/>
      <c r="J153" s="1173"/>
      <c r="K153" s="1173"/>
      <c r="L153" s="1173"/>
      <c r="M153" s="1173"/>
      <c r="N153" s="1174"/>
      <c r="O153" s="1174"/>
      <c r="P153" s="1173"/>
      <c r="Q153" s="1174" t="s">
        <v>161</v>
      </c>
      <c r="R153" s="383"/>
      <c r="S153" s="383"/>
      <c r="T153" s="384"/>
      <c r="U153" s="384"/>
      <c r="V153" s="383"/>
      <c r="W153" s="384"/>
      <c r="X153" s="1128"/>
      <c r="AB153" s="90"/>
      <c r="AC153" s="90"/>
      <c r="AD153" s="90"/>
      <c r="AE153" s="90"/>
      <c r="AF153" s="90"/>
      <c r="AG153" s="90"/>
      <c r="AH153" s="90"/>
      <c r="AI153" s="90"/>
      <c r="AJ153" s="90"/>
      <c r="AK153" s="90"/>
      <c r="AL153" s="90"/>
      <c r="AM153" s="90"/>
      <c r="AN153" s="90"/>
      <c r="AO153" s="90"/>
      <c r="AP153" s="90"/>
      <c r="AQ153" s="90"/>
      <c r="AR153" s="90"/>
      <c r="AS153" s="90"/>
      <c r="AT153" s="90"/>
      <c r="AU153" s="90"/>
      <c r="AV153" s="90"/>
    </row>
    <row r="154" spans="2:54" ht="25.2" customHeight="1" x14ac:dyDescent="0.2">
      <c r="B154" s="905" t="s">
        <v>2010</v>
      </c>
      <c r="C154" s="1184" t="s">
        <v>108</v>
      </c>
      <c r="D154" s="1185" t="s">
        <v>142</v>
      </c>
      <c r="E154" s="1173" t="s">
        <v>136</v>
      </c>
      <c r="F154" s="323" t="s">
        <v>161</v>
      </c>
      <c r="G154" s="1174"/>
      <c r="H154" s="1174"/>
      <c r="I154" s="1174"/>
      <c r="J154" s="1173"/>
      <c r="K154" s="1173"/>
      <c r="L154" s="1173" t="s">
        <v>136</v>
      </c>
      <c r="M154" s="1173"/>
      <c r="N154" s="1174"/>
      <c r="O154" s="1174"/>
      <c r="P154" s="1174"/>
      <c r="Q154" s="1125"/>
      <c r="R154" s="383"/>
      <c r="S154" s="383"/>
      <c r="T154" s="384"/>
      <c r="U154" s="384"/>
      <c r="V154" s="383"/>
      <c r="W154" s="384"/>
      <c r="X154" s="385"/>
      <c r="AB154" s="90"/>
      <c r="AC154" s="90"/>
      <c r="AD154" s="90"/>
      <c r="AE154" s="90"/>
      <c r="AF154" s="90"/>
      <c r="AG154" s="90"/>
      <c r="AH154" s="90"/>
      <c r="AI154" s="90"/>
      <c r="AJ154" s="90"/>
      <c r="AK154" s="90"/>
      <c r="AL154" s="90"/>
      <c r="AM154" s="90"/>
      <c r="AN154" s="90"/>
      <c r="AO154" s="90"/>
      <c r="AP154" s="90"/>
      <c r="AQ154" s="90"/>
      <c r="AR154" s="90"/>
      <c r="AS154" s="90"/>
      <c r="AT154" s="90"/>
      <c r="AU154" s="90"/>
      <c r="AV154" s="90"/>
    </row>
    <row r="155" spans="2:54" ht="25.2" customHeight="1" x14ac:dyDescent="0.2">
      <c r="B155" s="906" t="s">
        <v>2079</v>
      </c>
      <c r="C155" s="330" t="s">
        <v>799</v>
      </c>
      <c r="D155" s="337" t="s">
        <v>142</v>
      </c>
      <c r="E155" s="331" t="s">
        <v>161</v>
      </c>
      <c r="F155" s="331" t="s">
        <v>161</v>
      </c>
      <c r="G155" s="332"/>
      <c r="H155" s="332"/>
      <c r="I155" s="332"/>
      <c r="J155" s="331"/>
      <c r="K155" s="331"/>
      <c r="L155" s="331"/>
      <c r="M155" s="331"/>
      <c r="N155" s="332"/>
      <c r="O155" s="332"/>
      <c r="P155" s="332"/>
      <c r="Q155" s="332"/>
      <c r="R155" s="331"/>
      <c r="S155" s="331"/>
      <c r="T155" s="332"/>
      <c r="U155" s="332"/>
      <c r="V155" s="331"/>
      <c r="W155" s="332"/>
      <c r="X155" s="333"/>
      <c r="Y155" s="1288"/>
      <c r="Z155" s="1288"/>
      <c r="AA155" s="94"/>
      <c r="AB155" s="94"/>
      <c r="AC155" s="94"/>
      <c r="AD155" s="94"/>
      <c r="AE155" s="94"/>
      <c r="AF155" s="94"/>
      <c r="AG155" s="94"/>
      <c r="AH155" s="1288"/>
      <c r="AI155" s="1288"/>
      <c r="AJ155" s="1288"/>
      <c r="AK155" s="1288"/>
      <c r="AL155" s="1288"/>
      <c r="AM155" s="1288"/>
      <c r="AN155" s="1288"/>
      <c r="AO155" s="1288"/>
      <c r="AP155" s="94"/>
      <c r="AQ155" s="94"/>
      <c r="AR155" s="94"/>
      <c r="AS155" s="1288"/>
      <c r="AT155" s="1288"/>
      <c r="AU155" s="1288"/>
      <c r="AV155" s="1288"/>
    </row>
    <row r="156" spans="2:54" x14ac:dyDescent="0.2">
      <c r="X156" s="98"/>
    </row>
    <row r="157" spans="2:54" s="542" customFormat="1" ht="15" customHeight="1" x14ac:dyDescent="0.2">
      <c r="C157" s="1037"/>
      <c r="D157" s="1037"/>
      <c r="AD157" s="1038"/>
      <c r="AE157" s="1038"/>
    </row>
    <row r="158" spans="2:54" s="1039" customFormat="1" ht="16.2" x14ac:dyDescent="0.2">
      <c r="B158" s="1040" t="s">
        <v>1816</v>
      </c>
      <c r="C158" s="1041"/>
      <c r="D158" s="1041" t="s">
        <v>1817</v>
      </c>
      <c r="E158" s="1041"/>
      <c r="F158" s="1041"/>
      <c r="G158" s="1041"/>
      <c r="H158" s="1041"/>
      <c r="I158" s="1041"/>
      <c r="J158" s="1041"/>
      <c r="K158" s="1041"/>
      <c r="L158" s="1041"/>
      <c r="M158" s="1041"/>
      <c r="N158" s="1041"/>
      <c r="O158" s="1041"/>
      <c r="P158" s="1058"/>
      <c r="Q158" s="1041"/>
      <c r="R158" s="1041"/>
      <c r="S158" s="1041"/>
      <c r="T158" s="1041"/>
      <c r="U158" s="1041"/>
      <c r="V158" s="1041"/>
      <c r="W158" s="1041"/>
      <c r="X158" s="1041"/>
      <c r="AD158" s="1038"/>
      <c r="AE158" s="1038"/>
    </row>
    <row r="159" spans="2:54" s="542" customFormat="1" ht="25.2" customHeight="1" x14ac:dyDescent="0.2">
      <c r="B159" s="500" t="s">
        <v>1818</v>
      </c>
      <c r="C159" s="1191" t="s">
        <v>1819</v>
      </c>
      <c r="D159" s="1176" t="s">
        <v>142</v>
      </c>
      <c r="E159" s="1151" t="s">
        <v>161</v>
      </c>
      <c r="F159" s="1151" t="s">
        <v>161</v>
      </c>
      <c r="G159" s="1164"/>
      <c r="H159" s="1151"/>
      <c r="I159" s="1151"/>
      <c r="J159" s="1151"/>
      <c r="K159" s="1164"/>
      <c r="L159" s="1151"/>
      <c r="M159" s="1151"/>
      <c r="N159" s="1151"/>
      <c r="O159" s="1151"/>
      <c r="P159" s="1043"/>
      <c r="Q159" s="1043"/>
      <c r="R159" s="1043"/>
      <c r="S159" s="1045"/>
      <c r="T159" s="1045"/>
      <c r="U159" s="1046"/>
      <c r="V159" s="1046"/>
      <c r="W159" s="1046"/>
      <c r="X159" s="1042"/>
      <c r="AF159" s="1038"/>
      <c r="AG159" s="1038"/>
      <c r="AH159" s="1038"/>
      <c r="AI159" s="1038"/>
      <c r="AJ159" s="1038"/>
      <c r="AK159" s="1038"/>
      <c r="AL159" s="1038"/>
      <c r="AM159" s="1038"/>
      <c r="AN159" s="1038"/>
      <c r="AO159" s="1038"/>
      <c r="AP159" s="1038"/>
      <c r="AQ159" s="1038"/>
      <c r="AR159" s="1038"/>
      <c r="AS159" s="1038"/>
      <c r="AT159" s="1038"/>
      <c r="AU159" s="1038"/>
      <c r="AV159" s="1038"/>
      <c r="AW159" s="1038"/>
      <c r="AX159" s="1038"/>
      <c r="AY159" s="1038"/>
      <c r="AZ159" s="1038"/>
    </row>
    <row r="160" spans="2:54" s="542" customFormat="1" ht="25.2" customHeight="1" x14ac:dyDescent="0.2">
      <c r="B160" s="1047" t="s">
        <v>1820</v>
      </c>
      <c r="C160" s="1225" t="s">
        <v>1850</v>
      </c>
      <c r="D160" s="1231" t="s">
        <v>142</v>
      </c>
      <c r="E160" s="1227" t="s">
        <v>161</v>
      </c>
      <c r="F160" s="1227" t="s">
        <v>161</v>
      </c>
      <c r="G160" s="1227"/>
      <c r="H160" s="1228"/>
      <c r="I160" s="1227"/>
      <c r="J160" s="1228"/>
      <c r="K160" s="1229"/>
      <c r="L160" s="1229"/>
      <c r="M160" s="1229"/>
      <c r="N160" s="1229"/>
      <c r="O160" s="1230"/>
      <c r="P160" s="1230"/>
      <c r="Q160" s="1229"/>
      <c r="R160" s="1230"/>
      <c r="S160" s="1229"/>
      <c r="T160" s="1229"/>
      <c r="U160" s="1229"/>
      <c r="V160" s="1229"/>
      <c r="W160" s="1229"/>
      <c r="X160" s="1230"/>
      <c r="AH160" s="1038"/>
      <c r="AI160" s="1038"/>
      <c r="AJ160" s="1038"/>
      <c r="AK160" s="1038"/>
      <c r="AL160" s="1038"/>
      <c r="AM160" s="1038"/>
      <c r="AN160" s="1038"/>
      <c r="AO160" s="1038"/>
      <c r="AP160" s="1038"/>
      <c r="AQ160" s="1038"/>
      <c r="AR160" s="1038"/>
      <c r="AS160" s="1038"/>
      <c r="AT160" s="1038"/>
      <c r="AU160" s="1038"/>
      <c r="AV160" s="1038"/>
      <c r="AW160" s="1038"/>
      <c r="AX160" s="1038"/>
      <c r="AY160" s="1038"/>
      <c r="AZ160" s="1038"/>
      <c r="BA160" s="1038"/>
      <c r="BB160" s="1038"/>
    </row>
    <row r="161" spans="2:54" s="542" customFormat="1" ht="25.2" customHeight="1" x14ac:dyDescent="0.2">
      <c r="B161" s="1047" t="s">
        <v>1822</v>
      </c>
      <c r="C161" s="1188" t="s">
        <v>1821</v>
      </c>
      <c r="D161" s="1189" t="s">
        <v>142</v>
      </c>
      <c r="E161" s="1187" t="s">
        <v>136</v>
      </c>
      <c r="F161" s="1187" t="s">
        <v>136</v>
      </c>
      <c r="G161" s="1186"/>
      <c r="H161" s="1187"/>
      <c r="I161" s="1187"/>
      <c r="J161" s="1187"/>
      <c r="K161" s="1186"/>
      <c r="L161" s="1187"/>
      <c r="M161" s="1187"/>
      <c r="N161" s="1187"/>
      <c r="O161" s="1187"/>
      <c r="P161" s="1046"/>
      <c r="Q161" s="1046"/>
      <c r="R161" s="1046"/>
      <c r="S161" s="1045"/>
      <c r="T161" s="1045"/>
      <c r="U161" s="1046"/>
      <c r="V161" s="1046"/>
      <c r="W161" s="1046"/>
      <c r="X161" s="1045"/>
      <c r="AD161" s="1038"/>
      <c r="AE161" s="1038"/>
      <c r="AF161" s="1048"/>
      <c r="AG161" s="1048"/>
      <c r="AH161" s="1048"/>
      <c r="AI161" s="1048"/>
      <c r="AJ161" s="1048"/>
      <c r="AK161" s="1048"/>
      <c r="AL161" s="1308"/>
      <c r="AM161" s="1308"/>
      <c r="AN161" s="1308"/>
      <c r="AO161" s="1308"/>
      <c r="AP161" s="1308"/>
      <c r="AQ161" s="1308"/>
      <c r="AR161" s="1308"/>
      <c r="AS161" s="1308"/>
      <c r="AT161" s="1048"/>
      <c r="AU161" s="1048"/>
      <c r="AV161" s="1048"/>
      <c r="AW161" s="1308"/>
      <c r="AX161" s="1308"/>
      <c r="AY161" s="1308"/>
      <c r="AZ161" s="1308"/>
    </row>
    <row r="162" spans="2:54" s="542" customFormat="1" ht="25.2" customHeight="1" x14ac:dyDescent="0.2">
      <c r="B162" s="1047" t="s">
        <v>1823</v>
      </c>
      <c r="C162" s="1190" t="s">
        <v>1343</v>
      </c>
      <c r="D162" s="1167" t="s">
        <v>142</v>
      </c>
      <c r="E162" s="1125" t="s">
        <v>136</v>
      </c>
      <c r="F162" s="1125" t="s">
        <v>136</v>
      </c>
      <c r="G162" s="1092"/>
      <c r="H162" s="1125"/>
      <c r="I162" s="1125"/>
      <c r="J162" s="1125"/>
      <c r="K162" s="1092"/>
      <c r="L162" s="1125"/>
      <c r="M162" s="1125"/>
      <c r="N162" s="1125"/>
      <c r="O162" s="1125"/>
      <c r="P162" s="1050"/>
      <c r="Q162" s="1050"/>
      <c r="R162" s="1050"/>
      <c r="S162" s="1051"/>
      <c r="T162" s="1051"/>
      <c r="U162" s="1050"/>
      <c r="V162" s="1050"/>
      <c r="W162" s="1050"/>
      <c r="X162" s="1051"/>
      <c r="AD162" s="1038"/>
      <c r="AE162" s="1038"/>
      <c r="AF162" s="1048"/>
      <c r="AG162" s="1048"/>
      <c r="AH162" s="1048"/>
      <c r="AI162" s="1048"/>
      <c r="AJ162" s="1048"/>
      <c r="AK162" s="1048"/>
      <c r="AL162" s="1308"/>
      <c r="AM162" s="1308"/>
      <c r="AN162" s="1308"/>
      <c r="AO162" s="1308"/>
      <c r="AP162" s="1308"/>
      <c r="AQ162" s="1308"/>
      <c r="AR162" s="1308"/>
      <c r="AS162" s="1308"/>
      <c r="AT162" s="1048"/>
      <c r="AU162" s="1048"/>
      <c r="AV162" s="1048"/>
      <c r="AW162" s="1308"/>
      <c r="AX162" s="1308"/>
      <c r="AY162" s="1308"/>
      <c r="AZ162" s="1308"/>
    </row>
    <row r="163" spans="2:54" s="542" customFormat="1" ht="25.2" customHeight="1" x14ac:dyDescent="0.2">
      <c r="B163" s="1047" t="s">
        <v>1825</v>
      </c>
      <c r="C163" s="1190" t="s">
        <v>1824</v>
      </c>
      <c r="D163" s="1167" t="s">
        <v>142</v>
      </c>
      <c r="E163" s="1125" t="s">
        <v>161</v>
      </c>
      <c r="F163" s="1125" t="s">
        <v>161</v>
      </c>
      <c r="G163" s="1092"/>
      <c r="H163" s="1125"/>
      <c r="I163" s="1125"/>
      <c r="J163" s="1125"/>
      <c r="K163" s="1092"/>
      <c r="L163" s="1125"/>
      <c r="M163" s="1125"/>
      <c r="N163" s="1125"/>
      <c r="O163" s="1125"/>
      <c r="P163" s="1050"/>
      <c r="Q163" s="1050"/>
      <c r="R163" s="1050"/>
      <c r="S163" s="1051"/>
      <c r="T163" s="1051"/>
      <c r="U163" s="1050"/>
      <c r="V163" s="1050"/>
      <c r="W163" s="1050"/>
      <c r="X163" s="1051"/>
      <c r="AD163" s="1038"/>
      <c r="AE163" s="1038"/>
      <c r="AF163" s="1048"/>
      <c r="AG163" s="1048"/>
      <c r="AH163" s="1048"/>
      <c r="AI163" s="1048"/>
      <c r="AJ163" s="1048"/>
      <c r="AK163" s="1048"/>
      <c r="AL163" s="1308"/>
      <c r="AM163" s="1308"/>
      <c r="AN163" s="1308"/>
      <c r="AO163" s="1308"/>
      <c r="AP163" s="1308"/>
      <c r="AQ163" s="1308"/>
      <c r="AR163" s="1308"/>
      <c r="AS163" s="1308"/>
      <c r="AT163" s="1048"/>
      <c r="AU163" s="1048"/>
      <c r="AV163" s="1048"/>
      <c r="AW163" s="1308"/>
      <c r="AX163" s="1308"/>
      <c r="AY163" s="1308"/>
      <c r="AZ163" s="1308"/>
    </row>
    <row r="164" spans="2:54" s="542" customFormat="1" ht="25.2" customHeight="1" x14ac:dyDescent="0.2">
      <c r="B164" s="1047" t="s">
        <v>1826</v>
      </c>
      <c r="C164" s="1169" t="s">
        <v>145</v>
      </c>
      <c r="D164" s="1167" t="s">
        <v>142</v>
      </c>
      <c r="E164" s="1125" t="s">
        <v>161</v>
      </c>
      <c r="F164" s="1125" t="s">
        <v>161</v>
      </c>
      <c r="G164" s="1092"/>
      <c r="H164" s="1125"/>
      <c r="I164" s="1125"/>
      <c r="J164" s="1125"/>
      <c r="K164" s="1092"/>
      <c r="L164" s="1125"/>
      <c r="M164" s="1125"/>
      <c r="N164" s="1125"/>
      <c r="O164" s="1125"/>
      <c r="P164" s="1046"/>
      <c r="Q164" s="1050"/>
      <c r="R164" s="1051"/>
      <c r="S164" s="1051"/>
      <c r="T164" s="1051"/>
      <c r="U164" s="1050"/>
      <c r="V164" s="1050"/>
      <c r="W164" s="1050"/>
      <c r="X164" s="1051"/>
      <c r="AD164" s="1038"/>
      <c r="AE164" s="1038"/>
      <c r="AF164" s="1048"/>
      <c r="AG164" s="1048"/>
      <c r="AH164" s="1048"/>
      <c r="AI164" s="1048"/>
      <c r="AJ164" s="1048"/>
      <c r="AK164" s="1048"/>
      <c r="AL164" s="1308"/>
      <c r="AM164" s="1308"/>
      <c r="AN164" s="1308"/>
      <c r="AO164" s="1308"/>
      <c r="AP164" s="1308"/>
      <c r="AQ164" s="1308"/>
      <c r="AR164" s="1308"/>
      <c r="AS164" s="1308"/>
      <c r="AT164" s="1048"/>
      <c r="AU164" s="1048"/>
      <c r="AV164" s="1048"/>
      <c r="AW164" s="1308"/>
      <c r="AX164" s="1308"/>
      <c r="AY164" s="1308"/>
      <c r="AZ164" s="1308"/>
    </row>
    <row r="165" spans="2:54" s="542" customFormat="1" ht="25.2" customHeight="1" x14ac:dyDescent="0.2">
      <c r="B165" s="1047" t="s">
        <v>1827</v>
      </c>
      <c r="C165" s="1165" t="s">
        <v>1250</v>
      </c>
      <c r="D165" s="1167" t="s">
        <v>142</v>
      </c>
      <c r="E165" s="1125" t="s">
        <v>161</v>
      </c>
      <c r="F165" s="1125" t="s">
        <v>161</v>
      </c>
      <c r="G165" s="1092"/>
      <c r="H165" s="1125"/>
      <c r="I165" s="1125"/>
      <c r="J165" s="1125"/>
      <c r="K165" s="1092"/>
      <c r="L165" s="1125"/>
      <c r="M165" s="1125"/>
      <c r="N165" s="1125"/>
      <c r="O165" s="1125"/>
      <c r="P165" s="1050"/>
      <c r="Q165" s="1050"/>
      <c r="R165" s="1051"/>
      <c r="S165" s="1051"/>
      <c r="T165" s="1051"/>
      <c r="U165" s="1050"/>
      <c r="V165" s="1050"/>
      <c r="W165" s="1050"/>
      <c r="X165" s="1051"/>
      <c r="AD165" s="1038"/>
      <c r="AE165" s="103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row>
    <row r="166" spans="2:54" s="542" customFormat="1" ht="25.2" customHeight="1" x14ac:dyDescent="0.2">
      <c r="B166" s="1047" t="s">
        <v>1829</v>
      </c>
      <c r="C166" s="1165" t="s">
        <v>1828</v>
      </c>
      <c r="D166" s="1167" t="s">
        <v>142</v>
      </c>
      <c r="E166" s="1125" t="s">
        <v>161</v>
      </c>
      <c r="F166" s="1125" t="s">
        <v>161</v>
      </c>
      <c r="G166" s="1092"/>
      <c r="H166" s="1125" t="s">
        <v>161</v>
      </c>
      <c r="I166" s="1125"/>
      <c r="J166" s="1125"/>
      <c r="K166" s="1092"/>
      <c r="L166" s="1125"/>
      <c r="M166" s="1125"/>
      <c r="N166" s="1125"/>
      <c r="O166" s="1125"/>
      <c r="P166" s="1050"/>
      <c r="Q166" s="1050"/>
      <c r="R166" s="1051"/>
      <c r="S166" s="1051"/>
      <c r="T166" s="1051"/>
      <c r="U166" s="1050"/>
      <c r="V166" s="1050"/>
      <c r="W166" s="1050"/>
      <c r="X166" s="1240"/>
      <c r="AF166" s="1038"/>
      <c r="AG166" s="1038"/>
      <c r="AH166" s="1038"/>
      <c r="AI166" s="1038"/>
      <c r="AJ166" s="1038"/>
      <c r="AK166" s="1038"/>
      <c r="AL166" s="1038"/>
      <c r="AM166" s="1038"/>
      <c r="AN166" s="1038"/>
      <c r="AO166" s="1038"/>
      <c r="AP166" s="1038"/>
      <c r="AQ166" s="1038"/>
      <c r="AR166" s="1038"/>
      <c r="AS166" s="1038"/>
      <c r="AT166" s="1038"/>
      <c r="AU166" s="1038"/>
      <c r="AV166" s="1038"/>
      <c r="AW166" s="1038"/>
      <c r="AX166" s="1038"/>
      <c r="AY166" s="1038"/>
      <c r="AZ166" s="1038"/>
    </row>
    <row r="167" spans="2:54" s="542" customFormat="1" ht="25.2" customHeight="1" x14ac:dyDescent="0.2">
      <c r="B167" s="1047" t="s">
        <v>1831</v>
      </c>
      <c r="C167" s="1165" t="s">
        <v>1830</v>
      </c>
      <c r="D167" s="1167" t="s">
        <v>142</v>
      </c>
      <c r="E167" s="1125" t="s">
        <v>161</v>
      </c>
      <c r="F167" s="1125" t="s">
        <v>161</v>
      </c>
      <c r="G167" s="1092"/>
      <c r="H167" s="1125"/>
      <c r="I167" s="1125"/>
      <c r="J167" s="1125"/>
      <c r="K167" s="1092"/>
      <c r="L167" s="1092"/>
      <c r="M167" s="1125" t="s">
        <v>161</v>
      </c>
      <c r="N167" s="1125"/>
      <c r="O167" s="1125"/>
      <c r="P167" s="1050"/>
      <c r="Q167" s="1050"/>
      <c r="R167" s="1051"/>
      <c r="S167" s="1051"/>
      <c r="T167" s="1051"/>
      <c r="U167" s="1050"/>
      <c r="V167" s="1050"/>
      <c r="W167" s="1050"/>
      <c r="X167" s="1051"/>
      <c r="AF167" s="1038"/>
      <c r="AG167" s="1038"/>
      <c r="AH167" s="1038"/>
      <c r="AI167" s="1038"/>
      <c r="AJ167" s="1038"/>
      <c r="AK167" s="1038"/>
      <c r="AL167" s="1038"/>
      <c r="AM167" s="1038"/>
      <c r="AN167" s="1038"/>
      <c r="AO167" s="1038"/>
      <c r="AP167" s="1038"/>
      <c r="AQ167" s="1038"/>
      <c r="AR167" s="1038"/>
      <c r="AS167" s="1038"/>
      <c r="AT167" s="1038"/>
      <c r="AU167" s="1038"/>
      <c r="AV167" s="1038"/>
      <c r="AW167" s="1038"/>
      <c r="AX167" s="1038"/>
      <c r="AY167" s="1038"/>
      <c r="AZ167" s="1038"/>
    </row>
    <row r="168" spans="2:54" s="542" customFormat="1" ht="25.2" customHeight="1" x14ac:dyDescent="0.2">
      <c r="B168" s="1047" t="s">
        <v>1832</v>
      </c>
      <c r="C168" s="1167" t="s">
        <v>108</v>
      </c>
      <c r="D168" s="1169" t="s">
        <v>142</v>
      </c>
      <c r="E168" s="1125" t="s">
        <v>161</v>
      </c>
      <c r="F168" s="1125" t="s">
        <v>161</v>
      </c>
      <c r="G168" s="1092"/>
      <c r="H168" s="1125"/>
      <c r="I168" s="1125"/>
      <c r="J168" s="1125" t="s">
        <v>161</v>
      </c>
      <c r="K168" s="1092"/>
      <c r="L168" s="1092"/>
      <c r="M168" s="1125"/>
      <c r="N168" s="1125"/>
      <c r="O168" s="1125"/>
      <c r="P168" s="1050"/>
      <c r="Q168" s="1051"/>
      <c r="R168" s="1051"/>
      <c r="S168" s="1051"/>
      <c r="T168" s="1051"/>
      <c r="U168" s="1050"/>
      <c r="V168" s="1050"/>
      <c r="W168" s="1050"/>
      <c r="X168" s="1051"/>
      <c r="Y168" s="1308"/>
      <c r="Z168" s="1308"/>
      <c r="AA168" s="1308"/>
      <c r="AB168" s="1308"/>
      <c r="AC168" s="1308"/>
      <c r="AD168" s="1308"/>
      <c r="AE168" s="1048"/>
      <c r="AF168" s="1048"/>
      <c r="AG168" s="1048"/>
      <c r="AH168" s="1048"/>
      <c r="AI168" s="1048"/>
      <c r="AJ168" s="1048"/>
      <c r="AK168" s="1048"/>
      <c r="AL168" s="1308"/>
      <c r="AM168" s="1308"/>
      <c r="AN168" s="1308"/>
      <c r="AO168" s="1308"/>
      <c r="AP168" s="1308"/>
      <c r="AQ168" s="1308"/>
      <c r="AR168" s="1308"/>
      <c r="AS168" s="1308"/>
      <c r="AT168" s="1048"/>
      <c r="AU168" s="1048"/>
      <c r="AV168" s="1048"/>
      <c r="AW168" s="1308"/>
      <c r="AX168" s="1308"/>
      <c r="AY168" s="1308"/>
      <c r="AZ168" s="1308"/>
    </row>
    <row r="169" spans="2:54" s="542" customFormat="1" ht="25.2" customHeight="1" x14ac:dyDescent="0.2">
      <c r="B169" s="1055" t="s">
        <v>2080</v>
      </c>
      <c r="C169" s="1193" t="s">
        <v>799</v>
      </c>
      <c r="D169" s="1178" t="s">
        <v>142</v>
      </c>
      <c r="E169" s="1179" t="s">
        <v>161</v>
      </c>
      <c r="F169" s="1179" t="s">
        <v>161</v>
      </c>
      <c r="G169" s="1180"/>
      <c r="H169" s="1179"/>
      <c r="I169" s="1179"/>
      <c r="J169" s="1179"/>
      <c r="K169" s="1180"/>
      <c r="L169" s="1179"/>
      <c r="M169" s="1179"/>
      <c r="N169" s="1179"/>
      <c r="O169" s="1179"/>
      <c r="P169" s="1058"/>
      <c r="Q169" s="1058"/>
      <c r="R169" s="1059"/>
      <c r="S169" s="1059"/>
      <c r="T169" s="1059"/>
      <c r="U169" s="1058"/>
      <c r="V169" s="1058"/>
      <c r="W169" s="1058"/>
      <c r="X169" s="1059"/>
      <c r="AD169" s="1038"/>
      <c r="AE169" s="1038"/>
      <c r="AF169" s="1048"/>
      <c r="AG169" s="1048"/>
      <c r="AH169" s="1048"/>
      <c r="AI169" s="1048"/>
      <c r="AJ169" s="1048"/>
      <c r="AK169" s="1048"/>
      <c r="AL169" s="1308"/>
      <c r="AM169" s="1308"/>
      <c r="AN169" s="1308"/>
      <c r="AO169" s="1308"/>
      <c r="AP169" s="1308"/>
      <c r="AQ169" s="1308"/>
      <c r="AR169" s="1308"/>
      <c r="AS169" s="1308"/>
      <c r="AT169" s="1048"/>
      <c r="AU169" s="1048"/>
      <c r="AV169" s="1048"/>
      <c r="AW169" s="1308"/>
      <c r="AX169" s="1308"/>
      <c r="AY169" s="1308"/>
      <c r="AZ169" s="1308"/>
    </row>
    <row r="170" spans="2:54" s="542" customFormat="1" ht="15" customHeight="1" x14ac:dyDescent="0.2">
      <c r="C170" s="1037"/>
      <c r="D170" s="1037"/>
    </row>
    <row r="171" spans="2:54" s="542" customFormat="1" ht="15" customHeight="1" x14ac:dyDescent="0.2">
      <c r="C171" s="1037"/>
      <c r="D171" s="1037"/>
    </row>
    <row r="172" spans="2:54" s="1039" customFormat="1" ht="13.2" x14ac:dyDescent="0.2">
      <c r="B172" s="1060" t="s">
        <v>1833</v>
      </c>
      <c r="C172" s="1061"/>
      <c r="D172" s="1039" t="s">
        <v>1817</v>
      </c>
      <c r="P172" s="1058"/>
      <c r="R172" s="1041"/>
      <c r="S172" s="1041"/>
      <c r="T172" s="1041"/>
      <c r="U172" s="1041"/>
      <c r="V172" s="1041"/>
      <c r="W172" s="1041"/>
      <c r="X172" s="1041"/>
      <c r="AD172" s="1038"/>
      <c r="AE172" s="1038"/>
    </row>
    <row r="173" spans="2:54" s="542" customFormat="1" ht="25.2" customHeight="1" x14ac:dyDescent="0.2">
      <c r="B173" s="904" t="s">
        <v>1834</v>
      </c>
      <c r="C173" s="1191" t="s">
        <v>1819</v>
      </c>
      <c r="D173" s="1176" t="s">
        <v>142</v>
      </c>
      <c r="E173" s="1151" t="s">
        <v>161</v>
      </c>
      <c r="F173" s="1151" t="s">
        <v>161</v>
      </c>
      <c r="G173" s="1164"/>
      <c r="H173" s="1151"/>
      <c r="I173" s="1151"/>
      <c r="J173" s="1151"/>
      <c r="K173" s="1042"/>
      <c r="L173" s="1043"/>
      <c r="M173" s="1043"/>
      <c r="N173" s="1043"/>
      <c r="O173" s="1043"/>
      <c r="P173" s="1043"/>
      <c r="Q173" s="1043"/>
      <c r="R173" s="1044"/>
      <c r="S173" s="1045"/>
      <c r="T173" s="1045"/>
      <c r="U173" s="1046"/>
      <c r="V173" s="1046"/>
      <c r="W173" s="1046"/>
      <c r="X173" s="1042"/>
      <c r="AF173" s="1038"/>
      <c r="AG173" s="1038"/>
      <c r="AH173" s="1038"/>
      <c r="AI173" s="1038"/>
      <c r="AJ173" s="1038"/>
      <c r="AK173" s="1038"/>
      <c r="AL173" s="1038"/>
      <c r="AM173" s="1038"/>
      <c r="AN173" s="1038"/>
      <c r="AO173" s="1038"/>
      <c r="AP173" s="1038"/>
      <c r="AQ173" s="1038"/>
      <c r="AR173" s="1038"/>
      <c r="AS173" s="1038"/>
      <c r="AT173" s="1038"/>
      <c r="AU173" s="1038"/>
      <c r="AV173" s="1038"/>
      <c r="AW173" s="1038"/>
      <c r="AX173" s="1038"/>
      <c r="AY173" s="1038"/>
      <c r="AZ173" s="1038"/>
    </row>
    <row r="174" spans="2:54" s="542" customFormat="1" ht="25.2" customHeight="1" x14ac:dyDescent="0.2">
      <c r="B174" s="1062" t="s">
        <v>1835</v>
      </c>
      <c r="C174" s="1225" t="s">
        <v>1850</v>
      </c>
      <c r="D174" s="1231" t="s">
        <v>142</v>
      </c>
      <c r="E174" s="1227" t="s">
        <v>161</v>
      </c>
      <c r="F174" s="1227" t="s">
        <v>161</v>
      </c>
      <c r="G174" s="1227"/>
      <c r="H174" s="1228"/>
      <c r="I174" s="1227"/>
      <c r="J174" s="1228"/>
      <c r="K174" s="1229"/>
      <c r="L174" s="1229"/>
      <c r="M174" s="1229"/>
      <c r="N174" s="1229"/>
      <c r="O174" s="1230"/>
      <c r="P174" s="1230"/>
      <c r="Q174" s="1229"/>
      <c r="R174" s="1230"/>
      <c r="S174" s="1229"/>
      <c r="T174" s="1229"/>
      <c r="U174" s="1229"/>
      <c r="V174" s="1229"/>
      <c r="W174" s="1229"/>
      <c r="X174" s="1230"/>
      <c r="AH174" s="1038"/>
      <c r="AI174" s="1038"/>
      <c r="AJ174" s="1038"/>
      <c r="AK174" s="1038"/>
      <c r="AL174" s="1038"/>
      <c r="AM174" s="1038"/>
      <c r="AN174" s="1038"/>
      <c r="AO174" s="1038"/>
      <c r="AP174" s="1038"/>
      <c r="AQ174" s="1038"/>
      <c r="AR174" s="1038"/>
      <c r="AS174" s="1038"/>
      <c r="AT174" s="1038"/>
      <c r="AU174" s="1038"/>
      <c r="AV174" s="1038"/>
      <c r="AW174" s="1038"/>
      <c r="AX174" s="1038"/>
      <c r="AY174" s="1038"/>
      <c r="AZ174" s="1038"/>
      <c r="BA174" s="1038"/>
      <c r="BB174" s="1038"/>
    </row>
    <row r="175" spans="2:54" s="542" customFormat="1" ht="25.2" customHeight="1" x14ac:dyDescent="0.2">
      <c r="B175" s="1062" t="s">
        <v>1836</v>
      </c>
      <c r="C175" s="1188" t="s">
        <v>1821</v>
      </c>
      <c r="D175" s="1189" t="s">
        <v>142</v>
      </c>
      <c r="E175" s="1187" t="s">
        <v>136</v>
      </c>
      <c r="F175" s="1187" t="s">
        <v>136</v>
      </c>
      <c r="G175" s="1186"/>
      <c r="H175" s="1187"/>
      <c r="I175" s="1187"/>
      <c r="J175" s="1187"/>
      <c r="K175" s="1045"/>
      <c r="L175" s="1046"/>
      <c r="M175" s="1046"/>
      <c r="N175" s="1046"/>
      <c r="O175" s="1046"/>
      <c r="P175" s="1046"/>
      <c r="Q175" s="1046"/>
      <c r="R175" s="1045"/>
      <c r="S175" s="1045"/>
      <c r="T175" s="1045"/>
      <c r="U175" s="1046"/>
      <c r="V175" s="1046"/>
      <c r="W175" s="1046"/>
      <c r="X175" s="1045"/>
      <c r="AD175" s="1038"/>
      <c r="AE175" s="1038"/>
      <c r="AF175" s="1048"/>
      <c r="AG175" s="1048"/>
      <c r="AH175" s="1048"/>
      <c r="AI175" s="1048"/>
      <c r="AJ175" s="1048"/>
      <c r="AK175" s="1048"/>
      <c r="AL175" s="1308"/>
      <c r="AM175" s="1308"/>
      <c r="AN175" s="1308"/>
      <c r="AO175" s="1308"/>
      <c r="AP175" s="1308"/>
      <c r="AQ175" s="1308"/>
      <c r="AR175" s="1308"/>
      <c r="AS175" s="1308"/>
      <c r="AT175" s="1048"/>
      <c r="AU175" s="1048"/>
      <c r="AV175" s="1048"/>
      <c r="AW175" s="1308"/>
      <c r="AX175" s="1308"/>
      <c r="AY175" s="1308"/>
      <c r="AZ175" s="1308"/>
    </row>
    <row r="176" spans="2:54" s="542" customFormat="1" ht="25.2" customHeight="1" x14ac:dyDescent="0.2">
      <c r="B176" s="1062" t="s">
        <v>1836</v>
      </c>
      <c r="C176" s="1190" t="s">
        <v>1343</v>
      </c>
      <c r="D176" s="1167" t="s">
        <v>142</v>
      </c>
      <c r="E176" s="1125" t="s">
        <v>136</v>
      </c>
      <c r="F176" s="1125" t="s">
        <v>136</v>
      </c>
      <c r="G176" s="1092"/>
      <c r="H176" s="1125"/>
      <c r="I176" s="1125"/>
      <c r="J176" s="1125"/>
      <c r="K176" s="1051"/>
      <c r="L176" s="1050"/>
      <c r="M176" s="1050"/>
      <c r="N176" s="1050"/>
      <c r="O176" s="1050"/>
      <c r="P176" s="1050"/>
      <c r="Q176" s="1050"/>
      <c r="R176" s="1051"/>
      <c r="S176" s="1051"/>
      <c r="T176" s="1063"/>
      <c r="U176" s="1050"/>
      <c r="V176" s="1050"/>
      <c r="W176" s="1050"/>
      <c r="X176" s="1051"/>
      <c r="AD176" s="1038"/>
      <c r="AE176" s="1038"/>
      <c r="AF176" s="1048"/>
      <c r="AG176" s="1048"/>
      <c r="AH176" s="1048"/>
      <c r="AI176" s="1048"/>
      <c r="AJ176" s="1048"/>
      <c r="AK176" s="1048"/>
      <c r="AL176" s="1308"/>
      <c r="AM176" s="1308"/>
      <c r="AN176" s="1308"/>
      <c r="AO176" s="1308"/>
      <c r="AP176" s="1308"/>
      <c r="AQ176" s="1308"/>
      <c r="AR176" s="1308"/>
      <c r="AS176" s="1308"/>
      <c r="AT176" s="1048"/>
      <c r="AU176" s="1048"/>
      <c r="AV176" s="1048"/>
      <c r="AW176" s="1308"/>
      <c r="AX176" s="1308"/>
      <c r="AY176" s="1308"/>
      <c r="AZ176" s="1308"/>
    </row>
    <row r="177" spans="2:52" s="542" customFormat="1" ht="25.2" customHeight="1" x14ac:dyDescent="0.2">
      <c r="B177" s="1062" t="s">
        <v>1837</v>
      </c>
      <c r="C177" s="1190" t="s">
        <v>1824</v>
      </c>
      <c r="D177" s="1167" t="s">
        <v>142</v>
      </c>
      <c r="E177" s="1125" t="s">
        <v>161</v>
      </c>
      <c r="F177" s="1125" t="s">
        <v>161</v>
      </c>
      <c r="G177" s="1092"/>
      <c r="H177" s="1125"/>
      <c r="I177" s="1125"/>
      <c r="J177" s="1125"/>
      <c r="K177" s="1051"/>
      <c r="L177" s="1050"/>
      <c r="M177" s="1050"/>
      <c r="N177" s="1050"/>
      <c r="O177" s="1050"/>
      <c r="P177" s="1050"/>
      <c r="Q177" s="1050"/>
      <c r="R177" s="1051"/>
      <c r="S177" s="1051"/>
      <c r="T177" s="1051"/>
      <c r="U177" s="1050"/>
      <c r="V177" s="1050"/>
      <c r="W177" s="1050"/>
      <c r="X177" s="1051"/>
      <c r="AD177" s="1038"/>
      <c r="AE177" s="1038"/>
      <c r="AF177" s="1048"/>
      <c r="AG177" s="1048"/>
      <c r="AH177" s="1048"/>
      <c r="AI177" s="1048"/>
      <c r="AJ177" s="1048"/>
      <c r="AK177" s="1048"/>
      <c r="AL177" s="1308"/>
      <c r="AM177" s="1308"/>
      <c r="AN177" s="1308"/>
      <c r="AO177" s="1308"/>
      <c r="AP177" s="1308"/>
      <c r="AQ177" s="1308"/>
      <c r="AR177" s="1308"/>
      <c r="AS177" s="1308"/>
      <c r="AT177" s="1048"/>
      <c r="AU177" s="1048"/>
      <c r="AV177" s="1048"/>
      <c r="AW177" s="1308"/>
      <c r="AX177" s="1308"/>
      <c r="AY177" s="1308"/>
      <c r="AZ177" s="1308"/>
    </row>
    <row r="178" spans="2:52" s="542" customFormat="1" ht="25.2" customHeight="1" x14ac:dyDescent="0.2">
      <c r="B178" s="1062" t="s">
        <v>1838</v>
      </c>
      <c r="C178" s="1165" t="s">
        <v>1828</v>
      </c>
      <c r="D178" s="1167" t="s">
        <v>142</v>
      </c>
      <c r="E178" s="1125" t="s">
        <v>161</v>
      </c>
      <c r="F178" s="1125" t="s">
        <v>161</v>
      </c>
      <c r="G178" s="1092"/>
      <c r="H178" s="1125" t="s">
        <v>161</v>
      </c>
      <c r="I178" s="1125"/>
      <c r="J178" s="1125"/>
      <c r="K178" s="1051"/>
      <c r="L178" s="1050"/>
      <c r="M178" s="1050"/>
      <c r="N178" s="1050"/>
      <c r="O178" s="1050"/>
      <c r="P178" s="1050"/>
      <c r="Q178" s="1050"/>
      <c r="R178" s="1051"/>
      <c r="S178" s="1051"/>
      <c r="T178" s="1051"/>
      <c r="U178" s="1050"/>
      <c r="V178" s="1050"/>
      <c r="W178" s="1050"/>
      <c r="X178" s="1240"/>
      <c r="AF178" s="1038"/>
      <c r="AG178" s="1038"/>
      <c r="AH178" s="1038"/>
      <c r="AI178" s="1038"/>
      <c r="AJ178" s="1038"/>
      <c r="AK178" s="1038"/>
      <c r="AL178" s="1038"/>
      <c r="AM178" s="1038"/>
      <c r="AN178" s="1038"/>
      <c r="AO178" s="1038"/>
      <c r="AP178" s="1038"/>
      <c r="AQ178" s="1038"/>
      <c r="AR178" s="1038"/>
      <c r="AS178" s="1038"/>
      <c r="AT178" s="1038"/>
      <c r="AU178" s="1038"/>
      <c r="AV178" s="1038"/>
      <c r="AW178" s="1038"/>
      <c r="AX178" s="1038"/>
      <c r="AY178" s="1038"/>
      <c r="AZ178" s="1038"/>
    </row>
    <row r="179" spans="2:52" s="542" customFormat="1" ht="25.2" customHeight="1" x14ac:dyDescent="0.2">
      <c r="B179" s="1062" t="s">
        <v>1839</v>
      </c>
      <c r="C179" s="1167" t="s">
        <v>108</v>
      </c>
      <c r="D179" s="1169" t="s">
        <v>142</v>
      </c>
      <c r="E179" s="1125" t="s">
        <v>161</v>
      </c>
      <c r="F179" s="1125" t="s">
        <v>161</v>
      </c>
      <c r="G179" s="1092"/>
      <c r="H179" s="1125"/>
      <c r="I179" s="1125"/>
      <c r="J179" s="1125" t="s">
        <v>161</v>
      </c>
      <c r="K179" s="1051"/>
      <c r="L179" s="1121"/>
      <c r="M179" s="1121"/>
      <c r="N179" s="1125"/>
      <c r="O179" s="1050"/>
      <c r="P179" s="1050"/>
      <c r="Q179" s="1051"/>
      <c r="R179" s="1051"/>
      <c r="S179" s="1051"/>
      <c r="T179" s="1051"/>
      <c r="U179" s="1050"/>
      <c r="V179" s="1050"/>
      <c r="W179" s="1050"/>
      <c r="X179" s="1051"/>
      <c r="Y179" s="1308"/>
      <c r="Z179" s="1308"/>
      <c r="AA179" s="1308"/>
      <c r="AB179" s="1308"/>
      <c r="AC179" s="1308"/>
      <c r="AD179" s="1308"/>
      <c r="AE179" s="1048"/>
      <c r="AF179" s="1048"/>
      <c r="AG179" s="1048"/>
      <c r="AH179" s="1048"/>
      <c r="AI179" s="1048"/>
      <c r="AJ179" s="1048"/>
      <c r="AK179" s="1048"/>
      <c r="AL179" s="1308"/>
      <c r="AM179" s="1308"/>
      <c r="AN179" s="1308"/>
      <c r="AO179" s="1308"/>
      <c r="AP179" s="1308"/>
      <c r="AQ179" s="1308"/>
      <c r="AR179" s="1308"/>
      <c r="AS179" s="1308"/>
      <c r="AT179" s="1048"/>
      <c r="AU179" s="1048"/>
      <c r="AV179" s="1048"/>
      <c r="AW179" s="1308"/>
      <c r="AX179" s="1308"/>
      <c r="AY179" s="1308"/>
      <c r="AZ179" s="1308"/>
    </row>
    <row r="180" spans="2:52" s="542" customFormat="1" ht="25.2" customHeight="1" x14ac:dyDescent="0.2">
      <c r="B180" s="1064" t="s">
        <v>1840</v>
      </c>
      <c r="C180" s="1056" t="s">
        <v>799</v>
      </c>
      <c r="D180" s="1057" t="s">
        <v>142</v>
      </c>
      <c r="E180" s="1058" t="s">
        <v>161</v>
      </c>
      <c r="F180" s="1058" t="s">
        <v>161</v>
      </c>
      <c r="G180" s="1059"/>
      <c r="H180" s="1058"/>
      <c r="I180" s="1058"/>
      <c r="J180" s="1058"/>
      <c r="K180" s="1059"/>
      <c r="L180" s="1058"/>
      <c r="M180" s="1058"/>
      <c r="N180" s="1058"/>
      <c r="O180" s="1058"/>
      <c r="P180" s="1058"/>
      <c r="Q180" s="1058"/>
      <c r="R180" s="1059"/>
      <c r="S180" s="1059"/>
      <c r="T180" s="1059"/>
      <c r="U180" s="1058"/>
      <c r="V180" s="1058"/>
      <c r="W180" s="1058"/>
      <c r="X180" s="1059"/>
      <c r="AD180" s="1038"/>
      <c r="AE180" s="1038"/>
      <c r="AF180" s="1048"/>
      <c r="AG180" s="1048"/>
      <c r="AH180" s="1048"/>
      <c r="AI180" s="1048"/>
      <c r="AJ180" s="1048"/>
      <c r="AK180" s="1048"/>
      <c r="AL180" s="1308"/>
      <c r="AM180" s="1308"/>
      <c r="AN180" s="1308"/>
      <c r="AO180" s="1308"/>
      <c r="AP180" s="1308"/>
      <c r="AQ180" s="1308"/>
      <c r="AR180" s="1308"/>
      <c r="AS180" s="1308"/>
      <c r="AT180" s="1048"/>
      <c r="AU180" s="1048"/>
      <c r="AV180" s="1048"/>
      <c r="AW180" s="1308"/>
      <c r="AX180" s="1308"/>
      <c r="AY180" s="1308"/>
      <c r="AZ180" s="1308"/>
    </row>
  </sheetData>
  <mergeCells count="368">
    <mergeCell ref="AR179:AS179"/>
    <mergeCell ref="AW179:AX179"/>
    <mergeCell ref="AY179:AZ179"/>
    <mergeCell ref="AL180:AM180"/>
    <mergeCell ref="AN180:AO180"/>
    <mergeCell ref="AP180:AQ180"/>
    <mergeCell ref="AR180:AS180"/>
    <mergeCell ref="AW180:AX180"/>
    <mergeCell ref="AY180:AZ180"/>
    <mergeCell ref="Y179:Z179"/>
    <mergeCell ref="AA179:AB179"/>
    <mergeCell ref="AC179:AD179"/>
    <mergeCell ref="AL179:AM179"/>
    <mergeCell ref="AN179:AO179"/>
    <mergeCell ref="AL177:AM177"/>
    <mergeCell ref="AN177:AO177"/>
    <mergeCell ref="AP177:AQ177"/>
    <mergeCell ref="AP179:AQ179"/>
    <mergeCell ref="AR177:AS177"/>
    <mergeCell ref="AW177:AX177"/>
    <mergeCell ref="AY177:AZ177"/>
    <mergeCell ref="AL176:AM176"/>
    <mergeCell ref="AN176:AO176"/>
    <mergeCell ref="AP176:AQ176"/>
    <mergeCell ref="AR176:AS176"/>
    <mergeCell ref="AW176:AX176"/>
    <mergeCell ref="AY176:AZ176"/>
    <mergeCell ref="AR175:AS175"/>
    <mergeCell ref="AW175:AX175"/>
    <mergeCell ref="AY175:AZ175"/>
    <mergeCell ref="AP168:AQ168"/>
    <mergeCell ref="AR168:AS168"/>
    <mergeCell ref="AW168:AX168"/>
    <mergeCell ref="AY168:AZ168"/>
    <mergeCell ref="AL169:AM169"/>
    <mergeCell ref="AN169:AO169"/>
    <mergeCell ref="AP169:AQ169"/>
    <mergeCell ref="AR169:AS169"/>
    <mergeCell ref="AW169:AX169"/>
    <mergeCell ref="AY169:AZ169"/>
    <mergeCell ref="Y168:Z168"/>
    <mergeCell ref="AA168:AB168"/>
    <mergeCell ref="AC168:AD168"/>
    <mergeCell ref="AL168:AM168"/>
    <mergeCell ref="AN168:AO168"/>
    <mergeCell ref="AL164:AM164"/>
    <mergeCell ref="AN164:AO164"/>
    <mergeCell ref="AP164:AQ164"/>
    <mergeCell ref="AL175:AM175"/>
    <mergeCell ref="AN175:AO175"/>
    <mergeCell ref="AP175:AQ175"/>
    <mergeCell ref="AR164:AS164"/>
    <mergeCell ref="AW164:AX164"/>
    <mergeCell ref="AY164:AZ164"/>
    <mergeCell ref="AL163:AM163"/>
    <mergeCell ref="AN163:AO163"/>
    <mergeCell ref="AP163:AQ163"/>
    <mergeCell ref="AR163:AS163"/>
    <mergeCell ref="AW163:AX163"/>
    <mergeCell ref="AY163:AZ163"/>
    <mergeCell ref="AW161:AX161"/>
    <mergeCell ref="AY161:AZ161"/>
    <mergeCell ref="AL162:AM162"/>
    <mergeCell ref="AN162:AO162"/>
    <mergeCell ref="AP162:AQ162"/>
    <mergeCell ref="AR162:AS162"/>
    <mergeCell ref="AW162:AX162"/>
    <mergeCell ref="AY162:AZ162"/>
    <mergeCell ref="AS155:AT155"/>
    <mergeCell ref="AU155:AV155"/>
    <mergeCell ref="AL161:AM161"/>
    <mergeCell ref="AN161:AO161"/>
    <mergeCell ref="AP161:AQ161"/>
    <mergeCell ref="AR161:AS161"/>
    <mergeCell ref="AL148:AM148"/>
    <mergeCell ref="AN148:AO148"/>
    <mergeCell ref="AS148:AT148"/>
    <mergeCell ref="AU148:AV148"/>
    <mergeCell ref="Y155:Z155"/>
    <mergeCell ref="AH155:AI155"/>
    <mergeCell ref="AJ155:AK155"/>
    <mergeCell ref="AL155:AM155"/>
    <mergeCell ref="AN155:AO155"/>
    <mergeCell ref="AS143:AT143"/>
    <mergeCell ref="AU143:AV143"/>
    <mergeCell ref="Y144:Z144"/>
    <mergeCell ref="AH144:AI144"/>
    <mergeCell ref="AJ144:AK144"/>
    <mergeCell ref="AL144:AM144"/>
    <mergeCell ref="AN144:AO144"/>
    <mergeCell ref="AS144:AT144"/>
    <mergeCell ref="AU144:AV144"/>
    <mergeCell ref="Y143:Z143"/>
    <mergeCell ref="AH143:AI143"/>
    <mergeCell ref="AJ143:AK143"/>
    <mergeCell ref="AL143:AM143"/>
    <mergeCell ref="AN143:AO143"/>
    <mergeCell ref="AS141:AT141"/>
    <mergeCell ref="AU141:AV141"/>
    <mergeCell ref="Y142:Z142"/>
    <mergeCell ref="AH142:AI142"/>
    <mergeCell ref="AJ142:AK142"/>
    <mergeCell ref="AL142:AM142"/>
    <mergeCell ref="AN142:AO142"/>
    <mergeCell ref="AS142:AT142"/>
    <mergeCell ref="AU142:AV142"/>
    <mergeCell ref="Y141:Z141"/>
    <mergeCell ref="AH141:AI141"/>
    <mergeCell ref="AJ141:AK141"/>
    <mergeCell ref="AL141:AM141"/>
    <mergeCell ref="AN141:AO141"/>
    <mergeCell ref="AH136:AI136"/>
    <mergeCell ref="AJ136:AK136"/>
    <mergeCell ref="AL136:AM136"/>
    <mergeCell ref="AN136:AO136"/>
    <mergeCell ref="AS136:AT136"/>
    <mergeCell ref="AU136:AV136"/>
    <mergeCell ref="AH134:AI134"/>
    <mergeCell ref="AJ134:AK134"/>
    <mergeCell ref="AL134:AM134"/>
    <mergeCell ref="AN134:AO134"/>
    <mergeCell ref="AS134:AT134"/>
    <mergeCell ref="AU134:AV134"/>
    <mergeCell ref="AH133:AI133"/>
    <mergeCell ref="AJ133:AK133"/>
    <mergeCell ref="AL133:AM133"/>
    <mergeCell ref="AN133:AO133"/>
    <mergeCell ref="AS133:AT133"/>
    <mergeCell ref="AU133:AV133"/>
    <mergeCell ref="AS126:AT126"/>
    <mergeCell ref="AU126:AV126"/>
    <mergeCell ref="AL130:AM130"/>
    <mergeCell ref="AN130:AO130"/>
    <mergeCell ref="AS130:AT130"/>
    <mergeCell ref="AU130:AV130"/>
    <mergeCell ref="AL119:AM119"/>
    <mergeCell ref="AN119:AO119"/>
    <mergeCell ref="AS119:AT119"/>
    <mergeCell ref="AU119:AV119"/>
    <mergeCell ref="Y126:Z126"/>
    <mergeCell ref="AH126:AI126"/>
    <mergeCell ref="AJ126:AK126"/>
    <mergeCell ref="AL126:AM126"/>
    <mergeCell ref="AN126:AO126"/>
    <mergeCell ref="AS113:AT113"/>
    <mergeCell ref="AU113:AV113"/>
    <mergeCell ref="Y114:Z114"/>
    <mergeCell ref="AH114:AI114"/>
    <mergeCell ref="AJ114:AK114"/>
    <mergeCell ref="AL114:AM114"/>
    <mergeCell ref="AN114:AO114"/>
    <mergeCell ref="AS114:AT114"/>
    <mergeCell ref="AU114:AV114"/>
    <mergeCell ref="Y113:Z113"/>
    <mergeCell ref="AH113:AI113"/>
    <mergeCell ref="AJ113:AK113"/>
    <mergeCell ref="AL113:AM113"/>
    <mergeCell ref="AN113:AO113"/>
    <mergeCell ref="AS110:AT110"/>
    <mergeCell ref="AU110:AV110"/>
    <mergeCell ref="Y111:Z111"/>
    <mergeCell ref="AH111:AI111"/>
    <mergeCell ref="AJ111:AK111"/>
    <mergeCell ref="AL111:AM111"/>
    <mergeCell ref="AN111:AO111"/>
    <mergeCell ref="AS111:AT111"/>
    <mergeCell ref="AU111:AV111"/>
    <mergeCell ref="Y110:Z110"/>
    <mergeCell ref="AH110:AI110"/>
    <mergeCell ref="AJ110:AK110"/>
    <mergeCell ref="AL110:AM110"/>
    <mergeCell ref="AN110:AO110"/>
    <mergeCell ref="AH105:AI105"/>
    <mergeCell ref="AJ105:AK105"/>
    <mergeCell ref="AL105:AM105"/>
    <mergeCell ref="AN105:AO105"/>
    <mergeCell ref="AS105:AT105"/>
    <mergeCell ref="AU105:AV105"/>
    <mergeCell ref="AH103:AI103"/>
    <mergeCell ref="AJ103:AK103"/>
    <mergeCell ref="AL103:AM103"/>
    <mergeCell ref="AN103:AO103"/>
    <mergeCell ref="AS103:AT103"/>
    <mergeCell ref="AU103:AV103"/>
    <mergeCell ref="AL99:AM99"/>
    <mergeCell ref="AN99:AO99"/>
    <mergeCell ref="AS99:AT99"/>
    <mergeCell ref="AU99:AV99"/>
    <mergeCell ref="AH102:AI102"/>
    <mergeCell ref="AJ102:AK102"/>
    <mergeCell ref="AL102:AM102"/>
    <mergeCell ref="AN102:AO102"/>
    <mergeCell ref="AS102:AT102"/>
    <mergeCell ref="AU102:AV102"/>
    <mergeCell ref="AL95:AM95"/>
    <mergeCell ref="AN95:AO95"/>
    <mergeCell ref="AP95:AQ95"/>
    <mergeCell ref="AR95:AS95"/>
    <mergeCell ref="AW95:AX95"/>
    <mergeCell ref="AY95:AZ95"/>
    <mergeCell ref="AL94:AM94"/>
    <mergeCell ref="AN94:AO94"/>
    <mergeCell ref="AP94:AQ94"/>
    <mergeCell ref="AR94:AS94"/>
    <mergeCell ref="AW94:AX94"/>
    <mergeCell ref="AY94:AZ94"/>
    <mergeCell ref="AL92:AM92"/>
    <mergeCell ref="AN92:AO92"/>
    <mergeCell ref="AP92:AQ92"/>
    <mergeCell ref="AR92:AS92"/>
    <mergeCell ref="AW92:AX92"/>
    <mergeCell ref="AY92:AZ92"/>
    <mergeCell ref="AL91:AM91"/>
    <mergeCell ref="AN91:AO91"/>
    <mergeCell ref="AP91:AQ91"/>
    <mergeCell ref="AR91:AS91"/>
    <mergeCell ref="AW91:AX91"/>
    <mergeCell ref="AY91:AZ91"/>
    <mergeCell ref="AL90:AM90"/>
    <mergeCell ref="AN90:AO90"/>
    <mergeCell ref="AP90:AQ90"/>
    <mergeCell ref="AR90:AS90"/>
    <mergeCell ref="AW90:AX90"/>
    <mergeCell ref="AY90:AZ90"/>
    <mergeCell ref="AL89:AM89"/>
    <mergeCell ref="AN89:AO89"/>
    <mergeCell ref="AP89:AQ89"/>
    <mergeCell ref="AR89:AS89"/>
    <mergeCell ref="AW89:AX89"/>
    <mergeCell ref="AY89:AZ89"/>
    <mergeCell ref="AL88:AM88"/>
    <mergeCell ref="AN88:AO88"/>
    <mergeCell ref="AP88:AQ88"/>
    <mergeCell ref="AR88:AS88"/>
    <mergeCell ref="AW88:AX88"/>
    <mergeCell ref="AY88:AZ88"/>
    <mergeCell ref="AL85:AM85"/>
    <mergeCell ref="AN85:AO85"/>
    <mergeCell ref="AP85:AQ85"/>
    <mergeCell ref="AR85:AS85"/>
    <mergeCell ref="AW85:AX85"/>
    <mergeCell ref="AY85:AZ85"/>
    <mergeCell ref="AL81:AM81"/>
    <mergeCell ref="AN81:AO81"/>
    <mergeCell ref="AP81:AQ81"/>
    <mergeCell ref="AR81:AS81"/>
    <mergeCell ref="AW81:AX81"/>
    <mergeCell ref="AY81:AZ81"/>
    <mergeCell ref="AL79:AM79"/>
    <mergeCell ref="AN79:AO79"/>
    <mergeCell ref="AP79:AQ79"/>
    <mergeCell ref="AR79:AS79"/>
    <mergeCell ref="AW79:AX79"/>
    <mergeCell ref="AY79:AZ79"/>
    <mergeCell ref="AL77:AM77"/>
    <mergeCell ref="AN77:AO77"/>
    <mergeCell ref="AP77:AQ77"/>
    <mergeCell ref="AR77:AS77"/>
    <mergeCell ref="AW77:AX77"/>
    <mergeCell ref="AY77:AZ77"/>
    <mergeCell ref="AL76:AM76"/>
    <mergeCell ref="AN76:AO76"/>
    <mergeCell ref="AP76:AQ76"/>
    <mergeCell ref="AR76:AS76"/>
    <mergeCell ref="AW76:AX76"/>
    <mergeCell ref="AY76:AZ76"/>
    <mergeCell ref="AL75:AM75"/>
    <mergeCell ref="AN75:AO75"/>
    <mergeCell ref="AP75:AQ75"/>
    <mergeCell ref="AR75:AS75"/>
    <mergeCell ref="AW75:AX75"/>
    <mergeCell ref="AY75:AZ75"/>
    <mergeCell ref="AL74:AM74"/>
    <mergeCell ref="AN74:AO74"/>
    <mergeCell ref="AP74:AQ74"/>
    <mergeCell ref="AR74:AS74"/>
    <mergeCell ref="AW74:AX74"/>
    <mergeCell ref="AY74:AZ74"/>
    <mergeCell ref="AL73:AM73"/>
    <mergeCell ref="AN73:AO73"/>
    <mergeCell ref="AP73:AQ73"/>
    <mergeCell ref="AR73:AS73"/>
    <mergeCell ref="AW73:AX73"/>
    <mergeCell ref="AY73:AZ73"/>
    <mergeCell ref="AL72:AM72"/>
    <mergeCell ref="AN72:AO72"/>
    <mergeCell ref="AP72:AQ72"/>
    <mergeCell ref="AR72:AS72"/>
    <mergeCell ref="AW72:AX72"/>
    <mergeCell ref="AY72:AZ72"/>
    <mergeCell ref="AL70:AM70"/>
    <mergeCell ref="AN70:AO70"/>
    <mergeCell ref="AP70:AQ70"/>
    <mergeCell ref="AR70:AS70"/>
    <mergeCell ref="AW70:AX70"/>
    <mergeCell ref="AY70:AZ70"/>
    <mergeCell ref="AL69:AM69"/>
    <mergeCell ref="AN69:AO69"/>
    <mergeCell ref="AP69:AQ69"/>
    <mergeCell ref="AR69:AS69"/>
    <mergeCell ref="AW69:AX69"/>
    <mergeCell ref="AY69:AZ69"/>
    <mergeCell ref="AL68:AM68"/>
    <mergeCell ref="AN68:AO68"/>
    <mergeCell ref="AP68:AQ68"/>
    <mergeCell ref="AR68:AS68"/>
    <mergeCell ref="AW68:AX68"/>
    <mergeCell ref="AY68:AZ68"/>
    <mergeCell ref="AL67:AM67"/>
    <mergeCell ref="AN67:AO67"/>
    <mergeCell ref="AP67:AQ67"/>
    <mergeCell ref="AR67:AS67"/>
    <mergeCell ref="AW67:AX67"/>
    <mergeCell ref="AY67:AZ67"/>
    <mergeCell ref="AL62:AM62"/>
    <mergeCell ref="AN62:AO62"/>
    <mergeCell ref="AP62:AQ62"/>
    <mergeCell ref="AR62:AS62"/>
    <mergeCell ref="AW62:AX62"/>
    <mergeCell ref="AY62:AZ62"/>
    <mergeCell ref="AU47:AV47"/>
    <mergeCell ref="AL49:AM49"/>
    <mergeCell ref="AN49:AO49"/>
    <mergeCell ref="AS49:AT49"/>
    <mergeCell ref="AU49:AV49"/>
    <mergeCell ref="AL58:AM58"/>
    <mergeCell ref="AN58:AO58"/>
    <mergeCell ref="AS58:AT58"/>
    <mergeCell ref="AU58:AV58"/>
    <mergeCell ref="T4:T18"/>
    <mergeCell ref="U4:U18"/>
    <mergeCell ref="V4:V18"/>
    <mergeCell ref="AU35:AV35"/>
    <mergeCell ref="AU36:AV36"/>
    <mergeCell ref="AL40:AM40"/>
    <mergeCell ref="AN40:AO40"/>
    <mergeCell ref="AS40:AT40"/>
    <mergeCell ref="AU40:AV40"/>
    <mergeCell ref="AU25:AV25"/>
    <mergeCell ref="AU26:AV26"/>
    <mergeCell ref="AU27:AV27"/>
    <mergeCell ref="AU32:AV32"/>
    <mergeCell ref="AU33:AV33"/>
    <mergeCell ref="AU34:AV34"/>
    <mergeCell ref="AY104:AZ104"/>
    <mergeCell ref="AY135:AZ135"/>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AV4:AV18"/>
    <mergeCell ref="AL21:AM21"/>
    <mergeCell ref="AN21:AO21"/>
    <mergeCell ref="AS21:AT21"/>
    <mergeCell ref="AU21:AV21"/>
    <mergeCell ref="Q4:Q18"/>
    <mergeCell ref="R4:R18"/>
    <mergeCell ref="S4:S18"/>
  </mergeCells>
  <phoneticPr fontId="2"/>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59" max="16383" man="1"/>
    <brk id="82" max="21" man="1"/>
    <brk id="96" max="21" man="1"/>
    <brk id="127" max="21" man="1"/>
    <brk id="156" max="2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B2:AD28"/>
  <sheetViews>
    <sheetView view="pageBreakPreview" zoomScaleNormal="100" zoomScaleSheetLayoutView="100" workbookViewId="0"/>
  </sheetViews>
  <sheetFormatPr defaultColWidth="9" defaultRowHeight="13.2" x14ac:dyDescent="0.2"/>
  <cols>
    <col min="1" max="1" width="1.44140625" style="100" customWidth="1"/>
    <col min="2" max="27" width="3.6640625" style="100" customWidth="1"/>
    <col min="28" max="28" width="1" style="100" customWidth="1"/>
    <col min="29" max="50" width="3.6640625" style="100" customWidth="1"/>
    <col min="51" max="16384" width="9" style="100"/>
  </cols>
  <sheetData>
    <row r="2" spans="2:30" x14ac:dyDescent="0.2">
      <c r="B2" s="99" t="s">
        <v>664</v>
      </c>
      <c r="AD2" s="348" t="s">
        <v>665</v>
      </c>
    </row>
    <row r="3" spans="2:30" x14ac:dyDescent="0.2">
      <c r="C3" s="1769" t="s">
        <v>666</v>
      </c>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D3" s="348" t="s">
        <v>667</v>
      </c>
    </row>
    <row r="5" spans="2:30" ht="13.5" customHeight="1" x14ac:dyDescent="0.2">
      <c r="C5" s="1902" t="s">
        <v>668</v>
      </c>
      <c r="D5" s="1903"/>
      <c r="E5" s="1903"/>
      <c r="F5" s="1904"/>
      <c r="G5" s="1905" t="s">
        <v>669</v>
      </c>
      <c r="H5" s="1755"/>
      <c r="I5" s="1892" t="s">
        <v>224</v>
      </c>
      <c r="J5" s="1894"/>
      <c r="K5" s="101"/>
      <c r="L5" s="1804"/>
      <c r="M5" s="1804"/>
      <c r="N5" s="1804"/>
      <c r="O5" s="349"/>
      <c r="P5" s="350"/>
      <c r="Q5" s="1905" t="s">
        <v>670</v>
      </c>
      <c r="R5" s="1755"/>
      <c r="S5" s="1892" t="s">
        <v>224</v>
      </c>
      <c r="T5" s="1894"/>
      <c r="U5" s="349"/>
      <c r="V5" s="1804"/>
      <c r="W5" s="1804"/>
      <c r="X5" s="1804"/>
      <c r="Y5" s="349"/>
      <c r="Z5" s="350"/>
    </row>
    <row r="6" spans="2:30" x14ac:dyDescent="0.2">
      <c r="C6" s="1906" t="s">
        <v>671</v>
      </c>
      <c r="D6" s="1907"/>
      <c r="E6" s="1907"/>
      <c r="F6" s="1908"/>
      <c r="G6" s="1770"/>
      <c r="H6" s="1772"/>
      <c r="I6" s="1898"/>
      <c r="J6" s="1900"/>
      <c r="K6" s="104"/>
      <c r="L6" s="1805"/>
      <c r="M6" s="1805"/>
      <c r="N6" s="1805"/>
      <c r="O6" s="347" t="s">
        <v>672</v>
      </c>
      <c r="P6" s="351"/>
      <c r="Q6" s="1770"/>
      <c r="R6" s="1772"/>
      <c r="S6" s="1898"/>
      <c r="T6" s="1900"/>
      <c r="U6" s="347"/>
      <c r="V6" s="1805"/>
      <c r="W6" s="1805"/>
      <c r="X6" s="1805"/>
      <c r="Y6" s="347" t="s">
        <v>672</v>
      </c>
      <c r="Z6" s="351"/>
    </row>
    <row r="7" spans="2:30" x14ac:dyDescent="0.2">
      <c r="C7" s="1906" t="s">
        <v>218</v>
      </c>
      <c r="D7" s="1907"/>
      <c r="E7" s="1907"/>
      <c r="F7" s="1908"/>
      <c r="G7" s="1770"/>
      <c r="H7" s="1772"/>
      <c r="I7" s="1892" t="s">
        <v>673</v>
      </c>
      <c r="J7" s="1894"/>
      <c r="K7" s="102"/>
      <c r="L7" s="1804"/>
      <c r="M7" s="1804"/>
      <c r="N7" s="1804"/>
      <c r="Q7" s="1770"/>
      <c r="R7" s="1772"/>
      <c r="S7" s="1892" t="s">
        <v>673</v>
      </c>
      <c r="T7" s="1894"/>
      <c r="V7" s="1804"/>
      <c r="W7" s="1804"/>
      <c r="X7" s="1804"/>
      <c r="Z7" s="352"/>
    </row>
    <row r="8" spans="2:30" x14ac:dyDescent="0.2">
      <c r="C8" s="353"/>
      <c r="D8" s="354"/>
      <c r="E8" s="354"/>
      <c r="F8" s="355"/>
      <c r="G8" s="1756"/>
      <c r="H8" s="1758"/>
      <c r="I8" s="1898"/>
      <c r="J8" s="1900"/>
      <c r="K8" s="104"/>
      <c r="L8" s="1805"/>
      <c r="M8" s="1805"/>
      <c r="N8" s="1805"/>
      <c r="O8" s="347" t="s">
        <v>672</v>
      </c>
      <c r="P8" s="347"/>
      <c r="Q8" s="1756"/>
      <c r="R8" s="1758"/>
      <c r="S8" s="1898"/>
      <c r="T8" s="1900"/>
      <c r="U8" s="347"/>
      <c r="V8" s="1805"/>
      <c r="W8" s="1805"/>
      <c r="X8" s="1805"/>
      <c r="Y8" s="347" t="s">
        <v>672</v>
      </c>
      <c r="Z8" s="351"/>
    </row>
    <row r="9" spans="2:30" x14ac:dyDescent="0.2">
      <c r="C9" s="1892" t="s">
        <v>674</v>
      </c>
      <c r="D9" s="1893"/>
      <c r="E9" s="1893"/>
      <c r="F9" s="1893"/>
      <c r="G9" s="1893"/>
      <c r="H9" s="1893"/>
      <c r="I9" s="1893"/>
      <c r="J9" s="1894"/>
      <c r="K9" s="101"/>
      <c r="L9" s="349"/>
      <c r="M9" s="349"/>
      <c r="N9" s="349"/>
      <c r="O9" s="349"/>
      <c r="P9" s="349"/>
      <c r="Q9" s="349"/>
      <c r="R9" s="349"/>
      <c r="S9" s="349"/>
      <c r="T9" s="349"/>
      <c r="U9" s="349"/>
      <c r="V9" s="349"/>
      <c r="W9" s="349"/>
      <c r="X9" s="349"/>
      <c r="Y9" s="349"/>
      <c r="Z9" s="350"/>
    </row>
    <row r="10" spans="2:30" x14ac:dyDescent="0.2">
      <c r="C10" s="1895"/>
      <c r="D10" s="1896"/>
      <c r="E10" s="1896"/>
      <c r="F10" s="1896"/>
      <c r="G10" s="1896"/>
      <c r="H10" s="1896"/>
      <c r="I10" s="1896"/>
      <c r="J10" s="1897"/>
      <c r="K10" s="102"/>
      <c r="Q10" s="1901"/>
      <c r="R10" s="1901"/>
      <c r="S10" s="1901"/>
      <c r="T10" s="1901"/>
      <c r="U10" s="1901"/>
      <c r="V10" s="1901"/>
      <c r="W10" s="1746" t="s">
        <v>675</v>
      </c>
      <c r="X10" s="1746"/>
      <c r="Y10" s="1746"/>
      <c r="Z10" s="1747"/>
    </row>
    <row r="11" spans="2:30" x14ac:dyDescent="0.2">
      <c r="C11" s="1898"/>
      <c r="D11" s="1899"/>
      <c r="E11" s="1899"/>
      <c r="F11" s="1899"/>
      <c r="G11" s="1899"/>
      <c r="H11" s="1899"/>
      <c r="I11" s="1899"/>
      <c r="J11" s="1900"/>
      <c r="K11" s="104"/>
      <c r="L11" s="347"/>
      <c r="M11" s="347"/>
      <c r="N11" s="347"/>
      <c r="O11" s="347"/>
      <c r="P11" s="347"/>
      <c r="Q11" s="347"/>
      <c r="R11" s="347"/>
      <c r="S11" s="347"/>
      <c r="T11" s="347"/>
      <c r="U11" s="347"/>
      <c r="V11" s="347"/>
      <c r="W11" s="347"/>
      <c r="X11" s="347"/>
      <c r="Y11" s="347"/>
      <c r="Z11" s="351"/>
    </row>
    <row r="12" spans="2:30" x14ac:dyDescent="0.2">
      <c r="C12" s="1753" t="s">
        <v>676</v>
      </c>
      <c r="D12" s="1754"/>
      <c r="E12" s="1754"/>
      <c r="F12" s="1754"/>
      <c r="G12" s="1754"/>
      <c r="H12" s="1754"/>
      <c r="I12" s="1754"/>
      <c r="J12" s="1754"/>
      <c r="K12" s="1754"/>
      <c r="L12" s="1754"/>
      <c r="M12" s="1754"/>
      <c r="N12" s="1754"/>
      <c r="O12" s="1754"/>
      <c r="P12" s="1754"/>
      <c r="Q12" s="1754"/>
      <c r="R12" s="1754"/>
      <c r="S12" s="1754"/>
      <c r="T12" s="1754"/>
      <c r="U12" s="1754"/>
      <c r="V12" s="1754"/>
      <c r="W12" s="1754"/>
      <c r="X12" s="1754"/>
      <c r="Y12" s="1754"/>
      <c r="Z12" s="1755"/>
    </row>
    <row r="13" spans="2:30" x14ac:dyDescent="0.2">
      <c r="C13" s="1770"/>
      <c r="D13" s="1771"/>
      <c r="E13" s="1771"/>
      <c r="F13" s="1771"/>
      <c r="G13" s="1757"/>
      <c r="H13" s="1757"/>
      <c r="I13" s="1757"/>
      <c r="J13" s="1757"/>
      <c r="K13" s="1757"/>
      <c r="L13" s="1757"/>
      <c r="M13" s="1757"/>
      <c r="N13" s="1757"/>
      <c r="O13" s="1757"/>
      <c r="P13" s="1757"/>
      <c r="Q13" s="1757"/>
      <c r="R13" s="1757"/>
      <c r="S13" s="1757"/>
      <c r="T13" s="1757"/>
      <c r="U13" s="1757"/>
      <c r="V13" s="1757"/>
      <c r="W13" s="1757"/>
      <c r="X13" s="1757"/>
      <c r="Y13" s="1757"/>
      <c r="Z13" s="1758"/>
    </row>
    <row r="14" spans="2:30" x14ac:dyDescent="0.2">
      <c r="C14" s="1892" t="s">
        <v>677</v>
      </c>
      <c r="D14" s="1893"/>
      <c r="E14" s="1893"/>
      <c r="F14" s="1894"/>
      <c r="G14" s="1777"/>
      <c r="H14" s="1778"/>
      <c r="I14" s="1778"/>
      <c r="J14" s="1778"/>
      <c r="K14" s="1778"/>
      <c r="L14" s="1778"/>
      <c r="M14" s="1778"/>
      <c r="N14" s="1778"/>
      <c r="O14" s="1778"/>
      <c r="P14" s="1778"/>
      <c r="Q14" s="1778"/>
      <c r="R14" s="1778"/>
      <c r="S14" s="1778"/>
      <c r="T14" s="1778"/>
      <c r="U14" s="1778"/>
      <c r="V14" s="1778"/>
      <c r="W14" s="1778"/>
      <c r="X14" s="1778"/>
      <c r="Y14" s="1778"/>
      <c r="Z14" s="1779"/>
    </row>
    <row r="15" spans="2:30" x14ac:dyDescent="0.2">
      <c r="C15" s="1895"/>
      <c r="D15" s="1896"/>
      <c r="E15" s="1896"/>
      <c r="F15" s="1897"/>
      <c r="G15" s="1780"/>
      <c r="H15" s="1781"/>
      <c r="I15" s="1781"/>
      <c r="J15" s="1781"/>
      <c r="K15" s="1781"/>
      <c r="L15" s="1781"/>
      <c r="M15" s="1781"/>
      <c r="N15" s="1781"/>
      <c r="O15" s="1781"/>
      <c r="P15" s="1781"/>
      <c r="Q15" s="1781"/>
      <c r="R15" s="1781"/>
      <c r="S15" s="1781"/>
      <c r="T15" s="1781"/>
      <c r="U15" s="1781"/>
      <c r="V15" s="1781"/>
      <c r="W15" s="1781"/>
      <c r="X15" s="1781"/>
      <c r="Y15" s="1781"/>
      <c r="Z15" s="1782"/>
    </row>
    <row r="16" spans="2:30" x14ac:dyDescent="0.2">
      <c r="C16" s="1898"/>
      <c r="D16" s="1899"/>
      <c r="E16" s="1899"/>
      <c r="F16" s="1900"/>
      <c r="G16" s="1783"/>
      <c r="H16" s="1784"/>
      <c r="I16" s="1784"/>
      <c r="J16" s="1784"/>
      <c r="K16" s="1784"/>
      <c r="L16" s="1784"/>
      <c r="M16" s="1784"/>
      <c r="N16" s="1784"/>
      <c r="O16" s="1784"/>
      <c r="P16" s="1784"/>
      <c r="Q16" s="1784"/>
      <c r="R16" s="1784"/>
      <c r="S16" s="1784"/>
      <c r="T16" s="1784"/>
      <c r="U16" s="1784"/>
      <c r="V16" s="1784"/>
      <c r="W16" s="1784"/>
      <c r="X16" s="1784"/>
      <c r="Y16" s="1784"/>
      <c r="Z16" s="1785"/>
    </row>
    <row r="17" spans="3:26" x14ac:dyDescent="0.2">
      <c r="C17" s="1892" t="s">
        <v>678</v>
      </c>
      <c r="D17" s="1893"/>
      <c r="E17" s="1893"/>
      <c r="F17" s="1894"/>
      <c r="G17" s="1777"/>
      <c r="H17" s="1778"/>
      <c r="I17" s="1778"/>
      <c r="J17" s="1778"/>
      <c r="K17" s="1778"/>
      <c r="L17" s="1778"/>
      <c r="M17" s="1778"/>
      <c r="N17" s="1778"/>
      <c r="O17" s="1778"/>
      <c r="P17" s="1778"/>
      <c r="Q17" s="1778"/>
      <c r="R17" s="1778"/>
      <c r="S17" s="1778"/>
      <c r="T17" s="1778"/>
      <c r="U17" s="1778"/>
      <c r="V17" s="1778"/>
      <c r="W17" s="1778"/>
      <c r="X17" s="1778"/>
      <c r="Y17" s="1778"/>
      <c r="Z17" s="1779"/>
    </row>
    <row r="18" spans="3:26" x14ac:dyDescent="0.2">
      <c r="C18" s="1895"/>
      <c r="D18" s="1896"/>
      <c r="E18" s="1896"/>
      <c r="F18" s="1897"/>
      <c r="G18" s="1780"/>
      <c r="H18" s="1781"/>
      <c r="I18" s="1781"/>
      <c r="J18" s="1781"/>
      <c r="K18" s="1781"/>
      <c r="L18" s="1781"/>
      <c r="M18" s="1781"/>
      <c r="N18" s="1781"/>
      <c r="O18" s="1781"/>
      <c r="P18" s="1781"/>
      <c r="Q18" s="1781"/>
      <c r="R18" s="1781"/>
      <c r="S18" s="1781"/>
      <c r="T18" s="1781"/>
      <c r="U18" s="1781"/>
      <c r="V18" s="1781"/>
      <c r="W18" s="1781"/>
      <c r="X18" s="1781"/>
      <c r="Y18" s="1781"/>
      <c r="Z18" s="1782"/>
    </row>
    <row r="19" spans="3:26" x14ac:dyDescent="0.2">
      <c r="C19" s="1898"/>
      <c r="D19" s="1899"/>
      <c r="E19" s="1899"/>
      <c r="F19" s="1900"/>
      <c r="G19" s="1783"/>
      <c r="H19" s="1784"/>
      <c r="I19" s="1784"/>
      <c r="J19" s="1784"/>
      <c r="K19" s="1784"/>
      <c r="L19" s="1784"/>
      <c r="M19" s="1784"/>
      <c r="N19" s="1784"/>
      <c r="O19" s="1784"/>
      <c r="P19" s="1784"/>
      <c r="Q19" s="1784"/>
      <c r="R19" s="1784"/>
      <c r="S19" s="1784"/>
      <c r="T19" s="1784"/>
      <c r="U19" s="1784"/>
      <c r="V19" s="1784"/>
      <c r="W19" s="1784"/>
      <c r="X19" s="1784"/>
      <c r="Y19" s="1784"/>
      <c r="Z19" s="1785"/>
    </row>
    <row r="20" spans="3:26" x14ac:dyDescent="0.2">
      <c r="C20" s="1892" t="s">
        <v>679</v>
      </c>
      <c r="D20" s="1893"/>
      <c r="E20" s="1893"/>
      <c r="F20" s="1894"/>
      <c r="G20" s="1777"/>
      <c r="H20" s="1778"/>
      <c r="I20" s="1778"/>
      <c r="J20" s="1778"/>
      <c r="K20" s="1778"/>
      <c r="L20" s="1778"/>
      <c r="M20" s="1778"/>
      <c r="N20" s="1778"/>
      <c r="O20" s="1778"/>
      <c r="P20" s="1778"/>
      <c r="Q20" s="1778"/>
      <c r="R20" s="1778"/>
      <c r="S20" s="1778"/>
      <c r="T20" s="1778"/>
      <c r="U20" s="1778"/>
      <c r="V20" s="1778"/>
      <c r="W20" s="1778"/>
      <c r="X20" s="1778"/>
      <c r="Y20" s="1778"/>
      <c r="Z20" s="1779"/>
    </row>
    <row r="21" spans="3:26" x14ac:dyDescent="0.2">
      <c r="C21" s="1895"/>
      <c r="D21" s="1896"/>
      <c r="E21" s="1896"/>
      <c r="F21" s="1897"/>
      <c r="G21" s="1780"/>
      <c r="H21" s="1781"/>
      <c r="I21" s="1781"/>
      <c r="J21" s="1781"/>
      <c r="K21" s="1781"/>
      <c r="L21" s="1781"/>
      <c r="M21" s="1781"/>
      <c r="N21" s="1781"/>
      <c r="O21" s="1781"/>
      <c r="P21" s="1781"/>
      <c r="Q21" s="1781"/>
      <c r="R21" s="1781"/>
      <c r="S21" s="1781"/>
      <c r="T21" s="1781"/>
      <c r="U21" s="1781"/>
      <c r="V21" s="1781"/>
      <c r="W21" s="1781"/>
      <c r="X21" s="1781"/>
      <c r="Y21" s="1781"/>
      <c r="Z21" s="1782"/>
    </row>
    <row r="22" spans="3:26" x14ac:dyDescent="0.2">
      <c r="C22" s="1898"/>
      <c r="D22" s="1899"/>
      <c r="E22" s="1899"/>
      <c r="F22" s="1900"/>
      <c r="G22" s="1783"/>
      <c r="H22" s="1784"/>
      <c r="I22" s="1784"/>
      <c r="J22" s="1784"/>
      <c r="K22" s="1784"/>
      <c r="L22" s="1784"/>
      <c r="M22" s="1784"/>
      <c r="N22" s="1784"/>
      <c r="O22" s="1784"/>
      <c r="P22" s="1784"/>
      <c r="Q22" s="1784"/>
      <c r="R22" s="1784"/>
      <c r="S22" s="1784"/>
      <c r="T22" s="1784"/>
      <c r="U22" s="1784"/>
      <c r="V22" s="1784"/>
      <c r="W22" s="1784"/>
      <c r="X22" s="1784"/>
      <c r="Y22" s="1784"/>
      <c r="Z22" s="1785"/>
    </row>
    <row r="23" spans="3:26" x14ac:dyDescent="0.2">
      <c r="C23" s="1892" t="s">
        <v>680</v>
      </c>
      <c r="D23" s="1893"/>
      <c r="E23" s="1893"/>
      <c r="F23" s="1894"/>
      <c r="G23" s="1777"/>
      <c r="H23" s="1778"/>
      <c r="I23" s="1778"/>
      <c r="J23" s="1778"/>
      <c r="K23" s="1778"/>
      <c r="L23" s="1778"/>
      <c r="M23" s="1778"/>
      <c r="N23" s="1778"/>
      <c r="O23" s="1778"/>
      <c r="P23" s="1778"/>
      <c r="Q23" s="1778"/>
      <c r="R23" s="1778"/>
      <c r="S23" s="1778"/>
      <c r="T23" s="1778"/>
      <c r="U23" s="1778"/>
      <c r="V23" s="1778"/>
      <c r="W23" s="1778"/>
      <c r="X23" s="1778"/>
      <c r="Y23" s="1778"/>
      <c r="Z23" s="1779"/>
    </row>
    <row r="24" spans="3:26" x14ac:dyDescent="0.2">
      <c r="C24" s="1895"/>
      <c r="D24" s="1896"/>
      <c r="E24" s="1896"/>
      <c r="F24" s="1897"/>
      <c r="G24" s="1780"/>
      <c r="H24" s="1781"/>
      <c r="I24" s="1781"/>
      <c r="J24" s="1781"/>
      <c r="K24" s="1781"/>
      <c r="L24" s="1781"/>
      <c r="M24" s="1781"/>
      <c r="N24" s="1781"/>
      <c r="O24" s="1781"/>
      <c r="P24" s="1781"/>
      <c r="Q24" s="1781"/>
      <c r="R24" s="1781"/>
      <c r="S24" s="1781"/>
      <c r="T24" s="1781"/>
      <c r="U24" s="1781"/>
      <c r="V24" s="1781"/>
      <c r="W24" s="1781"/>
      <c r="X24" s="1781"/>
      <c r="Y24" s="1781"/>
      <c r="Z24" s="1782"/>
    </row>
    <row r="25" spans="3:26" x14ac:dyDescent="0.2">
      <c r="C25" s="1898"/>
      <c r="D25" s="1899"/>
      <c r="E25" s="1899"/>
      <c r="F25" s="1900"/>
      <c r="G25" s="1783"/>
      <c r="H25" s="1784"/>
      <c r="I25" s="1784"/>
      <c r="J25" s="1784"/>
      <c r="K25" s="1784"/>
      <c r="L25" s="1784"/>
      <c r="M25" s="1784"/>
      <c r="N25" s="1784"/>
      <c r="O25" s="1784"/>
      <c r="P25" s="1784"/>
      <c r="Q25" s="1784"/>
      <c r="R25" s="1784"/>
      <c r="S25" s="1784"/>
      <c r="T25" s="1784"/>
      <c r="U25" s="1784"/>
      <c r="V25" s="1784"/>
      <c r="W25" s="1784"/>
      <c r="X25" s="1784"/>
      <c r="Y25" s="1784"/>
      <c r="Z25" s="1785"/>
    </row>
    <row r="26" spans="3:26" x14ac:dyDescent="0.2">
      <c r="C26" s="1892" t="s">
        <v>681</v>
      </c>
      <c r="D26" s="1893"/>
      <c r="E26" s="1893"/>
      <c r="F26" s="1894"/>
      <c r="G26" s="1777"/>
      <c r="H26" s="1778"/>
      <c r="I26" s="1778"/>
      <c r="J26" s="1778"/>
      <c r="K26" s="1778"/>
      <c r="L26" s="1778"/>
      <c r="M26" s="1778"/>
      <c r="N26" s="1778"/>
      <c r="O26" s="1778"/>
      <c r="P26" s="1778"/>
      <c r="Q26" s="1778"/>
      <c r="R26" s="1778"/>
      <c r="S26" s="1778"/>
      <c r="T26" s="1778"/>
      <c r="U26" s="1778"/>
      <c r="V26" s="1778"/>
      <c r="W26" s="1778"/>
      <c r="X26" s="1778"/>
      <c r="Y26" s="1778"/>
      <c r="Z26" s="1779"/>
    </row>
    <row r="27" spans="3:26" x14ac:dyDescent="0.2">
      <c r="C27" s="1895"/>
      <c r="D27" s="1896"/>
      <c r="E27" s="1896"/>
      <c r="F27" s="1897"/>
      <c r="G27" s="1780"/>
      <c r="H27" s="1781"/>
      <c r="I27" s="1781"/>
      <c r="J27" s="1781"/>
      <c r="K27" s="1781"/>
      <c r="L27" s="1781"/>
      <c r="M27" s="1781"/>
      <c r="N27" s="1781"/>
      <c r="O27" s="1781"/>
      <c r="P27" s="1781"/>
      <c r="Q27" s="1781"/>
      <c r="R27" s="1781"/>
      <c r="S27" s="1781"/>
      <c r="T27" s="1781"/>
      <c r="U27" s="1781"/>
      <c r="V27" s="1781"/>
      <c r="W27" s="1781"/>
      <c r="X27" s="1781"/>
      <c r="Y27" s="1781"/>
      <c r="Z27" s="1782"/>
    </row>
    <row r="28" spans="3:26" x14ac:dyDescent="0.2">
      <c r="C28" s="1898"/>
      <c r="D28" s="1899"/>
      <c r="E28" s="1899"/>
      <c r="F28" s="1900"/>
      <c r="G28" s="1783"/>
      <c r="H28" s="1784"/>
      <c r="I28" s="1784"/>
      <c r="J28" s="1784"/>
      <c r="K28" s="1784"/>
      <c r="L28" s="1784"/>
      <c r="M28" s="1784"/>
      <c r="N28" s="1784"/>
      <c r="O28" s="1784"/>
      <c r="P28" s="1784"/>
      <c r="Q28" s="1784"/>
      <c r="R28" s="1784"/>
      <c r="S28" s="1784"/>
      <c r="T28" s="1784"/>
      <c r="U28" s="1784"/>
      <c r="V28" s="1784"/>
      <c r="W28" s="1784"/>
      <c r="X28" s="1784"/>
      <c r="Y28" s="1784"/>
      <c r="Z28" s="1785"/>
    </row>
  </sheetData>
  <mergeCells count="28">
    <mergeCell ref="C3:Z3"/>
    <mergeCell ref="C5:F5"/>
    <mergeCell ref="G5:H8"/>
    <mergeCell ref="I5:J6"/>
    <mergeCell ref="L5:N6"/>
    <mergeCell ref="Q5:R8"/>
    <mergeCell ref="S5:T6"/>
    <mergeCell ref="V5:X6"/>
    <mergeCell ref="C6:F6"/>
    <mergeCell ref="C7:F7"/>
    <mergeCell ref="I7:J8"/>
    <mergeCell ref="L7:N8"/>
    <mergeCell ref="S7:T8"/>
    <mergeCell ref="V7:X8"/>
    <mergeCell ref="C9:J11"/>
    <mergeCell ref="Q10:V10"/>
    <mergeCell ref="W10:Z10"/>
    <mergeCell ref="C23:F25"/>
    <mergeCell ref="G23:Z25"/>
    <mergeCell ref="C26:F28"/>
    <mergeCell ref="G26:Z28"/>
    <mergeCell ref="C12:Z13"/>
    <mergeCell ref="C14:F16"/>
    <mergeCell ref="G14:Z16"/>
    <mergeCell ref="C17:F19"/>
    <mergeCell ref="G17:Z19"/>
    <mergeCell ref="C20:F22"/>
    <mergeCell ref="G20:Z22"/>
  </mergeCells>
  <phoneticPr fontId="2"/>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152"/>
  <sheetViews>
    <sheetView view="pageBreakPreview" zoomScaleNormal="100" zoomScaleSheetLayoutView="100" workbookViewId="0">
      <selection sqref="A1:AG1"/>
    </sheetView>
  </sheetViews>
  <sheetFormatPr defaultColWidth="9" defaultRowHeight="18.600000000000001" x14ac:dyDescent="0.2"/>
  <cols>
    <col min="1" max="34" width="3.77734375" style="413" customWidth="1"/>
    <col min="35" max="35" width="41.77734375" style="413" bestFit="1" customWidth="1"/>
    <col min="36" max="36" width="13.21875" style="413" customWidth="1"/>
    <col min="37" max="37" width="14.77734375" style="413" customWidth="1"/>
    <col min="38" max="16384" width="9" style="413"/>
  </cols>
  <sheetData>
    <row r="1" spans="1:37" ht="22.8" x14ac:dyDescent="0.2">
      <c r="A1" s="1909" t="s">
        <v>935</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row>
    <row r="2" spans="1:37" ht="22.2" customHeight="1" x14ac:dyDescent="0.2">
      <c r="AI2" s="413" t="s">
        <v>936</v>
      </c>
      <c r="AJ2" s="414" t="str">
        <f>IF(G11="","",VLOOKUP(G11,AI3:AJ7,2,FALSE))</f>
        <v/>
      </c>
    </row>
    <row r="3" spans="1:37" ht="26.25" customHeight="1" x14ac:dyDescent="0.2">
      <c r="B3" s="1910" t="s">
        <v>937</v>
      </c>
      <c r="C3" s="1911"/>
      <c r="D3" s="1911"/>
      <c r="E3" s="1911"/>
      <c r="F3" s="1911"/>
      <c r="G3" s="1911"/>
      <c r="H3" s="1911"/>
      <c r="I3" s="1911"/>
      <c r="J3" s="1911"/>
      <c r="K3" s="1911"/>
      <c r="L3" s="1911"/>
      <c r="M3" s="1911"/>
      <c r="N3" s="1911"/>
      <c r="O3" s="1911"/>
      <c r="P3" s="1911"/>
      <c r="Q3" s="1911"/>
      <c r="R3" s="1911"/>
      <c r="S3" s="1911"/>
      <c r="T3" s="1911"/>
      <c r="U3" s="1911"/>
      <c r="V3" s="1911"/>
      <c r="W3" s="1911"/>
      <c r="X3" s="1911"/>
      <c r="Y3" s="1911"/>
      <c r="Z3" s="1911"/>
      <c r="AA3" s="1911"/>
      <c r="AB3" s="1911"/>
      <c r="AC3" s="1911"/>
      <c r="AD3" s="1911"/>
      <c r="AE3" s="1911"/>
      <c r="AF3" s="1912"/>
      <c r="AI3" s="413" t="s">
        <v>938</v>
      </c>
      <c r="AJ3" s="415">
        <v>1</v>
      </c>
    </row>
    <row r="4" spans="1:37" ht="26.25" customHeight="1" x14ac:dyDescent="0.2">
      <c r="B4" s="1913"/>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5"/>
      <c r="AI4" s="413" t="s">
        <v>939</v>
      </c>
      <c r="AJ4" s="415">
        <v>2</v>
      </c>
    </row>
    <row r="5" spans="1:37" ht="26.25" customHeight="1" x14ac:dyDescent="0.2">
      <c r="B5" s="1916"/>
      <c r="C5" s="1914"/>
      <c r="D5" s="1914"/>
      <c r="E5" s="1914"/>
      <c r="F5" s="1914"/>
      <c r="G5" s="1914"/>
      <c r="H5" s="1914"/>
      <c r="I5" s="1914"/>
      <c r="J5" s="1914"/>
      <c r="K5" s="1914"/>
      <c r="L5" s="1914"/>
      <c r="M5" s="1914"/>
      <c r="N5" s="1914"/>
      <c r="O5" s="1914"/>
      <c r="P5" s="1914"/>
      <c r="Q5" s="1914"/>
      <c r="R5" s="1914"/>
      <c r="S5" s="1914"/>
      <c r="T5" s="1914"/>
      <c r="U5" s="1914"/>
      <c r="V5" s="1914"/>
      <c r="W5" s="1914"/>
      <c r="X5" s="1914"/>
      <c r="Y5" s="1914"/>
      <c r="Z5" s="1914"/>
      <c r="AA5" s="1914"/>
      <c r="AB5" s="1914"/>
      <c r="AC5" s="1914"/>
      <c r="AD5" s="1914"/>
      <c r="AE5" s="1914"/>
      <c r="AF5" s="1915"/>
      <c r="AI5" s="413" t="s">
        <v>940</v>
      </c>
      <c r="AJ5" s="415">
        <v>3</v>
      </c>
    </row>
    <row r="6" spans="1:37" ht="26.25" customHeight="1" x14ac:dyDescent="0.2">
      <c r="B6" s="1917"/>
      <c r="C6" s="1918"/>
      <c r="D6" s="1918"/>
      <c r="E6" s="1918"/>
      <c r="F6" s="1918"/>
      <c r="G6" s="1918"/>
      <c r="H6" s="1918"/>
      <c r="I6" s="1918"/>
      <c r="J6" s="1918"/>
      <c r="K6" s="1918"/>
      <c r="L6" s="1918"/>
      <c r="M6" s="1918"/>
      <c r="N6" s="1918"/>
      <c r="O6" s="1918"/>
      <c r="P6" s="1918"/>
      <c r="Q6" s="1918"/>
      <c r="R6" s="1918"/>
      <c r="S6" s="1918"/>
      <c r="T6" s="1918"/>
      <c r="U6" s="1918"/>
      <c r="V6" s="1918"/>
      <c r="W6" s="1918"/>
      <c r="X6" s="1918"/>
      <c r="Y6" s="1918"/>
      <c r="Z6" s="1918"/>
      <c r="AA6" s="1918"/>
      <c r="AB6" s="1918"/>
      <c r="AC6" s="1918"/>
      <c r="AD6" s="1918"/>
      <c r="AE6" s="1918"/>
      <c r="AF6" s="1919"/>
      <c r="AI6" s="413" t="s">
        <v>941</v>
      </c>
      <c r="AJ6" s="415">
        <v>4</v>
      </c>
    </row>
    <row r="7" spans="1:37" ht="22.2" customHeight="1" x14ac:dyDescent="0.2">
      <c r="AI7" s="413" t="s">
        <v>942</v>
      </c>
      <c r="AJ7" s="415">
        <v>5</v>
      </c>
    </row>
    <row r="8" spans="1:37" ht="22.2" customHeight="1" x14ac:dyDescent="0.2">
      <c r="B8" s="416" t="s">
        <v>943</v>
      </c>
      <c r="AI8" s="417" t="s">
        <v>944</v>
      </c>
      <c r="AJ8" s="418" t="str">
        <f>IF(AND(COUNTIF(V11,"*")=1,OR(AJ2=1,AJ2=2,)),VLOOKUP(V11,AI9:AJ11,2,FALSE),"")</f>
        <v/>
      </c>
    </row>
    <row r="9" spans="1:37" ht="22.2" customHeight="1" x14ac:dyDescent="0.2">
      <c r="B9" s="1920" t="s">
        <v>945</v>
      </c>
      <c r="C9" s="1920"/>
      <c r="D9" s="1920"/>
      <c r="E9" s="1920"/>
      <c r="F9" s="1920"/>
      <c r="G9" s="1921"/>
      <c r="H9" s="1921"/>
      <c r="I9" s="1921"/>
      <c r="J9" s="1921"/>
      <c r="K9" s="1920" t="s">
        <v>946</v>
      </c>
      <c r="L9" s="1920"/>
      <c r="M9" s="1920"/>
      <c r="N9" s="1920"/>
      <c r="O9" s="1922"/>
      <c r="P9" s="1922"/>
      <c r="Q9" s="1922"/>
      <c r="R9" s="1922"/>
      <c r="S9" s="1922"/>
      <c r="T9" s="1922"/>
      <c r="U9" s="1922"/>
      <c r="V9" s="1922"/>
      <c r="W9" s="1922"/>
      <c r="X9" s="1922"/>
      <c r="Y9" s="1923"/>
      <c r="Z9" s="1923"/>
      <c r="AA9" s="1923"/>
      <c r="AB9" s="1923"/>
      <c r="AI9" s="417" t="s">
        <v>947</v>
      </c>
      <c r="AJ9" s="415">
        <v>6</v>
      </c>
    </row>
    <row r="10" spans="1:37" ht="22.2" customHeight="1" x14ac:dyDescent="0.2">
      <c r="B10" s="1924" t="s">
        <v>948</v>
      </c>
      <c r="C10" s="1925"/>
      <c r="D10" s="1925"/>
      <c r="E10" s="1925"/>
      <c r="F10" s="1926"/>
      <c r="G10" s="1927"/>
      <c r="H10" s="1928"/>
      <c r="I10" s="1928"/>
      <c r="J10" s="1929"/>
      <c r="K10" s="1924" t="s">
        <v>949</v>
      </c>
      <c r="L10" s="1925"/>
      <c r="M10" s="1925"/>
      <c r="N10" s="1926"/>
      <c r="O10" s="1927"/>
      <c r="P10" s="1928"/>
      <c r="Q10" s="1928"/>
      <c r="R10" s="1928"/>
      <c r="S10" s="1928"/>
      <c r="T10" s="1929"/>
      <c r="U10" s="1924" t="s">
        <v>950</v>
      </c>
      <c r="V10" s="1925"/>
      <c r="W10" s="1925"/>
      <c r="X10" s="1926"/>
      <c r="Y10" s="1927"/>
      <c r="Z10" s="1928"/>
      <c r="AA10" s="1928"/>
      <c r="AB10" s="1928"/>
      <c r="AC10" s="1928"/>
      <c r="AD10" s="1928"/>
      <c r="AE10" s="1928"/>
      <c r="AF10" s="1929"/>
      <c r="AI10" s="417" t="s">
        <v>951</v>
      </c>
      <c r="AJ10" s="415">
        <v>7</v>
      </c>
    </row>
    <row r="11" spans="1:37" ht="22.2" customHeight="1" x14ac:dyDescent="0.2">
      <c r="B11" s="1920" t="s">
        <v>952</v>
      </c>
      <c r="C11" s="1920"/>
      <c r="D11" s="1920"/>
      <c r="E11" s="1920"/>
      <c r="F11" s="1920"/>
      <c r="G11" s="1930"/>
      <c r="H11" s="1931"/>
      <c r="I11" s="1931"/>
      <c r="J11" s="1931"/>
      <c r="K11" s="1931"/>
      <c r="L11" s="1931"/>
      <c r="M11" s="1931"/>
      <c r="N11" s="1931"/>
      <c r="O11" s="1931"/>
      <c r="P11" s="1931"/>
      <c r="Q11" s="1932"/>
      <c r="R11" s="1924" t="s">
        <v>953</v>
      </c>
      <c r="S11" s="1925"/>
      <c r="T11" s="1925"/>
      <c r="U11" s="1926"/>
      <c r="V11" s="1933"/>
      <c r="W11" s="1934"/>
      <c r="X11" s="1934"/>
      <c r="Y11" s="1934"/>
      <c r="Z11" s="1934"/>
      <c r="AA11" s="1934"/>
      <c r="AB11" s="1935"/>
      <c r="AI11" s="417" t="s">
        <v>954</v>
      </c>
      <c r="AJ11" s="415">
        <v>8</v>
      </c>
    </row>
    <row r="12" spans="1:37" ht="17.25" customHeight="1" x14ac:dyDescent="0.2">
      <c r="B12" s="1936" t="s">
        <v>955</v>
      </c>
      <c r="C12" s="1936"/>
      <c r="D12" s="1936"/>
      <c r="E12" s="1936"/>
      <c r="F12" s="1936"/>
      <c r="G12" s="1936"/>
      <c r="H12" s="1936"/>
      <c r="I12" s="1936"/>
      <c r="J12" s="1936"/>
      <c r="K12" s="1936"/>
      <c r="L12" s="1936"/>
      <c r="M12" s="1936"/>
      <c r="N12" s="1936"/>
      <c r="O12" s="1936"/>
      <c r="P12" s="1936"/>
      <c r="Q12" s="1936"/>
      <c r="R12" s="1936"/>
      <c r="S12" s="1936"/>
      <c r="T12" s="1936"/>
      <c r="U12" s="1936"/>
      <c r="V12" s="1936"/>
      <c r="W12" s="1936"/>
      <c r="X12" s="1936"/>
      <c r="Y12" s="1936"/>
      <c r="Z12" s="1936"/>
      <c r="AA12" s="1936"/>
      <c r="AB12" s="1936"/>
      <c r="AC12" s="1936"/>
      <c r="AD12" s="1936"/>
      <c r="AE12" s="1936"/>
      <c r="AF12" s="1936"/>
      <c r="AJ12" s="415"/>
    </row>
    <row r="13" spans="1:37" ht="17.25" customHeight="1" x14ac:dyDescent="0.2">
      <c r="B13" s="1936"/>
      <c r="C13" s="1936"/>
      <c r="D13" s="1936"/>
      <c r="E13" s="1936"/>
      <c r="F13" s="1936"/>
      <c r="G13" s="1936"/>
      <c r="H13" s="1936"/>
      <c r="I13" s="1936"/>
      <c r="J13" s="1936"/>
      <c r="K13" s="1936"/>
      <c r="L13" s="1936"/>
      <c r="M13" s="1936"/>
      <c r="N13" s="1936"/>
      <c r="O13" s="1936"/>
      <c r="P13" s="1936"/>
      <c r="Q13" s="1936"/>
      <c r="R13" s="1936"/>
      <c r="S13" s="1936"/>
      <c r="T13" s="1936"/>
      <c r="U13" s="1936"/>
      <c r="V13" s="1936"/>
      <c r="W13" s="1936"/>
      <c r="X13" s="1936"/>
      <c r="Y13" s="1936"/>
      <c r="Z13" s="1936"/>
      <c r="AA13" s="1936"/>
      <c r="AB13" s="1936"/>
      <c r="AC13" s="1936"/>
      <c r="AD13" s="1936"/>
      <c r="AE13" s="1936"/>
      <c r="AF13" s="1936"/>
      <c r="AI13" s="417"/>
    </row>
    <row r="14" spans="1:37" ht="18" customHeight="1" x14ac:dyDescent="0.2">
      <c r="AI14" s="417"/>
    </row>
    <row r="15" spans="1:37" ht="22.2" customHeight="1" x14ac:dyDescent="0.2">
      <c r="B15" s="416" t="s">
        <v>956</v>
      </c>
      <c r="AI15" s="417" t="s">
        <v>957</v>
      </c>
    </row>
    <row r="16" spans="1:37" ht="22.2" customHeight="1" x14ac:dyDescent="0.2">
      <c r="B16" s="1937" t="s">
        <v>958</v>
      </c>
      <c r="C16" s="1938"/>
      <c r="D16" s="1938"/>
      <c r="E16" s="1938"/>
      <c r="F16" s="1938"/>
      <c r="G16" s="1938"/>
      <c r="H16" s="1938"/>
      <c r="I16" s="1938"/>
      <c r="J16" s="1938"/>
      <c r="K16" s="1939"/>
      <c r="L16" s="1924" t="s">
        <v>959</v>
      </c>
      <c r="M16" s="1925"/>
      <c r="N16" s="1928"/>
      <c r="O16" s="1928"/>
      <c r="P16" s="419" t="s">
        <v>960</v>
      </c>
      <c r="Q16" s="1928"/>
      <c r="R16" s="1928"/>
      <c r="S16" s="420" t="s">
        <v>961</v>
      </c>
      <c r="T16"/>
      <c r="U16"/>
      <c r="AD16"/>
      <c r="AE16"/>
      <c r="AI16" s="421" t="str">
        <f>L16&amp;N16&amp;P16&amp;Q16&amp;S16&amp;"１日"</f>
        <v>令和年月１日</v>
      </c>
      <c r="AJ16" s="422"/>
      <c r="AK16" s="422"/>
    </row>
    <row r="17" spans="2:37" ht="22.2" customHeight="1" x14ac:dyDescent="0.2">
      <c r="B17" s="1937" t="s">
        <v>962</v>
      </c>
      <c r="C17" s="1938"/>
      <c r="D17" s="1938"/>
      <c r="E17" s="1938"/>
      <c r="F17" s="1938"/>
      <c r="G17" s="1938"/>
      <c r="H17" s="1938"/>
      <c r="I17" s="1938"/>
      <c r="J17" s="1938"/>
      <c r="K17" s="1938"/>
      <c r="L17" s="1938"/>
      <c r="M17" s="1938"/>
      <c r="N17" s="1938"/>
      <c r="O17" s="1939"/>
      <c r="P17" s="1940"/>
      <c r="Q17" s="1941"/>
      <c r="R17" s="1941"/>
      <c r="S17" s="423" t="s">
        <v>963</v>
      </c>
      <c r="AI17" s="417" t="s">
        <v>964</v>
      </c>
      <c r="AJ17" s="424" t="s">
        <v>965</v>
      </c>
    </row>
    <row r="18" spans="2:37" ht="22.2" customHeight="1" x14ac:dyDescent="0.2">
      <c r="B18" s="1942" t="s">
        <v>966</v>
      </c>
      <c r="C18" s="1942"/>
      <c r="D18" s="1942"/>
      <c r="E18" s="1942"/>
      <c r="F18" s="1942"/>
      <c r="G18" s="1942"/>
      <c r="H18" s="1942"/>
      <c r="I18" s="1942"/>
      <c r="J18" s="1942"/>
      <c r="K18" s="1942"/>
      <c r="L18" s="1942"/>
      <c r="M18" s="1942"/>
      <c r="N18" s="1942"/>
      <c r="O18" s="1942"/>
      <c r="P18" s="1942"/>
      <c r="Q18" s="1942"/>
      <c r="R18" s="1942"/>
      <c r="S18" s="1942"/>
      <c r="T18" s="1942"/>
      <c r="U18" s="1942"/>
      <c r="V18" s="1942"/>
      <c r="W18" s="1942"/>
      <c r="X18" s="1942"/>
      <c r="Y18" s="1942"/>
      <c r="Z18" s="1943"/>
      <c r="AA18" s="1944"/>
      <c r="AB18" s="1944"/>
      <c r="AC18" s="425" t="s">
        <v>963</v>
      </c>
      <c r="AI18" s="426" t="e">
        <f>(Z18-P17)/Z18</f>
        <v>#DIV/0!</v>
      </c>
      <c r="AJ18" s="427" t="e">
        <f>AI18</f>
        <v>#DIV/0!</v>
      </c>
    </row>
    <row r="19" spans="2:37" ht="22.2" customHeight="1" x14ac:dyDescent="0.25">
      <c r="B19" s="1945" t="s">
        <v>967</v>
      </c>
      <c r="C19" s="1946"/>
      <c r="D19" s="1946"/>
      <c r="E19" s="1946"/>
      <c r="F19" s="1946"/>
      <c r="G19" s="1946"/>
      <c r="H19" s="1947" t="str">
        <f>IF(P17="","",IF(AND(H20="否",ROUND(AI18,4)&gt;=0.05),"可","否"))</f>
        <v/>
      </c>
      <c r="I19" s="1948"/>
      <c r="J19" s="1949"/>
      <c r="N19" s="428"/>
      <c r="O19" s="428"/>
      <c r="P19" s="428"/>
      <c r="Q19" s="428"/>
      <c r="R19" s="428"/>
      <c r="S19" s="428"/>
      <c r="T19" s="428"/>
      <c r="U19" s="428"/>
      <c r="V19" s="428"/>
      <c r="W19" s="428"/>
      <c r="X19" s="428"/>
      <c r="Y19" s="428"/>
      <c r="Z19" s="428"/>
      <c r="AA19" s="428"/>
      <c r="AB19" s="428"/>
      <c r="AC19" s="428"/>
      <c r="AD19" s="428"/>
      <c r="AE19" s="428"/>
      <c r="AF19" s="428"/>
      <c r="AI19" s="429" t="s">
        <v>968</v>
      </c>
      <c r="AJ19" s="430" t="s">
        <v>969</v>
      </c>
    </row>
    <row r="20" spans="2:37" ht="22.2" customHeight="1" x14ac:dyDescent="0.25">
      <c r="B20" s="1937" t="s">
        <v>970</v>
      </c>
      <c r="C20" s="1938"/>
      <c r="D20" s="1938"/>
      <c r="E20" s="1938"/>
      <c r="F20" s="1938"/>
      <c r="G20" s="1938"/>
      <c r="H20" s="1950" t="str">
        <f>IF(N16="","",IF(AND(AI20="可",AJ20="可"),"可","否"))</f>
        <v/>
      </c>
      <c r="I20" s="1951"/>
      <c r="J20" s="1952"/>
      <c r="N20" s="428"/>
      <c r="O20" s="428"/>
      <c r="P20" s="428"/>
      <c r="Q20" s="428"/>
      <c r="R20" s="428"/>
      <c r="S20" s="428"/>
      <c r="T20" s="428"/>
      <c r="U20" s="428"/>
      <c r="V20" s="428"/>
      <c r="W20" s="428"/>
      <c r="X20" s="428"/>
      <c r="Y20" s="428"/>
      <c r="Z20" s="428"/>
      <c r="AE20" s="428"/>
      <c r="AF20" s="428"/>
      <c r="AI20" s="429" t="str">
        <f>IF(P17="","",IF(OR(AND(AJ8=7,P17&lt;=750),(AND(AJ8=8,P17&lt;=900))),"可","否"))</f>
        <v/>
      </c>
      <c r="AJ20" s="431" t="str">
        <f>IF(AND(N16=3,OR(Q16=2,Q16=3)),"否","可")</f>
        <v>可</v>
      </c>
      <c r="AK20"/>
    </row>
    <row r="21" spans="2:37" ht="20.25" customHeight="1" x14ac:dyDescent="0.2">
      <c r="B21" s="1953" t="s">
        <v>971</v>
      </c>
      <c r="C21" s="1954"/>
      <c r="D21" s="1954"/>
      <c r="E21" s="1954"/>
      <c r="F21" s="1954"/>
      <c r="G21" s="1954"/>
      <c r="H21" s="1954"/>
      <c r="I21" s="1954"/>
      <c r="J21" s="1954"/>
      <c r="K21" s="1954"/>
      <c r="L21" s="1954"/>
      <c r="M21" s="1954"/>
      <c r="N21" s="1954"/>
      <c r="O21" s="1954"/>
      <c r="P21" s="1954"/>
      <c r="Q21" s="1954"/>
      <c r="R21" s="1954"/>
      <c r="S21" s="1954"/>
      <c r="T21" s="1954"/>
      <c r="U21" s="1954"/>
      <c r="V21" s="1954"/>
      <c r="W21" s="1954"/>
      <c r="X21" s="1954"/>
      <c r="Y21" s="1954"/>
      <c r="Z21" s="1954"/>
      <c r="AA21" s="1954"/>
      <c r="AB21" s="1954"/>
      <c r="AC21" s="1954"/>
      <c r="AD21" s="1954"/>
      <c r="AE21" s="1954"/>
      <c r="AF21" s="1954"/>
    </row>
    <row r="22" spans="2:37" ht="20.25" customHeight="1" x14ac:dyDescent="0.2">
      <c r="B22" s="1953"/>
      <c r="C22" s="1954"/>
      <c r="D22" s="1954"/>
      <c r="E22" s="1954"/>
      <c r="F22" s="1954"/>
      <c r="G22" s="1954"/>
      <c r="H22" s="1954"/>
      <c r="I22" s="1954"/>
      <c r="J22" s="1954"/>
      <c r="K22" s="1954"/>
      <c r="L22" s="1954"/>
      <c r="M22" s="1954"/>
      <c r="N22" s="1954"/>
      <c r="O22" s="1954"/>
      <c r="P22" s="1954"/>
      <c r="Q22" s="1954"/>
      <c r="R22" s="1954"/>
      <c r="S22" s="1954"/>
      <c r="T22" s="1954"/>
      <c r="U22" s="1954"/>
      <c r="V22" s="1954"/>
      <c r="W22" s="1954"/>
      <c r="X22" s="1954"/>
      <c r="Y22" s="1954"/>
      <c r="Z22" s="1954"/>
      <c r="AA22" s="1954"/>
      <c r="AB22" s="1954"/>
      <c r="AC22" s="1954"/>
      <c r="AD22" s="1954"/>
      <c r="AE22" s="1954"/>
      <c r="AF22" s="1954"/>
    </row>
    <row r="23" spans="2:37" ht="20.25" customHeight="1" x14ac:dyDescent="0.2">
      <c r="B23" s="1953"/>
      <c r="C23" s="1954"/>
      <c r="D23" s="1954"/>
      <c r="E23" s="1954"/>
      <c r="F23" s="1954"/>
      <c r="G23" s="1954"/>
      <c r="H23" s="1954"/>
      <c r="I23" s="1954"/>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row>
    <row r="24" spans="2:37" ht="20.25" customHeight="1" x14ac:dyDescent="0.2">
      <c r="B24" s="1953"/>
      <c r="C24" s="1954"/>
      <c r="D24" s="1954"/>
      <c r="E24" s="1954"/>
      <c r="F24" s="1954"/>
      <c r="G24" s="1954"/>
      <c r="H24" s="1954"/>
      <c r="I24" s="1954"/>
      <c r="J24" s="1954"/>
      <c r="K24" s="1954"/>
      <c r="L24" s="1954"/>
      <c r="M24" s="1954"/>
      <c r="N24" s="1954"/>
      <c r="O24" s="1954"/>
      <c r="P24" s="1954"/>
      <c r="Q24" s="1954"/>
      <c r="R24" s="1954"/>
      <c r="S24" s="1954"/>
      <c r="T24" s="1954"/>
      <c r="U24" s="1954"/>
      <c r="V24" s="1954"/>
      <c r="W24" s="1954"/>
      <c r="X24" s="1954"/>
      <c r="Y24" s="1954"/>
      <c r="Z24" s="1954"/>
      <c r="AA24" s="1954"/>
      <c r="AB24" s="1954"/>
      <c r="AC24" s="1954"/>
      <c r="AD24" s="1954"/>
      <c r="AE24" s="1954"/>
      <c r="AF24" s="1954"/>
    </row>
    <row r="25" spans="2:37" ht="20.25" customHeight="1" x14ac:dyDescent="0.2">
      <c r="B25" s="1953"/>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c r="AD25" s="1954"/>
      <c r="AE25" s="1954"/>
      <c r="AF25" s="1954"/>
    </row>
    <row r="26" spans="2:37" ht="20.25" customHeight="1" x14ac:dyDescent="0.2">
      <c r="B26" s="1953"/>
      <c r="C26" s="1954"/>
      <c r="D26" s="1954"/>
      <c r="E26" s="1954"/>
      <c r="F26" s="1954"/>
      <c r="G26" s="1954"/>
      <c r="H26" s="1954"/>
      <c r="I26" s="1954"/>
      <c r="J26" s="1954"/>
      <c r="K26" s="1954"/>
      <c r="L26" s="1954"/>
      <c r="M26" s="1954"/>
      <c r="N26" s="1954"/>
      <c r="O26" s="1954"/>
      <c r="P26" s="1954"/>
      <c r="Q26" s="1954"/>
      <c r="R26" s="1954"/>
      <c r="S26" s="1954"/>
      <c r="T26" s="1954"/>
      <c r="U26" s="1954"/>
      <c r="V26" s="1954"/>
      <c r="W26" s="1954"/>
      <c r="X26" s="1954"/>
      <c r="Y26" s="1954"/>
      <c r="Z26" s="1954"/>
      <c r="AA26" s="1954"/>
      <c r="AB26" s="1954"/>
      <c r="AC26" s="1954"/>
      <c r="AD26" s="1954"/>
      <c r="AE26" s="1954"/>
      <c r="AF26" s="1954"/>
    </row>
    <row r="27" spans="2:37" ht="20.25" customHeight="1" x14ac:dyDescent="0.2">
      <c r="B27" s="1953"/>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row>
    <row r="28" spans="2:37" ht="20.25" customHeight="1" x14ac:dyDescent="0.2">
      <c r="B28" s="1954"/>
      <c r="C28" s="1954"/>
      <c r="D28" s="1954"/>
      <c r="E28" s="1954"/>
      <c r="F28" s="1954"/>
      <c r="G28" s="1954"/>
      <c r="H28" s="1954"/>
      <c r="I28" s="1954"/>
      <c r="J28" s="1954"/>
      <c r="K28" s="1954"/>
      <c r="L28" s="1954"/>
      <c r="M28" s="1954"/>
      <c r="N28" s="1954"/>
      <c r="O28" s="1954"/>
      <c r="P28" s="1954"/>
      <c r="Q28" s="1954"/>
      <c r="R28" s="1954"/>
      <c r="S28" s="1954"/>
      <c r="T28" s="1954"/>
      <c r="U28" s="1954"/>
      <c r="V28" s="1954"/>
      <c r="W28" s="1954"/>
      <c r="X28" s="1954"/>
      <c r="Y28" s="1954"/>
      <c r="Z28" s="1954"/>
      <c r="AA28" s="1954"/>
      <c r="AB28" s="1954"/>
      <c r="AC28" s="1954"/>
      <c r="AD28" s="1954"/>
      <c r="AE28" s="1954"/>
      <c r="AF28" s="1954"/>
    </row>
    <row r="29" spans="2:37" ht="18" customHeight="1" x14ac:dyDescent="0.2"/>
    <row r="30" spans="2:37" ht="22.2" customHeight="1" x14ac:dyDescent="0.2">
      <c r="B30" s="1955" t="s">
        <v>972</v>
      </c>
      <c r="C30" s="1956"/>
      <c r="D30" s="1956"/>
      <c r="E30" s="1956"/>
      <c r="F30" s="1956"/>
      <c r="G30" s="1956"/>
      <c r="H30" s="1956"/>
      <c r="I30" s="1957"/>
      <c r="K30" s="432" t="s">
        <v>973</v>
      </c>
    </row>
    <row r="31" spans="2:37" ht="22.2" customHeight="1" x14ac:dyDescent="0.2">
      <c r="B31" s="416" t="s">
        <v>974</v>
      </c>
    </row>
    <row r="32" spans="2:37" ht="22.2" customHeight="1" x14ac:dyDescent="0.2">
      <c r="B32" s="1920"/>
      <c r="C32" s="1920"/>
      <c r="D32" s="1920"/>
      <c r="E32" s="1920"/>
      <c r="F32" s="1920"/>
      <c r="G32" s="1920"/>
      <c r="H32" s="1920"/>
      <c r="I32" s="1920"/>
      <c r="J32" s="1920"/>
      <c r="K32" s="1920"/>
      <c r="L32" s="1920" t="s">
        <v>975</v>
      </c>
      <c r="M32" s="1920"/>
      <c r="N32" s="1920"/>
      <c r="O32" s="1920"/>
      <c r="P32" s="1920"/>
      <c r="Q32" s="1958" t="s">
        <v>976</v>
      </c>
      <c r="R32" s="1958"/>
      <c r="S32" s="1958"/>
      <c r="T32" s="1958"/>
      <c r="U32" s="1920" t="s">
        <v>977</v>
      </c>
      <c r="V32" s="1920"/>
      <c r="W32" s="1920"/>
      <c r="X32" s="1920"/>
      <c r="Y32" s="1959"/>
      <c r="Z32" s="1960"/>
      <c r="AA32" s="1961" t="s">
        <v>978</v>
      </c>
      <c r="AB32" s="1920"/>
      <c r="AC32" s="1920"/>
      <c r="AD32" s="1920"/>
      <c r="AH32"/>
      <c r="AI32"/>
      <c r="AJ32"/>
      <c r="AK32"/>
    </row>
    <row r="33" spans="2:37" ht="22.2" customHeight="1" x14ac:dyDescent="0.2">
      <c r="B33" s="1920"/>
      <c r="C33" s="1920"/>
      <c r="D33" s="1920"/>
      <c r="E33" s="1920"/>
      <c r="F33" s="1920"/>
      <c r="G33" s="1920"/>
      <c r="H33" s="1920"/>
      <c r="I33" s="1920"/>
      <c r="J33" s="1920"/>
      <c r="K33" s="1920"/>
      <c r="L33" s="1920"/>
      <c r="M33" s="1920"/>
      <c r="N33" s="1920"/>
      <c r="O33" s="1920"/>
      <c r="P33" s="1920"/>
      <c r="Q33" s="1958"/>
      <c r="R33" s="1958"/>
      <c r="S33" s="1958"/>
      <c r="T33" s="1958"/>
      <c r="U33" s="1920"/>
      <c r="V33" s="1920"/>
      <c r="W33" s="1920"/>
      <c r="X33" s="1920"/>
      <c r="Y33" s="1959"/>
      <c r="Z33" s="1960"/>
      <c r="AA33" s="1920"/>
      <c r="AB33" s="1920"/>
      <c r="AC33" s="1920"/>
      <c r="AD33" s="1920"/>
      <c r="AH33"/>
      <c r="AI33"/>
      <c r="AJ33"/>
      <c r="AK33"/>
    </row>
    <row r="34" spans="2:37" ht="22.2" customHeight="1" x14ac:dyDescent="0.2">
      <c r="B34" s="1937" t="s">
        <v>958</v>
      </c>
      <c r="C34" s="1938"/>
      <c r="D34" s="1938"/>
      <c r="E34" s="1938"/>
      <c r="F34" s="1938"/>
      <c r="G34" s="1938"/>
      <c r="H34" s="1938"/>
      <c r="I34" s="1938"/>
      <c r="J34" s="1938"/>
      <c r="K34" s="1939"/>
      <c r="L34" s="1962" t="str">
        <f>IF(N16="","",EOMONTH(AI16,0))</f>
        <v/>
      </c>
      <c r="M34" s="1962"/>
      <c r="N34" s="1962"/>
      <c r="O34" s="1962"/>
      <c r="P34" s="1962"/>
      <c r="Q34" s="1963" t="str">
        <f>IF($P$17=0,"",$P$17)</f>
        <v/>
      </c>
      <c r="R34" s="1964"/>
      <c r="S34" s="1964"/>
      <c r="T34" s="1964"/>
      <c r="U34" s="1965" t="str">
        <f t="shared" ref="U34:U39" si="0">IF(Q34="","",ROUND(($Z$18-Q34)/$Z$18,4))</f>
        <v/>
      </c>
      <c r="V34" s="1966"/>
      <c r="W34" s="1966"/>
      <c r="X34" s="1966"/>
      <c r="Y34" s="1959"/>
      <c r="Z34" s="1960"/>
      <c r="AA34" s="1967"/>
      <c r="AB34" s="1968"/>
      <c r="AC34" s="1968"/>
      <c r="AD34" s="1969"/>
      <c r="AH34"/>
      <c r="AI34"/>
      <c r="AJ34"/>
      <c r="AK34"/>
    </row>
    <row r="35" spans="2:37" ht="22.2" customHeight="1" x14ac:dyDescent="0.2">
      <c r="B35" s="1937" t="s">
        <v>979</v>
      </c>
      <c r="C35" s="1938"/>
      <c r="D35" s="1938"/>
      <c r="E35" s="1938"/>
      <c r="F35" s="1938"/>
      <c r="G35" s="1938"/>
      <c r="H35" s="1938"/>
      <c r="I35" s="1938"/>
      <c r="J35" s="1938"/>
      <c r="K35" s="1939"/>
      <c r="L35" s="1962" t="str">
        <f t="shared" ref="L35:L41" si="1">IF($N$16="","",EOMONTH(L34,1))</f>
        <v/>
      </c>
      <c r="M35" s="1962"/>
      <c r="N35" s="1962"/>
      <c r="O35" s="1962"/>
      <c r="P35" s="1962"/>
      <c r="Q35" s="1970"/>
      <c r="R35" s="1971"/>
      <c r="S35" s="1971"/>
      <c r="T35" s="1971"/>
      <c r="U35" s="1965" t="str">
        <f t="shared" si="0"/>
        <v/>
      </c>
      <c r="V35" s="1966"/>
      <c r="W35" s="1966"/>
      <c r="X35" s="1966"/>
      <c r="Y35" s="1959"/>
      <c r="Z35" s="1960"/>
      <c r="AA35" s="1967"/>
      <c r="AB35" s="1968"/>
      <c r="AC35" s="1968"/>
      <c r="AD35" s="1969"/>
      <c r="AH35"/>
      <c r="AI35"/>
      <c r="AJ35"/>
      <c r="AK35"/>
    </row>
    <row r="36" spans="2:37" ht="22.2" customHeight="1" x14ac:dyDescent="0.2">
      <c r="B36" s="1937" t="s">
        <v>980</v>
      </c>
      <c r="C36" s="1938"/>
      <c r="D36" s="1938"/>
      <c r="E36" s="1938"/>
      <c r="F36" s="1938"/>
      <c r="G36" s="1938"/>
      <c r="H36" s="1938"/>
      <c r="I36" s="1938"/>
      <c r="J36" s="1938"/>
      <c r="K36" s="1939"/>
      <c r="L36" s="1962" t="str">
        <f t="shared" si="1"/>
        <v/>
      </c>
      <c r="M36" s="1962"/>
      <c r="N36" s="1962"/>
      <c r="O36" s="1962"/>
      <c r="P36" s="1962"/>
      <c r="Q36" s="1970"/>
      <c r="R36" s="1971"/>
      <c r="S36" s="1971"/>
      <c r="T36" s="1971"/>
      <c r="U36" s="1965" t="str">
        <f t="shared" si="0"/>
        <v/>
      </c>
      <c r="V36" s="1966"/>
      <c r="W36" s="1966"/>
      <c r="X36" s="1966"/>
      <c r="Y36" s="1959"/>
      <c r="Z36" s="1960"/>
      <c r="AA36" s="1972" t="str">
        <f t="shared" ref="AA36:AA41" si="2">IF(U34="","",IF(AND($H$19="可",U34&gt;=0.05),"可","否"))</f>
        <v/>
      </c>
      <c r="AB36" s="1972"/>
      <c r="AC36" s="1972"/>
      <c r="AD36" s="1972"/>
      <c r="AH36"/>
      <c r="AI36"/>
      <c r="AJ36"/>
      <c r="AK36"/>
    </row>
    <row r="37" spans="2:37" ht="22.2" customHeight="1" x14ac:dyDescent="0.2">
      <c r="B37" s="1937" t="s">
        <v>981</v>
      </c>
      <c r="C37" s="1938"/>
      <c r="D37" s="1938"/>
      <c r="E37" s="1938"/>
      <c r="F37" s="1938"/>
      <c r="G37" s="1938"/>
      <c r="H37" s="1938"/>
      <c r="I37" s="1938"/>
      <c r="J37" s="1938"/>
      <c r="K37" s="1939"/>
      <c r="L37" s="1962" t="str">
        <f t="shared" si="1"/>
        <v/>
      </c>
      <c r="M37" s="1962"/>
      <c r="N37" s="1962"/>
      <c r="O37" s="1962"/>
      <c r="P37" s="1962"/>
      <c r="Q37" s="1970"/>
      <c r="R37" s="1971"/>
      <c r="S37" s="1971"/>
      <c r="T37" s="1971"/>
      <c r="U37" s="1965" t="str">
        <f t="shared" si="0"/>
        <v/>
      </c>
      <c r="V37" s="1966"/>
      <c r="W37" s="1966"/>
      <c r="X37" s="1966"/>
      <c r="Y37" s="1959"/>
      <c r="Z37" s="1960"/>
      <c r="AA37" s="1972" t="str">
        <f t="shared" si="2"/>
        <v/>
      </c>
      <c r="AB37" s="1972"/>
      <c r="AC37" s="1972"/>
      <c r="AD37" s="1972"/>
      <c r="AH37"/>
      <c r="AI37"/>
      <c r="AJ37"/>
      <c r="AK37"/>
    </row>
    <row r="38" spans="2:37" ht="22.2" customHeight="1" x14ac:dyDescent="0.2">
      <c r="B38" s="1937" t="s">
        <v>982</v>
      </c>
      <c r="C38" s="1938"/>
      <c r="D38" s="1938"/>
      <c r="E38" s="1938"/>
      <c r="F38" s="1938"/>
      <c r="G38" s="1938"/>
      <c r="H38" s="1938"/>
      <c r="I38" s="1938"/>
      <c r="J38" s="1938"/>
      <c r="K38" s="1939"/>
      <c r="L38" s="1962" t="str">
        <f t="shared" si="1"/>
        <v/>
      </c>
      <c r="M38" s="1962"/>
      <c r="N38" s="1962"/>
      <c r="O38" s="1962"/>
      <c r="P38" s="1962"/>
      <c r="Q38" s="1970"/>
      <c r="R38" s="1971"/>
      <c r="S38" s="1971"/>
      <c r="T38" s="1971"/>
      <c r="U38" s="1965" t="str">
        <f t="shared" si="0"/>
        <v/>
      </c>
      <c r="V38" s="1966"/>
      <c r="W38" s="1966"/>
      <c r="X38" s="1966"/>
      <c r="Y38" s="1973" t="s">
        <v>983</v>
      </c>
      <c r="Z38" s="1960"/>
      <c r="AA38" s="1972" t="str">
        <f t="shared" si="2"/>
        <v/>
      </c>
      <c r="AB38" s="1972"/>
      <c r="AC38" s="1972"/>
      <c r="AD38" s="1972"/>
      <c r="AH38"/>
      <c r="AI38"/>
      <c r="AJ38"/>
      <c r="AK38"/>
    </row>
    <row r="39" spans="2:37" ht="22.2" customHeight="1" x14ac:dyDescent="0.2">
      <c r="B39" s="1937" t="s">
        <v>984</v>
      </c>
      <c r="C39" s="1938"/>
      <c r="D39" s="1938"/>
      <c r="E39" s="1938"/>
      <c r="F39" s="1938"/>
      <c r="G39" s="1938"/>
      <c r="H39" s="1938"/>
      <c r="I39" s="1938"/>
      <c r="J39" s="1938"/>
      <c r="K39" s="1939"/>
      <c r="L39" s="1962" t="str">
        <f t="shared" si="1"/>
        <v/>
      </c>
      <c r="M39" s="1962"/>
      <c r="N39" s="1962"/>
      <c r="O39" s="1962"/>
      <c r="P39" s="1962"/>
      <c r="Q39" s="1970"/>
      <c r="R39" s="1971"/>
      <c r="S39" s="1971"/>
      <c r="T39" s="1971"/>
      <c r="U39" s="1965" t="str">
        <f t="shared" si="0"/>
        <v/>
      </c>
      <c r="V39" s="1966"/>
      <c r="W39" s="1966"/>
      <c r="X39" s="1966"/>
      <c r="Y39" s="1959"/>
      <c r="Z39" s="1960"/>
      <c r="AA39" s="1974" t="str">
        <f t="shared" si="2"/>
        <v/>
      </c>
      <c r="AB39" s="1974"/>
      <c r="AC39" s="1974"/>
      <c r="AD39" s="1974"/>
      <c r="AH39"/>
      <c r="AI39"/>
      <c r="AJ39"/>
      <c r="AK39"/>
    </row>
    <row r="40" spans="2:37" ht="22.2" customHeight="1" x14ac:dyDescent="0.2">
      <c r="B40" s="1937"/>
      <c r="C40" s="1938"/>
      <c r="D40" s="1938"/>
      <c r="E40" s="1938"/>
      <c r="F40" s="1938"/>
      <c r="G40" s="1938"/>
      <c r="H40" s="1938"/>
      <c r="I40" s="1938"/>
      <c r="J40" s="1938"/>
      <c r="K40" s="1939"/>
      <c r="L40" s="1962" t="str">
        <f t="shared" si="1"/>
        <v/>
      </c>
      <c r="M40" s="1962"/>
      <c r="N40" s="1962"/>
      <c r="O40" s="1962"/>
      <c r="P40" s="1962"/>
      <c r="Q40" s="1967"/>
      <c r="R40" s="1968"/>
      <c r="S40" s="1968"/>
      <c r="T40" s="1969"/>
      <c r="U40" s="1967"/>
      <c r="V40" s="1968"/>
      <c r="W40" s="1968"/>
      <c r="X40" s="1969"/>
      <c r="Y40" s="1959"/>
      <c r="Z40" s="1960"/>
      <c r="AA40" s="1972" t="str">
        <f t="shared" si="2"/>
        <v/>
      </c>
      <c r="AB40" s="1972"/>
      <c r="AC40" s="1972"/>
      <c r="AD40" s="1972"/>
      <c r="AH40"/>
      <c r="AI40"/>
      <c r="AJ40"/>
      <c r="AK40"/>
    </row>
    <row r="41" spans="2:37" ht="22.2" customHeight="1" x14ac:dyDescent="0.2">
      <c r="B41" s="1937" t="s">
        <v>985</v>
      </c>
      <c r="C41" s="1938"/>
      <c r="D41" s="1938"/>
      <c r="E41" s="1938"/>
      <c r="F41" s="1938"/>
      <c r="G41" s="1938"/>
      <c r="H41" s="1938"/>
      <c r="I41" s="1938"/>
      <c r="J41" s="1938"/>
      <c r="K41" s="1939"/>
      <c r="L41" s="1962" t="str">
        <f t="shared" si="1"/>
        <v/>
      </c>
      <c r="M41" s="1962"/>
      <c r="N41" s="1962"/>
      <c r="O41" s="1962"/>
      <c r="P41" s="1962"/>
      <c r="Q41" s="1975"/>
      <c r="R41" s="1975"/>
      <c r="S41" s="1975"/>
      <c r="T41" s="1975"/>
      <c r="U41" s="1975"/>
      <c r="V41" s="1975"/>
      <c r="W41" s="1975"/>
      <c r="X41" s="1975"/>
      <c r="Y41" s="1959"/>
      <c r="Z41" s="1960"/>
      <c r="AA41" s="1972" t="str">
        <f t="shared" si="2"/>
        <v/>
      </c>
      <c r="AB41" s="1972"/>
      <c r="AC41" s="1972"/>
      <c r="AD41" s="1972"/>
      <c r="AH41"/>
      <c r="AI41"/>
      <c r="AJ41"/>
      <c r="AK41"/>
    </row>
    <row r="42" spans="2:37" ht="19.5" customHeight="1" x14ac:dyDescent="0.2">
      <c r="B42" s="1976" t="s">
        <v>986</v>
      </c>
      <c r="C42" s="1977"/>
      <c r="D42" s="1977"/>
      <c r="E42" s="1977"/>
      <c r="F42" s="1977"/>
      <c r="G42" s="1977"/>
      <c r="H42" s="1977"/>
      <c r="I42" s="1977"/>
      <c r="J42" s="1977"/>
      <c r="K42" s="1977"/>
      <c r="L42" s="1977"/>
      <c r="M42" s="1977"/>
      <c r="N42" s="1977"/>
      <c r="O42" s="1977"/>
      <c r="P42" s="1977"/>
      <c r="Q42" s="1977"/>
      <c r="R42" s="1977"/>
      <c r="S42" s="1977"/>
      <c r="T42" s="1977"/>
      <c r="U42" s="1977"/>
      <c r="V42" s="1977"/>
      <c r="W42" s="1977"/>
      <c r="X42" s="1977"/>
      <c r="Y42" s="1977"/>
      <c r="Z42" s="1977"/>
      <c r="AA42" s="1977"/>
      <c r="AB42" s="1977"/>
      <c r="AC42" s="1977"/>
      <c r="AD42" s="1977"/>
      <c r="AE42" s="1977"/>
      <c r="AF42" s="1977"/>
    </row>
    <row r="43" spans="2:37" ht="19.5" customHeight="1" x14ac:dyDescent="0.2">
      <c r="B43" s="1976"/>
      <c r="C43" s="1977"/>
      <c r="D43" s="1977"/>
      <c r="E43" s="1977"/>
      <c r="F43" s="1977"/>
      <c r="G43" s="1977"/>
      <c r="H43" s="1977"/>
      <c r="I43" s="1977"/>
      <c r="J43" s="1977"/>
      <c r="K43" s="1977"/>
      <c r="L43" s="1977"/>
      <c r="M43" s="1977"/>
      <c r="N43" s="1977"/>
      <c r="O43" s="1977"/>
      <c r="P43" s="1977"/>
      <c r="Q43" s="1977"/>
      <c r="R43" s="1977"/>
      <c r="S43" s="1977"/>
      <c r="T43" s="1977"/>
      <c r="U43" s="1977"/>
      <c r="V43" s="1977"/>
      <c r="W43" s="1977"/>
      <c r="X43" s="1977"/>
      <c r="Y43" s="1977"/>
      <c r="Z43" s="1977"/>
      <c r="AA43" s="1977"/>
      <c r="AB43" s="1977"/>
      <c r="AC43" s="1977"/>
      <c r="AD43" s="1977"/>
      <c r="AE43" s="1977"/>
      <c r="AF43" s="1977"/>
    </row>
    <row r="44" spans="2:37" ht="19.5" customHeight="1" x14ac:dyDescent="0.2">
      <c r="B44" s="1977"/>
      <c r="C44" s="1977"/>
      <c r="D44" s="1977"/>
      <c r="E44" s="1977"/>
      <c r="F44" s="1977"/>
      <c r="G44" s="1977"/>
      <c r="H44" s="1977"/>
      <c r="I44" s="1977"/>
      <c r="J44" s="1977"/>
      <c r="K44" s="1977"/>
      <c r="L44" s="1977"/>
      <c r="M44" s="1977"/>
      <c r="N44" s="1977"/>
      <c r="O44" s="1977"/>
      <c r="P44" s="1977"/>
      <c r="Q44" s="1977"/>
      <c r="R44" s="1977"/>
      <c r="S44" s="1977"/>
      <c r="T44" s="1977"/>
      <c r="U44" s="1977"/>
      <c r="V44" s="1977"/>
      <c r="W44" s="1977"/>
      <c r="X44" s="1977"/>
      <c r="Y44" s="1977"/>
      <c r="Z44" s="1977"/>
      <c r="AA44" s="1977"/>
      <c r="AB44" s="1977"/>
      <c r="AC44" s="1977"/>
      <c r="AD44" s="1977"/>
      <c r="AE44" s="1977"/>
      <c r="AF44" s="1977"/>
    </row>
    <row r="45" spans="2:37" ht="20.25" customHeight="1" x14ac:dyDescent="0.2"/>
    <row r="46" spans="2:37" ht="22.2" customHeight="1" x14ac:dyDescent="0.2">
      <c r="B46" s="1955" t="s">
        <v>987</v>
      </c>
      <c r="C46" s="1956"/>
      <c r="D46" s="1956"/>
      <c r="E46" s="1956"/>
      <c r="F46" s="1956"/>
      <c r="G46" s="1956"/>
      <c r="H46" s="1956"/>
      <c r="I46" s="1956"/>
      <c r="J46" s="1956"/>
      <c r="K46" s="1956"/>
      <c r="L46" s="1956"/>
      <c r="M46" s="1956"/>
      <c r="N46" s="1956"/>
      <c r="O46" s="1956"/>
      <c r="P46" s="1956"/>
      <c r="Q46" s="1956"/>
      <c r="R46" s="1956"/>
      <c r="S46" s="1956"/>
      <c r="T46" s="1956"/>
      <c r="U46" s="1956"/>
      <c r="V46" s="1956"/>
      <c r="W46" s="1957"/>
      <c r="Y46" s="432" t="s">
        <v>988</v>
      </c>
    </row>
    <row r="47" spans="2:37" ht="22.2" customHeight="1" x14ac:dyDescent="0.2">
      <c r="B47" s="416" t="s">
        <v>989</v>
      </c>
    </row>
    <row r="48" spans="2:37" ht="22.2" customHeight="1" x14ac:dyDescent="0.2">
      <c r="B48" s="1978" t="s">
        <v>990</v>
      </c>
      <c r="C48" s="1978"/>
      <c r="D48" s="1978"/>
      <c r="E48" s="1978"/>
      <c r="F48" s="1978"/>
      <c r="G48" s="1978"/>
      <c r="H48" s="1978"/>
      <c r="I48" s="1978"/>
      <c r="J48" s="1978"/>
      <c r="K48" s="1980" t="s">
        <v>991</v>
      </c>
      <c r="L48" s="1981"/>
      <c r="M48" s="1981"/>
      <c r="N48" s="1981"/>
      <c r="O48" s="1981"/>
      <c r="P48" s="1981"/>
      <c r="Q48" s="1981"/>
      <c r="R48" s="1981"/>
      <c r="S48" s="1981"/>
      <c r="T48" s="1981"/>
      <c r="U48" s="1981"/>
      <c r="V48" s="1981"/>
      <c r="W48" s="1981"/>
      <c r="X48" s="1981"/>
      <c r="Y48" s="1981"/>
      <c r="Z48" s="1981"/>
      <c r="AA48" s="1981"/>
      <c r="AB48" s="1981"/>
      <c r="AC48" s="1981"/>
      <c r="AD48" s="1981"/>
      <c r="AE48" s="1981"/>
      <c r="AF48" s="1982"/>
    </row>
    <row r="49" spans="2:32" ht="22.2" customHeight="1" x14ac:dyDescent="0.2">
      <c r="B49" s="1979"/>
      <c r="C49" s="1979"/>
      <c r="D49" s="1979"/>
      <c r="E49" s="1979"/>
      <c r="F49" s="1979"/>
      <c r="G49" s="1979"/>
      <c r="H49" s="1979"/>
      <c r="I49" s="1979"/>
      <c r="J49" s="1979"/>
      <c r="K49" s="1983"/>
      <c r="L49" s="1984"/>
      <c r="M49" s="1984"/>
      <c r="N49" s="1984"/>
      <c r="O49" s="1984"/>
      <c r="P49" s="1984"/>
      <c r="Q49" s="1984"/>
      <c r="R49" s="1984"/>
      <c r="S49" s="1984"/>
      <c r="T49" s="1984"/>
      <c r="U49" s="1984"/>
      <c r="V49" s="1984"/>
      <c r="W49" s="1984"/>
      <c r="X49" s="1984"/>
      <c r="Y49" s="1984"/>
      <c r="Z49" s="1984"/>
      <c r="AA49" s="1984"/>
      <c r="AB49" s="1984"/>
      <c r="AC49" s="1984"/>
      <c r="AD49" s="1984"/>
      <c r="AE49" s="1984"/>
      <c r="AF49" s="1985"/>
    </row>
    <row r="50" spans="2:32" ht="36" customHeight="1" x14ac:dyDescent="0.2">
      <c r="B50" s="1986" t="s">
        <v>992</v>
      </c>
      <c r="C50" s="1986"/>
      <c r="D50" s="1986"/>
      <c r="E50" s="1986"/>
      <c r="F50" s="1986"/>
      <c r="G50" s="1986"/>
      <c r="H50" s="1986"/>
      <c r="I50" s="1986"/>
      <c r="J50" s="1986"/>
      <c r="K50" s="1986"/>
      <c r="L50" s="1986"/>
      <c r="M50" s="1986"/>
      <c r="N50" s="1986"/>
      <c r="O50" s="1986"/>
      <c r="P50" s="1986"/>
      <c r="Q50" s="1986"/>
      <c r="R50" s="1986"/>
      <c r="S50" s="1986"/>
      <c r="T50" s="1986"/>
      <c r="U50" s="1986"/>
      <c r="V50" s="1986"/>
      <c r="W50" s="1986"/>
      <c r="X50" s="1986"/>
      <c r="Y50" s="1986"/>
      <c r="Z50" s="1986"/>
      <c r="AA50" s="1986"/>
      <c r="AB50" s="1986"/>
      <c r="AC50" s="1986"/>
      <c r="AD50" s="1986"/>
      <c r="AE50" s="1986"/>
      <c r="AF50" s="1986"/>
    </row>
    <row r="51" spans="2:32" ht="22.2" customHeight="1" x14ac:dyDescent="0.2"/>
    <row r="52" spans="2:32" ht="22.2" customHeight="1" x14ac:dyDescent="0.2">
      <c r="B52" s="1955" t="s">
        <v>993</v>
      </c>
      <c r="C52" s="1956"/>
      <c r="D52" s="1956"/>
      <c r="E52" s="1956"/>
      <c r="F52" s="1956"/>
      <c r="G52" s="1956"/>
      <c r="H52" s="1956"/>
      <c r="I52" s="1957"/>
      <c r="K52" s="432" t="s">
        <v>994</v>
      </c>
    </row>
    <row r="53" spans="2:32" ht="22.2" customHeight="1" x14ac:dyDescent="0.2">
      <c r="B53" s="416" t="s">
        <v>995</v>
      </c>
    </row>
    <row r="54" spans="2:32" ht="22.2" customHeight="1" x14ac:dyDescent="0.2">
      <c r="B54" s="1920"/>
      <c r="C54" s="1920"/>
      <c r="D54" s="1920"/>
      <c r="E54" s="1920"/>
      <c r="F54" s="1920"/>
      <c r="G54" s="1920"/>
      <c r="H54" s="1920"/>
      <c r="I54" s="1920"/>
      <c r="J54" s="1920"/>
      <c r="K54" s="1920"/>
      <c r="L54" s="1920" t="s">
        <v>975</v>
      </c>
      <c r="M54" s="1920"/>
      <c r="N54" s="1920"/>
      <c r="O54" s="1920"/>
      <c r="P54" s="1920"/>
      <c r="Q54" s="1958" t="s">
        <v>976</v>
      </c>
      <c r="R54" s="1958"/>
      <c r="S54" s="1958"/>
      <c r="T54" s="1958"/>
      <c r="U54" s="1959"/>
      <c r="V54" s="1960"/>
      <c r="W54" s="1961" t="s">
        <v>996</v>
      </c>
      <c r="X54" s="1920"/>
      <c r="Y54" s="1920"/>
      <c r="Z54" s="1920"/>
    </row>
    <row r="55" spans="2:32" ht="22.2" customHeight="1" x14ac:dyDescent="0.2">
      <c r="B55" s="1920"/>
      <c r="C55" s="1920"/>
      <c r="D55" s="1920"/>
      <c r="E55" s="1920"/>
      <c r="F55" s="1920"/>
      <c r="G55" s="1920"/>
      <c r="H55" s="1920"/>
      <c r="I55" s="1920"/>
      <c r="J55" s="1920"/>
      <c r="K55" s="1920"/>
      <c r="L55" s="1920"/>
      <c r="M55" s="1920"/>
      <c r="N55" s="1920"/>
      <c r="O55" s="1920"/>
      <c r="P55" s="1920"/>
      <c r="Q55" s="1958"/>
      <c r="R55" s="1958"/>
      <c r="S55" s="1958"/>
      <c r="T55" s="1958"/>
      <c r="U55" s="1959"/>
      <c r="V55" s="1960"/>
      <c r="W55" s="1920"/>
      <c r="X55" s="1920"/>
      <c r="Y55" s="1920"/>
      <c r="Z55" s="1920"/>
    </row>
    <row r="56" spans="2:32" ht="22.2" customHeight="1" x14ac:dyDescent="0.2">
      <c r="B56" s="1937" t="s">
        <v>958</v>
      </c>
      <c r="C56" s="1938"/>
      <c r="D56" s="1938"/>
      <c r="E56" s="1938"/>
      <c r="F56" s="1938"/>
      <c r="G56" s="1938"/>
      <c r="H56" s="1938"/>
      <c r="I56" s="1938"/>
      <c r="J56" s="1938"/>
      <c r="K56" s="1939"/>
      <c r="L56" s="1962" t="str">
        <f>IF(N16="","",EOMONTH(AI16,0))</f>
        <v/>
      </c>
      <c r="M56" s="1962"/>
      <c r="N56" s="1962"/>
      <c r="O56" s="1962"/>
      <c r="P56" s="1962"/>
      <c r="Q56" s="1963" t="str">
        <f>IF($P$17=0,"",$P$17)</f>
        <v/>
      </c>
      <c r="R56" s="1964"/>
      <c r="S56" s="1964"/>
      <c r="T56" s="1964"/>
      <c r="U56" s="1959"/>
      <c r="V56" s="1960"/>
      <c r="W56" s="1967"/>
      <c r="X56" s="1968"/>
      <c r="Y56" s="1968"/>
      <c r="Z56" s="1969"/>
    </row>
    <row r="57" spans="2:32" ht="22.2" customHeight="1" x14ac:dyDescent="0.2">
      <c r="B57" s="1937" t="s">
        <v>997</v>
      </c>
      <c r="C57" s="1938"/>
      <c r="D57" s="1938"/>
      <c r="E57" s="1938"/>
      <c r="F57" s="1938"/>
      <c r="G57" s="1938"/>
      <c r="H57" s="1938"/>
      <c r="I57" s="1938"/>
      <c r="J57" s="1938"/>
      <c r="K57" s="1939"/>
      <c r="L57" s="1962" t="str">
        <f t="shared" ref="L57:L74" si="3">IF($N$16="","",EOMONTH(L56,1))</f>
        <v/>
      </c>
      <c r="M57" s="1962"/>
      <c r="N57" s="1962"/>
      <c r="O57" s="1962"/>
      <c r="P57" s="1962"/>
      <c r="Q57" s="1970"/>
      <c r="R57" s="1971"/>
      <c r="S57" s="1971"/>
      <c r="T57" s="1971"/>
      <c r="U57" s="1959"/>
      <c r="V57" s="1960"/>
      <c r="W57" s="1967"/>
      <c r="X57" s="1968"/>
      <c r="Y57" s="1968"/>
      <c r="Z57" s="1969"/>
    </row>
    <row r="58" spans="2:32" ht="22.2" customHeight="1" x14ac:dyDescent="0.2">
      <c r="B58" s="1937" t="s">
        <v>998</v>
      </c>
      <c r="C58" s="1938"/>
      <c r="D58" s="1938"/>
      <c r="E58" s="1938"/>
      <c r="F58" s="1938"/>
      <c r="G58" s="1938"/>
      <c r="H58" s="1938"/>
      <c r="I58" s="1938"/>
      <c r="J58" s="1938"/>
      <c r="K58" s="1939"/>
      <c r="L58" s="1962" t="str">
        <f t="shared" si="3"/>
        <v/>
      </c>
      <c r="M58" s="1962"/>
      <c r="N58" s="1962"/>
      <c r="O58" s="1962"/>
      <c r="P58" s="1962"/>
      <c r="Q58" s="1970"/>
      <c r="R58" s="1971"/>
      <c r="S58" s="1971"/>
      <c r="T58" s="1971"/>
      <c r="U58" s="1959"/>
      <c r="V58" s="1960"/>
      <c r="W58" s="1972" t="str">
        <f>IF(Q56="","",IF(OR(AND($AJ$8=7,Q56&lt;=750,$H$20="可"),(AND($AJ$8=8,Q56&lt;=900,$H$20="可"))),"可","否"))</f>
        <v/>
      </c>
      <c r="X58" s="1972"/>
      <c r="Y58" s="1972"/>
      <c r="Z58" s="1972"/>
    </row>
    <row r="59" spans="2:32" ht="22.2" customHeight="1" x14ac:dyDescent="0.2">
      <c r="B59" s="1937"/>
      <c r="C59" s="1938"/>
      <c r="D59" s="1938"/>
      <c r="E59" s="1938"/>
      <c r="F59" s="1938"/>
      <c r="G59" s="1938"/>
      <c r="H59" s="1938"/>
      <c r="I59" s="1938"/>
      <c r="J59" s="1938"/>
      <c r="K59" s="1939"/>
      <c r="L59" s="1962" t="str">
        <f t="shared" si="3"/>
        <v/>
      </c>
      <c r="M59" s="1962"/>
      <c r="N59" s="1962"/>
      <c r="O59" s="1962"/>
      <c r="P59" s="1962"/>
      <c r="Q59" s="1970"/>
      <c r="R59" s="1971"/>
      <c r="S59" s="1971"/>
      <c r="T59" s="1971"/>
      <c r="U59" s="1959"/>
      <c r="V59" s="1960"/>
      <c r="W59" s="1972" t="str">
        <f t="shared" ref="W59:W74" si="4">IF(Q57="","",IF(OR(AND($AJ$8=7,Q57&lt;=750,$H$20="可"),(AND($AJ$8=8,Q57&lt;=900,$H$20="可"))),"可","否"))</f>
        <v/>
      </c>
      <c r="X59" s="1972"/>
      <c r="Y59" s="1972"/>
      <c r="Z59" s="1972"/>
    </row>
    <row r="60" spans="2:32" ht="22.2" customHeight="1" x14ac:dyDescent="0.2">
      <c r="B60" s="1937"/>
      <c r="C60" s="1938"/>
      <c r="D60" s="1938"/>
      <c r="E60" s="1938"/>
      <c r="F60" s="1938"/>
      <c r="G60" s="1938"/>
      <c r="H60" s="1938"/>
      <c r="I60" s="1938"/>
      <c r="J60" s="1938"/>
      <c r="K60" s="1939"/>
      <c r="L60" s="1962" t="str">
        <f t="shared" si="3"/>
        <v/>
      </c>
      <c r="M60" s="1962"/>
      <c r="N60" s="1962"/>
      <c r="O60" s="1962"/>
      <c r="P60" s="1962"/>
      <c r="Q60" s="1970"/>
      <c r="R60" s="1971"/>
      <c r="S60" s="1971"/>
      <c r="T60" s="1971"/>
      <c r="U60" s="1959"/>
      <c r="V60" s="1960"/>
      <c r="W60" s="1972" t="str">
        <f t="shared" si="4"/>
        <v/>
      </c>
      <c r="X60" s="1972"/>
      <c r="Y60" s="1972"/>
      <c r="Z60" s="1972"/>
    </row>
    <row r="61" spans="2:32" ht="22.2" customHeight="1" x14ac:dyDescent="0.2">
      <c r="B61" s="1937"/>
      <c r="C61" s="1938"/>
      <c r="D61" s="1938"/>
      <c r="E61" s="1938"/>
      <c r="F61" s="1938"/>
      <c r="G61" s="1938"/>
      <c r="H61" s="1938"/>
      <c r="I61" s="1938"/>
      <c r="J61" s="1938"/>
      <c r="K61" s="1939"/>
      <c r="L61" s="1962" t="str">
        <f t="shared" si="3"/>
        <v/>
      </c>
      <c r="M61" s="1962"/>
      <c r="N61" s="1962"/>
      <c r="O61" s="1962"/>
      <c r="P61" s="1962"/>
      <c r="Q61" s="1970"/>
      <c r="R61" s="1971"/>
      <c r="S61" s="1971"/>
      <c r="T61" s="1971"/>
      <c r="U61" s="1959"/>
      <c r="V61" s="1960"/>
      <c r="W61" s="1972" t="str">
        <f t="shared" si="4"/>
        <v/>
      </c>
      <c r="X61" s="1972"/>
      <c r="Y61" s="1972"/>
      <c r="Z61" s="1972"/>
    </row>
    <row r="62" spans="2:32" ht="22.2" customHeight="1" x14ac:dyDescent="0.2">
      <c r="B62" s="1937"/>
      <c r="C62" s="1938"/>
      <c r="D62" s="1938"/>
      <c r="E62" s="1938"/>
      <c r="F62" s="1938"/>
      <c r="G62" s="1938"/>
      <c r="H62" s="1938"/>
      <c r="I62" s="1938"/>
      <c r="J62" s="1938"/>
      <c r="K62" s="1939"/>
      <c r="L62" s="1962" t="str">
        <f t="shared" si="3"/>
        <v/>
      </c>
      <c r="M62" s="1962"/>
      <c r="N62" s="1962"/>
      <c r="O62" s="1962"/>
      <c r="P62" s="1962"/>
      <c r="Q62" s="1970"/>
      <c r="R62" s="1971"/>
      <c r="S62" s="1971"/>
      <c r="T62" s="1971"/>
      <c r="U62" s="1959"/>
      <c r="V62" s="1960"/>
      <c r="W62" s="1972" t="str">
        <f t="shared" si="4"/>
        <v/>
      </c>
      <c r="X62" s="1972"/>
      <c r="Y62" s="1972"/>
      <c r="Z62" s="1972"/>
    </row>
    <row r="63" spans="2:32" ht="22.2" customHeight="1" x14ac:dyDescent="0.2">
      <c r="B63" s="1937"/>
      <c r="C63" s="1938"/>
      <c r="D63" s="1938"/>
      <c r="E63" s="1938"/>
      <c r="F63" s="1938"/>
      <c r="G63" s="1938"/>
      <c r="H63" s="1938"/>
      <c r="I63" s="1938"/>
      <c r="J63" s="1938"/>
      <c r="K63" s="1939"/>
      <c r="L63" s="1962" t="str">
        <f t="shared" si="3"/>
        <v/>
      </c>
      <c r="M63" s="1962"/>
      <c r="N63" s="1962"/>
      <c r="O63" s="1962"/>
      <c r="P63" s="1962"/>
      <c r="Q63" s="1970"/>
      <c r="R63" s="1971"/>
      <c r="S63" s="1971"/>
      <c r="T63" s="1971"/>
      <c r="U63" s="1973" t="s">
        <v>983</v>
      </c>
      <c r="V63" s="1987"/>
      <c r="W63" s="1972" t="str">
        <f t="shared" si="4"/>
        <v/>
      </c>
      <c r="X63" s="1972"/>
      <c r="Y63" s="1972"/>
      <c r="Z63" s="1972"/>
    </row>
    <row r="64" spans="2:32" ht="22.2" customHeight="1" x14ac:dyDescent="0.2">
      <c r="B64" s="1937"/>
      <c r="C64" s="1938"/>
      <c r="D64" s="1938"/>
      <c r="E64" s="1938"/>
      <c r="F64" s="1938"/>
      <c r="G64" s="1938"/>
      <c r="H64" s="1938"/>
      <c r="I64" s="1938"/>
      <c r="J64" s="1938"/>
      <c r="K64" s="1939"/>
      <c r="L64" s="1962" t="str">
        <f t="shared" si="3"/>
        <v/>
      </c>
      <c r="M64" s="1962"/>
      <c r="N64" s="1962"/>
      <c r="O64" s="1962"/>
      <c r="P64" s="1962"/>
      <c r="Q64" s="1970"/>
      <c r="R64" s="1971"/>
      <c r="S64" s="1971"/>
      <c r="T64" s="1971"/>
      <c r="U64" s="1973"/>
      <c r="V64" s="1987"/>
      <c r="W64" s="1972" t="str">
        <f t="shared" si="4"/>
        <v/>
      </c>
      <c r="X64" s="1972"/>
      <c r="Y64" s="1972"/>
      <c r="Z64" s="1972"/>
    </row>
    <row r="65" spans="2:32" ht="22.2" customHeight="1" x14ac:dyDescent="0.2">
      <c r="B65" s="1937"/>
      <c r="C65" s="1938"/>
      <c r="D65" s="1938"/>
      <c r="E65" s="1938"/>
      <c r="F65" s="1938"/>
      <c r="G65" s="1938"/>
      <c r="H65" s="1938"/>
      <c r="I65" s="1938"/>
      <c r="J65" s="1938"/>
      <c r="K65" s="1939"/>
      <c r="L65" s="1962" t="str">
        <f t="shared" si="3"/>
        <v/>
      </c>
      <c r="M65" s="1962"/>
      <c r="N65" s="1962"/>
      <c r="O65" s="1962"/>
      <c r="P65" s="1962"/>
      <c r="Q65" s="1970"/>
      <c r="R65" s="1971"/>
      <c r="S65" s="1971"/>
      <c r="T65" s="1971"/>
      <c r="U65" s="1973"/>
      <c r="V65" s="1987"/>
      <c r="W65" s="1972" t="str">
        <f t="shared" si="4"/>
        <v/>
      </c>
      <c r="X65" s="1972"/>
      <c r="Y65" s="1972"/>
      <c r="Z65" s="1972"/>
    </row>
    <row r="66" spans="2:32" ht="22.2" customHeight="1" x14ac:dyDescent="0.2">
      <c r="B66" s="1937"/>
      <c r="C66" s="1938"/>
      <c r="D66" s="1938"/>
      <c r="E66" s="1938"/>
      <c r="F66" s="1938"/>
      <c r="G66" s="1938"/>
      <c r="H66" s="1938"/>
      <c r="I66" s="1938"/>
      <c r="J66" s="1938"/>
      <c r="K66" s="1939"/>
      <c r="L66" s="1962" t="str">
        <f t="shared" si="3"/>
        <v/>
      </c>
      <c r="M66" s="1962"/>
      <c r="N66" s="1962"/>
      <c r="O66" s="1962"/>
      <c r="P66" s="1962"/>
      <c r="Q66" s="1970"/>
      <c r="R66" s="1971"/>
      <c r="S66" s="1971"/>
      <c r="T66" s="1971"/>
      <c r="U66" s="1973"/>
      <c r="V66" s="1987"/>
      <c r="W66" s="1972" t="str">
        <f t="shared" si="4"/>
        <v/>
      </c>
      <c r="X66" s="1972"/>
      <c r="Y66" s="1972"/>
      <c r="Z66" s="1972"/>
    </row>
    <row r="67" spans="2:32" ht="22.2" customHeight="1" x14ac:dyDescent="0.2">
      <c r="B67" s="1937"/>
      <c r="C67" s="1938"/>
      <c r="D67" s="1938"/>
      <c r="E67" s="1938"/>
      <c r="F67" s="1938"/>
      <c r="G67" s="1938"/>
      <c r="H67" s="1938"/>
      <c r="I67" s="1938"/>
      <c r="J67" s="1938"/>
      <c r="K67" s="1939"/>
      <c r="L67" s="1962" t="str">
        <f t="shared" si="3"/>
        <v/>
      </c>
      <c r="M67" s="1962"/>
      <c r="N67" s="1962"/>
      <c r="O67" s="1962"/>
      <c r="P67" s="1962"/>
      <c r="Q67" s="1970"/>
      <c r="R67" s="1971"/>
      <c r="S67" s="1971"/>
      <c r="T67" s="1971"/>
      <c r="U67" s="1959"/>
      <c r="V67" s="1960"/>
      <c r="W67" s="1972" t="str">
        <f t="shared" si="4"/>
        <v/>
      </c>
      <c r="X67" s="1972"/>
      <c r="Y67" s="1972"/>
      <c r="Z67" s="1972"/>
    </row>
    <row r="68" spans="2:32" ht="22.2" customHeight="1" x14ac:dyDescent="0.2">
      <c r="B68" s="1937"/>
      <c r="C68" s="1938"/>
      <c r="D68" s="1938"/>
      <c r="E68" s="1938"/>
      <c r="F68" s="1938"/>
      <c r="G68" s="1938"/>
      <c r="H68" s="1938"/>
      <c r="I68" s="1938"/>
      <c r="J68" s="1938"/>
      <c r="K68" s="1939"/>
      <c r="L68" s="1962" t="str">
        <f t="shared" si="3"/>
        <v/>
      </c>
      <c r="M68" s="1962"/>
      <c r="N68" s="1962"/>
      <c r="O68" s="1962"/>
      <c r="P68" s="1962"/>
      <c r="Q68" s="1970"/>
      <c r="R68" s="1971"/>
      <c r="S68" s="1971"/>
      <c r="T68" s="1971"/>
      <c r="U68" s="1959"/>
      <c r="V68" s="1960"/>
      <c r="W68" s="1972" t="str">
        <f t="shared" si="4"/>
        <v/>
      </c>
      <c r="X68" s="1972"/>
      <c r="Y68" s="1972"/>
      <c r="Z68" s="1972"/>
    </row>
    <row r="69" spans="2:32" ht="22.2" customHeight="1" x14ac:dyDescent="0.2">
      <c r="B69" s="1937"/>
      <c r="C69" s="1938"/>
      <c r="D69" s="1938"/>
      <c r="E69" s="1938"/>
      <c r="F69" s="1938"/>
      <c r="G69" s="1938"/>
      <c r="H69" s="1938"/>
      <c r="I69" s="1938"/>
      <c r="J69" s="1938"/>
      <c r="K69" s="1939"/>
      <c r="L69" s="1962" t="str">
        <f t="shared" si="3"/>
        <v/>
      </c>
      <c r="M69" s="1962"/>
      <c r="N69" s="1962"/>
      <c r="O69" s="1962"/>
      <c r="P69" s="1962"/>
      <c r="Q69" s="1970"/>
      <c r="R69" s="1971"/>
      <c r="S69" s="1971"/>
      <c r="T69" s="1971"/>
      <c r="U69" s="1959"/>
      <c r="V69" s="1960"/>
      <c r="W69" s="1972" t="str">
        <f t="shared" si="4"/>
        <v/>
      </c>
      <c r="X69" s="1972"/>
      <c r="Y69" s="1972"/>
      <c r="Z69" s="1972"/>
    </row>
    <row r="70" spans="2:32" ht="22.2" customHeight="1" x14ac:dyDescent="0.2">
      <c r="B70" s="1937"/>
      <c r="C70" s="1938"/>
      <c r="D70" s="1938"/>
      <c r="E70" s="1938"/>
      <c r="F70" s="1938"/>
      <c r="G70" s="1938"/>
      <c r="H70" s="1938"/>
      <c r="I70" s="1938"/>
      <c r="J70" s="1938"/>
      <c r="K70" s="1939"/>
      <c r="L70" s="1962" t="str">
        <f t="shared" si="3"/>
        <v/>
      </c>
      <c r="M70" s="1962"/>
      <c r="N70" s="1962"/>
      <c r="O70" s="1962"/>
      <c r="P70" s="1962"/>
      <c r="Q70" s="1921"/>
      <c r="R70" s="1921"/>
      <c r="S70" s="1921"/>
      <c r="T70" s="1921"/>
      <c r="W70" s="1972" t="str">
        <f t="shared" si="4"/>
        <v/>
      </c>
      <c r="X70" s="1972"/>
      <c r="Y70" s="1972"/>
      <c r="Z70" s="1972"/>
    </row>
    <row r="71" spans="2:32" ht="22.2" customHeight="1" x14ac:dyDescent="0.2">
      <c r="B71" s="1937"/>
      <c r="C71" s="1938"/>
      <c r="D71" s="1938"/>
      <c r="E71" s="1938"/>
      <c r="F71" s="1938"/>
      <c r="G71" s="1938"/>
      <c r="H71" s="1938"/>
      <c r="I71" s="1938"/>
      <c r="J71" s="1938"/>
      <c r="K71" s="1939"/>
      <c r="L71" s="1962" t="str">
        <f t="shared" si="3"/>
        <v/>
      </c>
      <c r="M71" s="1962"/>
      <c r="N71" s="1962"/>
      <c r="O71" s="1962"/>
      <c r="P71" s="1962"/>
      <c r="Q71" s="1921"/>
      <c r="R71" s="1921"/>
      <c r="S71" s="1921"/>
      <c r="T71" s="1921"/>
      <c r="W71" s="1972" t="str">
        <f t="shared" si="4"/>
        <v/>
      </c>
      <c r="X71" s="1972"/>
      <c r="Y71" s="1972"/>
      <c r="Z71" s="1972"/>
    </row>
    <row r="72" spans="2:32" ht="22.2" customHeight="1" x14ac:dyDescent="0.2">
      <c r="B72" s="1937"/>
      <c r="C72" s="1938"/>
      <c r="D72" s="1938"/>
      <c r="E72" s="1938"/>
      <c r="F72" s="1938"/>
      <c r="G72" s="1938"/>
      <c r="H72" s="1938"/>
      <c r="I72" s="1938"/>
      <c r="J72" s="1938"/>
      <c r="K72" s="1939"/>
      <c r="L72" s="1962" t="str">
        <f t="shared" si="3"/>
        <v/>
      </c>
      <c r="M72" s="1962"/>
      <c r="N72" s="1962"/>
      <c r="O72" s="1962"/>
      <c r="P72" s="1962"/>
      <c r="Q72" s="1921"/>
      <c r="R72" s="1921"/>
      <c r="S72" s="1921"/>
      <c r="T72" s="1921"/>
      <c r="W72" s="1972" t="str">
        <f t="shared" si="4"/>
        <v/>
      </c>
      <c r="X72" s="1972"/>
      <c r="Y72" s="1972"/>
      <c r="Z72" s="1972"/>
    </row>
    <row r="73" spans="2:32" ht="22.2" customHeight="1" x14ac:dyDescent="0.2">
      <c r="B73" s="1937"/>
      <c r="C73" s="1938"/>
      <c r="D73" s="1938"/>
      <c r="E73" s="1938"/>
      <c r="F73" s="1938"/>
      <c r="G73" s="1938"/>
      <c r="H73" s="1938"/>
      <c r="I73" s="1938"/>
      <c r="J73" s="1938"/>
      <c r="K73" s="1939"/>
      <c r="L73" s="1962" t="str">
        <f t="shared" si="3"/>
        <v/>
      </c>
      <c r="M73" s="1962"/>
      <c r="N73" s="1962"/>
      <c r="O73" s="1962"/>
      <c r="P73" s="1962"/>
      <c r="Q73" s="1921"/>
      <c r="R73" s="1921"/>
      <c r="S73" s="1921"/>
      <c r="T73" s="1921"/>
      <c r="W73" s="1972" t="str">
        <f t="shared" si="4"/>
        <v/>
      </c>
      <c r="X73" s="1972"/>
      <c r="Y73" s="1972"/>
      <c r="Z73" s="1972"/>
    </row>
    <row r="74" spans="2:32" ht="22.2" customHeight="1" x14ac:dyDescent="0.2">
      <c r="B74" s="1937"/>
      <c r="C74" s="1938"/>
      <c r="D74" s="1938"/>
      <c r="E74" s="1938"/>
      <c r="F74" s="1938"/>
      <c r="G74" s="1938"/>
      <c r="H74" s="1938"/>
      <c r="I74" s="1938"/>
      <c r="J74" s="1938"/>
      <c r="K74" s="1939"/>
      <c r="L74" s="1962" t="str">
        <f t="shared" si="3"/>
        <v/>
      </c>
      <c r="M74" s="1962"/>
      <c r="N74" s="1962"/>
      <c r="O74" s="1962"/>
      <c r="P74" s="1962"/>
      <c r="Q74" s="1921"/>
      <c r="R74" s="1921"/>
      <c r="S74" s="1921"/>
      <c r="T74" s="1921"/>
      <c r="W74" s="1972" t="str">
        <f t="shared" si="4"/>
        <v/>
      </c>
      <c r="X74" s="1972"/>
      <c r="Y74" s="1972"/>
      <c r="Z74" s="1972"/>
    </row>
    <row r="75" spans="2:32" ht="22.2" customHeight="1" x14ac:dyDescent="0.2">
      <c r="B75" s="1953" t="s">
        <v>999</v>
      </c>
      <c r="C75" s="1954"/>
      <c r="D75" s="1954"/>
      <c r="E75" s="1954"/>
      <c r="F75" s="1954"/>
      <c r="G75" s="1954"/>
      <c r="H75" s="1954"/>
      <c r="I75" s="1954"/>
      <c r="J75" s="1954"/>
      <c r="K75" s="1954"/>
      <c r="L75" s="1954"/>
      <c r="M75" s="1954"/>
      <c r="N75" s="1954"/>
      <c r="O75" s="1954"/>
      <c r="P75" s="1954"/>
      <c r="Q75" s="1954"/>
      <c r="R75" s="1954"/>
      <c r="S75" s="1954"/>
      <c r="T75" s="1954"/>
      <c r="U75" s="1954"/>
      <c r="V75" s="1954"/>
      <c r="W75" s="1954"/>
      <c r="X75" s="1954"/>
      <c r="Y75" s="1954"/>
      <c r="Z75" s="1954"/>
      <c r="AA75" s="1954"/>
      <c r="AB75" s="1954"/>
      <c r="AC75" s="1954"/>
      <c r="AD75" s="1954"/>
      <c r="AE75" s="1954"/>
      <c r="AF75" s="1954"/>
    </row>
    <row r="76" spans="2:32" ht="22.2" customHeight="1" x14ac:dyDescent="0.2">
      <c r="B76" s="1953"/>
      <c r="C76" s="1954"/>
      <c r="D76" s="1954"/>
      <c r="E76" s="1954"/>
      <c r="F76" s="1954"/>
      <c r="G76" s="1954"/>
      <c r="H76" s="1954"/>
      <c r="I76" s="1954"/>
      <c r="J76" s="1954"/>
      <c r="K76" s="1954"/>
      <c r="L76" s="1954"/>
      <c r="M76" s="1954"/>
      <c r="N76" s="1954"/>
      <c r="O76" s="1954"/>
      <c r="P76" s="1954"/>
      <c r="Q76" s="1954"/>
      <c r="R76" s="1954"/>
      <c r="S76" s="1954"/>
      <c r="T76" s="1954"/>
      <c r="U76" s="1954"/>
      <c r="V76" s="1954"/>
      <c r="W76" s="1954"/>
      <c r="X76" s="1954"/>
      <c r="Y76" s="1954"/>
      <c r="Z76" s="1954"/>
      <c r="AA76" s="1954"/>
      <c r="AB76" s="1954"/>
      <c r="AC76" s="1954"/>
      <c r="AD76" s="1954"/>
      <c r="AE76" s="1954"/>
      <c r="AF76" s="1954"/>
    </row>
    <row r="77" spans="2:32" ht="22.2" customHeight="1" x14ac:dyDescent="0.2">
      <c r="B77" s="1953"/>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row>
    <row r="78" spans="2:32" ht="22.2" customHeight="1" x14ac:dyDescent="0.2"/>
    <row r="79" spans="2:32" ht="22.2" customHeight="1" x14ac:dyDescent="0.2"/>
    <row r="80" spans="2:32" ht="22.2" customHeight="1" x14ac:dyDescent="0.2"/>
    <row r="81" ht="22.2" customHeight="1" x14ac:dyDescent="0.2"/>
    <row r="82" ht="22.2" customHeight="1" x14ac:dyDescent="0.2"/>
    <row r="83" ht="22.2" customHeight="1" x14ac:dyDescent="0.2"/>
    <row r="84" ht="22.2" customHeight="1" x14ac:dyDescent="0.2"/>
    <row r="85" ht="22.2" customHeight="1" x14ac:dyDescent="0.2"/>
    <row r="86" ht="22.2" customHeight="1" x14ac:dyDescent="0.2"/>
    <row r="87" ht="22.2" customHeight="1" x14ac:dyDescent="0.2"/>
    <row r="88" ht="22.2" customHeight="1" x14ac:dyDescent="0.2"/>
    <row r="89" ht="22.2" customHeight="1" x14ac:dyDescent="0.2"/>
    <row r="90" ht="22.2" customHeight="1" x14ac:dyDescent="0.2"/>
    <row r="91" ht="22.2" customHeight="1" x14ac:dyDescent="0.2"/>
    <row r="92" ht="22.2" customHeight="1" x14ac:dyDescent="0.2"/>
    <row r="93" ht="22.2" customHeight="1" x14ac:dyDescent="0.2"/>
    <row r="94" ht="22.2" customHeight="1" x14ac:dyDescent="0.2"/>
    <row r="95" ht="22.2" customHeight="1" x14ac:dyDescent="0.2"/>
    <row r="96" ht="22.2" customHeight="1" x14ac:dyDescent="0.2"/>
    <row r="97" ht="22.2" customHeight="1" x14ac:dyDescent="0.2"/>
    <row r="98" ht="22.2" customHeight="1" x14ac:dyDescent="0.2"/>
    <row r="99" ht="22.2" customHeight="1" x14ac:dyDescent="0.2"/>
    <row r="100" ht="22.2" customHeight="1" x14ac:dyDescent="0.2"/>
    <row r="101" ht="22.2" customHeight="1" x14ac:dyDescent="0.2"/>
    <row r="102" ht="22.2" customHeight="1" x14ac:dyDescent="0.2"/>
    <row r="103" ht="22.2" customHeight="1" x14ac:dyDescent="0.2"/>
    <row r="104" ht="22.2" customHeight="1" x14ac:dyDescent="0.2"/>
    <row r="105" ht="22.2" customHeight="1" x14ac:dyDescent="0.2"/>
    <row r="106" ht="22.2" customHeight="1" x14ac:dyDescent="0.2"/>
    <row r="107" ht="22.2" customHeight="1" x14ac:dyDescent="0.2"/>
    <row r="108" ht="22.2" customHeight="1" x14ac:dyDescent="0.2"/>
    <row r="109" ht="22.2" customHeight="1" x14ac:dyDescent="0.2"/>
    <row r="110" ht="22.2" customHeight="1" x14ac:dyDescent="0.2"/>
    <row r="111" ht="22.2" customHeight="1" x14ac:dyDescent="0.2"/>
    <row r="112" ht="22.2" customHeight="1" x14ac:dyDescent="0.2"/>
    <row r="113" ht="22.2" customHeight="1" x14ac:dyDescent="0.2"/>
    <row r="114" ht="22.2" customHeight="1" x14ac:dyDescent="0.2"/>
    <row r="115" ht="22.2" customHeight="1" x14ac:dyDescent="0.2"/>
    <row r="116" ht="22.2" customHeight="1" x14ac:dyDescent="0.2"/>
    <row r="117" ht="22.2" customHeight="1" x14ac:dyDescent="0.2"/>
    <row r="118" ht="22.2" customHeight="1" x14ac:dyDescent="0.2"/>
    <row r="119" ht="22.2" customHeight="1" x14ac:dyDescent="0.2"/>
    <row r="120" ht="22.2" customHeight="1" x14ac:dyDescent="0.2"/>
    <row r="121" ht="22.2" customHeight="1" x14ac:dyDescent="0.2"/>
    <row r="122" ht="22.2" customHeight="1" x14ac:dyDescent="0.2"/>
    <row r="123" ht="22.2" customHeight="1" x14ac:dyDescent="0.2"/>
    <row r="124" ht="22.2" customHeight="1" x14ac:dyDescent="0.2"/>
    <row r="125" ht="22.2" customHeight="1" x14ac:dyDescent="0.2"/>
    <row r="126" ht="22.2" customHeight="1" x14ac:dyDescent="0.2"/>
    <row r="127" ht="22.2" customHeight="1" x14ac:dyDescent="0.2"/>
    <row r="128" ht="22.2" customHeight="1" x14ac:dyDescent="0.2"/>
    <row r="129" ht="22.2" customHeight="1" x14ac:dyDescent="0.2"/>
    <row r="130" ht="22.2" customHeight="1" x14ac:dyDescent="0.2"/>
    <row r="131" ht="22.2" customHeight="1" x14ac:dyDescent="0.2"/>
    <row r="132" ht="22.2" customHeight="1" x14ac:dyDescent="0.2"/>
    <row r="133" ht="22.2" customHeight="1" x14ac:dyDescent="0.2"/>
    <row r="134" ht="22.2" customHeight="1" x14ac:dyDescent="0.2"/>
    <row r="135" ht="22.2" customHeight="1" x14ac:dyDescent="0.2"/>
    <row r="136" ht="22.2" customHeight="1" x14ac:dyDescent="0.2"/>
    <row r="137" ht="22.2" customHeight="1" x14ac:dyDescent="0.2"/>
    <row r="138" ht="22.2" customHeight="1" x14ac:dyDescent="0.2"/>
    <row r="139" ht="22.2" customHeight="1" x14ac:dyDescent="0.2"/>
    <row r="140" ht="22.2" customHeight="1" x14ac:dyDescent="0.2"/>
    <row r="141" ht="22.2" customHeight="1" x14ac:dyDescent="0.2"/>
    <row r="142" ht="22.2" customHeight="1" x14ac:dyDescent="0.2"/>
    <row r="143" ht="22.2" customHeight="1" x14ac:dyDescent="0.2"/>
    <row r="144" ht="22.2" customHeight="1" x14ac:dyDescent="0.2"/>
    <row r="145" ht="22.2" customHeight="1" x14ac:dyDescent="0.2"/>
    <row r="146" ht="22.2" customHeight="1" x14ac:dyDescent="0.2"/>
    <row r="147" ht="22.2" customHeight="1" x14ac:dyDescent="0.2"/>
    <row r="148" ht="22.2" customHeight="1" x14ac:dyDescent="0.2"/>
    <row r="149" ht="22.2" customHeight="1" x14ac:dyDescent="0.2"/>
    <row r="150" ht="22.2" customHeight="1" x14ac:dyDescent="0.2"/>
    <row r="151" ht="22.2" customHeight="1" x14ac:dyDescent="0.2"/>
    <row r="152" ht="22.2" customHeight="1" x14ac:dyDescent="0.2"/>
  </sheetData>
  <mergeCells count="182">
    <mergeCell ref="B71:K71"/>
    <mergeCell ref="L71:P71"/>
    <mergeCell ref="Q71:T71"/>
    <mergeCell ref="W71:Z71"/>
    <mergeCell ref="B72:K72"/>
    <mergeCell ref="L72:P72"/>
    <mergeCell ref="Q72:T72"/>
    <mergeCell ref="W72:Z72"/>
    <mergeCell ref="B75:AF77"/>
    <mergeCell ref="B73:K73"/>
    <mergeCell ref="L73:P73"/>
    <mergeCell ref="Q73:T73"/>
    <mergeCell ref="W73:Z73"/>
    <mergeCell ref="B74:K74"/>
    <mergeCell ref="L74:P74"/>
    <mergeCell ref="Q74:T74"/>
    <mergeCell ref="W74:Z74"/>
    <mergeCell ref="B69:K69"/>
    <mergeCell ref="L69:P69"/>
    <mergeCell ref="Q69:T69"/>
    <mergeCell ref="U69:V69"/>
    <mergeCell ref="W69:Z69"/>
    <mergeCell ref="B70:K70"/>
    <mergeCell ref="L70:P70"/>
    <mergeCell ref="Q70:T70"/>
    <mergeCell ref="W70:Z70"/>
    <mergeCell ref="B67:K67"/>
    <mergeCell ref="L67:P67"/>
    <mergeCell ref="Q67:T67"/>
    <mergeCell ref="U67:V67"/>
    <mergeCell ref="W67:Z67"/>
    <mergeCell ref="B68:K68"/>
    <mergeCell ref="L68:P68"/>
    <mergeCell ref="Q68:T68"/>
    <mergeCell ref="U68:V68"/>
    <mergeCell ref="W68:Z68"/>
    <mergeCell ref="B63:K63"/>
    <mergeCell ref="L63:P63"/>
    <mergeCell ref="Q63:T63"/>
    <mergeCell ref="U63:V66"/>
    <mergeCell ref="W63:Z63"/>
    <mergeCell ref="B64:K64"/>
    <mergeCell ref="L64:P64"/>
    <mergeCell ref="Q64:T64"/>
    <mergeCell ref="W64:Z64"/>
    <mergeCell ref="B65:K65"/>
    <mergeCell ref="L65:P65"/>
    <mergeCell ref="Q65:T65"/>
    <mergeCell ref="W65:Z65"/>
    <mergeCell ref="B66:K66"/>
    <mergeCell ref="L66:P66"/>
    <mergeCell ref="Q66:T66"/>
    <mergeCell ref="W66:Z66"/>
    <mergeCell ref="B61:K61"/>
    <mergeCell ref="L61:P61"/>
    <mergeCell ref="Q61:T61"/>
    <mergeCell ref="U61:V61"/>
    <mergeCell ref="W61:Z61"/>
    <mergeCell ref="B62:K62"/>
    <mergeCell ref="L62:P62"/>
    <mergeCell ref="Q62:T62"/>
    <mergeCell ref="U62:V62"/>
    <mergeCell ref="W62:Z62"/>
    <mergeCell ref="B59:K59"/>
    <mergeCell ref="L59:P59"/>
    <mergeCell ref="Q59:T59"/>
    <mergeCell ref="U59:V59"/>
    <mergeCell ref="W59:Z59"/>
    <mergeCell ref="B60:K60"/>
    <mergeCell ref="L60:P60"/>
    <mergeCell ref="Q60:T60"/>
    <mergeCell ref="U60:V60"/>
    <mergeCell ref="W60:Z60"/>
    <mergeCell ref="B57:K57"/>
    <mergeCell ref="L57:P57"/>
    <mergeCell ref="Q57:T57"/>
    <mergeCell ref="U57:V57"/>
    <mergeCell ref="W57:Z57"/>
    <mergeCell ref="B58:K58"/>
    <mergeCell ref="L58:P58"/>
    <mergeCell ref="Q58:T58"/>
    <mergeCell ref="U58:V58"/>
    <mergeCell ref="W58:Z58"/>
    <mergeCell ref="B52:I52"/>
    <mergeCell ref="B54:K55"/>
    <mergeCell ref="L54:P55"/>
    <mergeCell ref="Q54:T55"/>
    <mergeCell ref="U54:V55"/>
    <mergeCell ref="W54:Z55"/>
    <mergeCell ref="B56:K56"/>
    <mergeCell ref="L56:P56"/>
    <mergeCell ref="Q56:T56"/>
    <mergeCell ref="U56:V56"/>
    <mergeCell ref="W56:Z56"/>
    <mergeCell ref="Q41:T41"/>
    <mergeCell ref="U41:X41"/>
    <mergeCell ref="AA41:AD41"/>
    <mergeCell ref="B42:AF44"/>
    <mergeCell ref="B46:W46"/>
    <mergeCell ref="B48:J49"/>
    <mergeCell ref="K48:AF48"/>
    <mergeCell ref="K49:AF49"/>
    <mergeCell ref="B50:AF50"/>
    <mergeCell ref="B37:K37"/>
    <mergeCell ref="L37:P37"/>
    <mergeCell ref="Q37:T37"/>
    <mergeCell ref="U37:X37"/>
    <mergeCell ref="Y37:Z37"/>
    <mergeCell ref="AA37:AD37"/>
    <mergeCell ref="B38:K38"/>
    <mergeCell ref="L38:P38"/>
    <mergeCell ref="Q38:T38"/>
    <mergeCell ref="U38:X38"/>
    <mergeCell ref="Y38:Z41"/>
    <mergeCell ref="AA38:AD38"/>
    <mergeCell ref="B39:K39"/>
    <mergeCell ref="L39:P39"/>
    <mergeCell ref="Q39:T39"/>
    <mergeCell ref="U39:X39"/>
    <mergeCell ref="AA39:AD39"/>
    <mergeCell ref="B40:K40"/>
    <mergeCell ref="L40:P40"/>
    <mergeCell ref="Q40:T40"/>
    <mergeCell ref="U40:X40"/>
    <mergeCell ref="AA40:AD40"/>
    <mergeCell ref="B41:K41"/>
    <mergeCell ref="L41:P41"/>
    <mergeCell ref="B35:K35"/>
    <mergeCell ref="L35:P35"/>
    <mergeCell ref="Q35:T35"/>
    <mergeCell ref="U35:X35"/>
    <mergeCell ref="Y35:Z35"/>
    <mergeCell ref="AA35:AD35"/>
    <mergeCell ref="B36:K36"/>
    <mergeCell ref="L36:P36"/>
    <mergeCell ref="Q36:T36"/>
    <mergeCell ref="U36:X36"/>
    <mergeCell ref="Y36:Z36"/>
    <mergeCell ref="AA36:AD36"/>
    <mergeCell ref="B30:I30"/>
    <mergeCell ref="B32:K33"/>
    <mergeCell ref="L32:P33"/>
    <mergeCell ref="Q32:T33"/>
    <mergeCell ref="U32:X33"/>
    <mergeCell ref="Y32:Z33"/>
    <mergeCell ref="AA32:AD33"/>
    <mergeCell ref="B34:K34"/>
    <mergeCell ref="L34:P34"/>
    <mergeCell ref="Q34:T34"/>
    <mergeCell ref="U34:X34"/>
    <mergeCell ref="Y34:Z34"/>
    <mergeCell ref="AA34:AD34"/>
    <mergeCell ref="B17:O17"/>
    <mergeCell ref="P17:R17"/>
    <mergeCell ref="B18:Y18"/>
    <mergeCell ref="Z18:AB18"/>
    <mergeCell ref="B19:G19"/>
    <mergeCell ref="H19:J19"/>
    <mergeCell ref="B20:G20"/>
    <mergeCell ref="H20:J20"/>
    <mergeCell ref="B21:AF28"/>
    <mergeCell ref="B11:F11"/>
    <mergeCell ref="G11:Q11"/>
    <mergeCell ref="R11:U11"/>
    <mergeCell ref="V11:AB11"/>
    <mergeCell ref="B12:AF13"/>
    <mergeCell ref="B16:K16"/>
    <mergeCell ref="L16:M16"/>
    <mergeCell ref="N16:O16"/>
    <mergeCell ref="Q16:R16"/>
    <mergeCell ref="A1:AG1"/>
    <mergeCell ref="B3:AF6"/>
    <mergeCell ref="B9:F9"/>
    <mergeCell ref="G9:J9"/>
    <mergeCell ref="K9:N9"/>
    <mergeCell ref="O9:AB9"/>
    <mergeCell ref="B10:F10"/>
    <mergeCell ref="G10:J10"/>
    <mergeCell ref="K10:N10"/>
    <mergeCell ref="O10:T10"/>
    <mergeCell ref="U10:X10"/>
    <mergeCell ref="Y10:AF10"/>
  </mergeCells>
  <phoneticPr fontId="2"/>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D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D00-000001000000}">
      <formula1>$AI$9:$AI$11</formula1>
    </dataValidation>
    <dataValidation type="list" allowBlank="1" showInputMessage="1" showErrorMessage="1" sqref="G11:Q11" xr:uid="{00000000-0002-0000-1D00-000002000000}">
      <formula1>$AI$3:$AI$7</formula1>
    </dataValidation>
  </dataValidations>
  <pageMargins left="0.7" right="0.7" top="0.75" bottom="0.75" header="0.3" footer="0.3"/>
  <pageSetup paperSize="9" scale="70" fitToHeight="0" orientation="portrait" r:id="rId1"/>
  <rowBreaks count="1" manualBreakCount="1">
    <brk id="51" max="3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33"/>
  <sheetViews>
    <sheetView view="pageBreakPreview" topLeftCell="A25" zoomScaleNormal="100" zoomScaleSheetLayoutView="100" workbookViewId="0"/>
  </sheetViews>
  <sheetFormatPr defaultColWidth="9" defaultRowHeight="13.2" x14ac:dyDescent="0.2"/>
  <cols>
    <col min="1" max="1" width="5" style="433" customWidth="1"/>
    <col min="2" max="18" width="9" style="433"/>
    <col min="19" max="19" width="10.77734375" style="433" customWidth="1"/>
    <col min="20" max="21" width="5" style="433" customWidth="1"/>
    <col min="22" max="16384" width="9" style="433"/>
  </cols>
  <sheetData>
    <row r="1" spans="1:23" ht="14.4" x14ac:dyDescent="0.2">
      <c r="A1" s="433" t="s">
        <v>1000</v>
      </c>
      <c r="B1" s="434"/>
      <c r="C1" s="434"/>
      <c r="D1" s="435"/>
      <c r="E1" s="434"/>
      <c r="F1" s="434"/>
      <c r="G1" s="434"/>
      <c r="H1" s="436"/>
      <c r="I1" s="436"/>
      <c r="J1" s="436"/>
      <c r="K1" s="436"/>
      <c r="L1" s="436"/>
      <c r="M1" s="436"/>
      <c r="N1" s="436"/>
      <c r="O1" s="436"/>
      <c r="P1" s="436"/>
      <c r="Q1" s="436"/>
      <c r="R1" s="436"/>
      <c r="S1" s="436"/>
      <c r="T1" s="436"/>
      <c r="U1" s="436"/>
    </row>
    <row r="2" spans="1:23" ht="27.75" customHeight="1" x14ac:dyDescent="0.2">
      <c r="A2" s="1988" t="s">
        <v>1001</v>
      </c>
      <c r="B2" s="1988"/>
      <c r="C2" s="1988"/>
      <c r="D2" s="1988"/>
      <c r="E2" s="1988"/>
      <c r="F2" s="1988"/>
      <c r="G2" s="1988"/>
      <c r="H2" s="1988"/>
      <c r="I2" s="1988"/>
      <c r="J2" s="1988"/>
      <c r="K2" s="1988"/>
      <c r="L2" s="1988"/>
      <c r="M2" s="1988"/>
      <c r="N2" s="1988"/>
      <c r="O2" s="1988"/>
      <c r="P2" s="1988"/>
      <c r="Q2" s="1988"/>
      <c r="R2" s="1988"/>
      <c r="S2" s="1988"/>
      <c r="T2" s="1988"/>
      <c r="U2" s="437"/>
    </row>
    <row r="3" spans="1:23" ht="5.25" customHeight="1" x14ac:dyDescent="0.2">
      <c r="B3" s="438"/>
      <c r="C3" s="438"/>
      <c r="D3" s="438"/>
      <c r="E3" s="438"/>
      <c r="F3" s="438"/>
      <c r="G3" s="438"/>
      <c r="H3" s="438"/>
      <c r="I3" s="438"/>
      <c r="J3" s="438"/>
      <c r="K3" s="438"/>
      <c r="L3" s="438"/>
      <c r="M3" s="438"/>
      <c r="N3" s="438"/>
      <c r="O3" s="438"/>
      <c r="P3" s="438"/>
      <c r="Q3" s="438"/>
      <c r="R3" s="438"/>
      <c r="S3" s="436"/>
      <c r="T3" s="438"/>
      <c r="U3" s="438"/>
    </row>
    <row r="4" spans="1:23" ht="78" customHeight="1" x14ac:dyDescent="0.2">
      <c r="B4" s="1989" t="s">
        <v>1002</v>
      </c>
      <c r="C4" s="1989"/>
      <c r="D4" s="1989"/>
      <c r="E4" s="1989"/>
      <c r="F4" s="1989"/>
      <c r="G4" s="1989"/>
      <c r="H4" s="1989"/>
      <c r="I4" s="1989"/>
      <c r="J4" s="1989"/>
      <c r="K4" s="1989"/>
      <c r="L4" s="1989"/>
      <c r="M4" s="1989"/>
      <c r="N4" s="1989"/>
      <c r="O4" s="1989"/>
      <c r="P4" s="1989"/>
      <c r="Q4" s="1989"/>
      <c r="R4" s="1989"/>
      <c r="S4" s="1989"/>
      <c r="T4" s="439"/>
      <c r="U4" s="439"/>
    </row>
    <row r="5" spans="1:23" ht="14.4" x14ac:dyDescent="0.2">
      <c r="K5" s="436"/>
      <c r="L5" s="436"/>
      <c r="M5" s="436"/>
      <c r="N5" s="436"/>
      <c r="Q5" s="440"/>
      <c r="R5" s="440"/>
      <c r="S5" s="440"/>
      <c r="W5" s="433" t="s">
        <v>1003</v>
      </c>
    </row>
    <row r="6" spans="1:23" ht="18.75" customHeight="1" x14ac:dyDescent="0.2">
      <c r="B6" s="441" t="s">
        <v>1004</v>
      </c>
      <c r="C6" s="442"/>
      <c r="D6" s="442"/>
      <c r="E6" s="442"/>
      <c r="F6" s="442"/>
      <c r="G6" s="442"/>
      <c r="H6" s="442"/>
      <c r="I6" s="442"/>
      <c r="J6" s="442"/>
      <c r="K6" s="442"/>
      <c r="L6" s="442"/>
      <c r="M6"/>
      <c r="N6"/>
      <c r="O6"/>
      <c r="P6"/>
      <c r="Q6"/>
      <c r="R6"/>
      <c r="T6" s="443"/>
      <c r="U6" s="443"/>
    </row>
    <row r="7" spans="1:23" x14ac:dyDescent="0.15">
      <c r="B7" s="444"/>
      <c r="C7" s="445"/>
      <c r="D7" s="446"/>
      <c r="E7" s="447"/>
      <c r="F7" s="1990" t="s">
        <v>1005</v>
      </c>
      <c r="G7" s="448"/>
      <c r="H7" s="449"/>
      <c r="I7" s="449"/>
      <c r="J7" s="450" t="s">
        <v>959</v>
      </c>
      <c r="K7" s="520"/>
      <c r="L7" s="449" t="s">
        <v>960</v>
      </c>
      <c r="M7" s="449"/>
      <c r="N7" s="449"/>
      <c r="O7" s="451"/>
      <c r="P7" s="1992">
        <f>K7+1</f>
        <v>1</v>
      </c>
      <c r="Q7" s="1993"/>
      <c r="R7" s="1994"/>
      <c r="S7" s="1995" t="s">
        <v>1006</v>
      </c>
      <c r="T7" s="443"/>
      <c r="U7" s="443"/>
    </row>
    <row r="8" spans="1:23" x14ac:dyDescent="0.15">
      <c r="B8" s="452"/>
      <c r="C8" s="453"/>
      <c r="D8" s="454"/>
      <c r="E8" s="455"/>
      <c r="F8" s="1991"/>
      <c r="G8" s="456" t="s">
        <v>174</v>
      </c>
      <c r="H8" s="457" t="s">
        <v>125</v>
      </c>
      <c r="I8" s="456" t="s">
        <v>126</v>
      </c>
      <c r="J8" s="457" t="s">
        <v>127</v>
      </c>
      <c r="K8" s="457" t="s">
        <v>128</v>
      </c>
      <c r="L8" s="458" t="s">
        <v>129</v>
      </c>
      <c r="M8" s="456" t="s">
        <v>1007</v>
      </c>
      <c r="N8" s="457" t="s">
        <v>652</v>
      </c>
      <c r="O8" s="457" t="s">
        <v>653</v>
      </c>
      <c r="P8" s="456" t="s">
        <v>130</v>
      </c>
      <c r="Q8" s="457" t="s">
        <v>131</v>
      </c>
      <c r="R8" s="457" t="s">
        <v>132</v>
      </c>
      <c r="S8" s="1996"/>
      <c r="T8" s="443"/>
      <c r="U8" s="443"/>
    </row>
    <row r="9" spans="1:23" ht="29.25" customHeight="1" x14ac:dyDescent="0.2">
      <c r="B9" s="1997" t="s">
        <v>1008</v>
      </c>
      <c r="C9" s="2001" t="s">
        <v>1009</v>
      </c>
      <c r="D9" s="2002"/>
      <c r="E9" s="2003"/>
      <c r="F9" s="459">
        <v>0.25</v>
      </c>
      <c r="G9" s="509"/>
      <c r="H9" s="509"/>
      <c r="I9" s="509"/>
      <c r="J9" s="509"/>
      <c r="K9" s="509"/>
      <c r="L9" s="509"/>
      <c r="M9" s="509"/>
      <c r="N9" s="509"/>
      <c r="O9" s="509"/>
      <c r="P9" s="509"/>
      <c r="Q9" s="509"/>
      <c r="R9" s="509"/>
      <c r="S9" s="460"/>
      <c r="T9" s="436"/>
      <c r="U9" s="436"/>
    </row>
    <row r="10" spans="1:23" ht="29.25" customHeight="1" x14ac:dyDescent="0.2">
      <c r="B10" s="1998"/>
      <c r="C10" s="2004" t="s">
        <v>1010</v>
      </c>
      <c r="D10" s="2005"/>
      <c r="E10" s="2006"/>
      <c r="F10" s="461">
        <v>0.5</v>
      </c>
      <c r="G10" s="510"/>
      <c r="H10" s="510"/>
      <c r="I10" s="510"/>
      <c r="J10" s="510"/>
      <c r="K10" s="510"/>
      <c r="L10" s="510"/>
      <c r="M10" s="510"/>
      <c r="N10" s="510"/>
      <c r="O10" s="510"/>
      <c r="P10" s="510"/>
      <c r="Q10" s="510"/>
      <c r="R10" s="510"/>
      <c r="S10" s="460"/>
      <c r="T10" s="436"/>
      <c r="U10" s="436"/>
    </row>
    <row r="11" spans="1:23" ht="29.25" customHeight="1" x14ac:dyDescent="0.2">
      <c r="B11" s="1999"/>
      <c r="C11" s="2004" t="s">
        <v>1011</v>
      </c>
      <c r="D11" s="2005"/>
      <c r="E11" s="2006"/>
      <c r="F11" s="461">
        <v>0.75</v>
      </c>
      <c r="G11" s="510"/>
      <c r="H11" s="510"/>
      <c r="I11" s="510"/>
      <c r="J11" s="510"/>
      <c r="K11" s="510"/>
      <c r="L11" s="510"/>
      <c r="M11" s="510"/>
      <c r="N11" s="510"/>
      <c r="O11" s="510"/>
      <c r="P11" s="510"/>
      <c r="Q11" s="510"/>
      <c r="R11" s="510"/>
      <c r="S11" s="460"/>
      <c r="T11" s="436"/>
      <c r="U11" s="436"/>
    </row>
    <row r="12" spans="1:23" ht="29.25" customHeight="1" x14ac:dyDescent="0.2">
      <c r="B12" s="2000"/>
      <c r="C12" s="2007" t="s">
        <v>1012</v>
      </c>
      <c r="D12" s="2008"/>
      <c r="E12" s="2009"/>
      <c r="F12" s="462">
        <v>1</v>
      </c>
      <c r="G12" s="511"/>
      <c r="H12" s="511"/>
      <c r="I12" s="511"/>
      <c r="J12" s="511"/>
      <c r="K12" s="511"/>
      <c r="L12" s="511"/>
      <c r="M12" s="511"/>
      <c r="N12" s="511"/>
      <c r="O12" s="511"/>
      <c r="P12" s="511"/>
      <c r="Q12" s="511"/>
      <c r="R12" s="511"/>
      <c r="S12" s="460"/>
      <c r="T12" s="436"/>
      <c r="U12" s="436"/>
    </row>
    <row r="13" spans="1:23" ht="29.25" customHeight="1" x14ac:dyDescent="0.2">
      <c r="B13" s="1997" t="s">
        <v>1013</v>
      </c>
      <c r="C13" s="2010" t="s">
        <v>338</v>
      </c>
      <c r="D13" s="2013" t="s">
        <v>1014</v>
      </c>
      <c r="E13" s="2014"/>
      <c r="F13" s="463">
        <v>0.25</v>
      </c>
      <c r="G13" s="512"/>
      <c r="H13" s="513"/>
      <c r="I13" s="512"/>
      <c r="J13" s="513"/>
      <c r="K13" s="513"/>
      <c r="L13" s="514"/>
      <c r="M13" s="512"/>
      <c r="N13" s="513"/>
      <c r="O13" s="509"/>
      <c r="P13" s="512"/>
      <c r="Q13" s="513"/>
      <c r="R13" s="513"/>
      <c r="S13" s="460"/>
      <c r="T13" s="436"/>
      <c r="U13" s="436"/>
    </row>
    <row r="14" spans="1:23" ht="29.25" customHeight="1" x14ac:dyDescent="0.2">
      <c r="B14" s="1998"/>
      <c r="C14" s="2011"/>
      <c r="D14" s="2015" t="s">
        <v>1015</v>
      </c>
      <c r="E14" s="2016"/>
      <c r="F14" s="464">
        <v>0.5</v>
      </c>
      <c r="G14" s="515"/>
      <c r="H14" s="510"/>
      <c r="I14" s="515"/>
      <c r="J14" s="510"/>
      <c r="K14" s="510"/>
      <c r="L14" s="516"/>
      <c r="M14" s="515"/>
      <c r="N14" s="510"/>
      <c r="O14" s="510"/>
      <c r="P14" s="515"/>
      <c r="Q14" s="510"/>
      <c r="R14" s="510"/>
      <c r="S14" s="460"/>
      <c r="T14" s="436"/>
      <c r="U14" s="436"/>
    </row>
    <row r="15" spans="1:23" ht="29.25" customHeight="1" x14ac:dyDescent="0.2">
      <c r="B15" s="1999"/>
      <c r="C15" s="2011"/>
      <c r="D15" s="2015" t="s">
        <v>1016</v>
      </c>
      <c r="E15" s="2016"/>
      <c r="F15" s="464">
        <v>0.75</v>
      </c>
      <c r="G15" s="515"/>
      <c r="H15" s="510"/>
      <c r="I15" s="515"/>
      <c r="J15" s="510"/>
      <c r="K15" s="510"/>
      <c r="L15" s="516"/>
      <c r="M15" s="515"/>
      <c r="N15" s="510"/>
      <c r="O15" s="510"/>
      <c r="P15" s="515"/>
      <c r="Q15" s="510"/>
      <c r="R15" s="510"/>
      <c r="S15" s="460"/>
      <c r="T15" s="436"/>
      <c r="U15" s="436"/>
    </row>
    <row r="16" spans="1:23" ht="29.25" customHeight="1" x14ac:dyDescent="0.2">
      <c r="B16" s="1999"/>
      <c r="C16" s="2012"/>
      <c r="D16" s="2017" t="s">
        <v>1017</v>
      </c>
      <c r="E16" s="2018"/>
      <c r="F16" s="465">
        <v>1</v>
      </c>
      <c r="G16" s="517"/>
      <c r="H16" s="518"/>
      <c r="I16" s="517"/>
      <c r="J16" s="518"/>
      <c r="K16" s="518"/>
      <c r="L16" s="519"/>
      <c r="M16" s="517"/>
      <c r="N16" s="518"/>
      <c r="O16" s="518"/>
      <c r="P16" s="517"/>
      <c r="Q16" s="518"/>
      <c r="R16" s="518"/>
      <c r="S16" s="460"/>
      <c r="T16" s="436"/>
      <c r="U16" s="436"/>
    </row>
    <row r="17" spans="2:21" ht="29.25" customHeight="1" x14ac:dyDescent="0.2">
      <c r="B17" s="2000"/>
      <c r="C17" s="466" t="s">
        <v>340</v>
      </c>
      <c r="D17" s="2019" t="s">
        <v>1018</v>
      </c>
      <c r="E17" s="2020"/>
      <c r="F17" s="467">
        <v>1</v>
      </c>
      <c r="G17" s="512"/>
      <c r="H17" s="513"/>
      <c r="I17" s="512"/>
      <c r="J17" s="513"/>
      <c r="K17" s="513"/>
      <c r="L17" s="514"/>
      <c r="M17" s="512"/>
      <c r="N17" s="513"/>
      <c r="O17" s="513"/>
      <c r="P17" s="512"/>
      <c r="Q17" s="513"/>
      <c r="R17" s="513"/>
      <c r="S17" s="460"/>
      <c r="T17" s="436"/>
      <c r="U17" s="436"/>
    </row>
    <row r="18" spans="2:21" ht="3.75" customHeight="1" x14ac:dyDescent="0.2">
      <c r="B18" s="468"/>
      <c r="C18" s="469"/>
      <c r="D18" s="470"/>
      <c r="E18" s="470"/>
      <c r="F18" s="471"/>
      <c r="G18" s="472"/>
      <c r="H18" s="473"/>
      <c r="I18" s="473"/>
      <c r="J18" s="473"/>
      <c r="K18" s="473"/>
      <c r="L18" s="473"/>
      <c r="M18" s="473"/>
      <c r="N18" s="473"/>
      <c r="O18" s="473"/>
      <c r="P18" s="473"/>
      <c r="Q18" s="473"/>
      <c r="R18" s="473"/>
      <c r="S18" s="474"/>
      <c r="T18" s="436"/>
      <c r="U18" s="436"/>
    </row>
    <row r="19" spans="2:21" ht="18" customHeight="1" x14ac:dyDescent="0.2">
      <c r="B19" s="475"/>
      <c r="C19" s="2021" t="s">
        <v>1019</v>
      </c>
      <c r="D19" s="2021"/>
      <c r="E19" s="2021"/>
      <c r="F19" s="476"/>
      <c r="G19" s="521">
        <f>$F$9*G9+$F$11*G11+$F$10*G10+$F$12*G12+$F$13*G13+$F$14*G14+$F$15*G15+$F$16*G16+$F$17*G17</f>
        <v>0</v>
      </c>
      <c r="H19" s="521">
        <f t="shared" ref="H19:R19" si="0">$F$9*H9+$F$11*H11+$F$10*H10+$F$12*H12+$F$13*H13+$F$14*H14+$F$15*H15+$F$16*H16+$F$17*H17</f>
        <v>0</v>
      </c>
      <c r="I19" s="521">
        <f t="shared" si="0"/>
        <v>0</v>
      </c>
      <c r="J19" s="521">
        <f t="shared" si="0"/>
        <v>0</v>
      </c>
      <c r="K19" s="521">
        <f t="shared" si="0"/>
        <v>0</v>
      </c>
      <c r="L19" s="521">
        <f t="shared" si="0"/>
        <v>0</v>
      </c>
      <c r="M19" s="521">
        <f t="shared" si="0"/>
        <v>0</v>
      </c>
      <c r="N19" s="521">
        <f t="shared" si="0"/>
        <v>0</v>
      </c>
      <c r="O19" s="521">
        <f t="shared" si="0"/>
        <v>0</v>
      </c>
      <c r="P19" s="521">
        <f t="shared" si="0"/>
        <v>0</v>
      </c>
      <c r="Q19" s="521">
        <f t="shared" si="0"/>
        <v>0</v>
      </c>
      <c r="R19" s="521">
        <f t="shared" si="0"/>
        <v>0</v>
      </c>
      <c r="S19" s="460"/>
      <c r="T19" s="436"/>
      <c r="U19" s="436"/>
    </row>
    <row r="20" spans="2:21" ht="18" customHeight="1" x14ac:dyDescent="0.15">
      <c r="B20" s="2022" t="s">
        <v>1020</v>
      </c>
      <c r="C20" s="2023"/>
      <c r="D20" s="2023"/>
      <c r="E20" s="2024"/>
      <c r="F20" s="463">
        <v>0.8571428571428571</v>
      </c>
      <c r="G20" s="527"/>
      <c r="H20" s="527"/>
      <c r="I20" s="527"/>
      <c r="J20" s="527"/>
      <c r="K20" s="527"/>
      <c r="L20" s="527"/>
      <c r="M20" s="527"/>
      <c r="N20" s="527"/>
      <c r="O20" s="527"/>
      <c r="P20" s="527"/>
      <c r="Q20" s="527"/>
      <c r="R20" s="527"/>
      <c r="S20" s="477"/>
      <c r="T20" s="436"/>
      <c r="U20" s="436"/>
    </row>
    <row r="21" spans="2:21" ht="18" customHeight="1" x14ac:dyDescent="0.2">
      <c r="B21" s="478"/>
      <c r="C21" s="2025" t="s">
        <v>1021</v>
      </c>
      <c r="D21" s="2025"/>
      <c r="E21" s="2025"/>
      <c r="F21" s="479"/>
      <c r="G21" s="522">
        <f>IF(G20="",G19,ROUND(G19*6/7,2))</f>
        <v>0</v>
      </c>
      <c r="H21" s="522">
        <f t="shared" ref="H21:R21" si="1">IF(H20="",H19,ROUND(H19*6/7,2))</f>
        <v>0</v>
      </c>
      <c r="I21" s="523">
        <f t="shared" si="1"/>
        <v>0</v>
      </c>
      <c r="J21" s="523">
        <f t="shared" si="1"/>
        <v>0</v>
      </c>
      <c r="K21" s="523">
        <f t="shared" si="1"/>
        <v>0</v>
      </c>
      <c r="L21" s="523">
        <f t="shared" si="1"/>
        <v>0</v>
      </c>
      <c r="M21" s="523">
        <f t="shared" si="1"/>
        <v>0</v>
      </c>
      <c r="N21" s="523">
        <f t="shared" si="1"/>
        <v>0</v>
      </c>
      <c r="O21" s="523">
        <f t="shared" si="1"/>
        <v>0</v>
      </c>
      <c r="P21" s="521">
        <f t="shared" si="1"/>
        <v>0</v>
      </c>
      <c r="Q21" s="521">
        <f t="shared" si="1"/>
        <v>0</v>
      </c>
      <c r="R21" s="521">
        <f t="shared" si="1"/>
        <v>0</v>
      </c>
      <c r="S21" s="524">
        <f>SUM(G21:Q21)</f>
        <v>0</v>
      </c>
      <c r="T21" s="480" t="s">
        <v>1022</v>
      </c>
      <c r="U21" s="481"/>
    </row>
    <row r="22" spans="2:21" ht="45" customHeight="1" thickBot="1" x14ac:dyDescent="0.25">
      <c r="B22" s="2026" t="s">
        <v>1023</v>
      </c>
      <c r="C22" s="2027"/>
      <c r="D22" s="2027"/>
      <c r="E22" s="2027"/>
      <c r="F22" s="2027"/>
      <c r="G22" s="2027"/>
      <c r="H22" s="2027"/>
      <c r="I22" s="2027"/>
      <c r="J22" s="2027"/>
      <c r="K22" s="2027"/>
      <c r="L22" s="2027"/>
      <c r="M22" s="2027"/>
      <c r="N22" s="2027"/>
      <c r="O22" s="2028"/>
      <c r="P22" s="2035" t="s">
        <v>1024</v>
      </c>
      <c r="Q22" s="2035"/>
      <c r="R22" s="2036"/>
      <c r="S22" s="525">
        <f>COUNTIF(G21:Q21,"&gt;0")</f>
        <v>0</v>
      </c>
      <c r="T22" s="481" t="s">
        <v>1025</v>
      </c>
      <c r="U22" s="481"/>
    </row>
    <row r="23" spans="2:21" ht="45" customHeight="1" thickBot="1" x14ac:dyDescent="0.25">
      <c r="B23" s="2029"/>
      <c r="C23" s="2030"/>
      <c r="D23" s="2030"/>
      <c r="E23" s="2030"/>
      <c r="F23" s="2030"/>
      <c r="G23" s="2030"/>
      <c r="H23" s="2030"/>
      <c r="I23" s="2030"/>
      <c r="J23" s="2030"/>
      <c r="K23" s="2030"/>
      <c r="L23" s="2030"/>
      <c r="M23" s="2030"/>
      <c r="N23" s="2030"/>
      <c r="O23" s="2031"/>
      <c r="P23" s="2037" t="s">
        <v>1026</v>
      </c>
      <c r="Q23" s="2037"/>
      <c r="R23" s="2038"/>
      <c r="S23" s="526" t="str">
        <f>IF(S22&lt;1,"",S21/S22)</f>
        <v/>
      </c>
      <c r="T23" s="482" t="s">
        <v>1027</v>
      </c>
      <c r="U23" s="482"/>
    </row>
    <row r="24" spans="2:21" ht="126.75" customHeight="1" x14ac:dyDescent="0.2">
      <c r="B24" s="2032"/>
      <c r="C24" s="2033"/>
      <c r="D24" s="2033"/>
      <c r="E24" s="2033"/>
      <c r="F24" s="2033"/>
      <c r="G24" s="2033"/>
      <c r="H24" s="2033"/>
      <c r="I24" s="2033"/>
      <c r="J24" s="2033"/>
      <c r="K24" s="2033"/>
      <c r="L24" s="2033"/>
      <c r="M24" s="2033"/>
      <c r="N24" s="2033"/>
      <c r="O24" s="2034"/>
      <c r="P24" s="2039" t="s">
        <v>1028</v>
      </c>
      <c r="Q24" s="2040"/>
      <c r="R24" s="2040"/>
      <c r="S24" s="2040"/>
      <c r="T24" s="436"/>
      <c r="U24" s="436"/>
    </row>
    <row r="25" spans="2:21" x14ac:dyDescent="0.2">
      <c r="B25" s="483"/>
      <c r="C25" s="483"/>
      <c r="D25" s="483"/>
      <c r="E25" s="483"/>
      <c r="F25" s="483"/>
      <c r="G25" s="483"/>
      <c r="H25" s="483"/>
      <c r="I25" s="483"/>
      <c r="J25" s="483"/>
      <c r="K25" s="483"/>
      <c r="L25" s="483"/>
      <c r="M25" s="483"/>
      <c r="N25" s="483"/>
    </row>
    <row r="26" spans="2:21" ht="14.4" x14ac:dyDescent="0.2">
      <c r="B26" s="441" t="s">
        <v>1029</v>
      </c>
      <c r="C26" s="483"/>
      <c r="D26" s="483"/>
      <c r="E26" s="483"/>
      <c r="F26" s="483"/>
      <c r="G26" s="483"/>
      <c r="H26" s="483"/>
      <c r="I26" s="483"/>
      <c r="J26" s="483"/>
      <c r="K26" s="483"/>
      <c r="L26" s="483"/>
      <c r="M26" s="483"/>
      <c r="N26" s="483"/>
    </row>
    <row r="27" spans="2:21" ht="6" customHeight="1" thickBot="1" x14ac:dyDescent="0.25">
      <c r="B27" s="483"/>
      <c r="C27" s="483"/>
      <c r="D27" s="483"/>
      <c r="E27" s="483"/>
      <c r="F27" s="483"/>
      <c r="G27" s="483"/>
      <c r="H27" s="483"/>
      <c r="I27" s="483"/>
      <c r="J27" s="483"/>
      <c r="K27" s="483"/>
      <c r="L27" s="483"/>
      <c r="M27" s="483"/>
      <c r="N27" s="483"/>
    </row>
    <row r="28" spans="2:21" ht="13.5" customHeight="1" x14ac:dyDescent="0.2">
      <c r="B28" s="2041" t="s">
        <v>1030</v>
      </c>
      <c r="C28" s="2042"/>
      <c r="D28" s="483"/>
      <c r="E28" s="483"/>
      <c r="F28" s="483"/>
      <c r="G28" s="2043" t="s">
        <v>1031</v>
      </c>
      <c r="H28" s="2044"/>
      <c r="I28" s="483"/>
      <c r="J28" s="2045" t="s">
        <v>1032</v>
      </c>
      <c r="K28" s="2046"/>
      <c r="M28" s="483"/>
      <c r="N28" s="483"/>
    </row>
    <row r="29" spans="2:21" ht="27.75" customHeight="1" thickBot="1" x14ac:dyDescent="0.25">
      <c r="B29" s="2047"/>
      <c r="C29" s="2048"/>
      <c r="D29" s="484" t="s">
        <v>1033</v>
      </c>
      <c r="E29" s="485">
        <v>0.9</v>
      </c>
      <c r="F29" s="484" t="s">
        <v>1033</v>
      </c>
      <c r="G29" s="2047"/>
      <c r="H29" s="2048"/>
      <c r="I29" s="484" t="s">
        <v>1034</v>
      </c>
      <c r="J29" s="2049">
        <f>B29*E29*G29</f>
        <v>0</v>
      </c>
      <c r="K29" s="2050"/>
      <c r="M29" s="483"/>
      <c r="N29" s="483"/>
    </row>
    <row r="30" spans="2:21" ht="83.4" customHeight="1" x14ac:dyDescent="0.2">
      <c r="B30" s="2030" t="s">
        <v>1035</v>
      </c>
      <c r="C30" s="2030"/>
      <c r="D30" s="2030"/>
      <c r="E30" s="2030"/>
      <c r="F30" s="2030"/>
      <c r="G30" s="2030"/>
      <c r="H30" s="2030"/>
      <c r="I30" s="2030"/>
      <c r="J30" s="2030"/>
      <c r="K30" s="2030"/>
      <c r="L30" s="2030"/>
      <c r="M30" s="2030"/>
      <c r="N30" s="2030"/>
      <c r="O30" s="2030"/>
      <c r="P30" s="2030"/>
      <c r="Q30" s="2030"/>
      <c r="R30" s="2030"/>
      <c r="S30" s="2030"/>
    </row>
    <row r="31" spans="2:21" x14ac:dyDescent="0.2">
      <c r="B31" s="483"/>
      <c r="C31" s="483"/>
      <c r="D31" s="483"/>
      <c r="E31" s="483"/>
      <c r="F31" s="483"/>
      <c r="G31" s="483"/>
      <c r="H31" s="483"/>
      <c r="I31" s="483"/>
      <c r="J31" s="483"/>
      <c r="K31" s="483"/>
      <c r="L31" s="483"/>
      <c r="M31" s="483"/>
      <c r="N31" s="483"/>
    </row>
    <row r="32" spans="2:21" x14ac:dyDescent="0.2">
      <c r="B32" s="483"/>
      <c r="C32" s="483"/>
      <c r="D32" s="483"/>
      <c r="E32" s="483"/>
      <c r="F32" s="483"/>
      <c r="G32" s="483"/>
      <c r="H32" s="483"/>
      <c r="I32" s="483"/>
      <c r="J32" s="483"/>
      <c r="K32" s="483"/>
      <c r="L32" s="483"/>
      <c r="M32" s="483"/>
      <c r="N32" s="483"/>
    </row>
    <row r="33" spans="2:19" x14ac:dyDescent="0.2">
      <c r="B33" s="486"/>
      <c r="C33" s="486"/>
      <c r="D33" s="486"/>
      <c r="E33" s="486"/>
      <c r="F33" s="486"/>
      <c r="G33" s="486"/>
      <c r="H33" s="486"/>
      <c r="I33" s="486"/>
      <c r="J33" s="486"/>
      <c r="K33" s="486"/>
      <c r="L33" s="486"/>
      <c r="M33" s="486"/>
      <c r="N33" s="486"/>
      <c r="O33" s="486"/>
      <c r="P33" s="486"/>
      <c r="Q33" s="486"/>
      <c r="R33" s="486"/>
      <c r="S33" s="486"/>
    </row>
  </sheetData>
  <mergeCells count="31">
    <mergeCell ref="B30:S30"/>
    <mergeCell ref="B28:C28"/>
    <mergeCell ref="G28:H28"/>
    <mergeCell ref="J28:K28"/>
    <mergeCell ref="B29:C29"/>
    <mergeCell ref="G29:H29"/>
    <mergeCell ref="J29:K29"/>
    <mergeCell ref="C19:E19"/>
    <mergeCell ref="B20:E20"/>
    <mergeCell ref="C21:E21"/>
    <mergeCell ref="B22:O24"/>
    <mergeCell ref="P22:R22"/>
    <mergeCell ref="P23:R23"/>
    <mergeCell ref="P24:S24"/>
    <mergeCell ref="B13:B17"/>
    <mergeCell ref="C13:C16"/>
    <mergeCell ref="D13:E13"/>
    <mergeCell ref="D14:E14"/>
    <mergeCell ref="D15:E15"/>
    <mergeCell ref="D16:E16"/>
    <mergeCell ref="D17:E17"/>
    <mergeCell ref="B9:B12"/>
    <mergeCell ref="C9:E9"/>
    <mergeCell ref="C10:E10"/>
    <mergeCell ref="C11:E11"/>
    <mergeCell ref="C12:E12"/>
    <mergeCell ref="A2:T2"/>
    <mergeCell ref="B4:S4"/>
    <mergeCell ref="F7:F8"/>
    <mergeCell ref="P7:R7"/>
    <mergeCell ref="S7:S8"/>
  </mergeCells>
  <phoneticPr fontId="2"/>
  <dataValidations count="1">
    <dataValidation type="list" allowBlank="1" showInputMessage="1" sqref="G20:R20" xr:uid="{00000000-0002-0000-1E00-000000000000}">
      <formula1>"○, "</formula1>
    </dataValidation>
  </dataValidations>
  <pageMargins left="0.70866141732283472" right="0.70866141732283472" top="0.39370078740157483" bottom="0.39370078740157483" header="0.19685039370078741" footer="0.19685039370078741"/>
  <pageSetup paperSize="9" scale="64" orientation="landscape" r:id="rId1"/>
  <rowBreaks count="1" manualBreakCount="1">
    <brk id="31" max="16383" man="1"/>
  </rowBreaks>
  <colBreaks count="1" manualBreakCount="1">
    <brk id="2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1D12-7A20-439A-A55F-E83F65BEFC0D}">
  <sheetPr>
    <tabColor rgb="FFFFFF00"/>
    <pageSetUpPr fitToPage="1"/>
  </sheetPr>
  <dimension ref="A1:AK62"/>
  <sheetViews>
    <sheetView view="pageBreakPreview" zoomScaleNormal="100" zoomScaleSheetLayoutView="100" workbookViewId="0">
      <selection activeCell="AJ14" sqref="AJ14"/>
    </sheetView>
  </sheetViews>
  <sheetFormatPr defaultColWidth="8.77734375" defaultRowHeight="12" x14ac:dyDescent="0.2"/>
  <cols>
    <col min="1" max="34" width="3.109375" style="614" customWidth="1"/>
    <col min="35" max="16384" width="8.77734375" style="614"/>
  </cols>
  <sheetData>
    <row r="1" spans="1:37" ht="37.35" customHeight="1" thickBot="1" x14ac:dyDescent="0.25">
      <c r="A1" s="2051" t="s">
        <v>1387</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J1" s="614" t="s">
        <v>133</v>
      </c>
    </row>
    <row r="2" spans="1:37" ht="16.350000000000001" customHeight="1" x14ac:dyDescent="0.2">
      <c r="A2" s="2053" t="s">
        <v>1388</v>
      </c>
      <c r="B2" s="2054"/>
      <c r="C2" s="2059" t="s">
        <v>1389</v>
      </c>
      <c r="D2" s="2060"/>
      <c r="E2" s="2060"/>
      <c r="F2" s="2060"/>
      <c r="G2" s="2061"/>
      <c r="H2" s="2062"/>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4"/>
      <c r="AJ2" s="614" t="s">
        <v>133</v>
      </c>
    </row>
    <row r="3" spans="1:37" ht="16.350000000000001" customHeight="1" x14ac:dyDescent="0.2">
      <c r="A3" s="2055"/>
      <c r="B3" s="2056"/>
      <c r="C3" s="2065" t="s">
        <v>231</v>
      </c>
      <c r="D3" s="2066"/>
      <c r="E3" s="2066"/>
      <c r="F3" s="2066"/>
      <c r="G3" s="2067"/>
      <c r="H3" s="615"/>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7"/>
    </row>
    <row r="4" spans="1:37" ht="27.9" customHeight="1" x14ac:dyDescent="0.2">
      <c r="A4" s="2057"/>
      <c r="B4" s="2058"/>
      <c r="C4" s="2068" t="s">
        <v>1390</v>
      </c>
      <c r="D4" s="2068"/>
      <c r="E4" s="2068"/>
      <c r="F4" s="2068"/>
      <c r="G4" s="2068"/>
      <c r="H4" s="2069"/>
      <c r="I4" s="2070"/>
      <c r="J4" s="2070"/>
      <c r="K4" s="2070"/>
      <c r="L4" s="2070"/>
      <c r="M4" s="2070"/>
      <c r="N4" s="2070"/>
      <c r="O4" s="2070"/>
      <c r="P4" s="2070"/>
      <c r="Q4" s="2070"/>
      <c r="R4" s="2070"/>
      <c r="S4" s="2070"/>
      <c r="T4" s="2070"/>
      <c r="U4" s="2070"/>
      <c r="V4" s="2070"/>
      <c r="W4" s="2070"/>
      <c r="X4" s="2070"/>
      <c r="Y4" s="2070"/>
      <c r="Z4" s="2070"/>
      <c r="AA4" s="2070"/>
      <c r="AB4" s="2070"/>
      <c r="AC4" s="2070"/>
      <c r="AD4" s="2070"/>
      <c r="AE4" s="2070"/>
      <c r="AF4" s="2070"/>
      <c r="AG4" s="2070"/>
      <c r="AH4" s="2071"/>
    </row>
    <row r="5" spans="1:37" ht="15.75" customHeight="1" x14ac:dyDescent="0.2">
      <c r="A5" s="2057"/>
      <c r="B5" s="2058"/>
      <c r="C5" s="2068" t="s">
        <v>1391</v>
      </c>
      <c r="D5" s="2068"/>
      <c r="E5" s="2068"/>
      <c r="F5" s="2068"/>
      <c r="G5" s="2068"/>
      <c r="H5" s="2072" t="s">
        <v>1392</v>
      </c>
      <c r="I5" s="2073"/>
      <c r="J5" s="2073"/>
      <c r="K5" s="2073"/>
      <c r="L5" s="2074"/>
      <c r="M5" s="2074"/>
      <c r="N5" s="618" t="s">
        <v>1104</v>
      </c>
      <c r="O5" s="2074"/>
      <c r="P5" s="2074"/>
      <c r="Q5" s="619" t="s">
        <v>233</v>
      </c>
      <c r="R5" s="2073"/>
      <c r="S5" s="2073"/>
      <c r="T5" s="2073"/>
      <c r="U5" s="2073"/>
      <c r="V5" s="2073"/>
      <c r="W5" s="2073"/>
      <c r="X5" s="2073"/>
      <c r="Y5" s="2073"/>
      <c r="Z5" s="2073"/>
      <c r="AA5" s="2073"/>
      <c r="AB5" s="2073"/>
      <c r="AC5" s="2073"/>
      <c r="AD5" s="2073"/>
      <c r="AE5" s="2073"/>
      <c r="AF5" s="2073"/>
      <c r="AG5" s="2073"/>
      <c r="AH5" s="2084"/>
    </row>
    <row r="6" spans="1:37" ht="15.75" customHeight="1" x14ac:dyDescent="0.2">
      <c r="A6" s="2057"/>
      <c r="B6" s="2058"/>
      <c r="C6" s="2068"/>
      <c r="D6" s="2068"/>
      <c r="E6" s="2068"/>
      <c r="F6" s="2068"/>
      <c r="G6" s="2068"/>
      <c r="H6" s="2085"/>
      <c r="I6" s="2086"/>
      <c r="J6" s="2086"/>
      <c r="K6" s="2086"/>
      <c r="L6" s="620" t="s">
        <v>1393</v>
      </c>
      <c r="M6" s="620" t="s">
        <v>1394</v>
      </c>
      <c r="N6" s="2086"/>
      <c r="O6" s="2086"/>
      <c r="P6" s="2086"/>
      <c r="Q6" s="2086"/>
      <c r="R6" s="2086"/>
      <c r="S6" s="2086"/>
      <c r="T6" s="2086"/>
      <c r="U6" s="2086"/>
      <c r="V6" s="620" t="s">
        <v>1395</v>
      </c>
      <c r="W6" s="620" t="s">
        <v>1396</v>
      </c>
      <c r="X6" s="2086"/>
      <c r="Y6" s="2086"/>
      <c r="Z6" s="2086"/>
      <c r="AA6" s="2086"/>
      <c r="AB6" s="2086"/>
      <c r="AC6" s="2086"/>
      <c r="AD6" s="2086"/>
      <c r="AE6" s="2086"/>
      <c r="AF6" s="2086"/>
      <c r="AG6" s="2086"/>
      <c r="AH6" s="2087"/>
    </row>
    <row r="7" spans="1:37" ht="15.75" customHeight="1" x14ac:dyDescent="0.2">
      <c r="A7" s="2057"/>
      <c r="B7" s="2058"/>
      <c r="C7" s="2068"/>
      <c r="D7" s="2068"/>
      <c r="E7" s="2068"/>
      <c r="F7" s="2068"/>
      <c r="G7" s="2068"/>
      <c r="H7" s="2085"/>
      <c r="I7" s="2086"/>
      <c r="J7" s="2086"/>
      <c r="K7" s="2086"/>
      <c r="L7" s="620" t="s">
        <v>1397</v>
      </c>
      <c r="M7" s="620" t="s">
        <v>1366</v>
      </c>
      <c r="N7" s="2086"/>
      <c r="O7" s="2086"/>
      <c r="P7" s="2086"/>
      <c r="Q7" s="2086"/>
      <c r="R7" s="2086"/>
      <c r="S7" s="2086"/>
      <c r="T7" s="2086"/>
      <c r="U7" s="2086"/>
      <c r="V7" s="620" t="s">
        <v>1398</v>
      </c>
      <c r="W7" s="620" t="s">
        <v>1399</v>
      </c>
      <c r="X7" s="2086"/>
      <c r="Y7" s="2086"/>
      <c r="Z7" s="2086"/>
      <c r="AA7" s="2086"/>
      <c r="AB7" s="2086"/>
      <c r="AC7" s="2086"/>
      <c r="AD7" s="2086"/>
      <c r="AE7" s="2086"/>
      <c r="AF7" s="2086"/>
      <c r="AG7" s="2086"/>
      <c r="AH7" s="2087"/>
    </row>
    <row r="8" spans="1:37" ht="18.899999999999999" customHeight="1" x14ac:dyDescent="0.2">
      <c r="A8" s="2057"/>
      <c r="B8" s="2058"/>
      <c r="C8" s="2068"/>
      <c r="D8" s="2068"/>
      <c r="E8" s="2068"/>
      <c r="F8" s="2068"/>
      <c r="G8" s="2068"/>
      <c r="H8" s="2088"/>
      <c r="I8" s="2089"/>
      <c r="J8" s="2089"/>
      <c r="K8" s="2089"/>
      <c r="L8" s="2089"/>
      <c r="M8" s="2089"/>
      <c r="N8" s="2089"/>
      <c r="O8" s="2089"/>
      <c r="P8" s="2089"/>
      <c r="Q8" s="2089"/>
      <c r="R8" s="2089"/>
      <c r="S8" s="2089"/>
      <c r="T8" s="2089"/>
      <c r="U8" s="2089"/>
      <c r="V8" s="2089"/>
      <c r="W8" s="2089"/>
      <c r="X8" s="2089"/>
      <c r="Y8" s="2089"/>
      <c r="Z8" s="2089"/>
      <c r="AA8" s="2089"/>
      <c r="AB8" s="2089"/>
      <c r="AC8" s="2089"/>
      <c r="AD8" s="2089"/>
      <c r="AE8" s="2089"/>
      <c r="AF8" s="2089"/>
      <c r="AG8" s="2089"/>
      <c r="AH8" s="2090"/>
    </row>
    <row r="9" spans="1:37" ht="16.350000000000001" customHeight="1" x14ac:dyDescent="0.2">
      <c r="A9" s="2057"/>
      <c r="B9" s="2058"/>
      <c r="C9" s="2068" t="s">
        <v>1400</v>
      </c>
      <c r="D9" s="2068"/>
      <c r="E9" s="2068"/>
      <c r="F9" s="2068"/>
      <c r="G9" s="2068"/>
      <c r="H9" s="2075" t="s">
        <v>9</v>
      </c>
      <c r="I9" s="2076"/>
      <c r="J9" s="2077"/>
      <c r="K9" s="2078"/>
      <c r="L9" s="2079"/>
      <c r="M9" s="2079"/>
      <c r="N9" s="2079"/>
      <c r="O9" s="2079"/>
      <c r="P9" s="2079"/>
      <c r="Q9" s="621" t="s">
        <v>1401</v>
      </c>
      <c r="R9" s="622"/>
      <c r="S9" s="2080"/>
      <c r="T9" s="2080"/>
      <c r="U9" s="2081"/>
      <c r="V9" s="2075" t="s">
        <v>1402</v>
      </c>
      <c r="W9" s="2076"/>
      <c r="X9" s="2077"/>
      <c r="Y9" s="2078"/>
      <c r="Z9" s="2079"/>
      <c r="AA9" s="2079"/>
      <c r="AB9" s="2079"/>
      <c r="AC9" s="2079"/>
      <c r="AD9" s="2079"/>
      <c r="AE9" s="2079"/>
      <c r="AF9" s="2079"/>
      <c r="AG9" s="2079"/>
      <c r="AH9" s="2082"/>
    </row>
    <row r="10" spans="1:37" ht="16.350000000000001" customHeight="1" x14ac:dyDescent="0.2">
      <c r="A10" s="2057"/>
      <c r="B10" s="2058"/>
      <c r="C10" s="2068"/>
      <c r="D10" s="2068"/>
      <c r="E10" s="2068"/>
      <c r="F10" s="2068"/>
      <c r="G10" s="2068"/>
      <c r="H10" s="2083" t="s">
        <v>1403</v>
      </c>
      <c r="I10" s="2083"/>
      <c r="J10" s="2083"/>
      <c r="K10" s="2078"/>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82"/>
      <c r="AK10" s="614" t="s">
        <v>307</v>
      </c>
    </row>
    <row r="11" spans="1:37" ht="16.350000000000001" customHeight="1" x14ac:dyDescent="0.2">
      <c r="A11" s="2101" t="s">
        <v>1404</v>
      </c>
      <c r="B11" s="2102"/>
      <c r="C11" s="2068" t="s">
        <v>231</v>
      </c>
      <c r="D11" s="2068"/>
      <c r="E11" s="2068"/>
      <c r="F11" s="2068"/>
      <c r="G11" s="2068"/>
      <c r="H11" s="2093"/>
      <c r="I11" s="2093"/>
      <c r="J11" s="2093"/>
      <c r="K11" s="2093"/>
      <c r="L11" s="2093"/>
      <c r="M11" s="2093"/>
      <c r="N11" s="2093"/>
      <c r="O11" s="2093"/>
      <c r="P11" s="2068" t="s">
        <v>1405</v>
      </c>
      <c r="Q11" s="2068"/>
      <c r="R11" s="2068"/>
      <c r="S11" s="2072" t="s">
        <v>1392</v>
      </c>
      <c r="T11" s="2073"/>
      <c r="U11" s="2073"/>
      <c r="V11" s="2073"/>
      <c r="W11" s="2074"/>
      <c r="X11" s="2074"/>
      <c r="Y11" s="618" t="s">
        <v>1104</v>
      </c>
      <c r="Z11" s="2074"/>
      <c r="AA11" s="2074"/>
      <c r="AB11" s="619" t="s">
        <v>233</v>
      </c>
      <c r="AC11" s="2091"/>
      <c r="AD11" s="2091"/>
      <c r="AE11" s="2091"/>
      <c r="AF11" s="2091"/>
      <c r="AG11" s="2091"/>
      <c r="AH11" s="2092"/>
    </row>
    <row r="12" spans="1:37" ht="24" customHeight="1" x14ac:dyDescent="0.2">
      <c r="A12" s="2101"/>
      <c r="B12" s="2102"/>
      <c r="C12" s="2068" t="s">
        <v>1406</v>
      </c>
      <c r="D12" s="2068"/>
      <c r="E12" s="2068"/>
      <c r="F12" s="2068"/>
      <c r="G12" s="2068"/>
      <c r="H12" s="2093"/>
      <c r="I12" s="2093"/>
      <c r="J12" s="2093"/>
      <c r="K12" s="2093"/>
      <c r="L12" s="2093"/>
      <c r="M12" s="2093"/>
      <c r="N12" s="2093"/>
      <c r="O12" s="2093"/>
      <c r="P12" s="2068"/>
      <c r="Q12" s="2068"/>
      <c r="R12" s="2068"/>
      <c r="S12" s="2094"/>
      <c r="T12" s="2095"/>
      <c r="U12" s="2095"/>
      <c r="V12" s="2095"/>
      <c r="W12" s="2095"/>
      <c r="X12" s="2095"/>
      <c r="Y12" s="2095"/>
      <c r="Z12" s="2095"/>
      <c r="AA12" s="2095"/>
      <c r="AB12" s="2095"/>
      <c r="AC12" s="2095"/>
      <c r="AD12" s="2095"/>
      <c r="AE12" s="2095"/>
      <c r="AF12" s="2095"/>
      <c r="AG12" s="2095"/>
      <c r="AH12" s="2096"/>
    </row>
    <row r="13" spans="1:37" ht="18.149999999999999" customHeight="1" x14ac:dyDescent="0.2">
      <c r="A13" s="2101"/>
      <c r="B13" s="2102"/>
      <c r="C13" s="2068" t="s">
        <v>1407</v>
      </c>
      <c r="D13" s="2068"/>
      <c r="E13" s="2068"/>
      <c r="F13" s="2068"/>
      <c r="G13" s="2068"/>
      <c r="H13" s="2100"/>
      <c r="I13" s="2100"/>
      <c r="J13" s="2100"/>
      <c r="K13" s="2100"/>
      <c r="L13" s="2100"/>
      <c r="M13" s="2100"/>
      <c r="N13" s="2100"/>
      <c r="O13" s="2100"/>
      <c r="P13" s="2068"/>
      <c r="Q13" s="2068"/>
      <c r="R13" s="2068"/>
      <c r="S13" s="2097"/>
      <c r="T13" s="2098"/>
      <c r="U13" s="2098"/>
      <c r="V13" s="2098"/>
      <c r="W13" s="2098"/>
      <c r="X13" s="2098"/>
      <c r="Y13" s="2098"/>
      <c r="Z13" s="2098"/>
      <c r="AA13" s="2098"/>
      <c r="AB13" s="2098"/>
      <c r="AC13" s="2098"/>
      <c r="AD13" s="2098"/>
      <c r="AE13" s="2098"/>
      <c r="AF13" s="2098"/>
      <c r="AG13" s="2098"/>
      <c r="AH13" s="2099"/>
    </row>
    <row r="14" spans="1:37" ht="20.25" customHeight="1" x14ac:dyDescent="0.2">
      <c r="A14" s="2109" t="s">
        <v>1408</v>
      </c>
      <c r="B14" s="2110"/>
      <c r="C14" s="2110"/>
      <c r="D14" s="2110"/>
      <c r="E14" s="2110"/>
      <c r="F14" s="2110"/>
      <c r="G14" s="2110"/>
      <c r="H14" s="2114"/>
      <c r="I14" s="2115"/>
      <c r="J14" s="2116"/>
      <c r="K14" s="2117" t="s">
        <v>1409</v>
      </c>
      <c r="L14" s="2117"/>
      <c r="M14" s="2117"/>
      <c r="N14" s="2117"/>
      <c r="O14" s="2117"/>
      <c r="P14" s="2117"/>
      <c r="Q14" s="2117"/>
      <c r="R14" s="2117"/>
      <c r="S14" s="2117"/>
      <c r="T14" s="2117"/>
      <c r="U14" s="2117"/>
      <c r="V14" s="2117"/>
      <c r="W14" s="2118"/>
      <c r="X14" s="2119"/>
      <c r="Y14" s="2119"/>
      <c r="Z14" s="2119"/>
      <c r="AA14" s="2119"/>
      <c r="AB14" s="2119"/>
      <c r="AC14" s="2119"/>
      <c r="AD14" s="2119"/>
      <c r="AE14" s="2119"/>
      <c r="AF14" s="2119"/>
      <c r="AG14" s="2119"/>
      <c r="AH14" s="2120"/>
    </row>
    <row r="15" spans="1:37" ht="20.25" customHeight="1" x14ac:dyDescent="0.2">
      <c r="A15" s="2111"/>
      <c r="B15" s="2110"/>
      <c r="C15" s="2110"/>
      <c r="D15" s="2110"/>
      <c r="E15" s="2110"/>
      <c r="F15" s="2110"/>
      <c r="G15" s="2110"/>
      <c r="H15" s="2127"/>
      <c r="I15" s="2128"/>
      <c r="J15" s="2129"/>
      <c r="K15" s="2130" t="s">
        <v>1410</v>
      </c>
      <c r="L15" s="2130"/>
      <c r="M15" s="2130"/>
      <c r="N15" s="2130"/>
      <c r="O15" s="2130"/>
      <c r="P15" s="2130"/>
      <c r="Q15" s="2130"/>
      <c r="R15" s="2130"/>
      <c r="S15" s="2130"/>
      <c r="T15" s="2130"/>
      <c r="U15" s="2130"/>
      <c r="V15" s="2130"/>
      <c r="W15" s="2121"/>
      <c r="X15" s="2122"/>
      <c r="Y15" s="2122"/>
      <c r="Z15" s="2122"/>
      <c r="AA15" s="2122"/>
      <c r="AB15" s="2122"/>
      <c r="AC15" s="2122"/>
      <c r="AD15" s="2122"/>
      <c r="AE15" s="2122"/>
      <c r="AF15" s="2122"/>
      <c r="AG15" s="2122"/>
      <c r="AH15" s="2123"/>
    </row>
    <row r="16" spans="1:37" ht="54" customHeight="1" x14ac:dyDescent="0.2">
      <c r="A16" s="2111"/>
      <c r="B16" s="2110"/>
      <c r="C16" s="2110"/>
      <c r="D16" s="2110"/>
      <c r="E16" s="2110"/>
      <c r="F16" s="2110"/>
      <c r="G16" s="2110"/>
      <c r="H16" s="2131"/>
      <c r="I16" s="2132"/>
      <c r="J16" s="2133"/>
      <c r="K16" s="2134" t="s">
        <v>1411</v>
      </c>
      <c r="L16" s="2135"/>
      <c r="M16" s="2135"/>
      <c r="N16" s="2135"/>
      <c r="O16" s="2135"/>
      <c r="P16" s="2135"/>
      <c r="Q16" s="2135"/>
      <c r="R16" s="2135"/>
      <c r="S16" s="2135"/>
      <c r="T16" s="2135"/>
      <c r="U16" s="2135"/>
      <c r="V16" s="2136"/>
      <c r="W16" s="2121"/>
      <c r="X16" s="2122"/>
      <c r="Y16" s="2122"/>
      <c r="Z16" s="2122"/>
      <c r="AA16" s="2122"/>
      <c r="AB16" s="2122"/>
      <c r="AC16" s="2122"/>
      <c r="AD16" s="2122"/>
      <c r="AE16" s="2122"/>
      <c r="AF16" s="2122"/>
      <c r="AG16" s="2122"/>
      <c r="AH16" s="2123"/>
    </row>
    <row r="17" spans="1:34" ht="20.25" customHeight="1" x14ac:dyDescent="0.2">
      <c r="A17" s="2111"/>
      <c r="B17" s="2110"/>
      <c r="C17" s="2110"/>
      <c r="D17" s="2110"/>
      <c r="E17" s="2110"/>
      <c r="F17" s="2110"/>
      <c r="G17" s="2110"/>
      <c r="H17" s="2114"/>
      <c r="I17" s="2115"/>
      <c r="J17" s="2116"/>
      <c r="K17" s="2117" t="s">
        <v>1412</v>
      </c>
      <c r="L17" s="2117"/>
      <c r="M17" s="2117"/>
      <c r="N17" s="2117"/>
      <c r="O17" s="2117"/>
      <c r="P17" s="2117"/>
      <c r="Q17" s="2117"/>
      <c r="R17" s="2117"/>
      <c r="S17" s="2117"/>
      <c r="T17" s="2117"/>
      <c r="U17" s="2117"/>
      <c r="V17" s="2117"/>
      <c r="W17" s="2121"/>
      <c r="X17" s="2122"/>
      <c r="Y17" s="2122"/>
      <c r="Z17" s="2122"/>
      <c r="AA17" s="2122"/>
      <c r="AB17" s="2122"/>
      <c r="AC17" s="2122"/>
      <c r="AD17" s="2122"/>
      <c r="AE17" s="2122"/>
      <c r="AF17" s="2122"/>
      <c r="AG17" s="2122"/>
      <c r="AH17" s="2123"/>
    </row>
    <row r="18" spans="1:34" ht="20.25" customHeight="1" x14ac:dyDescent="0.2">
      <c r="A18" s="2112"/>
      <c r="B18" s="2113"/>
      <c r="C18" s="2113"/>
      <c r="D18" s="2113"/>
      <c r="E18" s="2113"/>
      <c r="F18" s="2113"/>
      <c r="G18" s="2113"/>
      <c r="H18" s="2114"/>
      <c r="I18" s="2115"/>
      <c r="J18" s="2116"/>
      <c r="K18" s="2117" t="s">
        <v>366</v>
      </c>
      <c r="L18" s="2117"/>
      <c r="M18" s="2117"/>
      <c r="N18" s="2117"/>
      <c r="O18" s="2117"/>
      <c r="P18" s="2117"/>
      <c r="Q18" s="2117"/>
      <c r="R18" s="2117"/>
      <c r="S18" s="2117"/>
      <c r="T18" s="2117"/>
      <c r="U18" s="2117"/>
      <c r="V18" s="2117"/>
      <c r="W18" s="2124"/>
      <c r="X18" s="2125"/>
      <c r="Y18" s="2125"/>
      <c r="Z18" s="2125"/>
      <c r="AA18" s="2125"/>
      <c r="AB18" s="2125"/>
      <c r="AC18" s="2125"/>
      <c r="AD18" s="2125"/>
      <c r="AE18" s="2125"/>
      <c r="AF18" s="2125"/>
      <c r="AG18" s="2125"/>
      <c r="AH18" s="2126"/>
    </row>
    <row r="19" spans="1:34" ht="16.350000000000001" customHeight="1" x14ac:dyDescent="0.2">
      <c r="A19" s="623" t="s">
        <v>1413</v>
      </c>
      <c r="B19" s="623"/>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5"/>
    </row>
    <row r="20" spans="1:34" ht="21.15" customHeight="1" x14ac:dyDescent="0.2">
      <c r="A20" s="2103" t="s">
        <v>373</v>
      </c>
      <c r="B20" s="2091"/>
      <c r="C20" s="2091"/>
      <c r="D20" s="2091"/>
      <c r="E20" s="2091"/>
      <c r="F20" s="2091"/>
      <c r="G20" s="2104"/>
      <c r="H20" s="2108" t="s">
        <v>368</v>
      </c>
      <c r="I20" s="2091"/>
      <c r="J20" s="2091"/>
      <c r="K20" s="2091"/>
      <c r="L20" s="2091"/>
      <c r="M20" s="2104"/>
      <c r="N20" s="626"/>
      <c r="O20" s="626"/>
      <c r="P20" s="626"/>
      <c r="Q20" s="626"/>
      <c r="R20" s="2091"/>
      <c r="S20" s="2091"/>
      <c r="T20" s="2091"/>
      <c r="U20" s="2091"/>
      <c r="V20" s="2091"/>
      <c r="W20" s="2091"/>
      <c r="X20" s="2091"/>
      <c r="Y20" s="2091"/>
      <c r="Z20" s="2091"/>
      <c r="AA20" s="2091"/>
      <c r="AB20" s="2091"/>
      <c r="AC20" s="2091"/>
      <c r="AD20" s="2091"/>
      <c r="AE20" s="2091"/>
      <c r="AF20" s="2091"/>
      <c r="AG20" s="2091"/>
      <c r="AH20" s="2092"/>
    </row>
    <row r="21" spans="1:34" s="628" customFormat="1" ht="16.350000000000001" customHeight="1" x14ac:dyDescent="0.2">
      <c r="A21" s="2105"/>
      <c r="B21" s="2106"/>
      <c r="C21" s="2106"/>
      <c r="D21" s="2106"/>
      <c r="E21" s="2106"/>
      <c r="F21" s="2106"/>
      <c r="G21" s="2107"/>
      <c r="H21" s="2139" t="s">
        <v>1414</v>
      </c>
      <c r="I21" s="2140"/>
      <c r="J21" s="2141"/>
      <c r="K21" s="2139" t="s">
        <v>1415</v>
      </c>
      <c r="L21" s="2140"/>
      <c r="M21" s="2141"/>
      <c r="N21" s="627"/>
      <c r="O21" s="627"/>
      <c r="P21" s="627"/>
      <c r="Q21" s="627"/>
      <c r="R21" s="2137"/>
      <c r="S21" s="2137"/>
      <c r="T21" s="2137"/>
      <c r="U21" s="2137"/>
      <c r="V21" s="2137"/>
      <c r="W21" s="2137"/>
      <c r="X21" s="2137"/>
      <c r="Y21" s="2137"/>
      <c r="Z21" s="2137"/>
      <c r="AA21" s="2137"/>
      <c r="AB21" s="2137"/>
      <c r="AC21" s="2137"/>
      <c r="AD21" s="2137"/>
      <c r="AE21" s="2137"/>
      <c r="AF21" s="2137"/>
      <c r="AG21" s="2137"/>
      <c r="AH21" s="2138"/>
    </row>
    <row r="22" spans="1:34" s="628" customFormat="1" ht="16.350000000000001" customHeight="1" x14ac:dyDescent="0.2">
      <c r="A22" s="2143" t="s">
        <v>372</v>
      </c>
      <c r="B22" s="2140"/>
      <c r="C22" s="2140"/>
      <c r="D22" s="2140"/>
      <c r="E22" s="2140"/>
      <c r="F22" s="2140"/>
      <c r="G22" s="2141"/>
      <c r="H22" s="2139"/>
      <c r="I22" s="2140"/>
      <c r="J22" s="2141"/>
      <c r="K22" s="2139"/>
      <c r="L22" s="2140"/>
      <c r="M22" s="2141"/>
      <c r="N22" s="627"/>
      <c r="O22" s="627"/>
      <c r="P22" s="627"/>
      <c r="Q22" s="627"/>
      <c r="R22" s="2137"/>
      <c r="S22" s="2137"/>
      <c r="T22" s="2137"/>
      <c r="U22" s="2137"/>
      <c r="V22" s="2137"/>
      <c r="W22" s="2137"/>
      <c r="X22" s="2137"/>
      <c r="Y22" s="2137"/>
      <c r="Z22" s="2137"/>
      <c r="AA22" s="2137"/>
      <c r="AB22" s="2137"/>
      <c r="AC22" s="2137"/>
      <c r="AD22" s="2137"/>
      <c r="AE22" s="2137"/>
      <c r="AF22" s="2137"/>
      <c r="AG22" s="2137"/>
      <c r="AH22" s="2138"/>
    </row>
    <row r="23" spans="1:34" s="628" customFormat="1" ht="16.350000000000001" customHeight="1" x14ac:dyDescent="0.2">
      <c r="A23" s="2103" t="s">
        <v>371</v>
      </c>
      <c r="B23" s="2091"/>
      <c r="C23" s="2091"/>
      <c r="D23" s="2091"/>
      <c r="E23" s="2091"/>
      <c r="F23" s="2091"/>
      <c r="G23" s="2104"/>
      <c r="H23" s="2139"/>
      <c r="I23" s="2140"/>
      <c r="J23" s="2141"/>
      <c r="K23" s="2139"/>
      <c r="L23" s="2140"/>
      <c r="M23" s="2141"/>
      <c r="N23" s="627"/>
      <c r="O23" s="627"/>
      <c r="P23" s="627"/>
      <c r="Q23" s="627"/>
      <c r="R23" s="2137"/>
      <c r="S23" s="2137"/>
      <c r="T23" s="2137"/>
      <c r="U23" s="2137"/>
      <c r="V23" s="2137"/>
      <c r="W23" s="2137"/>
      <c r="X23" s="2137"/>
      <c r="Y23" s="2137"/>
      <c r="Z23" s="2137"/>
      <c r="AA23" s="2137"/>
      <c r="AB23" s="2137"/>
      <c r="AC23" s="2137"/>
      <c r="AD23" s="2137"/>
      <c r="AE23" s="2137"/>
      <c r="AF23" s="2137"/>
      <c r="AG23" s="2137"/>
      <c r="AH23" s="2138"/>
    </row>
    <row r="24" spans="1:34" s="629" customFormat="1" ht="14.25" customHeight="1" x14ac:dyDescent="0.2">
      <c r="A24" s="2144" t="s">
        <v>1416</v>
      </c>
      <c r="B24" s="2145"/>
      <c r="C24" s="2145"/>
      <c r="D24" s="2145"/>
      <c r="E24" s="2145"/>
      <c r="F24" s="2145"/>
      <c r="G24" s="2145"/>
      <c r="H24" s="2145"/>
      <c r="I24" s="2145"/>
      <c r="J24" s="2145"/>
      <c r="K24" s="2145"/>
      <c r="L24" s="2145"/>
      <c r="M24" s="2145"/>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6"/>
    </row>
    <row r="25" spans="1:34" s="628" customFormat="1" ht="15" customHeight="1" thickBot="1" x14ac:dyDescent="0.25">
      <c r="A25" s="2147" t="s">
        <v>1417</v>
      </c>
      <c r="B25" s="2148"/>
      <c r="C25" s="2148"/>
      <c r="D25" s="2148"/>
      <c r="E25" s="2148"/>
      <c r="F25" s="2148"/>
      <c r="G25" s="2148"/>
      <c r="H25" s="2148"/>
      <c r="I25" s="2148"/>
      <c r="J25" s="2148"/>
      <c r="K25" s="2148"/>
      <c r="L25" s="2148"/>
      <c r="M25" s="2149"/>
      <c r="N25" s="2148"/>
      <c r="O25" s="2148"/>
      <c r="P25" s="2148"/>
      <c r="Q25" s="631" t="s">
        <v>225</v>
      </c>
      <c r="R25" s="632"/>
      <c r="S25" s="2149" t="s">
        <v>1418</v>
      </c>
      <c r="T25" s="2148"/>
      <c r="U25" s="2148"/>
      <c r="V25" s="2148"/>
      <c r="W25" s="2148"/>
      <c r="X25" s="2148"/>
      <c r="Y25" s="2148"/>
      <c r="Z25" s="2148"/>
      <c r="AA25" s="2148"/>
      <c r="AB25" s="2148"/>
      <c r="AC25" s="2149"/>
      <c r="AD25" s="2148"/>
      <c r="AE25" s="2148"/>
      <c r="AF25" s="2148"/>
      <c r="AG25" s="631" t="s">
        <v>1419</v>
      </c>
      <c r="AH25" s="633"/>
    </row>
    <row r="26" spans="1:34" s="629" customFormat="1" ht="14.25" customHeight="1" x14ac:dyDescent="0.2">
      <c r="A26" s="2150" t="s">
        <v>1420</v>
      </c>
      <c r="B26" s="2154" t="s">
        <v>1413</v>
      </c>
      <c r="C26" s="2154"/>
      <c r="D26" s="2154"/>
      <c r="E26" s="2154"/>
      <c r="F26" s="2154"/>
      <c r="G26" s="2154"/>
      <c r="H26" s="2154"/>
      <c r="I26" s="2154"/>
      <c r="J26" s="2154"/>
      <c r="K26" s="2154"/>
      <c r="L26" s="2154"/>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5"/>
    </row>
    <row r="27" spans="1:34" s="629" customFormat="1" ht="21.15" customHeight="1" x14ac:dyDescent="0.2">
      <c r="A27" s="2151"/>
      <c r="B27" s="2103" t="s">
        <v>373</v>
      </c>
      <c r="C27" s="2091"/>
      <c r="D27" s="2091"/>
      <c r="E27" s="2091"/>
      <c r="F27" s="2091"/>
      <c r="G27" s="2091"/>
      <c r="H27" s="2091"/>
      <c r="I27" s="2091"/>
      <c r="J27" s="2091"/>
      <c r="K27" s="2091"/>
      <c r="L27" s="2091"/>
      <c r="M27" s="2091"/>
      <c r="N27" s="2104"/>
      <c r="O27" s="2139" t="s">
        <v>1421</v>
      </c>
      <c r="P27" s="2140"/>
      <c r="Q27" s="2140"/>
      <c r="R27" s="2141"/>
      <c r="S27" s="2139" t="s">
        <v>1422</v>
      </c>
      <c r="T27" s="2140"/>
      <c r="U27" s="2140"/>
      <c r="V27" s="2141"/>
      <c r="W27" s="2139" t="s">
        <v>1423</v>
      </c>
      <c r="X27" s="2140"/>
      <c r="Y27" s="2140"/>
      <c r="Z27" s="2141"/>
      <c r="AA27" s="2139" t="s">
        <v>1424</v>
      </c>
      <c r="AB27" s="2140"/>
      <c r="AC27" s="2140"/>
      <c r="AD27" s="2141"/>
      <c r="AE27" s="2139" t="s">
        <v>1425</v>
      </c>
      <c r="AF27" s="2140"/>
      <c r="AG27" s="2140"/>
      <c r="AH27" s="2142"/>
    </row>
    <row r="28" spans="1:34" s="629" customFormat="1" ht="16.350000000000001" customHeight="1" x14ac:dyDescent="0.2">
      <c r="A28" s="2151"/>
      <c r="B28" s="2105"/>
      <c r="C28" s="2106"/>
      <c r="D28" s="2106"/>
      <c r="E28" s="2106"/>
      <c r="F28" s="2106"/>
      <c r="G28" s="2106"/>
      <c r="H28" s="2106"/>
      <c r="I28" s="2106"/>
      <c r="J28" s="2106"/>
      <c r="K28" s="2106"/>
      <c r="L28" s="2106"/>
      <c r="M28" s="2106"/>
      <c r="N28" s="2107"/>
      <c r="O28" s="2068" t="s">
        <v>1414</v>
      </c>
      <c r="P28" s="2068"/>
      <c r="Q28" s="2139" t="s">
        <v>1415</v>
      </c>
      <c r="R28" s="2141"/>
      <c r="S28" s="2068" t="s">
        <v>1414</v>
      </c>
      <c r="T28" s="2068"/>
      <c r="U28" s="2139" t="s">
        <v>1415</v>
      </c>
      <c r="V28" s="2141"/>
      <c r="W28" s="2068" t="s">
        <v>1414</v>
      </c>
      <c r="X28" s="2068"/>
      <c r="Y28" s="2139" t="s">
        <v>1415</v>
      </c>
      <c r="Z28" s="2141"/>
      <c r="AA28" s="2068" t="s">
        <v>1414</v>
      </c>
      <c r="AB28" s="2068"/>
      <c r="AC28" s="2139" t="s">
        <v>1415</v>
      </c>
      <c r="AD28" s="2141"/>
      <c r="AE28" s="2068" t="s">
        <v>1414</v>
      </c>
      <c r="AF28" s="2068"/>
      <c r="AG28" s="2139" t="s">
        <v>1415</v>
      </c>
      <c r="AH28" s="2142"/>
    </row>
    <row r="29" spans="1:34" s="629" customFormat="1" ht="16.350000000000001" customHeight="1" x14ac:dyDescent="0.2">
      <c r="A29" s="2151"/>
      <c r="B29" s="2143" t="s">
        <v>372</v>
      </c>
      <c r="C29" s="2140"/>
      <c r="D29" s="2140"/>
      <c r="E29" s="2140"/>
      <c r="F29" s="2140"/>
      <c r="G29" s="2140"/>
      <c r="H29" s="2140"/>
      <c r="I29" s="2140"/>
      <c r="J29" s="2140"/>
      <c r="K29" s="2140"/>
      <c r="L29" s="2140"/>
      <c r="M29" s="2140"/>
      <c r="N29" s="2141"/>
      <c r="O29" s="2139"/>
      <c r="P29" s="2141"/>
      <c r="Q29" s="2139"/>
      <c r="R29" s="2141"/>
      <c r="S29" s="2139"/>
      <c r="T29" s="2141"/>
      <c r="U29" s="2139"/>
      <c r="V29" s="2141"/>
      <c r="W29" s="2139"/>
      <c r="X29" s="2141"/>
      <c r="Y29" s="2139"/>
      <c r="Z29" s="2141"/>
      <c r="AA29" s="2139"/>
      <c r="AB29" s="2141"/>
      <c r="AC29" s="2139"/>
      <c r="AD29" s="2141"/>
      <c r="AE29" s="2139"/>
      <c r="AF29" s="2141"/>
      <c r="AG29" s="2139"/>
      <c r="AH29" s="2142"/>
    </row>
    <row r="30" spans="1:34" s="629" customFormat="1" ht="16.350000000000001" customHeight="1" x14ac:dyDescent="0.2">
      <c r="A30" s="2151"/>
      <c r="B30" s="2143" t="s">
        <v>371</v>
      </c>
      <c r="C30" s="2140"/>
      <c r="D30" s="2140"/>
      <c r="E30" s="2140"/>
      <c r="F30" s="2140"/>
      <c r="G30" s="2140"/>
      <c r="H30" s="2140"/>
      <c r="I30" s="2140"/>
      <c r="J30" s="2140"/>
      <c r="K30" s="2140"/>
      <c r="L30" s="2140"/>
      <c r="M30" s="2140"/>
      <c r="N30" s="2141"/>
      <c r="O30" s="2139"/>
      <c r="P30" s="2141"/>
      <c r="Q30" s="2139"/>
      <c r="R30" s="2141"/>
      <c r="S30" s="2139"/>
      <c r="T30" s="2141"/>
      <c r="U30" s="2139"/>
      <c r="V30" s="2141"/>
      <c r="W30" s="2139"/>
      <c r="X30" s="2141"/>
      <c r="Y30" s="2139"/>
      <c r="Z30" s="2141"/>
      <c r="AA30" s="2139"/>
      <c r="AB30" s="2141"/>
      <c r="AC30" s="2139"/>
      <c r="AD30" s="2141"/>
      <c r="AE30" s="2139"/>
      <c r="AF30" s="2141"/>
      <c r="AG30" s="2139"/>
      <c r="AH30" s="2142"/>
    </row>
    <row r="31" spans="1:34" s="629" customFormat="1" ht="14.25" customHeight="1" x14ac:dyDescent="0.2">
      <c r="A31" s="2151"/>
      <c r="B31" s="2145" t="s">
        <v>1416</v>
      </c>
      <c r="C31" s="2145"/>
      <c r="D31" s="2145"/>
      <c r="E31" s="2145"/>
      <c r="F31" s="2145"/>
      <c r="G31" s="2145"/>
      <c r="H31" s="2145"/>
      <c r="I31" s="2145"/>
      <c r="J31" s="2145"/>
      <c r="K31" s="2145"/>
      <c r="L31" s="2145"/>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6"/>
    </row>
    <row r="32" spans="1:34" s="629" customFormat="1" ht="16.350000000000001" customHeight="1" x14ac:dyDescent="0.2">
      <c r="A32" s="2152"/>
      <c r="B32" s="2171" t="s">
        <v>1426</v>
      </c>
      <c r="C32" s="2172"/>
      <c r="D32" s="2172"/>
      <c r="E32" s="2172"/>
      <c r="F32" s="2172"/>
      <c r="G32" s="2172"/>
      <c r="H32" s="2172"/>
      <c r="I32" s="2172"/>
      <c r="J32" s="2173"/>
      <c r="K32" s="2156" t="s">
        <v>1427</v>
      </c>
      <c r="L32" s="2156"/>
      <c r="M32" s="2156"/>
      <c r="N32" s="2156" t="s">
        <v>1428</v>
      </c>
      <c r="O32" s="2156"/>
      <c r="P32" s="2156"/>
      <c r="Q32" s="2156" t="s">
        <v>1429</v>
      </c>
      <c r="R32" s="2156"/>
      <c r="S32" s="2156"/>
      <c r="T32" s="2156" t="s">
        <v>1430</v>
      </c>
      <c r="U32" s="2156"/>
      <c r="V32" s="2156"/>
      <c r="W32" s="2156" t="s">
        <v>1431</v>
      </c>
      <c r="X32" s="2156"/>
      <c r="Y32" s="2156"/>
      <c r="Z32" s="2156" t="s">
        <v>1432</v>
      </c>
      <c r="AA32" s="2156"/>
      <c r="AB32" s="2156"/>
      <c r="AC32" s="2156" t="s">
        <v>1433</v>
      </c>
      <c r="AD32" s="2156"/>
      <c r="AE32" s="2156"/>
      <c r="AF32" s="2156" t="s">
        <v>1434</v>
      </c>
      <c r="AG32" s="2156"/>
      <c r="AH32" s="2157"/>
    </row>
    <row r="33" spans="1:34" s="629" customFormat="1" ht="15.6" customHeight="1" x14ac:dyDescent="0.2">
      <c r="A33" s="2152"/>
      <c r="B33" s="2174"/>
      <c r="C33" s="2175"/>
      <c r="D33" s="2175"/>
      <c r="E33" s="2175"/>
      <c r="F33" s="2175"/>
      <c r="G33" s="2175"/>
      <c r="H33" s="2175"/>
      <c r="I33" s="2175"/>
      <c r="J33" s="2176"/>
      <c r="K33" s="2156"/>
      <c r="L33" s="2156"/>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7"/>
    </row>
    <row r="34" spans="1:34" s="629" customFormat="1" ht="15.9" customHeight="1" x14ac:dyDescent="0.2">
      <c r="A34" s="2152"/>
      <c r="B34" s="2177"/>
      <c r="C34" s="2178"/>
      <c r="D34" s="2178"/>
      <c r="E34" s="2178"/>
      <c r="F34" s="2178"/>
      <c r="G34" s="2178"/>
      <c r="H34" s="2178"/>
      <c r="I34" s="2178"/>
      <c r="J34" s="2179"/>
      <c r="K34" s="2159" t="s">
        <v>1435</v>
      </c>
      <c r="L34" s="2160"/>
      <c r="M34" s="2160"/>
      <c r="N34" s="2160"/>
      <c r="O34" s="2160"/>
      <c r="P34" s="2160"/>
      <c r="Q34" s="2160"/>
      <c r="R34" s="2160"/>
      <c r="S34" s="2161"/>
      <c r="T34" s="2162"/>
      <c r="U34" s="2163"/>
      <c r="V34" s="2163"/>
      <c r="W34" s="2163"/>
      <c r="X34" s="2163"/>
      <c r="Y34" s="2163"/>
      <c r="Z34" s="2163"/>
      <c r="AA34" s="2163"/>
      <c r="AB34" s="2163"/>
      <c r="AC34" s="2163"/>
      <c r="AD34" s="2163"/>
      <c r="AE34" s="2163"/>
      <c r="AF34" s="2163"/>
      <c r="AG34" s="2163"/>
      <c r="AH34" s="2164"/>
    </row>
    <row r="35" spans="1:34" s="629" customFormat="1" ht="15.9" customHeight="1" x14ac:dyDescent="0.2">
      <c r="A35" s="2152"/>
      <c r="B35" s="2165" t="s">
        <v>1436</v>
      </c>
      <c r="C35" s="2166"/>
      <c r="D35" s="2167"/>
      <c r="E35" s="2167"/>
      <c r="F35" s="2167"/>
      <c r="G35" s="2167"/>
      <c r="H35" s="2167"/>
      <c r="I35" s="2167"/>
      <c r="J35" s="2167"/>
      <c r="K35" s="2168"/>
      <c r="L35" s="2158"/>
      <c r="M35" s="2158"/>
      <c r="N35" s="2158"/>
      <c r="O35" s="2158"/>
      <c r="P35" s="2169" t="s">
        <v>445</v>
      </c>
      <c r="Q35" s="2169"/>
      <c r="R35" s="2170"/>
      <c r="S35" s="2170"/>
      <c r="T35" s="2170"/>
      <c r="U35" s="2170"/>
      <c r="V35" s="2169" t="s">
        <v>382</v>
      </c>
      <c r="W35" s="2169"/>
      <c r="X35" s="2158"/>
      <c r="Y35" s="2158"/>
      <c r="Z35" s="2158"/>
      <c r="AA35" s="2158"/>
      <c r="AB35" s="2169" t="s">
        <v>445</v>
      </c>
      <c r="AC35" s="2169"/>
      <c r="AD35" s="2170"/>
      <c r="AE35" s="2170"/>
      <c r="AF35" s="2170"/>
      <c r="AG35" s="2170"/>
      <c r="AH35" s="2180"/>
    </row>
    <row r="36" spans="1:34" s="629" customFormat="1" ht="15.9" customHeight="1" x14ac:dyDescent="0.2">
      <c r="A36" s="2152"/>
      <c r="B36" s="636"/>
      <c r="C36" s="637"/>
      <c r="D36" s="2188" t="s">
        <v>1437</v>
      </c>
      <c r="E36" s="2188"/>
      <c r="F36" s="2189"/>
      <c r="G36" s="2194" t="s">
        <v>381</v>
      </c>
      <c r="H36" s="2195"/>
      <c r="I36" s="2195"/>
      <c r="J36" s="2196"/>
      <c r="K36" s="2168"/>
      <c r="L36" s="2158"/>
      <c r="M36" s="2158"/>
      <c r="N36" s="2158"/>
      <c r="O36" s="2158"/>
      <c r="P36" s="2169" t="s">
        <v>445</v>
      </c>
      <c r="Q36" s="2169"/>
      <c r="R36" s="2170"/>
      <c r="S36" s="2170"/>
      <c r="T36" s="2170"/>
      <c r="U36" s="2170"/>
      <c r="V36" s="2169" t="s">
        <v>382</v>
      </c>
      <c r="W36" s="2169"/>
      <c r="X36" s="2158"/>
      <c r="Y36" s="2158"/>
      <c r="Z36" s="2158"/>
      <c r="AA36" s="2158"/>
      <c r="AB36" s="2169" t="s">
        <v>445</v>
      </c>
      <c r="AC36" s="2169"/>
      <c r="AD36" s="2170"/>
      <c r="AE36" s="2170"/>
      <c r="AF36" s="2170"/>
      <c r="AG36" s="2170"/>
      <c r="AH36" s="2180"/>
    </row>
    <row r="37" spans="1:34" s="629" customFormat="1" ht="15.9" customHeight="1" x14ac:dyDescent="0.2">
      <c r="A37" s="2152"/>
      <c r="B37" s="636"/>
      <c r="C37" s="637"/>
      <c r="D37" s="2190"/>
      <c r="E37" s="2190"/>
      <c r="F37" s="2191"/>
      <c r="G37" s="2194" t="s">
        <v>1433</v>
      </c>
      <c r="H37" s="2195"/>
      <c r="I37" s="2195"/>
      <c r="J37" s="2196"/>
      <c r="K37" s="2168"/>
      <c r="L37" s="2158"/>
      <c r="M37" s="2158"/>
      <c r="N37" s="2158"/>
      <c r="O37" s="2158"/>
      <c r="P37" s="2169" t="s">
        <v>445</v>
      </c>
      <c r="Q37" s="2169"/>
      <c r="R37" s="2170"/>
      <c r="S37" s="2170"/>
      <c r="T37" s="2170"/>
      <c r="U37" s="2170"/>
      <c r="V37" s="2169" t="s">
        <v>382</v>
      </c>
      <c r="W37" s="2169"/>
      <c r="X37" s="2158"/>
      <c r="Y37" s="2158"/>
      <c r="Z37" s="2158"/>
      <c r="AA37" s="2158"/>
      <c r="AB37" s="2169" t="s">
        <v>445</v>
      </c>
      <c r="AC37" s="2169"/>
      <c r="AD37" s="2170"/>
      <c r="AE37" s="2170"/>
      <c r="AF37" s="2170"/>
      <c r="AG37" s="2170"/>
      <c r="AH37" s="2180"/>
    </row>
    <row r="38" spans="1:34" s="629" customFormat="1" ht="15.9" customHeight="1" x14ac:dyDescent="0.2">
      <c r="A38" s="2152"/>
      <c r="B38" s="638"/>
      <c r="C38" s="639"/>
      <c r="D38" s="2192"/>
      <c r="E38" s="2192"/>
      <c r="F38" s="2193"/>
      <c r="G38" s="2194" t="s">
        <v>1438</v>
      </c>
      <c r="H38" s="2195"/>
      <c r="I38" s="2195"/>
      <c r="J38" s="2196"/>
      <c r="K38" s="2168"/>
      <c r="L38" s="2158"/>
      <c r="M38" s="2158"/>
      <c r="N38" s="2158"/>
      <c r="O38" s="2158"/>
      <c r="P38" s="2169" t="s">
        <v>445</v>
      </c>
      <c r="Q38" s="2169"/>
      <c r="R38" s="2170"/>
      <c r="S38" s="2170"/>
      <c r="T38" s="2170"/>
      <c r="U38" s="2170"/>
      <c r="V38" s="2169" t="s">
        <v>382</v>
      </c>
      <c r="W38" s="2169"/>
      <c r="X38" s="2158"/>
      <c r="Y38" s="2158"/>
      <c r="Z38" s="2158"/>
      <c r="AA38" s="2158"/>
      <c r="AB38" s="2169" t="s">
        <v>445</v>
      </c>
      <c r="AC38" s="2169"/>
      <c r="AD38" s="2170"/>
      <c r="AE38" s="2170"/>
      <c r="AF38" s="2170"/>
      <c r="AG38" s="2170"/>
      <c r="AH38" s="2180"/>
    </row>
    <row r="39" spans="1:34" s="629" customFormat="1" ht="16.350000000000001" customHeight="1" x14ac:dyDescent="0.2">
      <c r="A39" s="2152"/>
      <c r="B39" s="2187" t="s">
        <v>1439</v>
      </c>
      <c r="C39" s="2167"/>
      <c r="D39" s="2167"/>
      <c r="E39" s="2167"/>
      <c r="F39" s="2167"/>
      <c r="G39" s="2167"/>
      <c r="H39" s="2167"/>
      <c r="I39" s="2167"/>
      <c r="J39" s="2167"/>
      <c r="K39" s="2168"/>
      <c r="L39" s="2158"/>
      <c r="M39" s="2158"/>
      <c r="N39" s="2158"/>
      <c r="O39" s="2158"/>
      <c r="P39" s="2169" t="s">
        <v>445</v>
      </c>
      <c r="Q39" s="2169"/>
      <c r="R39" s="2170"/>
      <c r="S39" s="2170"/>
      <c r="T39" s="2170"/>
      <c r="U39" s="2170"/>
      <c r="V39" s="2169" t="s">
        <v>382</v>
      </c>
      <c r="W39" s="2169"/>
      <c r="X39" s="2158"/>
      <c r="Y39" s="2158"/>
      <c r="Z39" s="2158"/>
      <c r="AA39" s="2158"/>
      <c r="AB39" s="2169" t="s">
        <v>445</v>
      </c>
      <c r="AC39" s="2169"/>
      <c r="AD39" s="2170"/>
      <c r="AE39" s="2170"/>
      <c r="AF39" s="2170"/>
      <c r="AG39" s="2170"/>
      <c r="AH39" s="2180"/>
    </row>
    <row r="40" spans="1:34" s="629" customFormat="1" ht="16.350000000000001" customHeight="1" thickBot="1" x14ac:dyDescent="0.25">
      <c r="A40" s="2153"/>
      <c r="B40" s="2181" t="s">
        <v>1440</v>
      </c>
      <c r="C40" s="2182"/>
      <c r="D40" s="2182"/>
      <c r="E40" s="2182"/>
      <c r="F40" s="2182"/>
      <c r="G40" s="2182"/>
      <c r="H40" s="2182"/>
      <c r="I40" s="2182"/>
      <c r="J40" s="2182"/>
      <c r="K40" s="2183"/>
      <c r="L40" s="2184"/>
      <c r="M40" s="2184"/>
      <c r="N40" s="2184"/>
      <c r="O40" s="2184"/>
      <c r="P40" s="2184"/>
      <c r="Q40" s="2184"/>
      <c r="R40" s="2184"/>
      <c r="S40" s="2184"/>
      <c r="T40" s="2185" t="s">
        <v>1123</v>
      </c>
      <c r="U40" s="2185"/>
      <c r="V40" s="2185"/>
      <c r="W40" s="2148"/>
      <c r="X40" s="2148"/>
      <c r="Y40" s="2148"/>
      <c r="Z40" s="2148"/>
      <c r="AA40" s="2148"/>
      <c r="AB40" s="2148"/>
      <c r="AC40" s="2148"/>
      <c r="AD40" s="2148"/>
      <c r="AE40" s="2148"/>
      <c r="AF40" s="2148"/>
      <c r="AG40" s="2148"/>
      <c r="AH40" s="2186"/>
    </row>
    <row r="41" spans="1:34" s="629" customFormat="1" ht="14.25" customHeight="1" x14ac:dyDescent="0.2">
      <c r="A41" s="2150" t="s">
        <v>1441</v>
      </c>
      <c r="B41" s="2154" t="s">
        <v>1413</v>
      </c>
      <c r="C41" s="2154"/>
      <c r="D41" s="2154"/>
      <c r="E41" s="2154"/>
      <c r="F41" s="2154"/>
      <c r="G41" s="2154"/>
      <c r="H41" s="2154"/>
      <c r="I41" s="2154"/>
      <c r="J41" s="2154"/>
      <c r="K41" s="2154"/>
      <c r="L41" s="2154"/>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5"/>
    </row>
    <row r="42" spans="1:34" s="629" customFormat="1" ht="21.15" customHeight="1" x14ac:dyDescent="0.2">
      <c r="A42" s="2151"/>
      <c r="B42" s="2103" t="s">
        <v>373</v>
      </c>
      <c r="C42" s="2091"/>
      <c r="D42" s="2091"/>
      <c r="E42" s="2091"/>
      <c r="F42" s="2091"/>
      <c r="G42" s="2091"/>
      <c r="H42" s="2091"/>
      <c r="I42" s="2091"/>
      <c r="J42" s="2091"/>
      <c r="K42" s="2091"/>
      <c r="L42" s="2091"/>
      <c r="M42" s="2091"/>
      <c r="N42" s="2104"/>
      <c r="O42" s="2139" t="s">
        <v>1421</v>
      </c>
      <c r="P42" s="2140"/>
      <c r="Q42" s="2140"/>
      <c r="R42" s="2141"/>
      <c r="S42" s="2139" t="s">
        <v>1422</v>
      </c>
      <c r="T42" s="2140"/>
      <c r="U42" s="2140"/>
      <c r="V42" s="2141"/>
      <c r="W42" s="2139" t="s">
        <v>1423</v>
      </c>
      <c r="X42" s="2140"/>
      <c r="Y42" s="2140"/>
      <c r="Z42" s="2141"/>
      <c r="AA42" s="2139" t="s">
        <v>1424</v>
      </c>
      <c r="AB42" s="2140"/>
      <c r="AC42" s="2140"/>
      <c r="AD42" s="2141"/>
      <c r="AE42" s="2139" t="s">
        <v>1425</v>
      </c>
      <c r="AF42" s="2140"/>
      <c r="AG42" s="2140"/>
      <c r="AH42" s="2142"/>
    </row>
    <row r="43" spans="1:34" s="629" customFormat="1" ht="16.350000000000001" customHeight="1" x14ac:dyDescent="0.2">
      <c r="A43" s="2151"/>
      <c r="B43" s="2105"/>
      <c r="C43" s="2106"/>
      <c r="D43" s="2106"/>
      <c r="E43" s="2106"/>
      <c r="F43" s="2106"/>
      <c r="G43" s="2106"/>
      <c r="H43" s="2106"/>
      <c r="I43" s="2106"/>
      <c r="J43" s="2106"/>
      <c r="K43" s="2106"/>
      <c r="L43" s="2106"/>
      <c r="M43" s="2106"/>
      <c r="N43" s="2107"/>
      <c r="O43" s="2068" t="s">
        <v>1414</v>
      </c>
      <c r="P43" s="2068"/>
      <c r="Q43" s="2139" t="s">
        <v>1415</v>
      </c>
      <c r="R43" s="2141"/>
      <c r="S43" s="2068" t="s">
        <v>1414</v>
      </c>
      <c r="T43" s="2068"/>
      <c r="U43" s="2139" t="s">
        <v>1415</v>
      </c>
      <c r="V43" s="2141"/>
      <c r="W43" s="2068" t="s">
        <v>1414</v>
      </c>
      <c r="X43" s="2068"/>
      <c r="Y43" s="2139" t="s">
        <v>1415</v>
      </c>
      <c r="Z43" s="2141"/>
      <c r="AA43" s="2068" t="s">
        <v>1414</v>
      </c>
      <c r="AB43" s="2068"/>
      <c r="AC43" s="2139" t="s">
        <v>1415</v>
      </c>
      <c r="AD43" s="2141"/>
      <c r="AE43" s="2068" t="s">
        <v>1414</v>
      </c>
      <c r="AF43" s="2068"/>
      <c r="AG43" s="2139" t="s">
        <v>1415</v>
      </c>
      <c r="AH43" s="2142"/>
    </row>
    <row r="44" spans="1:34" s="629" customFormat="1" ht="16.350000000000001" customHeight="1" x14ac:dyDescent="0.2">
      <c r="A44" s="2151"/>
      <c r="B44" s="2143" t="s">
        <v>372</v>
      </c>
      <c r="C44" s="2140"/>
      <c r="D44" s="2140"/>
      <c r="E44" s="2140"/>
      <c r="F44" s="2140"/>
      <c r="G44" s="2140"/>
      <c r="H44" s="2140"/>
      <c r="I44" s="2140"/>
      <c r="J44" s="2140"/>
      <c r="K44" s="2140"/>
      <c r="L44" s="2140"/>
      <c r="M44" s="2140"/>
      <c r="N44" s="2141"/>
      <c r="O44" s="2139"/>
      <c r="P44" s="2141"/>
      <c r="Q44" s="2139"/>
      <c r="R44" s="2141"/>
      <c r="S44" s="2139"/>
      <c r="T44" s="2141"/>
      <c r="U44" s="2139"/>
      <c r="V44" s="2141"/>
      <c r="W44" s="2139"/>
      <c r="X44" s="2141"/>
      <c r="Y44" s="2139"/>
      <c r="Z44" s="2141"/>
      <c r="AA44" s="2139"/>
      <c r="AB44" s="2141"/>
      <c r="AC44" s="2139"/>
      <c r="AD44" s="2141"/>
      <c r="AE44" s="2139"/>
      <c r="AF44" s="2141"/>
      <c r="AG44" s="2139"/>
      <c r="AH44" s="2142"/>
    </row>
    <row r="45" spans="1:34" s="629" customFormat="1" ht="16.350000000000001" customHeight="1" x14ac:dyDescent="0.2">
      <c r="A45" s="2151"/>
      <c r="B45" s="2143" t="s">
        <v>371</v>
      </c>
      <c r="C45" s="2140"/>
      <c r="D45" s="2140"/>
      <c r="E45" s="2140"/>
      <c r="F45" s="2140"/>
      <c r="G45" s="2140"/>
      <c r="H45" s="2140"/>
      <c r="I45" s="2140"/>
      <c r="J45" s="2140"/>
      <c r="K45" s="2140"/>
      <c r="L45" s="2140"/>
      <c r="M45" s="2140"/>
      <c r="N45" s="2141"/>
      <c r="O45" s="2139"/>
      <c r="P45" s="2141"/>
      <c r="Q45" s="2139"/>
      <c r="R45" s="2141"/>
      <c r="S45" s="2139"/>
      <c r="T45" s="2141"/>
      <c r="U45" s="2139"/>
      <c r="V45" s="2141"/>
      <c r="W45" s="2139"/>
      <c r="X45" s="2141"/>
      <c r="Y45" s="2139"/>
      <c r="Z45" s="2141"/>
      <c r="AA45" s="2139"/>
      <c r="AB45" s="2141"/>
      <c r="AC45" s="2139"/>
      <c r="AD45" s="2141"/>
      <c r="AE45" s="2139"/>
      <c r="AF45" s="2141"/>
      <c r="AG45" s="2139"/>
      <c r="AH45" s="2142"/>
    </row>
    <row r="46" spans="1:34" s="629" customFormat="1" ht="14.25" customHeight="1" x14ac:dyDescent="0.2">
      <c r="A46" s="2151"/>
      <c r="B46" s="2145" t="s">
        <v>1416</v>
      </c>
      <c r="C46" s="2145"/>
      <c r="D46" s="2145"/>
      <c r="E46" s="2145"/>
      <c r="F46" s="2145"/>
      <c r="G46" s="2145"/>
      <c r="H46" s="2145"/>
      <c r="I46" s="2145"/>
      <c r="J46" s="2145"/>
      <c r="K46" s="2145"/>
      <c r="L46" s="2145"/>
      <c r="M46" s="2145"/>
      <c r="N46" s="2145"/>
      <c r="O46" s="2145"/>
      <c r="P46" s="2145"/>
      <c r="Q46" s="2145"/>
      <c r="R46" s="2145"/>
      <c r="S46" s="2145"/>
      <c r="T46" s="2145"/>
      <c r="U46" s="2145"/>
      <c r="V46" s="2145"/>
      <c r="W46" s="2145"/>
      <c r="X46" s="2145"/>
      <c r="Y46" s="2145"/>
      <c r="Z46" s="2145"/>
      <c r="AA46" s="2145"/>
      <c r="AB46" s="2145"/>
      <c r="AC46" s="2145"/>
      <c r="AD46" s="2145"/>
      <c r="AE46" s="2145"/>
      <c r="AF46" s="2145"/>
      <c r="AG46" s="2145"/>
      <c r="AH46" s="2146"/>
    </row>
    <row r="47" spans="1:34" s="629" customFormat="1" ht="16.350000000000001" customHeight="1" x14ac:dyDescent="0.2">
      <c r="A47" s="2152"/>
      <c r="B47" s="2171" t="s">
        <v>1426</v>
      </c>
      <c r="C47" s="2172"/>
      <c r="D47" s="2172"/>
      <c r="E47" s="2172"/>
      <c r="F47" s="2172"/>
      <c r="G47" s="2172"/>
      <c r="H47" s="2172"/>
      <c r="I47" s="2172"/>
      <c r="J47" s="2173"/>
      <c r="K47" s="2156" t="s">
        <v>1427</v>
      </c>
      <c r="L47" s="2156"/>
      <c r="M47" s="2156"/>
      <c r="N47" s="2156" t="s">
        <v>1428</v>
      </c>
      <c r="O47" s="2156"/>
      <c r="P47" s="2156"/>
      <c r="Q47" s="2156" t="s">
        <v>1429</v>
      </c>
      <c r="R47" s="2156"/>
      <c r="S47" s="2156"/>
      <c r="T47" s="2156" t="s">
        <v>1430</v>
      </c>
      <c r="U47" s="2156"/>
      <c r="V47" s="2156"/>
      <c r="W47" s="2156" t="s">
        <v>1431</v>
      </c>
      <c r="X47" s="2156"/>
      <c r="Y47" s="2156"/>
      <c r="Z47" s="2156" t="s">
        <v>1432</v>
      </c>
      <c r="AA47" s="2156"/>
      <c r="AB47" s="2156"/>
      <c r="AC47" s="2156" t="s">
        <v>1433</v>
      </c>
      <c r="AD47" s="2156"/>
      <c r="AE47" s="2156"/>
      <c r="AF47" s="2156" t="s">
        <v>1434</v>
      </c>
      <c r="AG47" s="2156"/>
      <c r="AH47" s="2157"/>
    </row>
    <row r="48" spans="1:34" s="629" customFormat="1" ht="15.6" customHeight="1" x14ac:dyDescent="0.2">
      <c r="A48" s="2152"/>
      <c r="B48" s="2174"/>
      <c r="C48" s="2175"/>
      <c r="D48" s="2175"/>
      <c r="E48" s="2175"/>
      <c r="F48" s="2175"/>
      <c r="G48" s="2175"/>
      <c r="H48" s="2175"/>
      <c r="I48" s="2175"/>
      <c r="J48" s="2176"/>
      <c r="K48" s="2156"/>
      <c r="L48" s="2156"/>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7"/>
    </row>
    <row r="49" spans="1:34" s="629" customFormat="1" ht="15.9" customHeight="1" x14ac:dyDescent="0.2">
      <c r="A49" s="2152"/>
      <c r="B49" s="2177"/>
      <c r="C49" s="2178"/>
      <c r="D49" s="2178"/>
      <c r="E49" s="2178"/>
      <c r="F49" s="2178"/>
      <c r="G49" s="2178"/>
      <c r="H49" s="2178"/>
      <c r="I49" s="2178"/>
      <c r="J49" s="2179"/>
      <c r="K49" s="2159" t="s">
        <v>1435</v>
      </c>
      <c r="L49" s="2160"/>
      <c r="M49" s="2160"/>
      <c r="N49" s="2160"/>
      <c r="O49" s="2160"/>
      <c r="P49" s="2160"/>
      <c r="Q49" s="2160"/>
      <c r="R49" s="2160"/>
      <c r="S49" s="2161"/>
      <c r="T49" s="2162"/>
      <c r="U49" s="2163"/>
      <c r="V49" s="2163"/>
      <c r="W49" s="2163"/>
      <c r="X49" s="2163"/>
      <c r="Y49" s="2163"/>
      <c r="Z49" s="2163"/>
      <c r="AA49" s="2163"/>
      <c r="AB49" s="2163"/>
      <c r="AC49" s="2163"/>
      <c r="AD49" s="2163"/>
      <c r="AE49" s="2163"/>
      <c r="AF49" s="2163"/>
      <c r="AG49" s="2163"/>
      <c r="AH49" s="2164"/>
    </row>
    <row r="50" spans="1:34" s="629" customFormat="1" ht="15.9" customHeight="1" x14ac:dyDescent="0.2">
      <c r="A50" s="2152"/>
      <c r="B50" s="2165" t="s">
        <v>1436</v>
      </c>
      <c r="C50" s="2166"/>
      <c r="D50" s="2167"/>
      <c r="E50" s="2167"/>
      <c r="F50" s="2167"/>
      <c r="G50" s="2167"/>
      <c r="H50" s="2167"/>
      <c r="I50" s="2167"/>
      <c r="J50" s="2167"/>
      <c r="K50" s="2168"/>
      <c r="L50" s="2158"/>
      <c r="M50" s="2158"/>
      <c r="N50" s="2158"/>
      <c r="O50" s="2158"/>
      <c r="P50" s="2169" t="s">
        <v>445</v>
      </c>
      <c r="Q50" s="2169"/>
      <c r="R50" s="2170"/>
      <c r="S50" s="2170"/>
      <c r="T50" s="2170"/>
      <c r="U50" s="2170"/>
      <c r="V50" s="2169" t="s">
        <v>382</v>
      </c>
      <c r="W50" s="2169"/>
      <c r="X50" s="2158"/>
      <c r="Y50" s="2158"/>
      <c r="Z50" s="2158"/>
      <c r="AA50" s="2158"/>
      <c r="AB50" s="2169" t="s">
        <v>445</v>
      </c>
      <c r="AC50" s="2169"/>
      <c r="AD50" s="2170"/>
      <c r="AE50" s="2170"/>
      <c r="AF50" s="2170"/>
      <c r="AG50" s="2170"/>
      <c r="AH50" s="2180"/>
    </row>
    <row r="51" spans="1:34" s="629" customFormat="1" ht="15.9" customHeight="1" x14ac:dyDescent="0.2">
      <c r="A51" s="2152"/>
      <c r="B51" s="636"/>
      <c r="C51" s="637"/>
      <c r="D51" s="2188" t="s">
        <v>1437</v>
      </c>
      <c r="E51" s="2188"/>
      <c r="F51" s="2189"/>
      <c r="G51" s="2194" t="s">
        <v>381</v>
      </c>
      <c r="H51" s="2195"/>
      <c r="I51" s="2195"/>
      <c r="J51" s="2196"/>
      <c r="K51" s="2168"/>
      <c r="L51" s="2158"/>
      <c r="M51" s="2158"/>
      <c r="N51" s="2158"/>
      <c r="O51" s="2158"/>
      <c r="P51" s="2169" t="s">
        <v>445</v>
      </c>
      <c r="Q51" s="2169"/>
      <c r="R51" s="2170"/>
      <c r="S51" s="2170"/>
      <c r="T51" s="2170"/>
      <c r="U51" s="2170"/>
      <c r="V51" s="2169" t="s">
        <v>382</v>
      </c>
      <c r="W51" s="2169"/>
      <c r="X51" s="2158"/>
      <c r="Y51" s="2158"/>
      <c r="Z51" s="2158"/>
      <c r="AA51" s="2158"/>
      <c r="AB51" s="2169" t="s">
        <v>445</v>
      </c>
      <c r="AC51" s="2169"/>
      <c r="AD51" s="2170"/>
      <c r="AE51" s="2170"/>
      <c r="AF51" s="2170"/>
      <c r="AG51" s="2170"/>
      <c r="AH51" s="2180"/>
    </row>
    <row r="52" spans="1:34" s="629" customFormat="1" ht="15.9" customHeight="1" x14ac:dyDescent="0.2">
      <c r="A52" s="2152"/>
      <c r="B52" s="636"/>
      <c r="C52" s="637"/>
      <c r="D52" s="2190"/>
      <c r="E52" s="2190"/>
      <c r="F52" s="2191"/>
      <c r="G52" s="2194" t="s">
        <v>1433</v>
      </c>
      <c r="H52" s="2195"/>
      <c r="I52" s="2195"/>
      <c r="J52" s="2196"/>
      <c r="K52" s="2168"/>
      <c r="L52" s="2158"/>
      <c r="M52" s="2158"/>
      <c r="N52" s="2158"/>
      <c r="O52" s="2158"/>
      <c r="P52" s="2169" t="s">
        <v>445</v>
      </c>
      <c r="Q52" s="2169"/>
      <c r="R52" s="2170"/>
      <c r="S52" s="2170"/>
      <c r="T52" s="2170"/>
      <c r="U52" s="2170"/>
      <c r="V52" s="2169" t="s">
        <v>382</v>
      </c>
      <c r="W52" s="2169"/>
      <c r="X52" s="2158"/>
      <c r="Y52" s="2158"/>
      <c r="Z52" s="2158"/>
      <c r="AA52" s="2158"/>
      <c r="AB52" s="2169" t="s">
        <v>445</v>
      </c>
      <c r="AC52" s="2169"/>
      <c r="AD52" s="2170"/>
      <c r="AE52" s="2170"/>
      <c r="AF52" s="2170"/>
      <c r="AG52" s="2170"/>
      <c r="AH52" s="2180"/>
    </row>
    <row r="53" spans="1:34" s="629" customFormat="1" ht="15.9" customHeight="1" x14ac:dyDescent="0.2">
      <c r="A53" s="2152"/>
      <c r="B53" s="638"/>
      <c r="C53" s="639"/>
      <c r="D53" s="2192"/>
      <c r="E53" s="2192"/>
      <c r="F53" s="2193"/>
      <c r="G53" s="2194" t="s">
        <v>1438</v>
      </c>
      <c r="H53" s="2195"/>
      <c r="I53" s="2195"/>
      <c r="J53" s="2196"/>
      <c r="K53" s="2168"/>
      <c r="L53" s="2158"/>
      <c r="M53" s="2158"/>
      <c r="N53" s="2158"/>
      <c r="O53" s="2158"/>
      <c r="P53" s="2169" t="s">
        <v>445</v>
      </c>
      <c r="Q53" s="2169"/>
      <c r="R53" s="2170"/>
      <c r="S53" s="2170"/>
      <c r="T53" s="2170"/>
      <c r="U53" s="2170"/>
      <c r="V53" s="2169" t="s">
        <v>382</v>
      </c>
      <c r="W53" s="2169"/>
      <c r="X53" s="2158"/>
      <c r="Y53" s="2158"/>
      <c r="Z53" s="2158"/>
      <c r="AA53" s="2158"/>
      <c r="AB53" s="2169" t="s">
        <v>445</v>
      </c>
      <c r="AC53" s="2169"/>
      <c r="AD53" s="2170"/>
      <c r="AE53" s="2170"/>
      <c r="AF53" s="2170"/>
      <c r="AG53" s="2170"/>
      <c r="AH53" s="2180"/>
    </row>
    <row r="54" spans="1:34" s="629" customFormat="1" ht="16.350000000000001" customHeight="1" x14ac:dyDescent="0.2">
      <c r="A54" s="2152"/>
      <c r="B54" s="2187" t="s">
        <v>1439</v>
      </c>
      <c r="C54" s="2167"/>
      <c r="D54" s="2167"/>
      <c r="E54" s="2167"/>
      <c r="F54" s="2167"/>
      <c r="G54" s="2167"/>
      <c r="H54" s="2167"/>
      <c r="I54" s="2167"/>
      <c r="J54" s="2167"/>
      <c r="K54" s="2168"/>
      <c r="L54" s="2158"/>
      <c r="M54" s="2158"/>
      <c r="N54" s="2158"/>
      <c r="O54" s="2158"/>
      <c r="P54" s="2169" t="s">
        <v>445</v>
      </c>
      <c r="Q54" s="2169"/>
      <c r="R54" s="2170"/>
      <c r="S54" s="2170"/>
      <c r="T54" s="2170"/>
      <c r="U54" s="2170"/>
      <c r="V54" s="2169" t="s">
        <v>382</v>
      </c>
      <c r="W54" s="2169"/>
      <c r="X54" s="2158"/>
      <c r="Y54" s="2158"/>
      <c r="Z54" s="2158"/>
      <c r="AA54" s="2158"/>
      <c r="AB54" s="2169" t="s">
        <v>445</v>
      </c>
      <c r="AC54" s="2169"/>
      <c r="AD54" s="2170"/>
      <c r="AE54" s="2170"/>
      <c r="AF54" s="2170"/>
      <c r="AG54" s="2170"/>
      <c r="AH54" s="2180"/>
    </row>
    <row r="55" spans="1:34" s="629" customFormat="1" ht="16.350000000000001" customHeight="1" thickBot="1" x14ac:dyDescent="0.25">
      <c r="A55" s="2152"/>
      <c r="B55" s="2181" t="s">
        <v>1440</v>
      </c>
      <c r="C55" s="2182"/>
      <c r="D55" s="2182"/>
      <c r="E55" s="2182"/>
      <c r="F55" s="2182"/>
      <c r="G55" s="2182"/>
      <c r="H55" s="2182"/>
      <c r="I55" s="2182"/>
      <c r="J55" s="2182"/>
      <c r="K55" s="2183"/>
      <c r="L55" s="2184"/>
      <c r="M55" s="2184"/>
      <c r="N55" s="2184"/>
      <c r="O55" s="2184"/>
      <c r="P55" s="2184"/>
      <c r="Q55" s="2184"/>
      <c r="R55" s="2184"/>
      <c r="S55" s="2184"/>
      <c r="T55" s="2185" t="s">
        <v>1123</v>
      </c>
      <c r="U55" s="2185"/>
      <c r="V55" s="2185"/>
      <c r="W55" s="2148"/>
      <c r="X55" s="2148"/>
      <c r="Y55" s="2148"/>
      <c r="Z55" s="2148"/>
      <c r="AA55" s="2148"/>
      <c r="AB55" s="2148"/>
      <c r="AC55" s="2148"/>
      <c r="AD55" s="2148"/>
      <c r="AE55" s="2148"/>
      <c r="AF55" s="2148"/>
      <c r="AG55" s="2148"/>
      <c r="AH55" s="2186"/>
    </row>
    <row r="56" spans="1:34" s="629" customFormat="1" ht="16.350000000000001" customHeight="1" thickBot="1" x14ac:dyDescent="0.25">
      <c r="A56" s="2200" t="s">
        <v>1442</v>
      </c>
      <c r="B56" s="2201"/>
      <c r="C56" s="2201"/>
      <c r="D56" s="2201"/>
      <c r="E56" s="2201"/>
      <c r="F56" s="2201"/>
      <c r="G56" s="2201"/>
      <c r="H56" s="2202" t="s">
        <v>1443</v>
      </c>
      <c r="I56" s="2203"/>
      <c r="J56" s="2203"/>
      <c r="K56" s="2203"/>
      <c r="L56" s="2203"/>
      <c r="M56" s="2203"/>
      <c r="N56" s="2203"/>
      <c r="O56" s="2203"/>
      <c r="P56" s="2203"/>
      <c r="Q56" s="2203"/>
      <c r="R56" s="2203"/>
      <c r="S56" s="2203"/>
      <c r="T56" s="2203"/>
      <c r="U56" s="2203"/>
      <c r="V56" s="2203"/>
      <c r="W56" s="2203"/>
      <c r="X56" s="2203"/>
      <c r="Y56" s="2203"/>
      <c r="Z56" s="2203"/>
      <c r="AA56" s="2203"/>
      <c r="AB56" s="2203"/>
      <c r="AC56" s="2203"/>
      <c r="AD56" s="2203"/>
      <c r="AE56" s="2203"/>
      <c r="AF56" s="2203"/>
      <c r="AG56" s="2203"/>
      <c r="AH56" s="2204"/>
    </row>
    <row r="57" spans="1:34" ht="15.9" customHeight="1" x14ac:dyDescent="0.2">
      <c r="AH57" s="614" t="s">
        <v>307</v>
      </c>
    </row>
    <row r="58" spans="1:34" ht="15.9" customHeight="1" x14ac:dyDescent="0.2">
      <c r="A58" s="2197" t="s">
        <v>1444</v>
      </c>
      <c r="B58" s="2197"/>
      <c r="C58" s="2198" t="s">
        <v>1445</v>
      </c>
      <c r="D58" s="2199" t="s">
        <v>1446</v>
      </c>
      <c r="E58" s="2199"/>
      <c r="F58" s="2199"/>
      <c r="G58" s="2199"/>
      <c r="H58" s="2199"/>
      <c r="I58" s="2199"/>
      <c r="J58" s="2199"/>
      <c r="K58" s="2199"/>
      <c r="L58" s="2199"/>
      <c r="M58" s="2199"/>
      <c r="N58" s="2199"/>
      <c r="O58" s="2199"/>
      <c r="P58" s="2199"/>
      <c r="Q58" s="2199"/>
      <c r="R58" s="2199"/>
      <c r="S58" s="2199"/>
      <c r="T58" s="2199"/>
      <c r="U58" s="2199"/>
      <c r="V58" s="2199"/>
      <c r="W58" s="2199"/>
      <c r="X58" s="2199"/>
      <c r="Y58" s="2199"/>
      <c r="Z58" s="2199"/>
      <c r="AA58" s="2199"/>
      <c r="AB58" s="2199"/>
      <c r="AC58" s="2199"/>
      <c r="AD58" s="2199"/>
      <c r="AE58" s="2199"/>
      <c r="AF58" s="2199"/>
      <c r="AG58" s="2199"/>
      <c r="AH58" s="2199"/>
    </row>
    <row r="59" spans="1:34" ht="15.9" customHeight="1" x14ac:dyDescent="0.2">
      <c r="A59" s="2197"/>
      <c r="B59" s="2197"/>
      <c r="C59" s="2198"/>
      <c r="D59" s="2199"/>
      <c r="E59" s="2199"/>
      <c r="F59" s="2199"/>
      <c r="G59" s="2199"/>
      <c r="H59" s="2199"/>
      <c r="I59" s="2199"/>
      <c r="J59" s="2199"/>
      <c r="K59" s="2199"/>
      <c r="L59" s="2199"/>
      <c r="M59" s="2199"/>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row>
    <row r="60" spans="1:34" ht="15.9" customHeight="1" x14ac:dyDescent="0.2">
      <c r="A60" s="2197"/>
      <c r="B60" s="2197"/>
      <c r="C60" s="2198"/>
      <c r="D60" s="2199"/>
      <c r="E60" s="2199"/>
      <c r="F60" s="2199"/>
      <c r="G60" s="2199"/>
      <c r="H60" s="2199"/>
      <c r="I60" s="2199"/>
      <c r="J60" s="2199"/>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row>
    <row r="61" spans="1:34" ht="15.9" customHeight="1" x14ac:dyDescent="0.2">
      <c r="A61" s="2197"/>
      <c r="B61" s="2197"/>
      <c r="C61" s="2198"/>
      <c r="D61" s="2199"/>
      <c r="E61" s="2199"/>
      <c r="F61" s="2199"/>
      <c r="G61" s="2199"/>
      <c r="H61" s="2199"/>
      <c r="I61" s="2199"/>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row>
    <row r="62" spans="1:34" ht="30.75" customHeight="1" x14ac:dyDescent="0.2">
      <c r="A62" s="2197"/>
      <c r="B62" s="2197"/>
      <c r="C62" s="2198"/>
      <c r="D62" s="2199"/>
      <c r="E62" s="2199"/>
      <c r="F62" s="2199"/>
      <c r="G62" s="2199"/>
      <c r="H62" s="2199"/>
      <c r="I62" s="2199"/>
      <c r="J62" s="2199"/>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row>
  </sheetData>
  <mergeCells count="292">
    <mergeCell ref="AB54:AC54"/>
    <mergeCell ref="AD54:AH54"/>
    <mergeCell ref="G53:J53"/>
    <mergeCell ref="K53:O53"/>
    <mergeCell ref="P50:Q50"/>
    <mergeCell ref="R50:U50"/>
    <mergeCell ref="V50:W50"/>
    <mergeCell ref="X50:AA50"/>
    <mergeCell ref="A58:B62"/>
    <mergeCell ref="C58:C62"/>
    <mergeCell ref="D58:AH62"/>
    <mergeCell ref="B55:J55"/>
    <mergeCell ref="K55:S55"/>
    <mergeCell ref="T55:V55"/>
    <mergeCell ref="W55:AH55"/>
    <mergeCell ref="A56:G56"/>
    <mergeCell ref="H56:AH56"/>
    <mergeCell ref="A41:A55"/>
    <mergeCell ref="B41:AH41"/>
    <mergeCell ref="AD52:AH52"/>
    <mergeCell ref="AB53:AC53"/>
    <mergeCell ref="AD53:AH53"/>
    <mergeCell ref="B54:J54"/>
    <mergeCell ref="K54:O54"/>
    <mergeCell ref="P54:Q54"/>
    <mergeCell ref="R54:U54"/>
    <mergeCell ref="V54:W54"/>
    <mergeCell ref="X54:AA54"/>
    <mergeCell ref="AB50:AC50"/>
    <mergeCell ref="AD50:AH50"/>
    <mergeCell ref="D51:F53"/>
    <mergeCell ref="G51:J51"/>
    <mergeCell ref="K51:O51"/>
    <mergeCell ref="P51:Q51"/>
    <mergeCell ref="R51:U51"/>
    <mergeCell ref="V51:W51"/>
    <mergeCell ref="X51:AA51"/>
    <mergeCell ref="AB51:AC51"/>
    <mergeCell ref="AD51:AH51"/>
    <mergeCell ref="G52:J52"/>
    <mergeCell ref="K52:O52"/>
    <mergeCell ref="P52:Q52"/>
    <mergeCell ref="R52:U52"/>
    <mergeCell ref="V52:W52"/>
    <mergeCell ref="X52:AA52"/>
    <mergeCell ref="AB52:AC52"/>
    <mergeCell ref="P53:Q53"/>
    <mergeCell ref="R53:U53"/>
    <mergeCell ref="V53:W53"/>
    <mergeCell ref="X53:AA53"/>
    <mergeCell ref="B50:J50"/>
    <mergeCell ref="K50:O50"/>
    <mergeCell ref="B46:AH46"/>
    <mergeCell ref="B47:J49"/>
    <mergeCell ref="K47:M47"/>
    <mergeCell ref="N47:P47"/>
    <mergeCell ref="Q47:S47"/>
    <mergeCell ref="T47:V47"/>
    <mergeCell ref="W47:Y47"/>
    <mergeCell ref="Z47:AB47"/>
    <mergeCell ref="AC47:AE47"/>
    <mergeCell ref="AF47:AH47"/>
    <mergeCell ref="K48:M48"/>
    <mergeCell ref="N48:P48"/>
    <mergeCell ref="Q48:S48"/>
    <mergeCell ref="T48:V48"/>
    <mergeCell ref="W48:Y48"/>
    <mergeCell ref="Z48:AB48"/>
    <mergeCell ref="AC48:AE48"/>
    <mergeCell ref="AF48:AH48"/>
    <mergeCell ref="K49:S49"/>
    <mergeCell ref="T49:AH49"/>
    <mergeCell ref="AC44:AD44"/>
    <mergeCell ref="AE44:AF44"/>
    <mergeCell ref="AG44:AH44"/>
    <mergeCell ref="B45:N45"/>
    <mergeCell ref="O45:P45"/>
    <mergeCell ref="Q45:R45"/>
    <mergeCell ref="S45:T45"/>
    <mergeCell ref="U45:V45"/>
    <mergeCell ref="W45:X45"/>
    <mergeCell ref="Y45:Z45"/>
    <mergeCell ref="AA45:AB45"/>
    <mergeCell ref="AC45:AD45"/>
    <mergeCell ref="AE45:AF45"/>
    <mergeCell ref="AG45:AH45"/>
    <mergeCell ref="AE43:AF43"/>
    <mergeCell ref="AG43:AH43"/>
    <mergeCell ref="B44:N44"/>
    <mergeCell ref="O44:P44"/>
    <mergeCell ref="Q44:R44"/>
    <mergeCell ref="S44:T44"/>
    <mergeCell ref="U44:V44"/>
    <mergeCell ref="W44:X44"/>
    <mergeCell ref="Y44:Z44"/>
    <mergeCell ref="AA44:AB44"/>
    <mergeCell ref="S43:T43"/>
    <mergeCell ref="U43:V43"/>
    <mergeCell ref="W43:X43"/>
    <mergeCell ref="Y43:Z43"/>
    <mergeCell ref="AA43:AB43"/>
    <mergeCell ref="AC43:AD43"/>
    <mergeCell ref="B42:N43"/>
    <mergeCell ref="O42:R42"/>
    <mergeCell ref="S42:V42"/>
    <mergeCell ref="W42:Z42"/>
    <mergeCell ref="AA42:AD42"/>
    <mergeCell ref="AE42:AH42"/>
    <mergeCell ref="O43:P43"/>
    <mergeCell ref="Q43:R43"/>
    <mergeCell ref="D36:F38"/>
    <mergeCell ref="G36:J36"/>
    <mergeCell ref="K36:O36"/>
    <mergeCell ref="P36:Q36"/>
    <mergeCell ref="R36:U36"/>
    <mergeCell ref="V36:W36"/>
    <mergeCell ref="X36:AA36"/>
    <mergeCell ref="AB36:AC36"/>
    <mergeCell ref="AD36:AH36"/>
    <mergeCell ref="AB37:AC37"/>
    <mergeCell ref="AD37:AH37"/>
    <mergeCell ref="G38:J38"/>
    <mergeCell ref="K38:O38"/>
    <mergeCell ref="P38:Q38"/>
    <mergeCell ref="R38:U38"/>
    <mergeCell ref="V38:W38"/>
    <mergeCell ref="X38:AA38"/>
    <mergeCell ref="AB38:AC38"/>
    <mergeCell ref="AD38:AH38"/>
    <mergeCell ref="G37:J37"/>
    <mergeCell ref="K37:O37"/>
    <mergeCell ref="P37:Q37"/>
    <mergeCell ref="R37:U37"/>
    <mergeCell ref="V37:W37"/>
    <mergeCell ref="AB39:AC39"/>
    <mergeCell ref="AD39:AH39"/>
    <mergeCell ref="B40:J40"/>
    <mergeCell ref="K40:S40"/>
    <mergeCell ref="T40:V40"/>
    <mergeCell ref="W40:AH40"/>
    <mergeCell ref="B39:J39"/>
    <mergeCell ref="K39:O39"/>
    <mergeCell ref="P39:Q39"/>
    <mergeCell ref="R39:U39"/>
    <mergeCell ref="V39:W39"/>
    <mergeCell ref="X39:AA39"/>
    <mergeCell ref="X37:AA37"/>
    <mergeCell ref="K34:S34"/>
    <mergeCell ref="T34:AH34"/>
    <mergeCell ref="B35:J35"/>
    <mergeCell ref="K35:O35"/>
    <mergeCell ref="P35:Q35"/>
    <mergeCell ref="R35:U35"/>
    <mergeCell ref="V35:W35"/>
    <mergeCell ref="X35:AA35"/>
    <mergeCell ref="AB35:AC35"/>
    <mergeCell ref="B32:J34"/>
    <mergeCell ref="AD35:AH35"/>
    <mergeCell ref="Z32:AB32"/>
    <mergeCell ref="AC32:AE32"/>
    <mergeCell ref="AF32:AH32"/>
    <mergeCell ref="K33:M33"/>
    <mergeCell ref="N33:P33"/>
    <mergeCell ref="Q33:S33"/>
    <mergeCell ref="T33:V33"/>
    <mergeCell ref="W33:Y33"/>
    <mergeCell ref="Z33:AB33"/>
    <mergeCell ref="AC33:AE33"/>
    <mergeCell ref="K32:M32"/>
    <mergeCell ref="N32:P32"/>
    <mergeCell ref="Q32:S32"/>
    <mergeCell ref="T32:V32"/>
    <mergeCell ref="W32:Y32"/>
    <mergeCell ref="AF33:AH33"/>
    <mergeCell ref="AE30:AF30"/>
    <mergeCell ref="AG30:AH30"/>
    <mergeCell ref="B31:AH31"/>
    <mergeCell ref="AA29:AB29"/>
    <mergeCell ref="AC29:AD29"/>
    <mergeCell ref="AE29:AF29"/>
    <mergeCell ref="AG29:AH29"/>
    <mergeCell ref="B30:N30"/>
    <mergeCell ref="O30:P30"/>
    <mergeCell ref="Q30:R30"/>
    <mergeCell ref="S30:T30"/>
    <mergeCell ref="U30:V30"/>
    <mergeCell ref="W30:X30"/>
    <mergeCell ref="O29:P29"/>
    <mergeCell ref="Q29:R29"/>
    <mergeCell ref="S29:T29"/>
    <mergeCell ref="U29:V29"/>
    <mergeCell ref="W29:X29"/>
    <mergeCell ref="Y29:Z29"/>
    <mergeCell ref="Y30:Z30"/>
    <mergeCell ref="AA30:AB30"/>
    <mergeCell ref="AC30:AD30"/>
    <mergeCell ref="A24:AH24"/>
    <mergeCell ref="A25:L25"/>
    <mergeCell ref="M25:P25"/>
    <mergeCell ref="S25:AB25"/>
    <mergeCell ref="AC25:AF25"/>
    <mergeCell ref="A26:A40"/>
    <mergeCell ref="B26:AH26"/>
    <mergeCell ref="B27:N28"/>
    <mergeCell ref="O27:R27"/>
    <mergeCell ref="S27:V27"/>
    <mergeCell ref="W27:Z27"/>
    <mergeCell ref="AA27:AD27"/>
    <mergeCell ref="AE27:AH27"/>
    <mergeCell ref="O28:P28"/>
    <mergeCell ref="Q28:R28"/>
    <mergeCell ref="S28:T28"/>
    <mergeCell ref="U28:V28"/>
    <mergeCell ref="W28:X28"/>
    <mergeCell ref="Y28:Z28"/>
    <mergeCell ref="AA28:AB28"/>
    <mergeCell ref="AC28:AD28"/>
    <mergeCell ref="AE28:AF28"/>
    <mergeCell ref="AG28:AH28"/>
    <mergeCell ref="B29:N29"/>
    <mergeCell ref="H23:J23"/>
    <mergeCell ref="K23:M23"/>
    <mergeCell ref="R23:V23"/>
    <mergeCell ref="W23:AA23"/>
    <mergeCell ref="AB23:AF23"/>
    <mergeCell ref="A22:G22"/>
    <mergeCell ref="H22:J22"/>
    <mergeCell ref="K22:M22"/>
    <mergeCell ref="R22:V22"/>
    <mergeCell ref="W22:AA22"/>
    <mergeCell ref="AB22:AF22"/>
    <mergeCell ref="A20:G21"/>
    <mergeCell ref="H20:M20"/>
    <mergeCell ref="R20:V20"/>
    <mergeCell ref="W20:AA20"/>
    <mergeCell ref="A14:G18"/>
    <mergeCell ref="H14:J14"/>
    <mergeCell ref="K14:V14"/>
    <mergeCell ref="W14:AH18"/>
    <mergeCell ref="H15:J15"/>
    <mergeCell ref="K15:V15"/>
    <mergeCell ref="H16:J16"/>
    <mergeCell ref="K16:V16"/>
    <mergeCell ref="H17:J17"/>
    <mergeCell ref="K17:V17"/>
    <mergeCell ref="AB20:AF20"/>
    <mergeCell ref="AG20:AH23"/>
    <mergeCell ref="H21:J21"/>
    <mergeCell ref="K21:M21"/>
    <mergeCell ref="R21:V21"/>
    <mergeCell ref="W21:AA21"/>
    <mergeCell ref="AB21:AF21"/>
    <mergeCell ref="H18:J18"/>
    <mergeCell ref="K18:V18"/>
    <mergeCell ref="A23:G23"/>
    <mergeCell ref="Z11:AA11"/>
    <mergeCell ref="AC11:AH11"/>
    <mergeCell ref="C12:G12"/>
    <mergeCell ref="H12:O12"/>
    <mergeCell ref="S12:AH13"/>
    <mergeCell ref="C13:G13"/>
    <mergeCell ref="H13:O13"/>
    <mergeCell ref="A11:B13"/>
    <mergeCell ref="C11:G11"/>
    <mergeCell ref="H11:O11"/>
    <mergeCell ref="P11:R13"/>
    <mergeCell ref="S11:V11"/>
    <mergeCell ref="W11:X11"/>
    <mergeCell ref="A1:AH1"/>
    <mergeCell ref="A2:B10"/>
    <mergeCell ref="C2:G2"/>
    <mergeCell ref="H2:AH2"/>
    <mergeCell ref="C3:G3"/>
    <mergeCell ref="C4:G4"/>
    <mergeCell ref="H4:AH4"/>
    <mergeCell ref="C5:G8"/>
    <mergeCell ref="H5:K5"/>
    <mergeCell ref="L5:M5"/>
    <mergeCell ref="C9:G10"/>
    <mergeCell ref="H9:J9"/>
    <mergeCell ref="K9:P9"/>
    <mergeCell ref="S9:U9"/>
    <mergeCell ref="V9:X9"/>
    <mergeCell ref="Y9:AH9"/>
    <mergeCell ref="H10:J10"/>
    <mergeCell ref="K10:AH10"/>
    <mergeCell ref="O5:P5"/>
    <mergeCell ref="R5:AH5"/>
    <mergeCell ref="H6:K7"/>
    <mergeCell ref="N6:U7"/>
    <mergeCell ref="X6:AH7"/>
    <mergeCell ref="H8:AH8"/>
  </mergeCells>
  <phoneticPr fontId="2"/>
  <dataValidations count="2">
    <dataValidation type="list" allowBlank="1" showInputMessage="1" showErrorMessage="1" sqref="K33:AH33 K48:AH48" xr:uid="{631C3EA5-F4E8-4C38-8DD4-45250656E090}">
      <formula1>"〇"</formula1>
    </dataValidation>
    <dataValidation type="list" allowBlank="1" showInputMessage="1" showErrorMessage="1" sqref="H14:J18" xr:uid="{A2834232-27D6-42D9-B5F9-68088F575243}">
      <formula1>"○"</formula1>
    </dataValidation>
  </dataValidations>
  <printOptions horizontalCentered="1"/>
  <pageMargins left="0.19685039370078741" right="0.19685039370078741" top="0.19685039370078741" bottom="0.19685039370078741" header="0.31496062992125984" footer="0.31496062992125984"/>
  <pageSetup paperSize="9" scale="96" fitToHeight="0" orientation="portrait" blackAndWhite="1" r:id="rId1"/>
  <rowBreaks count="2" manualBreakCount="2">
    <brk id="40" max="33" man="1"/>
    <brk id="65" max="35"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10DA-3BFE-433C-9826-A2B5CD6827E0}">
  <sheetPr>
    <tabColor rgb="FFFFFF00"/>
    <pageSetUpPr fitToPage="1"/>
  </sheetPr>
  <dimension ref="A1:XFB49"/>
  <sheetViews>
    <sheetView showGridLines="0" view="pageBreakPreview" zoomScaleNormal="96" zoomScaleSheetLayoutView="100" workbookViewId="0">
      <selection activeCell="AC16" sqref="AC16"/>
    </sheetView>
  </sheetViews>
  <sheetFormatPr defaultColWidth="8.77734375" defaultRowHeight="12" x14ac:dyDescent="0.2"/>
  <cols>
    <col min="1" max="1" width="5.109375" style="614" customWidth="1"/>
    <col min="2" max="5" width="3.33203125" style="614" customWidth="1"/>
    <col min="6" max="6" width="8.77734375" style="614"/>
    <col min="7" max="7" width="5.6640625" style="614" customWidth="1"/>
    <col min="8" max="27" width="4.77734375" style="614" customWidth="1"/>
    <col min="28" max="16384" width="8.77734375" style="614"/>
  </cols>
  <sheetData>
    <row r="1" spans="1:31 16382:16382" ht="36.75" customHeight="1" thickBot="1" x14ac:dyDescent="0.25">
      <c r="A1" s="2216" t="s">
        <v>1447</v>
      </c>
      <c r="B1" s="2216"/>
      <c r="C1" s="2216"/>
      <c r="D1" s="2216"/>
      <c r="E1" s="2216"/>
      <c r="F1" s="2216"/>
      <c r="G1" s="2216"/>
      <c r="H1" s="2216"/>
      <c r="I1" s="2216"/>
      <c r="J1" s="2216"/>
      <c r="K1" s="2216"/>
      <c r="L1" s="2216"/>
      <c r="M1" s="2216"/>
      <c r="N1" s="2216"/>
      <c r="O1" s="2216"/>
      <c r="P1" s="2216"/>
      <c r="Q1" s="2216"/>
      <c r="R1" s="2216"/>
      <c r="S1" s="2216"/>
      <c r="T1" s="2216"/>
      <c r="U1" s="2216"/>
      <c r="V1" s="2216"/>
      <c r="W1" s="2216"/>
      <c r="X1" s="2216"/>
      <c r="Y1" s="2216"/>
      <c r="Z1" s="2216"/>
      <c r="AA1" s="2216"/>
      <c r="AC1" s="614" t="s">
        <v>133</v>
      </c>
    </row>
    <row r="2" spans="1:31 16382:16382" ht="15" customHeight="1" x14ac:dyDescent="0.2">
      <c r="A2" s="2217" t="s">
        <v>1448</v>
      </c>
      <c r="B2" s="2220" t="s">
        <v>1389</v>
      </c>
      <c r="C2" s="2221"/>
      <c r="D2" s="2221"/>
      <c r="E2" s="2222"/>
      <c r="F2" s="2223"/>
      <c r="G2" s="2223"/>
      <c r="H2" s="2223"/>
      <c r="I2" s="2223"/>
      <c r="J2" s="2223"/>
      <c r="K2" s="2223"/>
      <c r="L2" s="2223"/>
      <c r="M2" s="2223"/>
      <c r="N2" s="2223"/>
      <c r="O2" s="2223"/>
      <c r="P2" s="2223"/>
      <c r="Q2" s="2223"/>
      <c r="R2" s="2223"/>
      <c r="S2" s="2223"/>
      <c r="T2" s="2223"/>
      <c r="U2" s="2223"/>
      <c r="V2" s="2223"/>
      <c r="W2" s="2223"/>
      <c r="X2" s="2223"/>
      <c r="Y2" s="2223"/>
      <c r="Z2" s="2223"/>
      <c r="AA2" s="2224"/>
    </row>
    <row r="3" spans="1:31 16382:16382" ht="15" customHeight="1" x14ac:dyDescent="0.2">
      <c r="A3" s="2218"/>
      <c r="B3" s="2225" t="s">
        <v>7</v>
      </c>
      <c r="C3" s="2226"/>
      <c r="D3" s="2226"/>
      <c r="E3" s="2227"/>
      <c r="F3" s="642"/>
      <c r="G3" s="643"/>
      <c r="H3" s="643"/>
      <c r="I3" s="643"/>
      <c r="J3" s="643"/>
      <c r="K3" s="643"/>
      <c r="L3" s="643"/>
      <c r="M3" s="643"/>
      <c r="N3" s="643"/>
      <c r="O3" s="643"/>
      <c r="P3" s="643"/>
      <c r="Q3" s="643"/>
      <c r="R3" s="643"/>
      <c r="S3" s="643"/>
      <c r="T3" s="643"/>
      <c r="U3" s="643"/>
      <c r="V3" s="643"/>
      <c r="W3" s="643"/>
      <c r="X3" s="643"/>
      <c r="Y3" s="643"/>
      <c r="Z3" s="643"/>
      <c r="AA3" s="644"/>
    </row>
    <row r="4" spans="1:31 16382:16382" ht="27.9" customHeight="1" x14ac:dyDescent="0.2">
      <c r="A4" s="2218"/>
      <c r="B4" s="2228" t="s">
        <v>1449</v>
      </c>
      <c r="C4" s="2229"/>
      <c r="D4" s="2229"/>
      <c r="E4" s="2230"/>
      <c r="F4" s="2231"/>
      <c r="G4" s="2232"/>
      <c r="H4" s="2232"/>
      <c r="I4" s="2232"/>
      <c r="J4" s="2232"/>
      <c r="K4" s="2232"/>
      <c r="L4" s="2232"/>
      <c r="M4" s="2232"/>
      <c r="N4" s="2232"/>
      <c r="O4" s="2232"/>
      <c r="P4" s="2232"/>
      <c r="Q4" s="2232"/>
      <c r="R4" s="2232"/>
      <c r="S4" s="2232"/>
      <c r="T4" s="2232"/>
      <c r="U4" s="2232"/>
      <c r="V4" s="2232"/>
      <c r="W4" s="2232"/>
      <c r="X4" s="2232"/>
      <c r="Y4" s="2232"/>
      <c r="Z4" s="2232"/>
      <c r="AA4" s="2233"/>
    </row>
    <row r="5" spans="1:31 16382:16382" ht="15" customHeight="1" x14ac:dyDescent="0.2">
      <c r="A5" s="2218"/>
      <c r="B5" s="2234" t="s">
        <v>1362</v>
      </c>
      <c r="C5" s="2206"/>
      <c r="D5" s="2206"/>
      <c r="E5" s="2235"/>
      <c r="F5" s="2242" t="s">
        <v>1450</v>
      </c>
      <c r="G5" s="2206"/>
      <c r="H5" s="2205"/>
      <c r="I5" s="2205"/>
      <c r="J5" s="646" t="s">
        <v>232</v>
      </c>
      <c r="K5" s="2205"/>
      <c r="L5" s="2205"/>
      <c r="M5" s="646" t="s">
        <v>1451</v>
      </c>
      <c r="N5" s="646"/>
      <c r="P5" s="2206" t="s">
        <v>307</v>
      </c>
      <c r="Q5" s="2206"/>
      <c r="R5" s="2206"/>
      <c r="S5" s="2206"/>
      <c r="T5" s="2206"/>
      <c r="U5" s="2206"/>
      <c r="V5" s="2206"/>
      <c r="W5" s="2206"/>
      <c r="X5" s="2206"/>
      <c r="Y5" s="2206"/>
      <c r="Z5" s="2206"/>
      <c r="AA5" s="2207"/>
    </row>
    <row r="6" spans="1:31 16382:16382" ht="15" customHeight="1" x14ac:dyDescent="0.2">
      <c r="A6" s="2218"/>
      <c r="B6" s="2236"/>
      <c r="C6" s="2237"/>
      <c r="D6" s="2237"/>
      <c r="E6" s="2238"/>
      <c r="F6" s="2208"/>
      <c r="G6" s="2209"/>
      <c r="H6" s="2209"/>
      <c r="I6" s="2209"/>
      <c r="J6" s="648" t="s">
        <v>1393</v>
      </c>
      <c r="K6" s="648" t="s">
        <v>1394</v>
      </c>
      <c r="L6" s="2209"/>
      <c r="M6" s="2209"/>
      <c r="N6" s="2209"/>
      <c r="O6" s="2209"/>
      <c r="P6" s="2209"/>
      <c r="Q6" s="2209"/>
      <c r="R6" s="648" t="s">
        <v>1395</v>
      </c>
      <c r="S6" s="648" t="s">
        <v>1396</v>
      </c>
      <c r="T6" s="2210"/>
      <c r="U6" s="2210"/>
      <c r="V6" s="2210"/>
      <c r="W6" s="2210"/>
      <c r="X6" s="2210"/>
      <c r="Y6" s="2210"/>
      <c r="Z6" s="2210"/>
      <c r="AA6" s="2211"/>
      <c r="AB6" s="649"/>
      <c r="AC6" s="649"/>
      <c r="AD6" s="649"/>
      <c r="AE6" s="649"/>
    </row>
    <row r="7" spans="1:31 16382:16382" ht="15" customHeight="1" x14ac:dyDescent="0.2">
      <c r="A7" s="2218"/>
      <c r="B7" s="2236"/>
      <c r="C7" s="2237"/>
      <c r="D7" s="2237"/>
      <c r="E7" s="2238"/>
      <c r="F7" s="2208"/>
      <c r="G7" s="2209"/>
      <c r="H7" s="2209"/>
      <c r="I7" s="2209"/>
      <c r="J7" s="648" t="s">
        <v>1397</v>
      </c>
      <c r="K7" s="648" t="s">
        <v>1366</v>
      </c>
      <c r="L7" s="2209"/>
      <c r="M7" s="2209"/>
      <c r="N7" s="2209"/>
      <c r="O7" s="2209"/>
      <c r="P7" s="2209"/>
      <c r="Q7" s="2209"/>
      <c r="R7" s="648" t="s">
        <v>1398</v>
      </c>
      <c r="S7" s="648" t="s">
        <v>1399</v>
      </c>
      <c r="T7" s="2210"/>
      <c r="U7" s="2210"/>
      <c r="V7" s="2210"/>
      <c r="W7" s="2210"/>
      <c r="X7" s="2210"/>
      <c r="Y7" s="2210"/>
      <c r="Z7" s="2210"/>
      <c r="AA7" s="2211"/>
      <c r="AB7" s="649"/>
      <c r="AC7" s="649"/>
      <c r="AD7" s="649"/>
      <c r="AE7" s="649"/>
    </row>
    <row r="8" spans="1:31 16382:16382" ht="18.899999999999999" customHeight="1" x14ac:dyDescent="0.2">
      <c r="A8" s="2218"/>
      <c r="B8" s="2239"/>
      <c r="C8" s="2240"/>
      <c r="D8" s="2240"/>
      <c r="E8" s="2241"/>
      <c r="F8" s="2212"/>
      <c r="G8" s="2213"/>
      <c r="H8" s="2214"/>
      <c r="I8" s="2214"/>
      <c r="J8" s="2214"/>
      <c r="K8" s="2214"/>
      <c r="L8" s="2214"/>
      <c r="M8" s="2214"/>
      <c r="N8" s="2214"/>
      <c r="O8" s="2214"/>
      <c r="P8" s="2214"/>
      <c r="Q8" s="2214"/>
      <c r="R8" s="2214"/>
      <c r="S8" s="2214"/>
      <c r="T8" s="2214"/>
      <c r="U8" s="2214"/>
      <c r="V8" s="2214"/>
      <c r="W8" s="2214"/>
      <c r="X8" s="2214"/>
      <c r="Y8" s="2214"/>
      <c r="Z8" s="2214"/>
      <c r="AA8" s="2215"/>
    </row>
    <row r="9" spans="1:31 16382:16382" ht="15" customHeight="1" x14ac:dyDescent="0.2">
      <c r="A9" s="2218"/>
      <c r="B9" s="2234" t="s">
        <v>1452</v>
      </c>
      <c r="C9" s="2206"/>
      <c r="D9" s="2206"/>
      <c r="E9" s="2235"/>
      <c r="F9" s="2275" t="s">
        <v>9</v>
      </c>
      <c r="G9" s="2229"/>
      <c r="H9" s="2254"/>
      <c r="I9" s="2170"/>
      <c r="J9" s="2170"/>
      <c r="K9" s="2170"/>
      <c r="L9" s="2170"/>
      <c r="M9" s="2170"/>
      <c r="N9" s="2276" t="s">
        <v>1401</v>
      </c>
      <c r="O9" s="2276"/>
      <c r="P9" s="2169"/>
      <c r="Q9" s="2169"/>
      <c r="R9" s="2277"/>
      <c r="S9" s="2278" t="s">
        <v>1453</v>
      </c>
      <c r="T9" s="2167"/>
      <c r="U9" s="2279"/>
      <c r="V9" s="2254"/>
      <c r="W9" s="2170"/>
      <c r="X9" s="2170"/>
      <c r="Y9" s="2170"/>
      <c r="Z9" s="2170"/>
      <c r="AA9" s="2180"/>
    </row>
    <row r="10" spans="1:31 16382:16382" ht="15" customHeight="1" x14ac:dyDescent="0.2">
      <c r="A10" s="2219"/>
      <c r="B10" s="2239"/>
      <c r="C10" s="2240"/>
      <c r="D10" s="2240"/>
      <c r="E10" s="2241"/>
      <c r="F10" s="2242" t="s">
        <v>1403</v>
      </c>
      <c r="G10" s="2206"/>
      <c r="H10" s="2255"/>
      <c r="I10" s="2255"/>
      <c r="J10" s="2255"/>
      <c r="K10" s="2255"/>
      <c r="L10" s="2255"/>
      <c r="M10" s="2255"/>
      <c r="N10" s="2255"/>
      <c r="O10" s="2255"/>
      <c r="P10" s="2255"/>
      <c r="Q10" s="2255"/>
      <c r="R10" s="2255"/>
      <c r="S10" s="2255"/>
      <c r="T10" s="2255"/>
      <c r="U10" s="2255"/>
      <c r="V10" s="2255"/>
      <c r="W10" s="2255"/>
      <c r="X10" s="2255"/>
      <c r="Y10" s="2255"/>
      <c r="Z10" s="2255"/>
      <c r="AA10" s="2256"/>
    </row>
    <row r="11" spans="1:31 16382:16382" ht="15" customHeight="1" x14ac:dyDescent="0.2">
      <c r="A11" s="2257" t="s">
        <v>1454</v>
      </c>
      <c r="B11" s="2258"/>
      <c r="C11" s="2258"/>
      <c r="D11" s="2258"/>
      <c r="E11" s="2258"/>
      <c r="F11" s="2263" t="s">
        <v>1455</v>
      </c>
      <c r="G11" s="2264"/>
      <c r="H11" s="2264"/>
      <c r="I11" s="2264"/>
      <c r="J11" s="2264"/>
      <c r="K11" s="2264"/>
      <c r="L11" s="2264"/>
      <c r="M11" s="2265"/>
      <c r="N11" s="2243"/>
      <c r="O11" s="2244"/>
      <c r="P11" s="2266"/>
      <c r="Q11" s="2267"/>
      <c r="R11" s="2267"/>
      <c r="S11" s="2267"/>
      <c r="T11" s="2267"/>
      <c r="U11" s="2267"/>
      <c r="V11" s="2267"/>
      <c r="W11" s="2267"/>
      <c r="X11" s="2267"/>
      <c r="Y11" s="2267"/>
      <c r="Z11" s="2267"/>
      <c r="AA11" s="2268"/>
      <c r="XFB11" s="652"/>
    </row>
    <row r="12" spans="1:31 16382:16382" ht="15" customHeight="1" x14ac:dyDescent="0.2">
      <c r="A12" s="2259"/>
      <c r="B12" s="2260"/>
      <c r="C12" s="2260"/>
      <c r="D12" s="2260"/>
      <c r="E12" s="2260"/>
      <c r="F12" s="2263" t="s">
        <v>1456</v>
      </c>
      <c r="G12" s="2264"/>
      <c r="H12" s="2264"/>
      <c r="I12" s="2264"/>
      <c r="J12" s="2264"/>
      <c r="K12" s="2264"/>
      <c r="L12" s="2264"/>
      <c r="M12" s="2265"/>
      <c r="N12" s="2243"/>
      <c r="O12" s="2244"/>
      <c r="P12" s="2269"/>
      <c r="Q12" s="2270"/>
      <c r="R12" s="2270"/>
      <c r="S12" s="2270"/>
      <c r="T12" s="2270"/>
      <c r="U12" s="2270"/>
      <c r="V12" s="2270"/>
      <c r="W12" s="2270"/>
      <c r="X12" s="2270"/>
      <c r="Y12" s="2270"/>
      <c r="Z12" s="2270"/>
      <c r="AA12" s="2271"/>
    </row>
    <row r="13" spans="1:31 16382:16382" ht="15" customHeight="1" x14ac:dyDescent="0.2">
      <c r="A13" s="2259"/>
      <c r="B13" s="2260"/>
      <c r="C13" s="2260"/>
      <c r="D13" s="2260"/>
      <c r="E13" s="2260"/>
      <c r="F13" s="2263" t="s">
        <v>1457</v>
      </c>
      <c r="G13" s="2264"/>
      <c r="H13" s="2264"/>
      <c r="I13" s="2264"/>
      <c r="J13" s="2264"/>
      <c r="K13" s="2264"/>
      <c r="L13" s="2264"/>
      <c r="M13" s="2265"/>
      <c r="N13" s="2243"/>
      <c r="O13" s="2244"/>
      <c r="P13" s="2269"/>
      <c r="Q13" s="2270"/>
      <c r="R13" s="2270"/>
      <c r="S13" s="2270"/>
      <c r="T13" s="2270"/>
      <c r="U13" s="2270"/>
      <c r="V13" s="2270"/>
      <c r="W13" s="2270"/>
      <c r="X13" s="2270"/>
      <c r="Y13" s="2270"/>
      <c r="Z13" s="2270"/>
      <c r="AA13" s="2271"/>
    </row>
    <row r="14" spans="1:31 16382:16382" ht="15" customHeight="1" x14ac:dyDescent="0.2">
      <c r="A14" s="2261"/>
      <c r="B14" s="2262"/>
      <c r="C14" s="2262"/>
      <c r="D14" s="2262"/>
      <c r="E14" s="2262"/>
      <c r="F14" s="2245" t="s">
        <v>1458</v>
      </c>
      <c r="G14" s="2246"/>
      <c r="H14" s="2246"/>
      <c r="I14" s="2246"/>
      <c r="J14" s="2246"/>
      <c r="K14" s="2246"/>
      <c r="L14" s="2246"/>
      <c r="M14" s="2247"/>
      <c r="N14" s="2243"/>
      <c r="O14" s="2244"/>
      <c r="P14" s="2272"/>
      <c r="Q14" s="2273"/>
      <c r="R14" s="2273"/>
      <c r="S14" s="2273"/>
      <c r="T14" s="2273"/>
      <c r="U14" s="2273"/>
      <c r="V14" s="2273"/>
      <c r="W14" s="2273"/>
      <c r="X14" s="2273"/>
      <c r="Y14" s="2273"/>
      <c r="Z14" s="2273"/>
      <c r="AA14" s="2274"/>
    </row>
    <row r="15" spans="1:31 16382:16382" ht="15" customHeight="1" x14ac:dyDescent="0.2">
      <c r="A15" s="2248" t="s">
        <v>1459</v>
      </c>
      <c r="B15" s="2228" t="s">
        <v>7</v>
      </c>
      <c r="C15" s="2229"/>
      <c r="D15" s="2229"/>
      <c r="E15" s="2249"/>
      <c r="F15" s="2250"/>
      <c r="G15" s="2232"/>
      <c r="H15" s="2232"/>
      <c r="I15" s="2232"/>
      <c r="J15" s="2232"/>
      <c r="K15" s="2232"/>
      <c r="L15" s="2232"/>
      <c r="M15" s="2251"/>
      <c r="N15" s="2234" t="s">
        <v>1460</v>
      </c>
      <c r="O15" s="2252"/>
      <c r="P15" s="2280" t="s">
        <v>1461</v>
      </c>
      <c r="Q15" s="2190"/>
      <c r="R15" s="2281"/>
      <c r="S15" s="2281"/>
      <c r="T15" s="653" t="s">
        <v>1462</v>
      </c>
      <c r="U15" s="2281"/>
      <c r="V15" s="2281"/>
      <c r="W15" s="2282" t="s">
        <v>1463</v>
      </c>
      <c r="X15" s="2282"/>
      <c r="Y15" s="2282"/>
      <c r="Z15" s="2282"/>
      <c r="AA15" s="2283"/>
    </row>
    <row r="16" spans="1:31 16382:16382" ht="23.25" customHeight="1" x14ac:dyDescent="0.2">
      <c r="A16" s="2218"/>
      <c r="B16" s="2228" t="s">
        <v>1464</v>
      </c>
      <c r="C16" s="2229"/>
      <c r="D16" s="2229"/>
      <c r="E16" s="2249"/>
      <c r="F16" s="2250"/>
      <c r="G16" s="2232"/>
      <c r="H16" s="2232"/>
      <c r="I16" s="2232"/>
      <c r="J16" s="2232"/>
      <c r="K16" s="2232"/>
      <c r="L16" s="2232"/>
      <c r="M16" s="2251"/>
      <c r="N16" s="2236"/>
      <c r="O16" s="2253"/>
      <c r="P16" s="2284"/>
      <c r="Q16" s="2214"/>
      <c r="R16" s="2214"/>
      <c r="S16" s="2214"/>
      <c r="T16" s="2214"/>
      <c r="U16" s="2214"/>
      <c r="V16" s="2214"/>
      <c r="W16" s="2214"/>
      <c r="X16" s="2214"/>
      <c r="Y16" s="2214"/>
      <c r="Z16" s="2214"/>
      <c r="AA16" s="2215"/>
    </row>
    <row r="17" spans="1:28" ht="23.25" customHeight="1" thickBot="1" x14ac:dyDescent="0.25">
      <c r="A17" s="2218"/>
      <c r="B17" s="2234" t="s">
        <v>1465</v>
      </c>
      <c r="C17" s="2206"/>
      <c r="D17" s="2206"/>
      <c r="E17" s="2252"/>
      <c r="F17" s="2285"/>
      <c r="G17" s="2286"/>
      <c r="H17" s="2286"/>
      <c r="I17" s="2286"/>
      <c r="J17" s="2286"/>
      <c r="K17" s="2286"/>
      <c r="L17" s="2286"/>
      <c r="M17" s="2287"/>
      <c r="N17" s="2236"/>
      <c r="O17" s="2253"/>
      <c r="P17" s="2284"/>
      <c r="Q17" s="2214"/>
      <c r="R17" s="2214"/>
      <c r="S17" s="2214"/>
      <c r="T17" s="2214"/>
      <c r="U17" s="2214"/>
      <c r="V17" s="2214"/>
      <c r="W17" s="2214"/>
      <c r="X17" s="2214"/>
      <c r="Y17" s="2214"/>
      <c r="Z17" s="2214"/>
      <c r="AA17" s="2215"/>
    </row>
    <row r="18" spans="1:28" s="628" customFormat="1" ht="18" customHeight="1" thickBot="1" x14ac:dyDescent="0.25">
      <c r="A18" s="654"/>
      <c r="B18" s="2288" t="s">
        <v>1466</v>
      </c>
      <c r="C18" s="2288"/>
      <c r="D18" s="2288"/>
      <c r="E18" s="2288"/>
      <c r="F18" s="2288"/>
      <c r="G18" s="2288"/>
      <c r="H18" s="2288"/>
      <c r="I18" s="2288"/>
      <c r="J18" s="2288"/>
      <c r="K18" s="2289"/>
      <c r="L18" s="2290"/>
      <c r="M18" s="2291"/>
      <c r="N18" s="2291"/>
      <c r="O18" s="2291"/>
      <c r="P18" s="2291"/>
      <c r="Q18" s="2291"/>
      <c r="R18" s="2291"/>
      <c r="S18" s="2291"/>
      <c r="T18" s="2291"/>
      <c r="U18" s="2291"/>
      <c r="V18" s="2291"/>
      <c r="W18" s="2291"/>
      <c r="X18" s="2291"/>
      <c r="Y18" s="2291"/>
      <c r="Z18" s="2291"/>
      <c r="AA18" s="2292"/>
    </row>
    <row r="19" spans="1:28" s="628" customFormat="1" ht="18" customHeight="1" x14ac:dyDescent="0.2">
      <c r="A19" s="2293" t="s">
        <v>1467</v>
      </c>
      <c r="B19" s="2296" t="s">
        <v>1468</v>
      </c>
      <c r="C19" s="2297"/>
      <c r="D19" s="2297"/>
      <c r="E19" s="2297"/>
      <c r="F19" s="2297"/>
      <c r="G19" s="2297"/>
      <c r="H19" s="2297"/>
      <c r="I19" s="2297"/>
      <c r="J19" s="2297"/>
      <c r="K19" s="2297"/>
      <c r="L19" s="655"/>
      <c r="M19" s="656"/>
      <c r="N19" s="2298" t="s">
        <v>1469</v>
      </c>
      <c r="O19" s="2298"/>
      <c r="P19" s="2298"/>
      <c r="Q19" s="2298"/>
      <c r="R19" s="2298"/>
      <c r="S19" s="2298"/>
      <c r="T19" s="657"/>
      <c r="U19" s="658"/>
      <c r="V19" s="658" t="s">
        <v>1470</v>
      </c>
      <c r="W19" s="658"/>
      <c r="X19" s="658"/>
      <c r="Y19" s="658"/>
      <c r="Z19" s="658"/>
      <c r="AA19" s="659"/>
    </row>
    <row r="20" spans="1:28" ht="18" customHeight="1" x14ac:dyDescent="0.2">
      <c r="A20" s="2294"/>
      <c r="B20" s="2299" t="s">
        <v>1471</v>
      </c>
      <c r="C20" s="2300"/>
      <c r="D20" s="2300"/>
      <c r="E20" s="2300"/>
      <c r="F20" s="2300"/>
      <c r="G20" s="2300"/>
      <c r="H20" s="2300"/>
      <c r="I20" s="2300"/>
      <c r="J20" s="2300"/>
      <c r="K20" s="2300"/>
      <c r="L20" s="2300"/>
      <c r="M20" s="2301"/>
      <c r="N20" s="2301"/>
      <c r="O20" s="2302"/>
      <c r="P20" s="2243"/>
      <c r="Q20" s="2303"/>
      <c r="R20" s="2303"/>
      <c r="S20" s="660" t="s">
        <v>89</v>
      </c>
      <c r="T20" s="661"/>
      <c r="U20" s="661"/>
      <c r="V20" s="661"/>
      <c r="W20" s="661"/>
      <c r="X20" s="661"/>
      <c r="Y20" s="661"/>
      <c r="Z20" s="661"/>
      <c r="AA20" s="662"/>
      <c r="AB20" s="614" t="s">
        <v>133</v>
      </c>
    </row>
    <row r="21" spans="1:28" ht="18" customHeight="1" x14ac:dyDescent="0.2">
      <c r="A21" s="2294"/>
      <c r="B21" s="2304" t="s">
        <v>1472</v>
      </c>
      <c r="C21" s="2305"/>
      <c r="D21" s="2305"/>
      <c r="E21" s="2305"/>
      <c r="F21" s="2305"/>
      <c r="G21" s="2305"/>
      <c r="H21" s="2305"/>
      <c r="I21" s="2305"/>
      <c r="J21" s="2305"/>
      <c r="K21" s="2305"/>
      <c r="L21" s="2305"/>
      <c r="M21" s="2305"/>
      <c r="N21" s="2305"/>
      <c r="O21" s="2305"/>
      <c r="P21" s="2305"/>
      <c r="Q21" s="2305"/>
      <c r="R21" s="2305"/>
      <c r="S21" s="2305"/>
      <c r="T21" s="2305"/>
      <c r="U21" s="2305"/>
      <c r="V21" s="2305"/>
      <c r="W21" s="2305"/>
      <c r="X21" s="2305"/>
      <c r="Y21" s="2305"/>
      <c r="Z21" s="2305"/>
      <c r="AA21" s="2306"/>
    </row>
    <row r="22" spans="1:28" ht="23.25" customHeight="1" x14ac:dyDescent="0.2">
      <c r="A22" s="2294"/>
      <c r="B22" s="2299" t="s">
        <v>1473</v>
      </c>
      <c r="C22" s="2300"/>
      <c r="D22" s="2300"/>
      <c r="E22" s="2300"/>
      <c r="F22" s="2300"/>
      <c r="G22" s="2307"/>
      <c r="H22" s="2311" t="s">
        <v>1474</v>
      </c>
      <c r="I22" s="2312"/>
      <c r="J22" s="2312"/>
      <c r="K22" s="2313"/>
      <c r="L22" s="2319" t="s">
        <v>123</v>
      </c>
      <c r="M22" s="2262"/>
      <c r="N22" s="2262"/>
      <c r="O22" s="2262"/>
      <c r="P22" s="2320" t="s">
        <v>124</v>
      </c>
      <c r="Q22" s="2320"/>
      <c r="R22" s="2320"/>
      <c r="S22" s="2243"/>
      <c r="T22" s="2321" t="s">
        <v>307</v>
      </c>
      <c r="U22" s="2322"/>
      <c r="V22" s="2322"/>
      <c r="W22" s="2322"/>
      <c r="X22" s="2322"/>
      <c r="Y22" s="2322"/>
      <c r="Z22" s="2322"/>
      <c r="AA22" s="2323"/>
    </row>
    <row r="23" spans="1:28" ht="23.25" customHeight="1" x14ac:dyDescent="0.2">
      <c r="A23" s="2294"/>
      <c r="B23" s="2308"/>
      <c r="C23" s="2309"/>
      <c r="D23" s="2309"/>
      <c r="E23" s="2309"/>
      <c r="F23" s="2309"/>
      <c r="G23" s="2310"/>
      <c r="H23" s="2330" t="s">
        <v>1475</v>
      </c>
      <c r="I23" s="2331"/>
      <c r="J23" s="2330" t="s">
        <v>1476</v>
      </c>
      <c r="K23" s="2332"/>
      <c r="L23" s="2330" t="s">
        <v>1475</v>
      </c>
      <c r="M23" s="2331"/>
      <c r="N23" s="2330" t="s">
        <v>1476</v>
      </c>
      <c r="O23" s="2332"/>
      <c r="P23" s="2333" t="s">
        <v>1475</v>
      </c>
      <c r="Q23" s="2334"/>
      <c r="R23" s="2319" t="s">
        <v>1476</v>
      </c>
      <c r="S23" s="2262"/>
      <c r="T23" s="2324"/>
      <c r="U23" s="2325"/>
      <c r="V23" s="2325"/>
      <c r="W23" s="2325"/>
      <c r="X23" s="2325"/>
      <c r="Y23" s="2325"/>
      <c r="Z23" s="2325"/>
      <c r="AA23" s="2326"/>
    </row>
    <row r="24" spans="1:28" ht="18" customHeight="1" x14ac:dyDescent="0.2">
      <c r="A24" s="2294"/>
      <c r="B24" s="2314" t="s">
        <v>1477</v>
      </c>
      <c r="C24" s="2229"/>
      <c r="D24" s="2229"/>
      <c r="E24" s="2229"/>
      <c r="F24" s="2229"/>
      <c r="G24" s="2249"/>
      <c r="H24" s="2315"/>
      <c r="I24" s="2316"/>
      <c r="J24" s="2315"/>
      <c r="K24" s="2317"/>
      <c r="L24" s="2315"/>
      <c r="M24" s="2316"/>
      <c r="N24" s="2315"/>
      <c r="O24" s="2317"/>
      <c r="P24" s="2318"/>
      <c r="Q24" s="2316"/>
      <c r="R24" s="2315"/>
      <c r="S24" s="2317"/>
      <c r="T24" s="2324"/>
      <c r="U24" s="2325"/>
      <c r="V24" s="2325"/>
      <c r="W24" s="2325"/>
      <c r="X24" s="2325"/>
      <c r="Y24" s="2325"/>
      <c r="Z24" s="2325"/>
      <c r="AA24" s="2326"/>
    </row>
    <row r="25" spans="1:28" ht="18" customHeight="1" x14ac:dyDescent="0.2">
      <c r="A25" s="2294"/>
      <c r="B25" s="2345" t="s">
        <v>1478</v>
      </c>
      <c r="C25" s="2206"/>
      <c r="D25" s="2206"/>
      <c r="E25" s="2206"/>
      <c r="F25" s="2206"/>
      <c r="G25" s="2252"/>
      <c r="H25" s="2335"/>
      <c r="I25" s="2346"/>
      <c r="J25" s="2335"/>
      <c r="K25" s="2336"/>
      <c r="L25" s="2335"/>
      <c r="M25" s="2346"/>
      <c r="N25" s="2335"/>
      <c r="O25" s="2336"/>
      <c r="P25" s="2347"/>
      <c r="Q25" s="2346"/>
      <c r="R25" s="2335"/>
      <c r="S25" s="2336"/>
      <c r="T25" s="2324"/>
      <c r="U25" s="2325"/>
      <c r="V25" s="2325"/>
      <c r="W25" s="2325"/>
      <c r="X25" s="2325"/>
      <c r="Y25" s="2325"/>
      <c r="Z25" s="2325"/>
      <c r="AA25" s="2326"/>
    </row>
    <row r="26" spans="1:28" ht="18" customHeight="1" x14ac:dyDescent="0.2">
      <c r="A26" s="2294"/>
      <c r="B26" s="2337" t="s">
        <v>1479</v>
      </c>
      <c r="C26" s="2338"/>
      <c r="D26" s="2338"/>
      <c r="E26" s="2338"/>
      <c r="F26" s="2338"/>
      <c r="G26" s="2338"/>
      <c r="H26" s="2339"/>
      <c r="I26" s="2339"/>
      <c r="J26" s="2339"/>
      <c r="K26" s="2339"/>
      <c r="L26" s="2340"/>
      <c r="M26" s="2340"/>
      <c r="N26" s="2340"/>
      <c r="O26" s="2340"/>
      <c r="P26" s="2340"/>
      <c r="Q26" s="2340"/>
      <c r="R26" s="2340"/>
      <c r="S26" s="2341"/>
      <c r="T26" s="2327"/>
      <c r="U26" s="2328"/>
      <c r="V26" s="2328"/>
      <c r="W26" s="2328"/>
      <c r="X26" s="2328"/>
      <c r="Y26" s="2328"/>
      <c r="Z26" s="2328"/>
      <c r="AA26" s="2329"/>
    </row>
    <row r="27" spans="1:28" ht="18" customHeight="1" x14ac:dyDescent="0.2">
      <c r="A27" s="2294"/>
      <c r="B27" s="2342" t="s">
        <v>1480</v>
      </c>
      <c r="C27" s="2343"/>
      <c r="D27" s="2343"/>
      <c r="E27" s="2343"/>
      <c r="F27" s="2343"/>
      <c r="G27" s="2343"/>
      <c r="H27" s="2343"/>
      <c r="I27" s="2343"/>
      <c r="J27" s="2343"/>
      <c r="K27" s="2343"/>
      <c r="L27" s="2343"/>
      <c r="M27" s="2343"/>
      <c r="N27" s="2343"/>
      <c r="O27" s="2343"/>
      <c r="P27" s="2343"/>
      <c r="Q27" s="2343"/>
      <c r="R27" s="2343"/>
      <c r="S27" s="2343"/>
      <c r="T27" s="2343"/>
      <c r="U27" s="2343"/>
      <c r="V27" s="2343"/>
      <c r="W27" s="2343"/>
      <c r="X27" s="2343"/>
      <c r="Y27" s="2343"/>
      <c r="Z27" s="2343"/>
      <c r="AA27" s="2344"/>
    </row>
    <row r="28" spans="1:28" ht="18" customHeight="1" x14ac:dyDescent="0.2">
      <c r="A28" s="2294"/>
      <c r="B28" s="2348" t="s">
        <v>1481</v>
      </c>
      <c r="C28" s="2349"/>
      <c r="D28" s="2349"/>
      <c r="E28" s="2350"/>
      <c r="F28" s="2357" t="s">
        <v>1482</v>
      </c>
      <c r="G28" s="2358"/>
      <c r="H28" s="664" t="s">
        <v>1483</v>
      </c>
      <c r="I28" s="665"/>
      <c r="J28" s="665"/>
      <c r="K28" s="666"/>
      <c r="L28" s="664"/>
      <c r="M28" s="666"/>
      <c r="N28" s="666"/>
      <c r="O28" s="666"/>
      <c r="P28" s="666"/>
      <c r="Q28" s="666"/>
      <c r="R28" s="666"/>
      <c r="S28" s="666"/>
      <c r="T28" s="666"/>
      <c r="U28" s="667"/>
      <c r="V28" s="668"/>
      <c r="W28" s="669"/>
      <c r="X28" s="2363"/>
      <c r="Y28" s="2364"/>
      <c r="Z28" s="2229" t="s">
        <v>225</v>
      </c>
      <c r="AA28" s="2365"/>
    </row>
    <row r="29" spans="1:28" ht="18" customHeight="1" x14ac:dyDescent="0.2">
      <c r="A29" s="2294"/>
      <c r="B29" s="2351"/>
      <c r="C29" s="2352"/>
      <c r="D29" s="2352"/>
      <c r="E29" s="2353"/>
      <c r="F29" s="2359"/>
      <c r="G29" s="2360"/>
      <c r="H29" s="2234" t="s">
        <v>1484</v>
      </c>
      <c r="I29" s="2206"/>
      <c r="J29" s="2206"/>
      <c r="K29" s="2206"/>
      <c r="L29" s="664" t="s">
        <v>226</v>
      </c>
      <c r="M29" s="664"/>
      <c r="N29" s="665"/>
      <c r="O29" s="666"/>
      <c r="P29" s="666"/>
      <c r="Q29" s="666"/>
      <c r="R29" s="666"/>
      <c r="S29" s="666"/>
      <c r="T29" s="666"/>
      <c r="U29" s="667"/>
      <c r="V29" s="668"/>
      <c r="W29" s="669"/>
      <c r="X29" s="2363"/>
      <c r="Y29" s="2364"/>
      <c r="Z29" s="2229" t="s">
        <v>227</v>
      </c>
      <c r="AA29" s="2365"/>
    </row>
    <row r="30" spans="1:28" ht="18" customHeight="1" thickBot="1" x14ac:dyDescent="0.25">
      <c r="A30" s="2295"/>
      <c r="B30" s="2354"/>
      <c r="C30" s="2355"/>
      <c r="D30" s="2355"/>
      <c r="E30" s="2356"/>
      <c r="F30" s="2361"/>
      <c r="G30" s="2362"/>
      <c r="H30" s="2366"/>
      <c r="I30" s="2182"/>
      <c r="J30" s="2182"/>
      <c r="K30" s="2182"/>
      <c r="L30" s="671" t="s">
        <v>228</v>
      </c>
      <c r="M30" s="671"/>
      <c r="N30" s="672"/>
      <c r="O30" s="672"/>
      <c r="P30" s="672"/>
      <c r="Q30" s="672"/>
      <c r="R30" s="672"/>
      <c r="S30" s="672"/>
      <c r="T30" s="672"/>
      <c r="U30" s="673"/>
      <c r="V30" s="674"/>
      <c r="W30" s="675"/>
      <c r="X30" s="2367"/>
      <c r="Y30" s="2368"/>
      <c r="Z30" s="2369" t="s">
        <v>227</v>
      </c>
      <c r="AA30" s="2370"/>
    </row>
    <row r="31" spans="1:28" s="628" customFormat="1" ht="18" customHeight="1" x14ac:dyDescent="0.2">
      <c r="A31" s="2293" t="s">
        <v>1485</v>
      </c>
      <c r="B31" s="2296" t="s">
        <v>1486</v>
      </c>
      <c r="C31" s="2297"/>
      <c r="D31" s="2297"/>
      <c r="E31" s="2297"/>
      <c r="F31" s="2297"/>
      <c r="G31" s="2297"/>
      <c r="H31" s="2297"/>
      <c r="I31" s="2297"/>
      <c r="J31" s="2297"/>
      <c r="K31" s="2371"/>
      <c r="L31" s="655"/>
      <c r="M31" s="656"/>
      <c r="N31" s="2298" t="s">
        <v>1469</v>
      </c>
      <c r="O31" s="2298"/>
      <c r="P31" s="2298"/>
      <c r="Q31" s="2298"/>
      <c r="R31" s="2298"/>
      <c r="S31" s="2298"/>
      <c r="T31" s="657"/>
      <c r="U31" s="658"/>
      <c r="V31" s="658" t="s">
        <v>1470</v>
      </c>
      <c r="W31" s="658"/>
      <c r="X31" s="658"/>
      <c r="Y31" s="658"/>
      <c r="Z31" s="658"/>
      <c r="AA31" s="659"/>
    </row>
    <row r="32" spans="1:28" ht="18" customHeight="1" x14ac:dyDescent="0.2">
      <c r="A32" s="2294"/>
      <c r="B32" s="2299" t="s">
        <v>1471</v>
      </c>
      <c r="C32" s="2300"/>
      <c r="D32" s="2300"/>
      <c r="E32" s="2300"/>
      <c r="F32" s="2300"/>
      <c r="G32" s="2300"/>
      <c r="H32" s="2300"/>
      <c r="I32" s="2300"/>
      <c r="J32" s="2300"/>
      <c r="K32" s="2300"/>
      <c r="L32" s="2300"/>
      <c r="M32" s="2301"/>
      <c r="N32" s="2301"/>
      <c r="O32" s="2302"/>
      <c r="P32" s="2243"/>
      <c r="Q32" s="2303"/>
      <c r="R32" s="2303"/>
      <c r="S32" s="660" t="s">
        <v>89</v>
      </c>
      <c r="T32" s="661"/>
      <c r="U32" s="661"/>
      <c r="V32" s="661"/>
      <c r="W32" s="661"/>
      <c r="X32" s="661"/>
      <c r="Y32" s="661"/>
      <c r="Z32" s="661"/>
      <c r="AA32" s="662"/>
    </row>
    <row r="33" spans="1:29" ht="18" customHeight="1" x14ac:dyDescent="0.2">
      <c r="A33" s="2294"/>
      <c r="B33" s="2304" t="s">
        <v>1472</v>
      </c>
      <c r="C33" s="2305"/>
      <c r="D33" s="2305"/>
      <c r="E33" s="2305"/>
      <c r="F33" s="2305"/>
      <c r="G33" s="2305"/>
      <c r="H33" s="2305"/>
      <c r="I33" s="2305"/>
      <c r="J33" s="2305"/>
      <c r="K33" s="2305"/>
      <c r="L33" s="2305"/>
      <c r="M33" s="2305"/>
      <c r="N33" s="2305"/>
      <c r="O33" s="2305"/>
      <c r="P33" s="2305"/>
      <c r="Q33" s="2305"/>
      <c r="R33" s="2305"/>
      <c r="S33" s="2305"/>
      <c r="T33" s="2305"/>
      <c r="U33" s="2305"/>
      <c r="V33" s="2305"/>
      <c r="W33" s="2305"/>
      <c r="X33" s="2305"/>
      <c r="Y33" s="2305"/>
      <c r="Z33" s="2305"/>
      <c r="AA33" s="2306"/>
    </row>
    <row r="34" spans="1:29" ht="23.25" customHeight="1" x14ac:dyDescent="0.2">
      <c r="A34" s="2294"/>
      <c r="B34" s="2299" t="s">
        <v>1473</v>
      </c>
      <c r="C34" s="2300"/>
      <c r="D34" s="2300"/>
      <c r="E34" s="2300"/>
      <c r="F34" s="2300"/>
      <c r="G34" s="2307"/>
      <c r="H34" s="2311" t="s">
        <v>1474</v>
      </c>
      <c r="I34" s="2312"/>
      <c r="J34" s="2312"/>
      <c r="K34" s="2313"/>
      <c r="L34" s="2319" t="s">
        <v>123</v>
      </c>
      <c r="M34" s="2262"/>
      <c r="N34" s="2262"/>
      <c r="O34" s="2262"/>
      <c r="P34" s="2320" t="s">
        <v>124</v>
      </c>
      <c r="Q34" s="2320"/>
      <c r="R34" s="2320"/>
      <c r="S34" s="2320"/>
      <c r="T34" s="2321" t="s">
        <v>307</v>
      </c>
      <c r="U34" s="2322"/>
      <c r="V34" s="2322"/>
      <c r="W34" s="2322"/>
      <c r="X34" s="2322"/>
      <c r="Y34" s="2322"/>
      <c r="Z34" s="2322"/>
      <c r="AA34" s="2323"/>
    </row>
    <row r="35" spans="1:29" ht="23.25" customHeight="1" x14ac:dyDescent="0.2">
      <c r="A35" s="2294"/>
      <c r="B35" s="2308"/>
      <c r="C35" s="2309"/>
      <c r="D35" s="2309"/>
      <c r="E35" s="2309"/>
      <c r="F35" s="2309"/>
      <c r="G35" s="2310"/>
      <c r="H35" s="2330" t="s">
        <v>1475</v>
      </c>
      <c r="I35" s="2331"/>
      <c r="J35" s="2330" t="s">
        <v>1476</v>
      </c>
      <c r="K35" s="2332"/>
      <c r="L35" s="2330" t="s">
        <v>1475</v>
      </c>
      <c r="M35" s="2331"/>
      <c r="N35" s="2330" t="s">
        <v>1476</v>
      </c>
      <c r="O35" s="2332"/>
      <c r="P35" s="2333" t="s">
        <v>1475</v>
      </c>
      <c r="Q35" s="2334"/>
      <c r="R35" s="2319" t="s">
        <v>1476</v>
      </c>
      <c r="S35" s="2262"/>
      <c r="T35" s="2324"/>
      <c r="U35" s="2325"/>
      <c r="V35" s="2325"/>
      <c r="W35" s="2325"/>
      <c r="X35" s="2325"/>
      <c r="Y35" s="2325"/>
      <c r="Z35" s="2325"/>
      <c r="AA35" s="2326"/>
    </row>
    <row r="36" spans="1:29" ht="18" customHeight="1" x14ac:dyDescent="0.2">
      <c r="A36" s="2294"/>
      <c r="B36" s="2314" t="s">
        <v>1477</v>
      </c>
      <c r="C36" s="2229"/>
      <c r="D36" s="2229"/>
      <c r="E36" s="2229"/>
      <c r="F36" s="2229"/>
      <c r="G36" s="2249"/>
      <c r="H36" s="2315"/>
      <c r="I36" s="2316"/>
      <c r="J36" s="2315"/>
      <c r="K36" s="2317"/>
      <c r="L36" s="2315"/>
      <c r="M36" s="2316"/>
      <c r="N36" s="2315"/>
      <c r="O36" s="2317"/>
      <c r="P36" s="2318"/>
      <c r="Q36" s="2316"/>
      <c r="R36" s="2315"/>
      <c r="S36" s="2317"/>
      <c r="T36" s="2324"/>
      <c r="U36" s="2325"/>
      <c r="V36" s="2325"/>
      <c r="W36" s="2325"/>
      <c r="X36" s="2325"/>
      <c r="Y36" s="2325"/>
      <c r="Z36" s="2325"/>
      <c r="AA36" s="2326"/>
    </row>
    <row r="37" spans="1:29" ht="18" customHeight="1" x14ac:dyDescent="0.2">
      <c r="A37" s="2294"/>
      <c r="B37" s="2345" t="s">
        <v>1478</v>
      </c>
      <c r="C37" s="2206"/>
      <c r="D37" s="2206"/>
      <c r="E37" s="2206"/>
      <c r="F37" s="2206"/>
      <c r="G37" s="2252"/>
      <c r="H37" s="2335"/>
      <c r="I37" s="2346"/>
      <c r="J37" s="2335"/>
      <c r="K37" s="2336"/>
      <c r="L37" s="2335"/>
      <c r="M37" s="2346"/>
      <c r="N37" s="2335"/>
      <c r="O37" s="2336"/>
      <c r="P37" s="2347"/>
      <c r="Q37" s="2346"/>
      <c r="R37" s="2335"/>
      <c r="S37" s="2336"/>
      <c r="T37" s="2324"/>
      <c r="U37" s="2325"/>
      <c r="V37" s="2325"/>
      <c r="W37" s="2325"/>
      <c r="X37" s="2325"/>
      <c r="Y37" s="2325"/>
      <c r="Z37" s="2325"/>
      <c r="AA37" s="2326"/>
      <c r="AC37" s="614" t="s">
        <v>307</v>
      </c>
    </row>
    <row r="38" spans="1:29" ht="18" customHeight="1" x14ac:dyDescent="0.2">
      <c r="A38" s="2294"/>
      <c r="B38" s="2337" t="s">
        <v>1479</v>
      </c>
      <c r="C38" s="2338"/>
      <c r="D38" s="2338"/>
      <c r="E38" s="2338"/>
      <c r="F38" s="2338"/>
      <c r="G38" s="2338"/>
      <c r="H38" s="2339"/>
      <c r="I38" s="2339"/>
      <c r="J38" s="2339"/>
      <c r="K38" s="2339"/>
      <c r="L38" s="2340"/>
      <c r="M38" s="2340"/>
      <c r="N38" s="2340"/>
      <c r="O38" s="2340"/>
      <c r="P38" s="2340"/>
      <c r="Q38" s="2340"/>
      <c r="R38" s="2340"/>
      <c r="S38" s="2340"/>
      <c r="T38" s="2327"/>
      <c r="U38" s="2328"/>
      <c r="V38" s="2328"/>
      <c r="W38" s="2328"/>
      <c r="X38" s="2328"/>
      <c r="Y38" s="2328"/>
      <c r="Z38" s="2328"/>
      <c r="AA38" s="2329"/>
    </row>
    <row r="39" spans="1:29" ht="18" customHeight="1" x14ac:dyDescent="0.2">
      <c r="A39" s="2294"/>
      <c r="B39" s="2342" t="s">
        <v>1480</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3"/>
      <c r="Y39" s="2343"/>
      <c r="Z39" s="2343"/>
      <c r="AA39" s="2344"/>
    </row>
    <row r="40" spans="1:29" ht="18" customHeight="1" x14ac:dyDescent="0.2">
      <c r="A40" s="2294"/>
      <c r="B40" s="2348" t="s">
        <v>1481</v>
      </c>
      <c r="C40" s="2349"/>
      <c r="D40" s="2349"/>
      <c r="E40" s="2350"/>
      <c r="F40" s="2357" t="s">
        <v>1482</v>
      </c>
      <c r="G40" s="2358"/>
      <c r="H40" s="664" t="s">
        <v>1483</v>
      </c>
      <c r="I40" s="665"/>
      <c r="J40" s="665"/>
      <c r="K40" s="666"/>
      <c r="L40" s="664"/>
      <c r="M40" s="666"/>
      <c r="N40" s="666"/>
      <c r="O40" s="666"/>
      <c r="P40" s="666"/>
      <c r="Q40" s="666"/>
      <c r="R40" s="666"/>
      <c r="S40" s="666"/>
      <c r="T40" s="666"/>
      <c r="U40" s="667"/>
      <c r="V40" s="668"/>
      <c r="W40" s="669"/>
      <c r="X40" s="2363"/>
      <c r="Y40" s="2364"/>
      <c r="Z40" s="2229" t="s">
        <v>225</v>
      </c>
      <c r="AA40" s="2365"/>
    </row>
    <row r="41" spans="1:29" ht="18" customHeight="1" x14ac:dyDescent="0.2">
      <c r="A41" s="2294"/>
      <c r="B41" s="2351"/>
      <c r="C41" s="2352"/>
      <c r="D41" s="2352"/>
      <c r="E41" s="2353"/>
      <c r="F41" s="2359"/>
      <c r="G41" s="2360"/>
      <c r="H41" s="2234" t="s">
        <v>1484</v>
      </c>
      <c r="I41" s="2206"/>
      <c r="J41" s="2206"/>
      <c r="K41" s="2206"/>
      <c r="L41" s="664" t="s">
        <v>226</v>
      </c>
      <c r="M41" s="664"/>
      <c r="N41" s="665"/>
      <c r="O41" s="666"/>
      <c r="P41" s="666"/>
      <c r="Q41" s="666"/>
      <c r="R41" s="666"/>
      <c r="S41" s="666"/>
      <c r="T41" s="666"/>
      <c r="U41" s="667"/>
      <c r="V41" s="668"/>
      <c r="W41" s="669"/>
      <c r="X41" s="2363"/>
      <c r="Y41" s="2364"/>
      <c r="Z41" s="2229" t="s">
        <v>227</v>
      </c>
      <c r="AA41" s="2365"/>
    </row>
    <row r="42" spans="1:29" ht="18" customHeight="1" thickBot="1" x14ac:dyDescent="0.25">
      <c r="A42" s="2295"/>
      <c r="B42" s="2354"/>
      <c r="C42" s="2355"/>
      <c r="D42" s="2355"/>
      <c r="E42" s="2356"/>
      <c r="F42" s="2361"/>
      <c r="G42" s="2362"/>
      <c r="H42" s="2366"/>
      <c r="I42" s="2182"/>
      <c r="J42" s="2182"/>
      <c r="K42" s="2182"/>
      <c r="L42" s="671" t="s">
        <v>228</v>
      </c>
      <c r="M42" s="671"/>
      <c r="N42" s="672"/>
      <c r="O42" s="672"/>
      <c r="P42" s="672"/>
      <c r="Q42" s="672"/>
      <c r="R42" s="672"/>
      <c r="S42" s="672"/>
      <c r="T42" s="672"/>
      <c r="U42" s="673"/>
      <c r="V42" s="674"/>
      <c r="W42" s="675"/>
      <c r="X42" s="2367"/>
      <c r="Y42" s="2368"/>
      <c r="Z42" s="2369" t="s">
        <v>227</v>
      </c>
      <c r="AA42" s="2370"/>
    </row>
    <row r="43" spans="1:29" ht="18" customHeight="1" thickBot="1" x14ac:dyDescent="0.25">
      <c r="A43" s="2372" t="s">
        <v>229</v>
      </c>
      <c r="B43" s="2291"/>
      <c r="C43" s="2373"/>
      <c r="D43" s="676" t="s">
        <v>1487</v>
      </c>
      <c r="E43" s="677"/>
      <c r="F43" s="677"/>
      <c r="G43" s="677"/>
      <c r="H43" s="677"/>
      <c r="I43" s="677"/>
      <c r="J43" s="677"/>
      <c r="K43" s="677"/>
      <c r="L43" s="677"/>
      <c r="M43" s="677"/>
      <c r="N43" s="677"/>
      <c r="O43" s="677"/>
      <c r="P43" s="677"/>
      <c r="Q43" s="677"/>
      <c r="R43" s="677"/>
      <c r="S43" s="677"/>
      <c r="T43" s="677"/>
      <c r="U43" s="677"/>
      <c r="V43" s="677"/>
      <c r="W43" s="677"/>
      <c r="X43" s="677"/>
      <c r="Y43" s="677"/>
      <c r="Z43" s="677"/>
      <c r="AA43" s="678"/>
    </row>
    <row r="44" spans="1:29" ht="14.4" customHeight="1" x14ac:dyDescent="0.2"/>
    <row r="45" spans="1:29" ht="14.4" customHeight="1" x14ac:dyDescent="0.2">
      <c r="A45" s="614" t="s">
        <v>531</v>
      </c>
      <c r="B45" s="2374" t="s">
        <v>1488</v>
      </c>
      <c r="C45" s="2375" t="s">
        <v>1489</v>
      </c>
      <c r="D45" s="2375"/>
      <c r="E45" s="2375"/>
      <c r="F45" s="2375"/>
      <c r="G45" s="2375"/>
      <c r="H45" s="2375"/>
      <c r="I45" s="2375"/>
      <c r="J45" s="2375"/>
      <c r="K45" s="2375"/>
      <c r="L45" s="2375"/>
      <c r="M45" s="2375"/>
      <c r="N45" s="2375"/>
      <c r="O45" s="2375"/>
      <c r="P45" s="2375"/>
      <c r="Q45" s="2375"/>
      <c r="R45" s="2375"/>
      <c r="S45" s="2375"/>
      <c r="T45" s="2375"/>
      <c r="U45" s="2375"/>
      <c r="V45" s="2375"/>
      <c r="W45" s="2375"/>
      <c r="X45" s="2375"/>
      <c r="Y45" s="2375"/>
      <c r="Z45" s="2375"/>
      <c r="AA45" s="2375"/>
    </row>
    <row r="46" spans="1:29" ht="14.4" customHeight="1" x14ac:dyDescent="0.2">
      <c r="A46" s="679"/>
      <c r="B46" s="2374"/>
      <c r="C46" s="2375"/>
      <c r="D46" s="2375"/>
      <c r="E46" s="2375"/>
      <c r="F46" s="2375"/>
      <c r="G46" s="2375"/>
      <c r="H46" s="2375"/>
      <c r="I46" s="2375"/>
      <c r="J46" s="2375"/>
      <c r="K46" s="2375"/>
      <c r="L46" s="2375"/>
      <c r="M46" s="2375"/>
      <c r="N46" s="2375"/>
      <c r="O46" s="2375"/>
      <c r="P46" s="2375"/>
      <c r="Q46" s="2375"/>
      <c r="R46" s="2375"/>
      <c r="S46" s="2375"/>
      <c r="T46" s="2375"/>
      <c r="U46" s="2375"/>
      <c r="V46" s="2375"/>
      <c r="W46" s="2375"/>
      <c r="X46" s="2375"/>
      <c r="Y46" s="2375"/>
      <c r="Z46" s="2375"/>
      <c r="AA46" s="2375"/>
    </row>
    <row r="47" spans="1:29" ht="14.4" customHeight="1" x14ac:dyDescent="0.2">
      <c r="A47" s="680"/>
      <c r="B47" s="2374"/>
      <c r="C47" s="2375"/>
      <c r="D47" s="2375"/>
      <c r="E47" s="2375"/>
      <c r="F47" s="2375"/>
      <c r="G47" s="2375"/>
      <c r="H47" s="2375"/>
      <c r="I47" s="2375"/>
      <c r="J47" s="2375"/>
      <c r="K47" s="2375"/>
      <c r="L47" s="2375"/>
      <c r="M47" s="2375"/>
      <c r="N47" s="2375"/>
      <c r="O47" s="2375"/>
      <c r="P47" s="2375"/>
      <c r="Q47" s="2375"/>
      <c r="R47" s="2375"/>
      <c r="S47" s="2375"/>
      <c r="T47" s="2375"/>
      <c r="U47" s="2375"/>
      <c r="V47" s="2375"/>
      <c r="W47" s="2375"/>
      <c r="X47" s="2375"/>
      <c r="Y47" s="2375"/>
      <c r="Z47" s="2375"/>
      <c r="AA47" s="2375"/>
    </row>
    <row r="48" spans="1:29" ht="14.4" customHeight="1" x14ac:dyDescent="0.2">
      <c r="A48" s="679"/>
      <c r="B48" s="2374"/>
      <c r="C48" s="2375"/>
      <c r="D48" s="2375"/>
      <c r="E48" s="2375"/>
      <c r="F48" s="2375"/>
      <c r="G48" s="2375"/>
      <c r="H48" s="2375"/>
      <c r="I48" s="2375"/>
      <c r="J48" s="2375"/>
      <c r="K48" s="2375"/>
      <c r="L48" s="2375"/>
      <c r="M48" s="2375"/>
      <c r="N48" s="2375"/>
      <c r="O48" s="2375"/>
      <c r="P48" s="2375"/>
      <c r="Q48" s="2375"/>
      <c r="R48" s="2375"/>
      <c r="S48" s="2375"/>
      <c r="T48" s="2375"/>
      <c r="U48" s="2375"/>
      <c r="V48" s="2375"/>
      <c r="W48" s="2375"/>
      <c r="X48" s="2375"/>
      <c r="Y48" s="2375"/>
      <c r="Z48" s="2375"/>
      <c r="AA48" s="2375"/>
    </row>
    <row r="49" spans="1:27" ht="14.4" customHeight="1" x14ac:dyDescent="0.2">
      <c r="A49" s="680"/>
      <c r="B49" s="2374"/>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row>
  </sheetData>
  <mergeCells count="143">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B28:E30"/>
    <mergeCell ref="F28:G30"/>
    <mergeCell ref="X28:Y28"/>
    <mergeCell ref="Z28:AA28"/>
    <mergeCell ref="H29:K30"/>
    <mergeCell ref="X29:Y29"/>
    <mergeCell ref="Z29:AA29"/>
    <mergeCell ref="X30:Y30"/>
    <mergeCell ref="Z30:AA30"/>
    <mergeCell ref="R25:S25"/>
    <mergeCell ref="B26:G26"/>
    <mergeCell ref="H26:K26"/>
    <mergeCell ref="L26:O26"/>
    <mergeCell ref="P26:S26"/>
    <mergeCell ref="B27:AA27"/>
    <mergeCell ref="B25:G25"/>
    <mergeCell ref="H25:I25"/>
    <mergeCell ref="J25:K25"/>
    <mergeCell ref="L25:M25"/>
    <mergeCell ref="N25:O25"/>
    <mergeCell ref="P25:Q25"/>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15:S15"/>
    <mergeCell ref="U15:V15"/>
    <mergeCell ref="W15:AA15"/>
    <mergeCell ref="B16:E16"/>
    <mergeCell ref="F16:M16"/>
    <mergeCell ref="P16:AA17"/>
    <mergeCell ref="B17:E17"/>
    <mergeCell ref="F17:M17"/>
    <mergeCell ref="B18:K18"/>
    <mergeCell ref="L18:AA18"/>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s>
  <phoneticPr fontId="2"/>
  <dataValidations count="1">
    <dataValidation type="list" allowBlank="1" showInputMessage="1" showErrorMessage="1" sqref="N11:N14" xr:uid="{D937EBF0-86C1-4B44-9238-BECF809D6F48}">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0065" r:id="rId4" name="Check Box 1">
              <controlPr defaultSize="0" autoFill="0" autoLine="0" autoPict="0">
                <anchor moveWithCells="1">
                  <from>
                    <xdr:col>12</xdr:col>
                    <xdr:colOff>60960</xdr:colOff>
                    <xdr:row>17</xdr:row>
                    <xdr:rowOff>213360</xdr:rowOff>
                  </from>
                  <to>
                    <xdr:col>13</xdr:col>
                    <xdr:colOff>0</xdr:colOff>
                    <xdr:row>19</xdr:row>
                    <xdr:rowOff>7620</xdr:rowOff>
                  </to>
                </anchor>
              </controlPr>
            </control>
          </mc:Choice>
        </mc:AlternateContent>
        <mc:AlternateContent xmlns:mc="http://schemas.openxmlformats.org/markup-compatibility/2006">
          <mc:Choice Requires="x14">
            <control shapeId="600066" r:id="rId5" name="Check Box 2">
              <controlPr defaultSize="0" autoFill="0" autoLine="0" autoPict="0">
                <anchor moveWithCells="1">
                  <from>
                    <xdr:col>20</xdr:col>
                    <xdr:colOff>76200</xdr:colOff>
                    <xdr:row>17</xdr:row>
                    <xdr:rowOff>213360</xdr:rowOff>
                  </from>
                  <to>
                    <xdr:col>21</xdr:col>
                    <xdr:colOff>30480</xdr:colOff>
                    <xdr:row>19</xdr:row>
                    <xdr:rowOff>7620</xdr:rowOff>
                  </to>
                </anchor>
              </controlPr>
            </control>
          </mc:Choice>
        </mc:AlternateContent>
        <mc:AlternateContent xmlns:mc="http://schemas.openxmlformats.org/markup-compatibility/2006">
          <mc:Choice Requires="x14">
            <control shapeId="600067" r:id="rId6" name="Check Box 3">
              <controlPr defaultSize="0" autoFill="0" autoLine="0" autoPict="0">
                <anchor moveWithCells="1">
                  <from>
                    <xdr:col>12</xdr:col>
                    <xdr:colOff>60960</xdr:colOff>
                    <xdr:row>30</xdr:row>
                    <xdr:rowOff>0</xdr:rowOff>
                  </from>
                  <to>
                    <xdr:col>13</xdr:col>
                    <xdr:colOff>0</xdr:colOff>
                    <xdr:row>31</xdr:row>
                    <xdr:rowOff>7620</xdr:rowOff>
                  </to>
                </anchor>
              </controlPr>
            </control>
          </mc:Choice>
        </mc:AlternateContent>
        <mc:AlternateContent xmlns:mc="http://schemas.openxmlformats.org/markup-compatibility/2006">
          <mc:Choice Requires="x14">
            <control shapeId="600068" r:id="rId7" name="Check Box 4">
              <controlPr defaultSize="0" autoFill="0" autoLine="0" autoPict="0">
                <anchor moveWithCells="1">
                  <from>
                    <xdr:col>20</xdr:col>
                    <xdr:colOff>76200</xdr:colOff>
                    <xdr:row>30</xdr:row>
                    <xdr:rowOff>0</xdr:rowOff>
                  </from>
                  <to>
                    <xdr:col>21</xdr:col>
                    <xdr:colOff>30480</xdr:colOff>
                    <xdr:row>31</xdr:row>
                    <xdr:rowOff>7620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D673-1A62-4222-82EC-04136E0EF5A6}">
  <sheetPr>
    <tabColor rgb="FFFFFF00"/>
    <pageSetUpPr fitToPage="1"/>
  </sheetPr>
  <dimension ref="A1:AC27"/>
  <sheetViews>
    <sheetView showGridLines="0" view="pageBreakPreview" zoomScaleNormal="96" zoomScaleSheetLayoutView="100" workbookViewId="0">
      <selection activeCell="AC7" sqref="AC7"/>
    </sheetView>
  </sheetViews>
  <sheetFormatPr defaultColWidth="8.77734375" defaultRowHeight="12" x14ac:dyDescent="0.2"/>
  <cols>
    <col min="1" max="1" width="5.109375" style="681" customWidth="1"/>
    <col min="2" max="5" width="3.33203125" style="681" customWidth="1"/>
    <col min="6" max="6" width="8.77734375" style="681"/>
    <col min="7" max="7" width="5.6640625" style="681" customWidth="1"/>
    <col min="8" max="27" width="4.77734375" style="681" customWidth="1"/>
    <col min="28" max="16384" width="8.77734375" style="681"/>
  </cols>
  <sheetData>
    <row r="1" spans="1:29" ht="36.75" customHeight="1" x14ac:dyDescent="0.2">
      <c r="A1" s="2376" t="s">
        <v>1490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row>
    <row r="2" spans="1:29" ht="17.399999999999999" customHeight="1" thickBot="1" x14ac:dyDescent="0.25">
      <c r="A2" s="682" t="s">
        <v>1491</v>
      </c>
    </row>
    <row r="3" spans="1:29" s="686" customFormat="1" ht="18" customHeight="1" thickBot="1" x14ac:dyDescent="0.25">
      <c r="A3" s="683"/>
      <c r="B3" s="2377" t="s">
        <v>1466</v>
      </c>
      <c r="C3" s="2377"/>
      <c r="D3" s="2377"/>
      <c r="E3" s="2377"/>
      <c r="F3" s="2377"/>
      <c r="G3" s="2377"/>
      <c r="H3" s="2377"/>
      <c r="I3" s="2377"/>
      <c r="J3" s="2377"/>
      <c r="K3" s="2378"/>
      <c r="L3" s="684"/>
      <c r="M3" s="684"/>
      <c r="N3" s="684"/>
      <c r="O3" s="684"/>
      <c r="P3" s="684"/>
      <c r="Q3" s="684"/>
      <c r="R3" s="684"/>
      <c r="S3" s="684"/>
      <c r="T3" s="684"/>
      <c r="U3" s="684"/>
      <c r="V3" s="684"/>
      <c r="W3" s="684"/>
      <c r="X3" s="684"/>
      <c r="Y3" s="684"/>
      <c r="Z3" s="684"/>
      <c r="AA3" s="685"/>
    </row>
    <row r="4" spans="1:29" s="686" customFormat="1" ht="18" customHeight="1" x14ac:dyDescent="0.2">
      <c r="A4" s="2379" t="s">
        <v>1467</v>
      </c>
      <c r="B4" s="2381" t="s">
        <v>1468</v>
      </c>
      <c r="C4" s="2382"/>
      <c r="D4" s="2382"/>
      <c r="E4" s="2382"/>
      <c r="F4" s="2382"/>
      <c r="G4" s="2382"/>
      <c r="H4" s="2382"/>
      <c r="I4" s="2382"/>
      <c r="J4" s="2382"/>
      <c r="K4" s="2382"/>
      <c r="L4" s="687"/>
      <c r="M4" s="688"/>
      <c r="N4" s="2383" t="s">
        <v>1469</v>
      </c>
      <c r="O4" s="2383"/>
      <c r="P4" s="2383"/>
      <c r="Q4" s="2383"/>
      <c r="R4" s="2383"/>
      <c r="S4" s="2383"/>
      <c r="T4" s="689"/>
      <c r="U4" s="690"/>
      <c r="V4" s="690" t="s">
        <v>1470</v>
      </c>
      <c r="W4" s="690"/>
      <c r="X4" s="690"/>
      <c r="Y4" s="690"/>
      <c r="Z4" s="690"/>
      <c r="AA4" s="691"/>
    </row>
    <row r="5" spans="1:29" ht="18" customHeight="1" x14ac:dyDescent="0.2">
      <c r="A5" s="2379"/>
      <c r="B5" s="2384" t="s">
        <v>1471</v>
      </c>
      <c r="C5" s="2385"/>
      <c r="D5" s="2385"/>
      <c r="E5" s="2385"/>
      <c r="F5" s="2385"/>
      <c r="G5" s="2385"/>
      <c r="H5" s="2385"/>
      <c r="I5" s="2385"/>
      <c r="J5" s="2385"/>
      <c r="K5" s="2385"/>
      <c r="L5" s="2385"/>
      <c r="M5" s="2386"/>
      <c r="N5" s="2386"/>
      <c r="O5" s="2387"/>
      <c r="P5" s="2388"/>
      <c r="Q5" s="2389"/>
      <c r="R5" s="2389"/>
      <c r="S5" s="692" t="s">
        <v>89</v>
      </c>
      <c r="T5" s="693"/>
      <c r="U5" s="693"/>
      <c r="V5" s="693"/>
      <c r="W5" s="693"/>
      <c r="X5" s="693"/>
      <c r="Y5" s="693"/>
      <c r="Z5" s="693"/>
      <c r="AA5" s="694"/>
      <c r="AB5" s="681" t="s">
        <v>133</v>
      </c>
    </row>
    <row r="6" spans="1:29" ht="18" customHeight="1" x14ac:dyDescent="0.2">
      <c r="A6" s="2379"/>
      <c r="B6" s="2390" t="s">
        <v>1472</v>
      </c>
      <c r="C6" s="2391"/>
      <c r="D6" s="2391"/>
      <c r="E6" s="2391"/>
      <c r="F6" s="2391"/>
      <c r="G6" s="2391"/>
      <c r="H6" s="2391"/>
      <c r="I6" s="2391"/>
      <c r="J6" s="2391"/>
      <c r="K6" s="2391"/>
      <c r="L6" s="2391"/>
      <c r="M6" s="2391"/>
      <c r="N6" s="2391"/>
      <c r="O6" s="2391"/>
      <c r="P6" s="2391"/>
      <c r="Q6" s="2391"/>
      <c r="R6" s="2391"/>
      <c r="S6" s="2391"/>
      <c r="T6" s="2391"/>
      <c r="U6" s="2391"/>
      <c r="V6" s="2391"/>
      <c r="W6" s="2391"/>
      <c r="X6" s="2391"/>
      <c r="Y6" s="2391"/>
      <c r="Z6" s="2391"/>
      <c r="AA6" s="2392"/>
    </row>
    <row r="7" spans="1:29" ht="23.25" customHeight="1" x14ac:dyDescent="0.2">
      <c r="A7" s="2379"/>
      <c r="B7" s="2384" t="s">
        <v>1473</v>
      </c>
      <c r="C7" s="2385"/>
      <c r="D7" s="2385"/>
      <c r="E7" s="2385"/>
      <c r="F7" s="2385"/>
      <c r="G7" s="2393"/>
      <c r="H7" s="2397" t="s">
        <v>1474</v>
      </c>
      <c r="I7" s="2398"/>
      <c r="J7" s="2398"/>
      <c r="K7" s="2399"/>
      <c r="L7" s="2402" t="s">
        <v>123</v>
      </c>
      <c r="M7" s="2403"/>
      <c r="N7" s="2403"/>
      <c r="O7" s="2403"/>
      <c r="P7" s="2404" t="s">
        <v>124</v>
      </c>
      <c r="Q7" s="2404"/>
      <c r="R7" s="2404"/>
      <c r="S7" s="2388"/>
      <c r="T7" s="2405" t="s">
        <v>307</v>
      </c>
      <c r="U7" s="2406"/>
      <c r="V7" s="2406"/>
      <c r="W7" s="2406"/>
      <c r="X7" s="2406"/>
      <c r="Y7" s="2406"/>
      <c r="Z7" s="2406"/>
      <c r="AA7" s="2407"/>
    </row>
    <row r="8" spans="1:29" ht="23.25" customHeight="1" x14ac:dyDescent="0.2">
      <c r="A8" s="2379"/>
      <c r="B8" s="2394"/>
      <c r="C8" s="2395"/>
      <c r="D8" s="2395"/>
      <c r="E8" s="2395"/>
      <c r="F8" s="2395"/>
      <c r="G8" s="2396"/>
      <c r="H8" s="2414" t="s">
        <v>1475</v>
      </c>
      <c r="I8" s="2415"/>
      <c r="J8" s="2414" t="s">
        <v>1476</v>
      </c>
      <c r="K8" s="2416"/>
      <c r="L8" s="2414" t="s">
        <v>1475</v>
      </c>
      <c r="M8" s="2415"/>
      <c r="N8" s="2414" t="s">
        <v>1476</v>
      </c>
      <c r="O8" s="2416"/>
      <c r="P8" s="2417" t="s">
        <v>1475</v>
      </c>
      <c r="Q8" s="2418"/>
      <c r="R8" s="2402" t="s">
        <v>1476</v>
      </c>
      <c r="S8" s="2403"/>
      <c r="T8" s="2408"/>
      <c r="U8" s="2409"/>
      <c r="V8" s="2409"/>
      <c r="W8" s="2409"/>
      <c r="X8" s="2409"/>
      <c r="Y8" s="2409"/>
      <c r="Z8" s="2409"/>
      <c r="AA8" s="2410"/>
    </row>
    <row r="9" spans="1:29" ht="18" customHeight="1" x14ac:dyDescent="0.2">
      <c r="A9" s="2379"/>
      <c r="B9" s="2421" t="s">
        <v>1477</v>
      </c>
      <c r="C9" s="2422"/>
      <c r="D9" s="2422"/>
      <c r="E9" s="2422"/>
      <c r="F9" s="2422"/>
      <c r="G9" s="2423"/>
      <c r="H9" s="2419"/>
      <c r="I9" s="2401"/>
      <c r="J9" s="2419"/>
      <c r="K9" s="2420"/>
      <c r="L9" s="2419"/>
      <c r="M9" s="2401"/>
      <c r="N9" s="2419"/>
      <c r="O9" s="2420"/>
      <c r="P9" s="2400"/>
      <c r="Q9" s="2401"/>
      <c r="R9" s="2419"/>
      <c r="S9" s="2420"/>
      <c r="T9" s="2408"/>
      <c r="U9" s="2409"/>
      <c r="V9" s="2409"/>
      <c r="W9" s="2409"/>
      <c r="X9" s="2409"/>
      <c r="Y9" s="2409"/>
      <c r="Z9" s="2409"/>
      <c r="AA9" s="2410"/>
    </row>
    <row r="10" spans="1:29" ht="18" customHeight="1" x14ac:dyDescent="0.2">
      <c r="A10" s="2379"/>
      <c r="B10" s="2427" t="s">
        <v>1478</v>
      </c>
      <c r="C10" s="2428"/>
      <c r="D10" s="2428"/>
      <c r="E10" s="2428"/>
      <c r="F10" s="2428"/>
      <c r="G10" s="2429"/>
      <c r="H10" s="2430"/>
      <c r="I10" s="2431"/>
      <c r="J10" s="2430"/>
      <c r="K10" s="2432"/>
      <c r="L10" s="2430"/>
      <c r="M10" s="2431"/>
      <c r="N10" s="2430"/>
      <c r="O10" s="2432"/>
      <c r="P10" s="2433"/>
      <c r="Q10" s="2431"/>
      <c r="R10" s="2430"/>
      <c r="S10" s="2432"/>
      <c r="T10" s="2408"/>
      <c r="U10" s="2409"/>
      <c r="V10" s="2409"/>
      <c r="W10" s="2409"/>
      <c r="X10" s="2409"/>
      <c r="Y10" s="2409"/>
      <c r="Z10" s="2409"/>
      <c r="AA10" s="2410"/>
      <c r="AC10" s="681" t="s">
        <v>307</v>
      </c>
    </row>
    <row r="11" spans="1:29" ht="18" customHeight="1" x14ac:dyDescent="0.2">
      <c r="A11" s="2379"/>
      <c r="B11" s="2434" t="s">
        <v>1479</v>
      </c>
      <c r="C11" s="2435"/>
      <c r="D11" s="2435"/>
      <c r="E11" s="2435"/>
      <c r="F11" s="2435"/>
      <c r="G11" s="2435"/>
      <c r="H11" s="2436"/>
      <c r="I11" s="2436"/>
      <c r="J11" s="2436"/>
      <c r="K11" s="2436"/>
      <c r="L11" s="2437"/>
      <c r="M11" s="2437"/>
      <c r="N11" s="2437"/>
      <c r="O11" s="2437"/>
      <c r="P11" s="2437"/>
      <c r="Q11" s="2437"/>
      <c r="R11" s="2437"/>
      <c r="S11" s="2438"/>
      <c r="T11" s="2411"/>
      <c r="U11" s="2412"/>
      <c r="V11" s="2412"/>
      <c r="W11" s="2412"/>
      <c r="X11" s="2412"/>
      <c r="Y11" s="2412"/>
      <c r="Z11" s="2412"/>
      <c r="AA11" s="2413"/>
    </row>
    <row r="12" spans="1:29" ht="18" customHeight="1" x14ac:dyDescent="0.2">
      <c r="A12" s="2379"/>
      <c r="B12" s="2424" t="s">
        <v>1480</v>
      </c>
      <c r="C12" s="2425"/>
      <c r="D12" s="2425"/>
      <c r="E12" s="2425"/>
      <c r="F12" s="2425"/>
      <c r="G12" s="2425"/>
      <c r="H12" s="2425"/>
      <c r="I12" s="2425"/>
      <c r="J12" s="2425"/>
      <c r="K12" s="2425"/>
      <c r="L12" s="2425"/>
      <c r="M12" s="2425"/>
      <c r="N12" s="2425"/>
      <c r="O12" s="2425"/>
      <c r="P12" s="2425"/>
      <c r="Q12" s="2425"/>
      <c r="R12" s="2425"/>
      <c r="S12" s="2425"/>
      <c r="T12" s="2425"/>
      <c r="U12" s="2425"/>
      <c r="V12" s="2425"/>
      <c r="W12" s="2425"/>
      <c r="X12" s="2425"/>
      <c r="Y12" s="2425"/>
      <c r="Z12" s="2425"/>
      <c r="AA12" s="2426"/>
    </row>
    <row r="13" spans="1:29" ht="18" customHeight="1" x14ac:dyDescent="0.2">
      <c r="A13" s="2379"/>
      <c r="B13" s="2445" t="s">
        <v>1481</v>
      </c>
      <c r="C13" s="2446"/>
      <c r="D13" s="2446"/>
      <c r="E13" s="2447"/>
      <c r="F13" s="2454" t="s">
        <v>1482</v>
      </c>
      <c r="G13" s="2455"/>
      <c r="H13" s="696" t="s">
        <v>1483</v>
      </c>
      <c r="I13" s="697"/>
      <c r="J13" s="697"/>
      <c r="K13" s="698"/>
      <c r="L13" s="696"/>
      <c r="M13" s="698"/>
      <c r="N13" s="698"/>
      <c r="O13" s="698"/>
      <c r="P13" s="698"/>
      <c r="Q13" s="698"/>
      <c r="R13" s="698"/>
      <c r="S13" s="698"/>
      <c r="T13" s="698"/>
      <c r="U13" s="699"/>
      <c r="V13" s="700"/>
      <c r="W13" s="701"/>
      <c r="X13" s="2439"/>
      <c r="Y13" s="2440"/>
      <c r="Z13" s="2422" t="s">
        <v>225</v>
      </c>
      <c r="AA13" s="2441"/>
    </row>
    <row r="14" spans="1:29" ht="18" customHeight="1" x14ac:dyDescent="0.2">
      <c r="A14" s="2379"/>
      <c r="B14" s="2448"/>
      <c r="C14" s="2449"/>
      <c r="D14" s="2449"/>
      <c r="E14" s="2450"/>
      <c r="F14" s="2456"/>
      <c r="G14" s="2457"/>
      <c r="H14" s="2442" t="s">
        <v>1484</v>
      </c>
      <c r="I14" s="2428"/>
      <c r="J14" s="2428"/>
      <c r="K14" s="2428"/>
      <c r="L14" s="696" t="s">
        <v>226</v>
      </c>
      <c r="M14" s="696"/>
      <c r="N14" s="697"/>
      <c r="O14" s="698"/>
      <c r="P14" s="698"/>
      <c r="Q14" s="698"/>
      <c r="R14" s="698"/>
      <c r="S14" s="698"/>
      <c r="T14" s="698"/>
      <c r="U14" s="699"/>
      <c r="V14" s="700"/>
      <c r="W14" s="701"/>
      <c r="X14" s="2439"/>
      <c r="Y14" s="2440"/>
      <c r="Z14" s="2422" t="s">
        <v>227</v>
      </c>
      <c r="AA14" s="2441"/>
    </row>
    <row r="15" spans="1:29" ht="18" customHeight="1" thickBot="1" x14ac:dyDescent="0.25">
      <c r="A15" s="2380"/>
      <c r="B15" s="2451"/>
      <c r="C15" s="2452"/>
      <c r="D15" s="2452"/>
      <c r="E15" s="2453"/>
      <c r="F15" s="2458"/>
      <c r="G15" s="2459"/>
      <c r="H15" s="2443"/>
      <c r="I15" s="2444"/>
      <c r="J15" s="2444"/>
      <c r="K15" s="2444"/>
      <c r="L15" s="704" t="s">
        <v>228</v>
      </c>
      <c r="M15" s="704"/>
      <c r="N15" s="705"/>
      <c r="O15" s="705"/>
      <c r="P15" s="705"/>
      <c r="Q15" s="705"/>
      <c r="R15" s="705"/>
      <c r="S15" s="705"/>
      <c r="T15" s="705"/>
      <c r="U15" s="706"/>
      <c r="V15" s="707"/>
      <c r="W15" s="708"/>
      <c r="X15" s="2439"/>
      <c r="Y15" s="2440"/>
      <c r="Z15" s="2422" t="s">
        <v>227</v>
      </c>
      <c r="AA15" s="2441"/>
    </row>
    <row r="16" spans="1:29" s="686" customFormat="1" ht="18" customHeight="1" x14ac:dyDescent="0.2">
      <c r="A16" s="2460" t="s">
        <v>1485</v>
      </c>
      <c r="B16" s="2461" t="s">
        <v>1486</v>
      </c>
      <c r="C16" s="2462"/>
      <c r="D16" s="2462"/>
      <c r="E16" s="2462"/>
      <c r="F16" s="2462"/>
      <c r="G16" s="2462"/>
      <c r="H16" s="2462"/>
      <c r="I16" s="2462"/>
      <c r="J16" s="2462"/>
      <c r="K16" s="2463"/>
      <c r="L16" s="709"/>
      <c r="M16" s="710"/>
      <c r="N16" s="2464" t="s">
        <v>1469</v>
      </c>
      <c r="O16" s="2464"/>
      <c r="P16" s="2464"/>
      <c r="Q16" s="2464"/>
      <c r="R16" s="2464"/>
      <c r="S16" s="2464"/>
      <c r="T16" s="711"/>
      <c r="U16" s="712"/>
      <c r="V16" s="712" t="s">
        <v>1470</v>
      </c>
      <c r="W16" s="712"/>
      <c r="X16" s="712"/>
      <c r="Y16" s="712"/>
      <c r="Z16" s="712"/>
      <c r="AA16" s="713"/>
    </row>
    <row r="17" spans="1:29" ht="18" customHeight="1" x14ac:dyDescent="0.2">
      <c r="A17" s="2379"/>
      <c r="B17" s="2384" t="s">
        <v>1471</v>
      </c>
      <c r="C17" s="2385"/>
      <c r="D17" s="2385"/>
      <c r="E17" s="2385"/>
      <c r="F17" s="2385"/>
      <c r="G17" s="2385"/>
      <c r="H17" s="2385"/>
      <c r="I17" s="2385"/>
      <c r="J17" s="2385"/>
      <c r="K17" s="2385"/>
      <c r="L17" s="2385"/>
      <c r="M17" s="2386"/>
      <c r="N17" s="2386"/>
      <c r="O17" s="2387"/>
      <c r="P17" s="2388"/>
      <c r="Q17" s="2389"/>
      <c r="R17" s="2389"/>
      <c r="S17" s="692" t="s">
        <v>89</v>
      </c>
      <c r="T17" s="693"/>
      <c r="U17" s="693"/>
      <c r="V17" s="693"/>
      <c r="W17" s="693"/>
      <c r="X17" s="693"/>
      <c r="Y17" s="693"/>
      <c r="Z17" s="693"/>
      <c r="AA17" s="694"/>
    </row>
    <row r="18" spans="1:29" ht="18" customHeight="1" x14ac:dyDescent="0.2">
      <c r="A18" s="2379"/>
      <c r="B18" s="2390" t="s">
        <v>1472</v>
      </c>
      <c r="C18" s="2391"/>
      <c r="D18" s="2391"/>
      <c r="E18" s="2391"/>
      <c r="F18" s="2391"/>
      <c r="G18" s="2391"/>
      <c r="H18" s="2391"/>
      <c r="I18" s="2391"/>
      <c r="J18" s="2391"/>
      <c r="K18" s="2391"/>
      <c r="L18" s="2391"/>
      <c r="M18" s="2391"/>
      <c r="N18" s="2391"/>
      <c r="O18" s="2391"/>
      <c r="P18" s="2391"/>
      <c r="Q18" s="2391"/>
      <c r="R18" s="2391"/>
      <c r="S18" s="2391"/>
      <c r="T18" s="2391"/>
      <c r="U18" s="2391"/>
      <c r="V18" s="2391"/>
      <c r="W18" s="2391"/>
      <c r="X18" s="2391"/>
      <c r="Y18" s="2391"/>
      <c r="Z18" s="2391"/>
      <c r="AA18" s="2392"/>
    </row>
    <row r="19" spans="1:29" ht="23.25" customHeight="1" x14ac:dyDescent="0.2">
      <c r="A19" s="2379"/>
      <c r="B19" s="2384" t="s">
        <v>1473</v>
      </c>
      <c r="C19" s="2385"/>
      <c r="D19" s="2385"/>
      <c r="E19" s="2385"/>
      <c r="F19" s="2385"/>
      <c r="G19" s="2393"/>
      <c r="H19" s="2397" t="s">
        <v>1474</v>
      </c>
      <c r="I19" s="2398"/>
      <c r="J19" s="2398"/>
      <c r="K19" s="2399"/>
      <c r="L19" s="2402" t="s">
        <v>123</v>
      </c>
      <c r="M19" s="2403"/>
      <c r="N19" s="2403"/>
      <c r="O19" s="2403"/>
      <c r="P19" s="2404" t="s">
        <v>124</v>
      </c>
      <c r="Q19" s="2404"/>
      <c r="R19" s="2404"/>
      <c r="S19" s="2404"/>
      <c r="T19" s="2405" t="s">
        <v>307</v>
      </c>
      <c r="U19" s="2406"/>
      <c r="V19" s="2406"/>
      <c r="W19" s="2406"/>
      <c r="X19" s="2406"/>
      <c r="Y19" s="2406"/>
      <c r="Z19" s="2406"/>
      <c r="AA19" s="2407"/>
    </row>
    <row r="20" spans="1:29" ht="23.25" customHeight="1" x14ac:dyDescent="0.2">
      <c r="A20" s="2379"/>
      <c r="B20" s="2394"/>
      <c r="C20" s="2395"/>
      <c r="D20" s="2395"/>
      <c r="E20" s="2395"/>
      <c r="F20" s="2395"/>
      <c r="G20" s="2396"/>
      <c r="H20" s="2414" t="s">
        <v>1475</v>
      </c>
      <c r="I20" s="2415"/>
      <c r="J20" s="2414" t="s">
        <v>1476</v>
      </c>
      <c r="K20" s="2416"/>
      <c r="L20" s="2414" t="s">
        <v>1475</v>
      </c>
      <c r="M20" s="2415"/>
      <c r="N20" s="2414" t="s">
        <v>1476</v>
      </c>
      <c r="O20" s="2416"/>
      <c r="P20" s="2417" t="s">
        <v>1475</v>
      </c>
      <c r="Q20" s="2418"/>
      <c r="R20" s="2402" t="s">
        <v>1476</v>
      </c>
      <c r="S20" s="2403"/>
      <c r="T20" s="2408"/>
      <c r="U20" s="2409"/>
      <c r="V20" s="2409"/>
      <c r="W20" s="2409"/>
      <c r="X20" s="2409"/>
      <c r="Y20" s="2409"/>
      <c r="Z20" s="2409"/>
      <c r="AA20" s="2410"/>
    </row>
    <row r="21" spans="1:29" ht="18" customHeight="1" x14ac:dyDescent="0.2">
      <c r="A21" s="2379"/>
      <c r="B21" s="2421" t="s">
        <v>1477</v>
      </c>
      <c r="C21" s="2422"/>
      <c r="D21" s="2422"/>
      <c r="E21" s="2422"/>
      <c r="F21" s="2422"/>
      <c r="G21" s="2423"/>
      <c r="H21" s="2419"/>
      <c r="I21" s="2401"/>
      <c r="J21" s="2419"/>
      <c r="K21" s="2420"/>
      <c r="L21" s="2419"/>
      <c r="M21" s="2401"/>
      <c r="N21" s="2419"/>
      <c r="O21" s="2420"/>
      <c r="P21" s="2400"/>
      <c r="Q21" s="2401"/>
      <c r="R21" s="2419"/>
      <c r="S21" s="2420"/>
      <c r="T21" s="2408"/>
      <c r="U21" s="2409"/>
      <c r="V21" s="2409"/>
      <c r="W21" s="2409"/>
      <c r="X21" s="2409"/>
      <c r="Y21" s="2409"/>
      <c r="Z21" s="2409"/>
      <c r="AA21" s="2410"/>
    </row>
    <row r="22" spans="1:29" ht="18" customHeight="1" x14ac:dyDescent="0.2">
      <c r="A22" s="2379"/>
      <c r="B22" s="2427" t="s">
        <v>1478</v>
      </c>
      <c r="C22" s="2428"/>
      <c r="D22" s="2428"/>
      <c r="E22" s="2428"/>
      <c r="F22" s="2428"/>
      <c r="G22" s="2429"/>
      <c r="H22" s="2430"/>
      <c r="I22" s="2431"/>
      <c r="J22" s="2430"/>
      <c r="K22" s="2432"/>
      <c r="L22" s="2430"/>
      <c r="M22" s="2431"/>
      <c r="N22" s="2430"/>
      <c r="O22" s="2432"/>
      <c r="P22" s="2433"/>
      <c r="Q22" s="2431"/>
      <c r="R22" s="2430"/>
      <c r="S22" s="2432"/>
      <c r="T22" s="2408"/>
      <c r="U22" s="2409"/>
      <c r="V22" s="2409"/>
      <c r="W22" s="2409"/>
      <c r="X22" s="2409"/>
      <c r="Y22" s="2409"/>
      <c r="Z22" s="2409"/>
      <c r="AA22" s="2410"/>
      <c r="AC22" s="681" t="s">
        <v>307</v>
      </c>
    </row>
    <row r="23" spans="1:29" ht="18" customHeight="1" x14ac:dyDescent="0.2">
      <c r="A23" s="2379"/>
      <c r="B23" s="2434" t="s">
        <v>1479</v>
      </c>
      <c r="C23" s="2435"/>
      <c r="D23" s="2435"/>
      <c r="E23" s="2435"/>
      <c r="F23" s="2435"/>
      <c r="G23" s="2435"/>
      <c r="H23" s="2436"/>
      <c r="I23" s="2436"/>
      <c r="J23" s="2436"/>
      <c r="K23" s="2436"/>
      <c r="L23" s="2437"/>
      <c r="M23" s="2437"/>
      <c r="N23" s="2437"/>
      <c r="O23" s="2437"/>
      <c r="P23" s="2437"/>
      <c r="Q23" s="2437"/>
      <c r="R23" s="2437"/>
      <c r="S23" s="2437"/>
      <c r="T23" s="2411"/>
      <c r="U23" s="2412"/>
      <c r="V23" s="2412"/>
      <c r="W23" s="2412"/>
      <c r="X23" s="2412"/>
      <c r="Y23" s="2412"/>
      <c r="Z23" s="2412"/>
      <c r="AA23" s="2413"/>
    </row>
    <row r="24" spans="1:29" ht="18" customHeight="1" x14ac:dyDescent="0.2">
      <c r="A24" s="2379"/>
      <c r="B24" s="2424" t="s">
        <v>1480</v>
      </c>
      <c r="C24" s="2425"/>
      <c r="D24" s="2425"/>
      <c r="E24" s="2425"/>
      <c r="F24" s="2425"/>
      <c r="G24" s="2425"/>
      <c r="H24" s="2425"/>
      <c r="I24" s="2425"/>
      <c r="J24" s="2425"/>
      <c r="K24" s="2425"/>
      <c r="L24" s="2425"/>
      <c r="M24" s="2425"/>
      <c r="N24" s="2425"/>
      <c r="O24" s="2425"/>
      <c r="P24" s="2425"/>
      <c r="Q24" s="2425"/>
      <c r="R24" s="2425"/>
      <c r="S24" s="2425"/>
      <c r="T24" s="2425"/>
      <c r="U24" s="2425"/>
      <c r="V24" s="2425"/>
      <c r="W24" s="2425"/>
      <c r="X24" s="2425"/>
      <c r="Y24" s="2425"/>
      <c r="Z24" s="2425"/>
      <c r="AA24" s="2426"/>
    </row>
    <row r="25" spans="1:29" ht="18" customHeight="1" x14ac:dyDescent="0.2">
      <c r="A25" s="2379"/>
      <c r="B25" s="2445" t="s">
        <v>1481</v>
      </c>
      <c r="C25" s="2446"/>
      <c r="D25" s="2446"/>
      <c r="E25" s="2447"/>
      <c r="F25" s="2454" t="s">
        <v>1482</v>
      </c>
      <c r="G25" s="2455"/>
      <c r="H25" s="696" t="s">
        <v>1483</v>
      </c>
      <c r="I25" s="697"/>
      <c r="J25" s="697"/>
      <c r="K25" s="698"/>
      <c r="L25" s="696"/>
      <c r="M25" s="698"/>
      <c r="N25" s="698"/>
      <c r="O25" s="698"/>
      <c r="P25" s="698"/>
      <c r="Q25" s="698"/>
      <c r="R25" s="698"/>
      <c r="S25" s="698"/>
      <c r="T25" s="698"/>
      <c r="U25" s="699"/>
      <c r="V25" s="700"/>
      <c r="W25" s="701"/>
      <c r="X25" s="2439"/>
      <c r="Y25" s="2440"/>
      <c r="Z25" s="2422" t="s">
        <v>225</v>
      </c>
      <c r="AA25" s="2441"/>
    </row>
    <row r="26" spans="1:29" ht="18" customHeight="1" x14ac:dyDescent="0.2">
      <c r="A26" s="2379"/>
      <c r="B26" s="2448"/>
      <c r="C26" s="2449"/>
      <c r="D26" s="2449"/>
      <c r="E26" s="2450"/>
      <c r="F26" s="2456"/>
      <c r="G26" s="2457"/>
      <c r="H26" s="2442" t="s">
        <v>1484</v>
      </c>
      <c r="I26" s="2428"/>
      <c r="J26" s="2428"/>
      <c r="K26" s="2428"/>
      <c r="L26" s="696" t="s">
        <v>226</v>
      </c>
      <c r="M26" s="696"/>
      <c r="N26" s="697"/>
      <c r="O26" s="698"/>
      <c r="P26" s="698"/>
      <c r="Q26" s="698"/>
      <c r="R26" s="698"/>
      <c r="S26" s="698"/>
      <c r="T26" s="698"/>
      <c r="U26" s="699"/>
      <c r="V26" s="700"/>
      <c r="W26" s="701"/>
      <c r="X26" s="2439"/>
      <c r="Y26" s="2440"/>
      <c r="Z26" s="2422" t="s">
        <v>227</v>
      </c>
      <c r="AA26" s="2441"/>
    </row>
    <row r="27" spans="1:29" ht="18" customHeight="1" thickBot="1" x14ac:dyDescent="0.25">
      <c r="A27" s="2380"/>
      <c r="B27" s="2451"/>
      <c r="C27" s="2452"/>
      <c r="D27" s="2452"/>
      <c r="E27" s="2453"/>
      <c r="F27" s="2458"/>
      <c r="G27" s="2459"/>
      <c r="H27" s="2443"/>
      <c r="I27" s="2444"/>
      <c r="J27" s="2444"/>
      <c r="K27" s="2444"/>
      <c r="L27" s="714" t="s">
        <v>228</v>
      </c>
      <c r="M27" s="714"/>
      <c r="N27" s="715"/>
      <c r="O27" s="715"/>
      <c r="P27" s="715"/>
      <c r="Q27" s="715"/>
      <c r="R27" s="715"/>
      <c r="S27" s="715"/>
      <c r="T27" s="715"/>
      <c r="U27" s="716"/>
      <c r="V27" s="717"/>
      <c r="W27" s="708"/>
      <c r="X27" s="2465"/>
      <c r="Y27" s="2466"/>
      <c r="Z27" s="2467" t="s">
        <v>227</v>
      </c>
      <c r="AA27" s="2468"/>
    </row>
  </sheetData>
  <mergeCells count="92">
    <mergeCell ref="B25:E27"/>
    <mergeCell ref="F25:G27"/>
    <mergeCell ref="X25:Y25"/>
    <mergeCell ref="Z25:AA25"/>
    <mergeCell ref="H26:K27"/>
    <mergeCell ref="X26:Y26"/>
    <mergeCell ref="Z26:AA26"/>
    <mergeCell ref="X27:Y27"/>
    <mergeCell ref="Z27:AA27"/>
    <mergeCell ref="B24:AA24"/>
    <mergeCell ref="T19:AA23"/>
    <mergeCell ref="H20:I20"/>
    <mergeCell ref="R21:S21"/>
    <mergeCell ref="R22:S22"/>
    <mergeCell ref="P21:Q21"/>
    <mergeCell ref="B22:G22"/>
    <mergeCell ref="H22:I22"/>
    <mergeCell ref="J22:K22"/>
    <mergeCell ref="L22:M22"/>
    <mergeCell ref="N22:O22"/>
    <mergeCell ref="B21:G21"/>
    <mergeCell ref="N20:O20"/>
    <mergeCell ref="P20:Q20"/>
    <mergeCell ref="R20:S20"/>
    <mergeCell ref="P22:Q22"/>
    <mergeCell ref="A16:A27"/>
    <mergeCell ref="B16:K16"/>
    <mergeCell ref="N16:S16"/>
    <mergeCell ref="B17:O17"/>
    <mergeCell ref="P17:R17"/>
    <mergeCell ref="B18:AA18"/>
    <mergeCell ref="B19:G20"/>
    <mergeCell ref="H19:K19"/>
    <mergeCell ref="L19:O19"/>
    <mergeCell ref="P19:S19"/>
    <mergeCell ref="J20:K20"/>
    <mergeCell ref="L20:M20"/>
    <mergeCell ref="B23:G23"/>
    <mergeCell ref="H23:K23"/>
    <mergeCell ref="L23:O23"/>
    <mergeCell ref="P23:S23"/>
    <mergeCell ref="B13:E15"/>
    <mergeCell ref="F13:G15"/>
    <mergeCell ref="H21:I21"/>
    <mergeCell ref="J21:K21"/>
    <mergeCell ref="L21:M21"/>
    <mergeCell ref="N21:O21"/>
    <mergeCell ref="X13:Y13"/>
    <mergeCell ref="Z13:AA13"/>
    <mergeCell ref="H14:K15"/>
    <mergeCell ref="X14:Y14"/>
    <mergeCell ref="Z14:AA14"/>
    <mergeCell ref="X15:Y15"/>
    <mergeCell ref="Z15:AA15"/>
    <mergeCell ref="B12:AA12"/>
    <mergeCell ref="B10:G10"/>
    <mergeCell ref="H10:I10"/>
    <mergeCell ref="J10:K10"/>
    <mergeCell ref="L10:M10"/>
    <mergeCell ref="N10:O10"/>
    <mergeCell ref="P10:Q10"/>
    <mergeCell ref="R10:S10"/>
    <mergeCell ref="B11:G11"/>
    <mergeCell ref="H11:K11"/>
    <mergeCell ref="L11:O11"/>
    <mergeCell ref="P11:S11"/>
    <mergeCell ref="B9:G9"/>
    <mergeCell ref="H9:I9"/>
    <mergeCell ref="J9:K9"/>
    <mergeCell ref="L9:M9"/>
    <mergeCell ref="N9:O9"/>
    <mergeCell ref="L8:M8"/>
    <mergeCell ref="N8:O8"/>
    <mergeCell ref="P8:Q8"/>
    <mergeCell ref="R8:S8"/>
    <mergeCell ref="R9:S9"/>
    <mergeCell ref="A1:AA1"/>
    <mergeCell ref="B3:K3"/>
    <mergeCell ref="A4:A15"/>
    <mergeCell ref="B4:K4"/>
    <mergeCell ref="N4:S4"/>
    <mergeCell ref="B5:O5"/>
    <mergeCell ref="P5:R5"/>
    <mergeCell ref="B6:AA6"/>
    <mergeCell ref="B7:G8"/>
    <mergeCell ref="H7:K7"/>
    <mergeCell ref="P9:Q9"/>
    <mergeCell ref="L7:O7"/>
    <mergeCell ref="P7:S7"/>
    <mergeCell ref="T7:AA11"/>
    <mergeCell ref="H8:I8"/>
    <mergeCell ref="J8:K8"/>
  </mergeCells>
  <phoneticPr fontId="2"/>
  <printOptions horizontalCentered="1"/>
  <pageMargins left="0.70866141732283472" right="0.70866141732283472" top="0.74803149606299213" bottom="0.74803149606299213" header="0.31496062992125984" footer="0.31496062992125984"/>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1089" r:id="rId4" name="Check Box 1">
              <controlPr defaultSize="0" autoFill="0" autoLine="0" autoPict="0">
                <anchor moveWithCells="1">
                  <from>
                    <xdr:col>12</xdr:col>
                    <xdr:colOff>60960</xdr:colOff>
                    <xdr:row>2</xdr:row>
                    <xdr:rowOff>213360</xdr:rowOff>
                  </from>
                  <to>
                    <xdr:col>13</xdr:col>
                    <xdr:colOff>0</xdr:colOff>
                    <xdr:row>4</xdr:row>
                    <xdr:rowOff>22860</xdr:rowOff>
                  </to>
                </anchor>
              </controlPr>
            </control>
          </mc:Choice>
        </mc:AlternateContent>
        <mc:AlternateContent xmlns:mc="http://schemas.openxmlformats.org/markup-compatibility/2006">
          <mc:Choice Requires="x14">
            <control shapeId="601090" r:id="rId5" name="Check Box 2">
              <controlPr defaultSize="0" autoFill="0" autoLine="0" autoPict="0">
                <anchor moveWithCells="1">
                  <from>
                    <xdr:col>20</xdr:col>
                    <xdr:colOff>76200</xdr:colOff>
                    <xdr:row>2</xdr:row>
                    <xdr:rowOff>213360</xdr:rowOff>
                  </from>
                  <to>
                    <xdr:col>21</xdr:col>
                    <xdr:colOff>38100</xdr:colOff>
                    <xdr:row>4</xdr:row>
                    <xdr:rowOff>22860</xdr:rowOff>
                  </to>
                </anchor>
              </controlPr>
            </control>
          </mc:Choice>
        </mc:AlternateContent>
        <mc:AlternateContent xmlns:mc="http://schemas.openxmlformats.org/markup-compatibility/2006">
          <mc:Choice Requires="x14">
            <control shapeId="601091" r:id="rId6" name="Check Box 3">
              <controlPr defaultSize="0" autoFill="0" autoLine="0" autoPict="0">
                <anchor moveWithCells="1">
                  <from>
                    <xdr:col>12</xdr:col>
                    <xdr:colOff>60960</xdr:colOff>
                    <xdr:row>15</xdr:row>
                    <xdr:rowOff>0</xdr:rowOff>
                  </from>
                  <to>
                    <xdr:col>13</xdr:col>
                    <xdr:colOff>0</xdr:colOff>
                    <xdr:row>16</xdr:row>
                    <xdr:rowOff>22860</xdr:rowOff>
                  </to>
                </anchor>
              </controlPr>
            </control>
          </mc:Choice>
        </mc:AlternateContent>
        <mc:AlternateContent xmlns:mc="http://schemas.openxmlformats.org/markup-compatibility/2006">
          <mc:Choice Requires="x14">
            <control shapeId="601092" r:id="rId7" name="Check Box 4">
              <controlPr defaultSize="0" autoFill="0" autoLine="0" autoPict="0">
                <anchor moveWithCells="1">
                  <from>
                    <xdr:col>20</xdr:col>
                    <xdr:colOff>76200</xdr:colOff>
                    <xdr:row>15</xdr:row>
                    <xdr:rowOff>0</xdr:rowOff>
                  </from>
                  <to>
                    <xdr:col>21</xdr:col>
                    <xdr:colOff>38100</xdr:colOff>
                    <xdr:row>16</xdr:row>
                    <xdr:rowOff>22860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5F4-F1B0-4DC3-8D9B-639A8FEA75EF}">
  <sheetPr>
    <tabColor rgb="FFFFFF00"/>
    <pageSetUpPr fitToPage="1"/>
  </sheetPr>
  <dimension ref="A1:X114"/>
  <sheetViews>
    <sheetView view="pageBreakPreview" zoomScaleNormal="90" zoomScaleSheetLayoutView="100" workbookViewId="0">
      <selection activeCell="V5" sqref="V5"/>
    </sheetView>
  </sheetViews>
  <sheetFormatPr defaultColWidth="8.77734375" defaultRowHeight="12" x14ac:dyDescent="0.2"/>
  <cols>
    <col min="1" max="1" width="4.6640625" style="614" customWidth="1"/>
    <col min="2" max="2" width="3.109375" style="614" customWidth="1"/>
    <col min="3" max="3" width="6.77734375" style="614" customWidth="1"/>
    <col min="4" max="5" width="6.33203125" style="614" customWidth="1"/>
    <col min="6" max="6" width="4.6640625" style="614" customWidth="1"/>
    <col min="7" max="7" width="3.6640625" style="614" customWidth="1"/>
    <col min="8" max="8" width="5.77734375" style="614" customWidth="1"/>
    <col min="9" max="18" width="10" style="614" customWidth="1"/>
    <col min="19" max="16384" width="8.77734375" style="614"/>
  </cols>
  <sheetData>
    <row r="1" spans="1:21" ht="36" customHeight="1" thickBot="1" x14ac:dyDescent="0.25">
      <c r="A1" s="2216" t="s">
        <v>1806</v>
      </c>
      <c r="B1" s="2216"/>
      <c r="C1" s="2216"/>
      <c r="D1" s="2216"/>
      <c r="E1" s="2216"/>
      <c r="F1" s="2216"/>
      <c r="G1" s="2216"/>
      <c r="H1" s="2216"/>
      <c r="I1" s="2216"/>
      <c r="J1" s="2216"/>
      <c r="K1" s="2216"/>
      <c r="L1" s="2216"/>
      <c r="M1" s="2216"/>
      <c r="N1" s="2216"/>
      <c r="O1" s="2216"/>
      <c r="P1" s="2216"/>
      <c r="Q1" s="2216"/>
      <c r="R1" s="2216"/>
      <c r="T1" s="614" t="s">
        <v>133</v>
      </c>
    </row>
    <row r="2" spans="1:21" ht="15" customHeight="1" x14ac:dyDescent="0.2">
      <c r="A2" s="2217" t="s">
        <v>1805</v>
      </c>
      <c r="B2" s="2474"/>
      <c r="C2" s="2469" t="s">
        <v>1804</v>
      </c>
      <c r="D2" s="2470"/>
      <c r="E2" s="2471"/>
      <c r="F2" s="2472"/>
      <c r="G2" s="2472"/>
      <c r="H2" s="2472"/>
      <c r="I2" s="2472"/>
      <c r="J2" s="2472"/>
      <c r="K2" s="2472"/>
      <c r="L2" s="2472"/>
      <c r="M2" s="2472"/>
      <c r="N2" s="2472"/>
      <c r="O2" s="2472"/>
      <c r="P2" s="2472"/>
      <c r="Q2" s="2472"/>
      <c r="R2" s="2473"/>
    </row>
    <row r="3" spans="1:21" ht="14.4" customHeight="1" x14ac:dyDescent="0.2">
      <c r="A3" s="2475"/>
      <c r="B3" s="2476"/>
      <c r="C3" s="2239" t="s">
        <v>7</v>
      </c>
      <c r="D3" s="2241"/>
      <c r="E3" s="2213"/>
      <c r="F3" s="2213"/>
      <c r="G3" s="2213"/>
      <c r="H3" s="2213"/>
      <c r="I3" s="2213"/>
      <c r="J3" s="2213"/>
      <c r="K3" s="2213"/>
      <c r="L3" s="2213"/>
      <c r="M3" s="2213"/>
      <c r="N3" s="2213"/>
      <c r="O3" s="2213"/>
      <c r="P3" s="2213"/>
      <c r="Q3" s="2213"/>
      <c r="R3" s="2487"/>
    </row>
    <row r="4" spans="1:21" ht="30" customHeight="1" x14ac:dyDescent="0.2">
      <c r="A4" s="2475"/>
      <c r="B4" s="2476"/>
      <c r="C4" s="2228" t="s">
        <v>1449</v>
      </c>
      <c r="D4" s="2230"/>
      <c r="E4" s="2232"/>
      <c r="F4" s="2232"/>
      <c r="G4" s="2232"/>
      <c r="H4" s="2232"/>
      <c r="I4" s="2232"/>
      <c r="J4" s="2232"/>
      <c r="K4" s="2232"/>
      <c r="L4" s="2232"/>
      <c r="M4" s="2232"/>
      <c r="N4" s="2232"/>
      <c r="O4" s="2232"/>
      <c r="P4" s="2232"/>
      <c r="Q4" s="2232"/>
      <c r="R4" s="2233"/>
    </row>
    <row r="5" spans="1:21" ht="15" customHeight="1" x14ac:dyDescent="0.2">
      <c r="A5" s="2475"/>
      <c r="B5" s="2476"/>
      <c r="C5" s="2234" t="s">
        <v>1803</v>
      </c>
      <c r="D5" s="2252"/>
      <c r="E5" s="2234" t="s">
        <v>1802</v>
      </c>
      <c r="F5" s="2206"/>
      <c r="G5" s="2206"/>
      <c r="H5" s="2205"/>
      <c r="I5" s="2205"/>
      <c r="J5" s="646" t="s">
        <v>1801</v>
      </c>
      <c r="K5" s="2205"/>
      <c r="L5" s="2205"/>
      <c r="M5" s="646" t="s">
        <v>1800</v>
      </c>
      <c r="N5" s="2206"/>
      <c r="O5" s="2206"/>
      <c r="P5" s="2206"/>
      <c r="Q5" s="2206"/>
      <c r="R5" s="2207"/>
      <c r="U5" s="614" t="s">
        <v>133</v>
      </c>
    </row>
    <row r="6" spans="1:21" ht="15" customHeight="1" x14ac:dyDescent="0.2">
      <c r="A6" s="2475"/>
      <c r="B6" s="2476"/>
      <c r="C6" s="2236"/>
      <c r="D6" s="2253"/>
      <c r="E6" s="2085" t="s">
        <v>1799</v>
      </c>
      <c r="F6" s="2086"/>
      <c r="G6" s="2086"/>
      <c r="H6" s="2086"/>
      <c r="I6" s="620" t="s">
        <v>1798</v>
      </c>
      <c r="J6" s="2086"/>
      <c r="K6" s="2086"/>
      <c r="L6" s="2086"/>
      <c r="M6" s="620" t="s">
        <v>1797</v>
      </c>
      <c r="N6" s="2484"/>
      <c r="O6" s="2484"/>
      <c r="P6" s="2484"/>
      <c r="Q6" s="2484"/>
      <c r="R6" s="2485"/>
    </row>
    <row r="7" spans="1:21" ht="15" customHeight="1" x14ac:dyDescent="0.2">
      <c r="A7" s="2475"/>
      <c r="B7" s="2476"/>
      <c r="C7" s="2236"/>
      <c r="D7" s="2253"/>
      <c r="E7" s="2085"/>
      <c r="F7" s="2086"/>
      <c r="G7" s="2086"/>
      <c r="H7" s="2086"/>
      <c r="I7" s="620" t="s">
        <v>1796</v>
      </c>
      <c r="J7" s="2086"/>
      <c r="K7" s="2086"/>
      <c r="L7" s="2086"/>
      <c r="M7" s="620" t="s">
        <v>1795</v>
      </c>
      <c r="N7" s="2484"/>
      <c r="O7" s="2484"/>
      <c r="P7" s="2484"/>
      <c r="Q7" s="2484"/>
      <c r="R7" s="2485"/>
    </row>
    <row r="8" spans="1:21" ht="15" customHeight="1" x14ac:dyDescent="0.2">
      <c r="A8" s="2475"/>
      <c r="B8" s="2476"/>
      <c r="C8" s="2239"/>
      <c r="D8" s="2479"/>
      <c r="E8" s="2486"/>
      <c r="F8" s="2213"/>
      <c r="G8" s="2213"/>
      <c r="H8" s="2213"/>
      <c r="I8" s="2213"/>
      <c r="J8" s="2213"/>
      <c r="K8" s="2213"/>
      <c r="L8" s="2213"/>
      <c r="M8" s="2213"/>
      <c r="N8" s="2213"/>
      <c r="O8" s="2213"/>
      <c r="P8" s="2213"/>
      <c r="Q8" s="2213"/>
      <c r="R8" s="2487"/>
    </row>
    <row r="9" spans="1:21" ht="15" customHeight="1" x14ac:dyDescent="0.2">
      <c r="A9" s="2475"/>
      <c r="B9" s="2476"/>
      <c r="C9" s="2234" t="s">
        <v>1794</v>
      </c>
      <c r="D9" s="2252"/>
      <c r="E9" s="2228" t="s">
        <v>9</v>
      </c>
      <c r="F9" s="2229"/>
      <c r="G9" s="2249"/>
      <c r="H9" s="2480"/>
      <c r="I9" s="2481"/>
      <c r="J9" s="2481"/>
      <c r="K9" s="968" t="s">
        <v>1401</v>
      </c>
      <c r="L9" s="2482"/>
      <c r="M9" s="2483"/>
      <c r="N9" s="2275" t="s">
        <v>1453</v>
      </c>
      <c r="O9" s="2230"/>
      <c r="P9" s="2481"/>
      <c r="Q9" s="2481"/>
      <c r="R9" s="2491"/>
    </row>
    <row r="10" spans="1:21" ht="15" customHeight="1" x14ac:dyDescent="0.2">
      <c r="A10" s="2477"/>
      <c r="B10" s="2478"/>
      <c r="C10" s="2239"/>
      <c r="D10" s="2479"/>
      <c r="E10" s="2228" t="s">
        <v>1403</v>
      </c>
      <c r="F10" s="2229"/>
      <c r="G10" s="2249"/>
      <c r="H10" s="2488"/>
      <c r="I10" s="2489"/>
      <c r="J10" s="2489"/>
      <c r="K10" s="2489"/>
      <c r="L10" s="2489"/>
      <c r="M10" s="2489"/>
      <c r="N10" s="2489"/>
      <c r="O10" s="2489"/>
      <c r="P10" s="2489"/>
      <c r="Q10" s="2489"/>
      <c r="R10" s="2490"/>
    </row>
    <row r="11" spans="1:21" ht="15" customHeight="1" x14ac:dyDescent="0.2">
      <c r="A11" s="2502" t="s">
        <v>1793</v>
      </c>
      <c r="B11" s="2503"/>
      <c r="C11" s="2228" t="s">
        <v>7</v>
      </c>
      <c r="D11" s="2249"/>
      <c r="E11" s="2250"/>
      <c r="F11" s="2232"/>
      <c r="G11" s="2232"/>
      <c r="H11" s="2232"/>
      <c r="I11" s="2232"/>
      <c r="J11" s="2232"/>
      <c r="K11" s="2505"/>
      <c r="L11" s="2506" t="s">
        <v>1405</v>
      </c>
      <c r="M11" s="2206" t="s">
        <v>1392</v>
      </c>
      <c r="N11" s="2206"/>
      <c r="O11" s="645"/>
      <c r="P11" s="646" t="s">
        <v>232</v>
      </c>
      <c r="Q11" s="645"/>
      <c r="R11" s="967" t="s">
        <v>233</v>
      </c>
    </row>
    <row r="12" spans="1:21" ht="15" customHeight="1" x14ac:dyDescent="0.2">
      <c r="A12" s="2475"/>
      <c r="B12" s="2504"/>
      <c r="C12" s="2228" t="s">
        <v>1792</v>
      </c>
      <c r="D12" s="2249"/>
      <c r="E12" s="2250"/>
      <c r="F12" s="2232"/>
      <c r="G12" s="2232"/>
      <c r="H12" s="2232"/>
      <c r="I12" s="2232"/>
      <c r="J12" s="2232"/>
      <c r="K12" s="2505"/>
      <c r="L12" s="2507"/>
      <c r="M12" s="2214"/>
      <c r="N12" s="2214"/>
      <c r="O12" s="2214"/>
      <c r="P12" s="2214"/>
      <c r="Q12" s="2214"/>
      <c r="R12" s="2215"/>
    </row>
    <row r="13" spans="1:21" ht="15" customHeight="1" x14ac:dyDescent="0.2">
      <c r="A13" s="2475"/>
      <c r="B13" s="2504"/>
      <c r="C13" s="2234" t="s">
        <v>1465</v>
      </c>
      <c r="D13" s="2252"/>
      <c r="E13" s="2509"/>
      <c r="F13" s="2510"/>
      <c r="G13" s="2510"/>
      <c r="H13" s="2510"/>
      <c r="I13" s="2510"/>
      <c r="J13" s="2510"/>
      <c r="K13" s="2511"/>
      <c r="L13" s="2508"/>
      <c r="M13" s="2213"/>
      <c r="N13" s="2213"/>
      <c r="O13" s="2213"/>
      <c r="P13" s="2213"/>
      <c r="Q13" s="2213"/>
      <c r="R13" s="2487"/>
    </row>
    <row r="14" spans="1:21" ht="15" customHeight="1" x14ac:dyDescent="0.2">
      <c r="A14" s="2475"/>
      <c r="B14" s="2476"/>
      <c r="C14" s="2512" t="s">
        <v>1791</v>
      </c>
      <c r="D14" s="2166"/>
      <c r="E14" s="2166"/>
      <c r="F14" s="2166"/>
      <c r="G14" s="2166"/>
      <c r="H14" s="2166"/>
      <c r="I14" s="2166"/>
      <c r="J14" s="2513"/>
      <c r="K14" s="2167" t="s">
        <v>1783</v>
      </c>
      <c r="L14" s="2279"/>
      <c r="M14" s="2232"/>
      <c r="N14" s="2232"/>
      <c r="O14" s="2232"/>
      <c r="P14" s="2232"/>
      <c r="Q14" s="2232"/>
      <c r="R14" s="2233"/>
    </row>
    <row r="15" spans="1:21" ht="15" customHeight="1" x14ac:dyDescent="0.2">
      <c r="A15" s="2475"/>
      <c r="B15" s="2476"/>
      <c r="C15" s="2514"/>
      <c r="D15" s="2237"/>
      <c r="E15" s="2237"/>
      <c r="F15" s="2237"/>
      <c r="G15" s="2237"/>
      <c r="H15" s="2237"/>
      <c r="I15" s="2237"/>
      <c r="J15" s="2238"/>
      <c r="K15" s="2512" t="s">
        <v>1790</v>
      </c>
      <c r="L15" s="2513"/>
      <c r="M15" s="2520"/>
      <c r="N15" s="2520"/>
      <c r="O15" s="2520"/>
      <c r="P15" s="2520"/>
      <c r="Q15" s="2520"/>
      <c r="R15" s="2521"/>
    </row>
    <row r="16" spans="1:21" ht="15" customHeight="1" x14ac:dyDescent="0.2">
      <c r="A16" s="2475"/>
      <c r="B16" s="2476"/>
      <c r="C16" s="2514"/>
      <c r="D16" s="2237"/>
      <c r="E16" s="2237"/>
      <c r="F16" s="2237"/>
      <c r="G16" s="2237"/>
      <c r="H16" s="2237"/>
      <c r="I16" s="2237"/>
      <c r="J16" s="2238"/>
      <c r="K16" s="2514" t="s">
        <v>1789</v>
      </c>
      <c r="L16" s="2238"/>
      <c r="M16" s="2522"/>
      <c r="N16" s="2522"/>
      <c r="O16" s="2522"/>
      <c r="P16" s="2522"/>
      <c r="Q16" s="2522"/>
      <c r="R16" s="2523"/>
    </row>
    <row r="17" spans="1:24" ht="24.6" customHeight="1" x14ac:dyDescent="0.2">
      <c r="A17" s="2187" t="s">
        <v>1788</v>
      </c>
      <c r="B17" s="2167"/>
      <c r="C17" s="2167"/>
      <c r="D17" s="2167"/>
      <c r="E17" s="2167"/>
      <c r="F17" s="2167"/>
      <c r="G17" s="2167"/>
      <c r="H17" s="2167"/>
      <c r="I17" s="2167"/>
      <c r="J17" s="2279"/>
      <c r="K17" s="966"/>
      <c r="L17" s="966"/>
      <c r="M17" s="2278" t="s">
        <v>1787</v>
      </c>
      <c r="N17" s="2167"/>
      <c r="O17" s="2167"/>
      <c r="P17" s="2279"/>
      <c r="Q17" s="2500"/>
      <c r="R17" s="2501"/>
    </row>
    <row r="18" spans="1:24" s="628" customFormat="1" ht="15" customHeight="1" x14ac:dyDescent="0.2">
      <c r="A18" s="2515" t="s">
        <v>1786</v>
      </c>
      <c r="B18" s="2508"/>
      <c r="C18" s="2508"/>
      <c r="D18" s="2508"/>
      <c r="E18" s="2508"/>
      <c r="F18" s="2508"/>
      <c r="G18" s="2508"/>
      <c r="H18" s="2508"/>
      <c r="I18" s="2508"/>
      <c r="J18" s="2508"/>
      <c r="K18" s="2508" t="s">
        <v>231</v>
      </c>
      <c r="L18" s="2508"/>
      <c r="M18" s="2516"/>
      <c r="N18" s="2516"/>
      <c r="O18" s="2516"/>
      <c r="P18" s="2516"/>
      <c r="Q18" s="2516"/>
      <c r="R18" s="2517"/>
      <c r="S18" s="628" t="s">
        <v>133</v>
      </c>
    </row>
    <row r="19" spans="1:24" s="628" customFormat="1" ht="15" customHeight="1" x14ac:dyDescent="0.2">
      <c r="A19" s="2337"/>
      <c r="B19" s="2338"/>
      <c r="C19" s="2338"/>
      <c r="D19" s="2338"/>
      <c r="E19" s="2338"/>
      <c r="F19" s="2338"/>
      <c r="G19" s="2338"/>
      <c r="H19" s="2338"/>
      <c r="I19" s="2338"/>
      <c r="J19" s="2338"/>
      <c r="K19" s="2338" t="s">
        <v>1785</v>
      </c>
      <c r="L19" s="2338"/>
      <c r="M19" s="2518"/>
      <c r="N19" s="2518"/>
      <c r="O19" s="2518"/>
      <c r="P19" s="2518"/>
      <c r="Q19" s="2518"/>
      <c r="R19" s="2519"/>
      <c r="S19" s="628" t="s">
        <v>133</v>
      </c>
    </row>
    <row r="20" spans="1:24" s="628" customFormat="1" ht="22.35" customHeight="1" x14ac:dyDescent="0.2">
      <c r="A20" s="2531" t="s">
        <v>1784</v>
      </c>
      <c r="B20" s="2532"/>
      <c r="C20" s="2278" t="s">
        <v>1783</v>
      </c>
      <c r="D20" s="2279"/>
      <c r="E20" s="2492"/>
      <c r="F20" s="2493"/>
      <c r="G20" s="2493"/>
      <c r="H20" s="2493"/>
      <c r="I20" s="2493"/>
      <c r="J20" s="2494"/>
      <c r="K20" s="2495" t="s">
        <v>1782</v>
      </c>
      <c r="L20" s="2496"/>
      <c r="M20" s="2497"/>
      <c r="N20" s="2498"/>
      <c r="O20" s="2498"/>
      <c r="P20" s="2498"/>
      <c r="Q20" s="2498"/>
      <c r="R20" s="2499"/>
    </row>
    <row r="21" spans="1:24" s="628" customFormat="1" ht="22.35" customHeight="1" x14ac:dyDescent="0.2">
      <c r="A21" s="2531"/>
      <c r="B21" s="2532"/>
      <c r="C21" s="2278" t="s">
        <v>1783</v>
      </c>
      <c r="D21" s="2279"/>
      <c r="E21" s="2492"/>
      <c r="F21" s="2493"/>
      <c r="G21" s="2493"/>
      <c r="H21" s="2493"/>
      <c r="I21" s="2493"/>
      <c r="J21" s="2494"/>
      <c r="K21" s="2495" t="s">
        <v>1782</v>
      </c>
      <c r="L21" s="2496"/>
      <c r="M21" s="2497"/>
      <c r="N21" s="2498"/>
      <c r="O21" s="2498"/>
      <c r="P21" s="2498"/>
      <c r="Q21" s="2498"/>
      <c r="R21" s="2499"/>
    </row>
    <row r="22" spans="1:24" s="628" customFormat="1" ht="22.35" customHeight="1" x14ac:dyDescent="0.2">
      <c r="A22" s="2531"/>
      <c r="B22" s="2532"/>
      <c r="C22" s="2278" t="s">
        <v>1783</v>
      </c>
      <c r="D22" s="2279"/>
      <c r="E22" s="2492"/>
      <c r="F22" s="2493"/>
      <c r="G22" s="2493"/>
      <c r="H22" s="2493"/>
      <c r="I22" s="2493"/>
      <c r="J22" s="2494"/>
      <c r="K22" s="2495" t="s">
        <v>1782</v>
      </c>
      <c r="L22" s="2496"/>
      <c r="M22" s="2497"/>
      <c r="N22" s="2498"/>
      <c r="O22" s="2498"/>
      <c r="P22" s="2498"/>
      <c r="Q22" s="2498"/>
      <c r="R22" s="2499"/>
    </row>
    <row r="23" spans="1:24" s="628" customFormat="1" ht="22.35" customHeight="1" thickBot="1" x14ac:dyDescent="0.25">
      <c r="A23" s="2533"/>
      <c r="B23" s="2534"/>
      <c r="C23" s="2149" t="s">
        <v>1783</v>
      </c>
      <c r="D23" s="2524"/>
      <c r="E23" s="2525"/>
      <c r="F23" s="2526"/>
      <c r="G23" s="2526"/>
      <c r="H23" s="2526"/>
      <c r="I23" s="2526"/>
      <c r="J23" s="2527"/>
      <c r="K23" s="2528" t="s">
        <v>1782</v>
      </c>
      <c r="L23" s="2529"/>
      <c r="M23" s="2525"/>
      <c r="N23" s="2526"/>
      <c r="O23" s="2526"/>
      <c r="P23" s="2526"/>
      <c r="Q23" s="2526"/>
      <c r="R23" s="2530"/>
    </row>
    <row r="24" spans="1:24" s="628" customFormat="1" ht="18" customHeight="1" x14ac:dyDescent="0.2">
      <c r="A24" s="965"/>
      <c r="B24" s="2536" t="s">
        <v>1781</v>
      </c>
      <c r="C24" s="2536"/>
      <c r="D24" s="2536"/>
      <c r="E24" s="2536"/>
      <c r="F24" s="2536"/>
      <c r="G24" s="2536"/>
      <c r="H24" s="2536"/>
      <c r="I24" s="2536"/>
      <c r="J24" s="2537"/>
      <c r="K24" s="2538"/>
      <c r="L24" s="2539"/>
      <c r="M24" s="2539"/>
      <c r="N24" s="2539"/>
      <c r="O24" s="2539"/>
      <c r="P24" s="2539"/>
      <c r="Q24" s="2539"/>
      <c r="R24" s="2540"/>
    </row>
    <row r="25" spans="1:24" s="628" customFormat="1" ht="18" customHeight="1" thickBot="1" x14ac:dyDescent="0.25">
      <c r="A25" s="964"/>
      <c r="B25" s="2541" t="s">
        <v>1780</v>
      </c>
      <c r="C25" s="2541"/>
      <c r="D25" s="2541"/>
      <c r="E25" s="2541"/>
      <c r="F25" s="2541"/>
      <c r="G25" s="2541"/>
      <c r="H25" s="2541"/>
      <c r="I25" s="2541"/>
      <c r="J25" s="2542"/>
      <c r="K25" s="963"/>
      <c r="L25" s="2543" t="s">
        <v>1779</v>
      </c>
      <c r="M25" s="2543"/>
      <c r="N25" s="2543"/>
      <c r="O25" s="963"/>
      <c r="P25" s="2543" t="s">
        <v>1778</v>
      </c>
      <c r="Q25" s="2543"/>
      <c r="R25" s="2544"/>
      <c r="S25" s="614"/>
      <c r="X25" s="614"/>
    </row>
    <row r="26" spans="1:24" s="628" customFormat="1" ht="18" customHeight="1" x14ac:dyDescent="0.2">
      <c r="A26" s="2546" t="s">
        <v>1754</v>
      </c>
      <c r="B26" s="2549" t="s">
        <v>1777</v>
      </c>
      <c r="C26" s="2550"/>
      <c r="D26" s="2550"/>
      <c r="E26" s="2550"/>
      <c r="F26" s="2550"/>
      <c r="G26" s="2550"/>
      <c r="H26" s="2550"/>
      <c r="I26" s="2550"/>
      <c r="J26" s="2551"/>
      <c r="K26" s="962"/>
      <c r="L26" s="2298" t="s">
        <v>1773</v>
      </c>
      <c r="M26" s="2298"/>
      <c r="N26" s="657"/>
      <c r="O26" s="657"/>
      <c r="P26" s="2298" t="s">
        <v>1772</v>
      </c>
      <c r="Q26" s="2298"/>
      <c r="R26" s="961"/>
    </row>
    <row r="27" spans="1:24" ht="15" customHeight="1" x14ac:dyDescent="0.2">
      <c r="A27" s="2547"/>
      <c r="B27" s="2552" t="s">
        <v>1472</v>
      </c>
      <c r="C27" s="2553"/>
      <c r="D27" s="2553"/>
      <c r="E27" s="2553"/>
      <c r="F27" s="2553"/>
      <c r="G27" s="2553"/>
      <c r="H27" s="2553"/>
      <c r="I27" s="2553"/>
      <c r="J27" s="2553"/>
      <c r="K27" s="2553"/>
      <c r="L27" s="2553"/>
      <c r="M27" s="2553"/>
      <c r="N27" s="2553"/>
      <c r="O27" s="2553"/>
      <c r="P27" s="2553"/>
      <c r="Q27" s="2553"/>
      <c r="R27" s="2554"/>
    </row>
    <row r="28" spans="1:24" ht="15" customHeight="1" x14ac:dyDescent="0.2">
      <c r="A28" s="2547"/>
      <c r="B28" s="2345" t="s">
        <v>1771</v>
      </c>
      <c r="C28" s="2206"/>
      <c r="D28" s="2206"/>
      <c r="E28" s="2206"/>
      <c r="F28" s="2206"/>
      <c r="G28" s="2206"/>
      <c r="H28" s="2206"/>
      <c r="I28" s="2206"/>
      <c r="J28" s="2252"/>
      <c r="K28" s="2234" t="s">
        <v>1770</v>
      </c>
      <c r="L28" s="2206"/>
      <c r="M28" s="2278" t="s">
        <v>1769</v>
      </c>
      <c r="N28" s="2279"/>
      <c r="O28" s="2229" t="s">
        <v>123</v>
      </c>
      <c r="P28" s="2249"/>
      <c r="Q28" s="2228" t="s">
        <v>124</v>
      </c>
      <c r="R28" s="2365"/>
    </row>
    <row r="29" spans="1:24" ht="15" customHeight="1" x14ac:dyDescent="0.2">
      <c r="A29" s="2547"/>
      <c r="B29" s="2535"/>
      <c r="C29" s="2237"/>
      <c r="D29" s="2237"/>
      <c r="E29" s="2237"/>
      <c r="F29" s="2237"/>
      <c r="G29" s="2237"/>
      <c r="H29" s="2237"/>
      <c r="I29" s="2237"/>
      <c r="J29" s="2253"/>
      <c r="K29" s="952" t="s">
        <v>1475</v>
      </c>
      <c r="L29" s="651" t="s">
        <v>1476</v>
      </c>
      <c r="M29" s="952" t="s">
        <v>1475</v>
      </c>
      <c r="N29" s="960" t="s">
        <v>1476</v>
      </c>
      <c r="O29" s="952" t="s">
        <v>1475</v>
      </c>
      <c r="P29" s="960" t="s">
        <v>1476</v>
      </c>
      <c r="Q29" s="952" t="s">
        <v>1475</v>
      </c>
      <c r="R29" s="951" t="s">
        <v>1476</v>
      </c>
    </row>
    <row r="30" spans="1:24" ht="15" customHeight="1" x14ac:dyDescent="0.2">
      <c r="A30" s="2547"/>
      <c r="B30" s="636"/>
      <c r="C30" s="2512" t="s">
        <v>1765</v>
      </c>
      <c r="D30" s="2166"/>
      <c r="E30" s="2166"/>
      <c r="F30" s="2166"/>
      <c r="G30" s="2166"/>
      <c r="H30" s="2545"/>
      <c r="I30" s="2228" t="s">
        <v>1477</v>
      </c>
      <c r="J30" s="2249"/>
      <c r="K30" s="959"/>
      <c r="L30" s="958"/>
      <c r="M30" s="957"/>
      <c r="N30" s="949"/>
      <c r="O30" s="949"/>
      <c r="P30" s="949"/>
      <c r="Q30" s="948"/>
      <c r="R30" s="947"/>
    </row>
    <row r="31" spans="1:24" ht="15" customHeight="1" x14ac:dyDescent="0.2">
      <c r="A31" s="2547"/>
      <c r="B31" s="636"/>
      <c r="C31" s="2514"/>
      <c r="D31" s="2237"/>
      <c r="E31" s="2237"/>
      <c r="F31" s="2237"/>
      <c r="G31" s="2237"/>
      <c r="H31" s="2253"/>
      <c r="I31" s="2234" t="s">
        <v>1478</v>
      </c>
      <c r="J31" s="2252"/>
      <c r="K31" s="645"/>
      <c r="L31" s="956"/>
      <c r="M31" s="956"/>
      <c r="N31" s="946"/>
      <c r="O31" s="946"/>
      <c r="P31" s="946"/>
      <c r="Q31" s="945"/>
      <c r="R31" s="944"/>
    </row>
    <row r="32" spans="1:24" s="628" customFormat="1" ht="15" customHeight="1" x14ac:dyDescent="0.2">
      <c r="A32" s="2547"/>
      <c r="B32" s="636"/>
      <c r="C32" s="2278" t="s">
        <v>1479</v>
      </c>
      <c r="D32" s="2167"/>
      <c r="E32" s="2167"/>
      <c r="F32" s="2167"/>
      <c r="G32" s="2167"/>
      <c r="H32" s="2167"/>
      <c r="I32" s="2167"/>
      <c r="J32" s="2558"/>
      <c r="K32" s="2556"/>
      <c r="L32" s="2559"/>
      <c r="M32" s="2170"/>
      <c r="N32" s="2555"/>
      <c r="O32" s="2170"/>
      <c r="P32" s="2555"/>
      <c r="Q32" s="2556"/>
      <c r="R32" s="2180"/>
    </row>
    <row r="33" spans="1:18" ht="15" customHeight="1" x14ac:dyDescent="0.2">
      <c r="A33" s="2547"/>
      <c r="B33" s="955"/>
      <c r="C33" s="954"/>
      <c r="D33" s="954"/>
      <c r="E33" s="954"/>
      <c r="F33" s="954"/>
      <c r="G33" s="954"/>
      <c r="H33" s="954"/>
      <c r="I33" s="954"/>
      <c r="J33" s="953"/>
      <c r="K33" s="2239" t="s">
        <v>1768</v>
      </c>
      <c r="L33" s="2241"/>
      <c r="M33" s="2240" t="s">
        <v>1767</v>
      </c>
      <c r="N33" s="2479"/>
      <c r="O33" s="2240" t="s">
        <v>1766</v>
      </c>
      <c r="P33" s="2479"/>
      <c r="Q33" s="2239" t="s">
        <v>122</v>
      </c>
      <c r="R33" s="2560"/>
    </row>
    <row r="34" spans="1:18" ht="15" customHeight="1" x14ac:dyDescent="0.2">
      <c r="A34" s="2547"/>
      <c r="B34" s="955"/>
      <c r="C34" s="954"/>
      <c r="D34" s="954"/>
      <c r="E34" s="954"/>
      <c r="F34" s="954"/>
      <c r="G34" s="954"/>
      <c r="H34" s="954"/>
      <c r="I34" s="954"/>
      <c r="J34" s="953"/>
      <c r="K34" s="952" t="s">
        <v>1475</v>
      </c>
      <c r="L34" s="952" t="s">
        <v>1476</v>
      </c>
      <c r="M34" s="952" t="s">
        <v>1475</v>
      </c>
      <c r="N34" s="952" t="s">
        <v>1476</v>
      </c>
      <c r="O34" s="952" t="s">
        <v>1475</v>
      </c>
      <c r="P34" s="952" t="s">
        <v>1476</v>
      </c>
      <c r="Q34" s="952" t="s">
        <v>1475</v>
      </c>
      <c r="R34" s="951" t="s">
        <v>1476</v>
      </c>
    </row>
    <row r="35" spans="1:18" ht="15" customHeight="1" x14ac:dyDescent="0.2">
      <c r="A35" s="2547"/>
      <c r="B35" s="636"/>
      <c r="C35" s="2512" t="s">
        <v>1765</v>
      </c>
      <c r="D35" s="2166"/>
      <c r="E35" s="2166"/>
      <c r="F35" s="2166"/>
      <c r="G35" s="2166"/>
      <c r="H35" s="2545"/>
      <c r="I35" s="2228" t="s">
        <v>1477</v>
      </c>
      <c r="J35" s="2249"/>
      <c r="K35" s="950"/>
      <c r="L35" s="948"/>
      <c r="M35" s="950"/>
      <c r="N35" s="948"/>
      <c r="O35" s="949"/>
      <c r="P35" s="949"/>
      <c r="Q35" s="948"/>
      <c r="R35" s="947"/>
    </row>
    <row r="36" spans="1:18" ht="15" customHeight="1" x14ac:dyDescent="0.2">
      <c r="A36" s="2547"/>
      <c r="B36" s="636"/>
      <c r="C36" s="2514"/>
      <c r="D36" s="2237"/>
      <c r="E36" s="2237"/>
      <c r="F36" s="2237"/>
      <c r="G36" s="2237"/>
      <c r="H36" s="2253"/>
      <c r="I36" s="2234" t="s">
        <v>1478</v>
      </c>
      <c r="J36" s="2252"/>
      <c r="K36" s="645"/>
      <c r="L36" s="945"/>
      <c r="M36" s="645"/>
      <c r="N36" s="945"/>
      <c r="O36" s="946"/>
      <c r="P36" s="946"/>
      <c r="Q36" s="945"/>
      <c r="R36" s="944"/>
    </row>
    <row r="37" spans="1:18" s="628" customFormat="1" ht="15" customHeight="1" x14ac:dyDescent="0.2">
      <c r="A37" s="2547"/>
      <c r="B37" s="636"/>
      <c r="C37" s="2338" t="s">
        <v>1479</v>
      </c>
      <c r="D37" s="2338"/>
      <c r="E37" s="2338"/>
      <c r="F37" s="2338"/>
      <c r="G37" s="2338"/>
      <c r="H37" s="2338"/>
      <c r="I37" s="2338"/>
      <c r="J37" s="2338"/>
      <c r="K37" s="2557"/>
      <c r="L37" s="2557"/>
      <c r="M37" s="2557"/>
      <c r="N37" s="2557"/>
      <c r="O37" s="2557"/>
      <c r="P37" s="2557"/>
      <c r="Q37" s="2557"/>
      <c r="R37" s="2569"/>
    </row>
    <row r="38" spans="1:18" ht="15" customHeight="1" x14ac:dyDescent="0.2">
      <c r="A38" s="2547"/>
      <c r="B38" s="2570" t="s">
        <v>1749</v>
      </c>
      <c r="C38" s="2571"/>
      <c r="D38" s="2571"/>
      <c r="E38" s="2571"/>
      <c r="F38" s="2571"/>
      <c r="G38" s="2571"/>
      <c r="H38" s="2571"/>
      <c r="I38" s="2571"/>
      <c r="J38" s="2571"/>
      <c r="K38" s="2571"/>
      <c r="L38" s="2571"/>
      <c r="M38" s="2571"/>
      <c r="N38" s="2571"/>
      <c r="O38" s="2571"/>
      <c r="P38" s="2571"/>
      <c r="Q38" s="2571"/>
      <c r="R38" s="2572"/>
    </row>
    <row r="39" spans="1:18" s="628" customFormat="1" ht="15" customHeight="1" x14ac:dyDescent="0.2">
      <c r="A39" s="2547"/>
      <c r="B39" s="941"/>
      <c r="C39" s="2166" t="s">
        <v>1764</v>
      </c>
      <c r="D39" s="2166"/>
      <c r="E39" s="2166"/>
      <c r="F39" s="2166"/>
      <c r="G39" s="2166"/>
      <c r="H39" s="2513"/>
      <c r="I39" s="2278" t="s">
        <v>1763</v>
      </c>
      <c r="J39" s="2167"/>
      <c r="K39" s="2167"/>
      <c r="L39" s="2279"/>
      <c r="M39" s="943"/>
      <c r="N39" s="942" t="s">
        <v>1742</v>
      </c>
      <c r="O39" s="2563"/>
      <c r="P39" s="2172"/>
      <c r="Q39" s="2172"/>
      <c r="R39" s="2564"/>
    </row>
    <row r="40" spans="1:18" s="628" customFormat="1" ht="15" customHeight="1" x14ac:dyDescent="0.2">
      <c r="A40" s="2547"/>
      <c r="B40" s="636"/>
      <c r="C40" s="2561"/>
      <c r="D40" s="2561"/>
      <c r="E40" s="2561"/>
      <c r="F40" s="2561"/>
      <c r="G40" s="2561"/>
      <c r="H40" s="2562"/>
      <c r="I40" s="2194" t="s">
        <v>1762</v>
      </c>
      <c r="J40" s="2195"/>
      <c r="K40" s="2195"/>
      <c r="L40" s="2196"/>
      <c r="M40" s="940"/>
      <c r="N40" s="647" t="s">
        <v>225</v>
      </c>
      <c r="O40" s="2565"/>
      <c r="P40" s="2175"/>
      <c r="Q40" s="2175"/>
      <c r="R40" s="2566"/>
    </row>
    <row r="41" spans="1:18" s="628" customFormat="1" ht="15" customHeight="1" x14ac:dyDescent="0.2">
      <c r="A41" s="2547"/>
      <c r="B41" s="941"/>
      <c r="C41" s="2166" t="s">
        <v>1484</v>
      </c>
      <c r="D41" s="2166"/>
      <c r="E41" s="2166"/>
      <c r="F41" s="2166"/>
      <c r="G41" s="2166"/>
      <c r="H41" s="2513"/>
      <c r="I41" s="2278" t="s">
        <v>226</v>
      </c>
      <c r="J41" s="2167"/>
      <c r="K41" s="2167"/>
      <c r="L41" s="2279"/>
      <c r="M41" s="940"/>
      <c r="N41" s="651" t="s">
        <v>227</v>
      </c>
      <c r="O41" s="2565"/>
      <c r="P41" s="2175"/>
      <c r="Q41" s="2175"/>
      <c r="R41" s="2566"/>
    </row>
    <row r="42" spans="1:18" s="628" customFormat="1" ht="15" customHeight="1" x14ac:dyDescent="0.2">
      <c r="A42" s="2547"/>
      <c r="B42" s="638"/>
      <c r="C42" s="2561"/>
      <c r="D42" s="2561"/>
      <c r="E42" s="2561"/>
      <c r="F42" s="2561"/>
      <c r="G42" s="2561"/>
      <c r="H42" s="2562"/>
      <c r="I42" s="2278" t="s">
        <v>228</v>
      </c>
      <c r="J42" s="2167"/>
      <c r="K42" s="2167"/>
      <c r="L42" s="2279"/>
      <c r="M42" s="940"/>
      <c r="N42" s="651" t="s">
        <v>227</v>
      </c>
      <c r="O42" s="2565"/>
      <c r="P42" s="2175"/>
      <c r="Q42" s="2175"/>
      <c r="R42" s="2566"/>
    </row>
    <row r="43" spans="1:18" s="628" customFormat="1" ht="15" customHeight="1" x14ac:dyDescent="0.2">
      <c r="A43" s="2547"/>
      <c r="B43" s="2187" t="s">
        <v>1761</v>
      </c>
      <c r="C43" s="2167"/>
      <c r="D43" s="2167"/>
      <c r="E43" s="2167"/>
      <c r="F43" s="2167"/>
      <c r="G43" s="2167"/>
      <c r="H43" s="2167"/>
      <c r="I43" s="2167"/>
      <c r="J43" s="2167"/>
      <c r="K43" s="2167"/>
      <c r="L43" s="2279"/>
      <c r="M43" s="940"/>
      <c r="N43" s="651" t="s">
        <v>225</v>
      </c>
      <c r="O43" s="2565"/>
      <c r="P43" s="2175"/>
      <c r="Q43" s="2175"/>
      <c r="R43" s="2566"/>
    </row>
    <row r="44" spans="1:18" s="628" customFormat="1" ht="15" customHeight="1" x14ac:dyDescent="0.2">
      <c r="A44" s="2547"/>
      <c r="B44" s="2187" t="s">
        <v>1760</v>
      </c>
      <c r="C44" s="2167"/>
      <c r="D44" s="2167"/>
      <c r="E44" s="2167"/>
      <c r="F44" s="2167"/>
      <c r="G44" s="2167"/>
      <c r="H44" s="2167"/>
      <c r="I44" s="2167"/>
      <c r="J44" s="2167"/>
      <c r="K44" s="2167"/>
      <c r="L44" s="2279"/>
      <c r="M44" s="940"/>
      <c r="N44" s="651" t="s">
        <v>225</v>
      </c>
      <c r="O44" s="2565"/>
      <c r="P44" s="2175"/>
      <c r="Q44" s="2175"/>
      <c r="R44" s="2566"/>
    </row>
    <row r="45" spans="1:18" s="628" customFormat="1" ht="15" customHeight="1" x14ac:dyDescent="0.2">
      <c r="A45" s="2547"/>
      <c r="B45" s="2187" t="s">
        <v>1759</v>
      </c>
      <c r="C45" s="2167"/>
      <c r="D45" s="2167"/>
      <c r="E45" s="2167"/>
      <c r="F45" s="2167"/>
      <c r="G45" s="2167"/>
      <c r="H45" s="2167"/>
      <c r="I45" s="2167"/>
      <c r="J45" s="2167"/>
      <c r="K45" s="2167"/>
      <c r="L45" s="2279"/>
      <c r="M45" s="939"/>
      <c r="N45" s="634" t="s">
        <v>1742</v>
      </c>
      <c r="O45" s="937"/>
      <c r="P45" s="937"/>
      <c r="Q45" s="937"/>
      <c r="R45" s="936"/>
    </row>
    <row r="46" spans="1:18" s="628" customFormat="1" ht="15" customHeight="1" x14ac:dyDescent="0.2">
      <c r="A46" s="2547"/>
      <c r="B46" s="2187" t="s">
        <v>1758</v>
      </c>
      <c r="C46" s="2167"/>
      <c r="D46" s="2167"/>
      <c r="E46" s="2167"/>
      <c r="F46" s="2167"/>
      <c r="G46" s="2167"/>
      <c r="H46" s="2167"/>
      <c r="I46" s="2167"/>
      <c r="J46" s="2167"/>
      <c r="K46" s="2167"/>
      <c r="L46" s="2279"/>
      <c r="M46" s="938"/>
      <c r="N46" s="635" t="s">
        <v>1742</v>
      </c>
      <c r="O46" s="937"/>
      <c r="P46" s="937"/>
      <c r="Q46" s="937"/>
      <c r="R46" s="936"/>
    </row>
    <row r="47" spans="1:18" s="628" customFormat="1" ht="15" customHeight="1" thickBot="1" x14ac:dyDescent="0.25">
      <c r="A47" s="2548"/>
      <c r="B47" s="2147" t="s">
        <v>1776</v>
      </c>
      <c r="C47" s="2148"/>
      <c r="D47" s="2148"/>
      <c r="E47" s="2148"/>
      <c r="F47" s="2148"/>
      <c r="G47" s="2148"/>
      <c r="H47" s="2148"/>
      <c r="I47" s="2148"/>
      <c r="J47" s="2148"/>
      <c r="K47" s="2148"/>
      <c r="L47" s="2524"/>
      <c r="M47" s="935"/>
      <c r="N47" s="640" t="s">
        <v>1742</v>
      </c>
      <c r="O47" s="934"/>
      <c r="P47" s="934"/>
      <c r="Q47" s="934"/>
      <c r="R47" s="933"/>
    </row>
    <row r="48" spans="1:18" s="628" customFormat="1" ht="18" customHeight="1" x14ac:dyDescent="0.2">
      <c r="A48" s="2546" t="s">
        <v>1775</v>
      </c>
      <c r="B48" s="2549" t="s">
        <v>1774</v>
      </c>
      <c r="C48" s="2550"/>
      <c r="D48" s="2550"/>
      <c r="E48" s="2550"/>
      <c r="F48" s="2550"/>
      <c r="G48" s="2550"/>
      <c r="H48" s="2550"/>
      <c r="I48" s="2550"/>
      <c r="J48" s="2551"/>
      <c r="K48" s="962"/>
      <c r="L48" s="2298" t="s">
        <v>1773</v>
      </c>
      <c r="M48" s="2298"/>
      <c r="N48" s="656"/>
      <c r="O48" s="656"/>
      <c r="P48" s="2298" t="s">
        <v>1772</v>
      </c>
      <c r="Q48" s="2298"/>
      <c r="R48" s="961"/>
    </row>
    <row r="49" spans="1:18" ht="15" customHeight="1" x14ac:dyDescent="0.2">
      <c r="A49" s="2547"/>
      <c r="B49" s="2552" t="s">
        <v>1472</v>
      </c>
      <c r="C49" s="2553"/>
      <c r="D49" s="2553"/>
      <c r="E49" s="2553"/>
      <c r="F49" s="2553"/>
      <c r="G49" s="2553"/>
      <c r="H49" s="2553"/>
      <c r="I49" s="2553"/>
      <c r="J49" s="2553"/>
      <c r="K49" s="2553"/>
      <c r="L49" s="2553"/>
      <c r="M49" s="2553"/>
      <c r="N49" s="2553"/>
      <c r="O49" s="2553"/>
      <c r="P49" s="2553"/>
      <c r="Q49" s="2553"/>
      <c r="R49" s="2554"/>
    </row>
    <row r="50" spans="1:18" ht="15" customHeight="1" x14ac:dyDescent="0.2">
      <c r="A50" s="2547"/>
      <c r="B50" s="2345" t="s">
        <v>1771</v>
      </c>
      <c r="C50" s="2206"/>
      <c r="D50" s="2206"/>
      <c r="E50" s="2206"/>
      <c r="F50" s="2206"/>
      <c r="G50" s="2206"/>
      <c r="H50" s="2206"/>
      <c r="I50" s="2206"/>
      <c r="J50" s="2252"/>
      <c r="K50" s="2234" t="s">
        <v>1770</v>
      </c>
      <c r="L50" s="2206"/>
      <c r="M50" s="2278" t="s">
        <v>1769</v>
      </c>
      <c r="N50" s="2279"/>
      <c r="O50" s="2229" t="s">
        <v>123</v>
      </c>
      <c r="P50" s="2249"/>
      <c r="Q50" s="2228" t="s">
        <v>124</v>
      </c>
      <c r="R50" s="2365"/>
    </row>
    <row r="51" spans="1:18" ht="15" customHeight="1" x14ac:dyDescent="0.2">
      <c r="A51" s="2547"/>
      <c r="B51" s="2535"/>
      <c r="C51" s="2237"/>
      <c r="D51" s="2237"/>
      <c r="E51" s="2237"/>
      <c r="F51" s="2237"/>
      <c r="G51" s="2237"/>
      <c r="H51" s="2237"/>
      <c r="I51" s="2237"/>
      <c r="J51" s="2253"/>
      <c r="K51" s="952" t="s">
        <v>1475</v>
      </c>
      <c r="L51" s="651" t="s">
        <v>1476</v>
      </c>
      <c r="M51" s="952" t="s">
        <v>1475</v>
      </c>
      <c r="N51" s="960" t="s">
        <v>1476</v>
      </c>
      <c r="O51" s="952" t="s">
        <v>1475</v>
      </c>
      <c r="P51" s="960" t="s">
        <v>1476</v>
      </c>
      <c r="Q51" s="952" t="s">
        <v>1475</v>
      </c>
      <c r="R51" s="951" t="s">
        <v>1476</v>
      </c>
    </row>
    <row r="52" spans="1:18" ht="15" customHeight="1" x14ac:dyDescent="0.2">
      <c r="A52" s="2547"/>
      <c r="B52" s="636"/>
      <c r="C52" s="2512" t="s">
        <v>1765</v>
      </c>
      <c r="D52" s="2166"/>
      <c r="E52" s="2166"/>
      <c r="F52" s="2166"/>
      <c r="G52" s="2166"/>
      <c r="H52" s="2545"/>
      <c r="I52" s="2228" t="s">
        <v>1477</v>
      </c>
      <c r="J52" s="2249"/>
      <c r="K52" s="959"/>
      <c r="L52" s="958"/>
      <c r="M52" s="957"/>
      <c r="N52" s="949"/>
      <c r="O52" s="949"/>
      <c r="P52" s="949"/>
      <c r="Q52" s="948"/>
      <c r="R52" s="947"/>
    </row>
    <row r="53" spans="1:18" ht="15" customHeight="1" x14ac:dyDescent="0.2">
      <c r="A53" s="2547"/>
      <c r="B53" s="636"/>
      <c r="C53" s="2514"/>
      <c r="D53" s="2237"/>
      <c r="E53" s="2237"/>
      <c r="F53" s="2237"/>
      <c r="G53" s="2237"/>
      <c r="H53" s="2253"/>
      <c r="I53" s="2234" t="s">
        <v>1478</v>
      </c>
      <c r="J53" s="2252"/>
      <c r="K53" s="645"/>
      <c r="L53" s="956"/>
      <c r="M53" s="956"/>
      <c r="N53" s="946"/>
      <c r="O53" s="946"/>
      <c r="P53" s="946"/>
      <c r="Q53" s="945"/>
      <c r="R53" s="944"/>
    </row>
    <row r="54" spans="1:18" s="628" customFormat="1" ht="15" customHeight="1" x14ac:dyDescent="0.2">
      <c r="A54" s="2547"/>
      <c r="B54" s="636"/>
      <c r="C54" s="2278" t="s">
        <v>1479</v>
      </c>
      <c r="D54" s="2167"/>
      <c r="E54" s="2167"/>
      <c r="F54" s="2167"/>
      <c r="G54" s="2167"/>
      <c r="H54" s="2167"/>
      <c r="I54" s="2167"/>
      <c r="J54" s="2558"/>
      <c r="K54" s="2556"/>
      <c r="L54" s="2559"/>
      <c r="M54" s="2170"/>
      <c r="N54" s="2555"/>
      <c r="O54" s="2170"/>
      <c r="P54" s="2555"/>
      <c r="Q54" s="2556"/>
      <c r="R54" s="2180"/>
    </row>
    <row r="55" spans="1:18" ht="15" customHeight="1" x14ac:dyDescent="0.2">
      <c r="A55" s="2547"/>
      <c r="B55" s="955"/>
      <c r="C55" s="954"/>
      <c r="D55" s="954"/>
      <c r="E55" s="954"/>
      <c r="F55" s="954"/>
      <c r="G55" s="954"/>
      <c r="H55" s="954"/>
      <c r="I55" s="670"/>
      <c r="J55" s="953"/>
      <c r="K55" s="2239" t="s">
        <v>1768</v>
      </c>
      <c r="L55" s="2241"/>
      <c r="M55" s="2240" t="s">
        <v>1767</v>
      </c>
      <c r="N55" s="2479"/>
      <c r="O55" s="2240" t="s">
        <v>1766</v>
      </c>
      <c r="P55" s="2479"/>
      <c r="Q55" s="2239" t="s">
        <v>122</v>
      </c>
      <c r="R55" s="2560"/>
    </row>
    <row r="56" spans="1:18" ht="15" customHeight="1" x14ac:dyDescent="0.2">
      <c r="A56" s="2547"/>
      <c r="B56" s="955"/>
      <c r="C56" s="954"/>
      <c r="D56" s="954"/>
      <c r="E56" s="954"/>
      <c r="F56" s="954"/>
      <c r="G56" s="954"/>
      <c r="H56" s="954"/>
      <c r="I56" s="954"/>
      <c r="J56" s="953"/>
      <c r="K56" s="952" t="s">
        <v>1475</v>
      </c>
      <c r="L56" s="952" t="s">
        <v>1476</v>
      </c>
      <c r="M56" s="952" t="s">
        <v>1475</v>
      </c>
      <c r="N56" s="952" t="s">
        <v>1476</v>
      </c>
      <c r="O56" s="952" t="s">
        <v>1475</v>
      </c>
      <c r="P56" s="952" t="s">
        <v>1476</v>
      </c>
      <c r="Q56" s="952" t="s">
        <v>1475</v>
      </c>
      <c r="R56" s="951" t="s">
        <v>1476</v>
      </c>
    </row>
    <row r="57" spans="1:18" ht="15" customHeight="1" x14ac:dyDescent="0.2">
      <c r="A57" s="2547"/>
      <c r="B57" s="636"/>
      <c r="C57" s="2512" t="s">
        <v>1765</v>
      </c>
      <c r="D57" s="2166"/>
      <c r="E57" s="2166"/>
      <c r="F57" s="2166"/>
      <c r="G57" s="2166"/>
      <c r="H57" s="2545"/>
      <c r="I57" s="2228" t="s">
        <v>1477</v>
      </c>
      <c r="J57" s="2249"/>
      <c r="K57" s="950"/>
      <c r="L57" s="948"/>
      <c r="M57" s="950"/>
      <c r="N57" s="948"/>
      <c r="O57" s="949"/>
      <c r="P57" s="949"/>
      <c r="Q57" s="948"/>
      <c r="R57" s="947"/>
    </row>
    <row r="58" spans="1:18" ht="15" customHeight="1" x14ac:dyDescent="0.2">
      <c r="A58" s="2547"/>
      <c r="B58" s="636"/>
      <c r="C58" s="2514"/>
      <c r="D58" s="2237"/>
      <c r="E58" s="2237"/>
      <c r="F58" s="2237"/>
      <c r="G58" s="2237"/>
      <c r="H58" s="2253"/>
      <c r="I58" s="2234" t="s">
        <v>1478</v>
      </c>
      <c r="J58" s="2252"/>
      <c r="K58" s="645"/>
      <c r="L58" s="945"/>
      <c r="M58" s="645"/>
      <c r="N58" s="945"/>
      <c r="O58" s="946"/>
      <c r="P58" s="946"/>
      <c r="Q58" s="945"/>
      <c r="R58" s="944"/>
    </row>
    <row r="59" spans="1:18" s="628" customFormat="1" ht="15" customHeight="1" x14ac:dyDescent="0.2">
      <c r="A59" s="2547"/>
      <c r="B59" s="636"/>
      <c r="C59" s="2278" t="s">
        <v>1479</v>
      </c>
      <c r="D59" s="2167"/>
      <c r="E59" s="2167"/>
      <c r="F59" s="2167"/>
      <c r="G59" s="2167"/>
      <c r="H59" s="2167"/>
      <c r="I59" s="2167"/>
      <c r="J59" s="2558"/>
      <c r="K59" s="2567"/>
      <c r="L59" s="2169"/>
      <c r="M59" s="2568"/>
      <c r="N59" s="2169"/>
      <c r="O59" s="2568"/>
      <c r="P59" s="2580"/>
      <c r="Q59" s="2567"/>
      <c r="R59" s="2579"/>
    </row>
    <row r="60" spans="1:18" ht="15" customHeight="1" x14ac:dyDescent="0.2">
      <c r="A60" s="2547"/>
      <c r="B60" s="2570" t="s">
        <v>1749</v>
      </c>
      <c r="C60" s="2571"/>
      <c r="D60" s="2571"/>
      <c r="E60" s="2571"/>
      <c r="F60" s="2571"/>
      <c r="G60" s="2571"/>
      <c r="H60" s="2571"/>
      <c r="I60" s="2571"/>
      <c r="J60" s="2571"/>
      <c r="K60" s="2571"/>
      <c r="L60" s="2571"/>
      <c r="M60" s="2571"/>
      <c r="N60" s="2571"/>
      <c r="O60" s="2571"/>
      <c r="P60" s="2571"/>
      <c r="Q60" s="2571"/>
      <c r="R60" s="2572"/>
    </row>
    <row r="61" spans="1:18" s="628" customFormat="1" ht="15" customHeight="1" x14ac:dyDescent="0.2">
      <c r="A61" s="2547"/>
      <c r="B61" s="941"/>
      <c r="C61" s="2166" t="s">
        <v>1764</v>
      </c>
      <c r="D61" s="2166"/>
      <c r="E61" s="2166"/>
      <c r="F61" s="2166"/>
      <c r="G61" s="2166"/>
      <c r="H61" s="2513"/>
      <c r="I61" s="2278" t="s">
        <v>1763</v>
      </c>
      <c r="J61" s="2167"/>
      <c r="K61" s="2167"/>
      <c r="L61" s="2279"/>
      <c r="M61" s="943"/>
      <c r="N61" s="942" t="s">
        <v>1742</v>
      </c>
      <c r="O61" s="2563"/>
      <c r="P61" s="2172"/>
      <c r="Q61" s="2172"/>
      <c r="R61" s="2564"/>
    </row>
    <row r="62" spans="1:18" s="628" customFormat="1" ht="15" customHeight="1" x14ac:dyDescent="0.2">
      <c r="A62" s="2547"/>
      <c r="B62" s="636"/>
      <c r="C62" s="2561"/>
      <c r="D62" s="2561"/>
      <c r="E62" s="2561"/>
      <c r="F62" s="2561"/>
      <c r="G62" s="2561"/>
      <c r="H62" s="2562"/>
      <c r="I62" s="2194" t="s">
        <v>1762</v>
      </c>
      <c r="J62" s="2195"/>
      <c r="K62" s="2195"/>
      <c r="L62" s="2196"/>
      <c r="M62" s="940"/>
      <c r="N62" s="647" t="s">
        <v>225</v>
      </c>
      <c r="O62" s="2565"/>
      <c r="P62" s="2175"/>
      <c r="Q62" s="2175"/>
      <c r="R62" s="2566"/>
    </row>
    <row r="63" spans="1:18" s="628" customFormat="1" ht="15" customHeight="1" x14ac:dyDescent="0.2">
      <c r="A63" s="2547"/>
      <c r="B63" s="941"/>
      <c r="C63" s="2166" t="s">
        <v>1484</v>
      </c>
      <c r="D63" s="2166"/>
      <c r="E63" s="2166"/>
      <c r="F63" s="2166"/>
      <c r="G63" s="2166"/>
      <c r="H63" s="2513"/>
      <c r="I63" s="2278" t="s">
        <v>226</v>
      </c>
      <c r="J63" s="2167"/>
      <c r="K63" s="2167"/>
      <c r="L63" s="2279"/>
      <c r="M63" s="940"/>
      <c r="N63" s="651" t="s">
        <v>227</v>
      </c>
      <c r="O63" s="2565"/>
      <c r="P63" s="2175"/>
      <c r="Q63" s="2175"/>
      <c r="R63" s="2566"/>
    </row>
    <row r="64" spans="1:18" s="628" customFormat="1" ht="15" customHeight="1" x14ac:dyDescent="0.2">
      <c r="A64" s="2547"/>
      <c r="B64" s="638"/>
      <c r="C64" s="2561"/>
      <c r="D64" s="2561"/>
      <c r="E64" s="2561"/>
      <c r="F64" s="2561"/>
      <c r="G64" s="2561"/>
      <c r="H64" s="2562"/>
      <c r="I64" s="2278" t="s">
        <v>228</v>
      </c>
      <c r="J64" s="2167"/>
      <c r="K64" s="2167"/>
      <c r="L64" s="2279"/>
      <c r="M64" s="940"/>
      <c r="N64" s="651" t="s">
        <v>227</v>
      </c>
      <c r="O64" s="2565"/>
      <c r="P64" s="2175"/>
      <c r="Q64" s="2175"/>
      <c r="R64" s="2566"/>
    </row>
    <row r="65" spans="1:19" s="628" customFormat="1" ht="15" customHeight="1" x14ac:dyDescent="0.2">
      <c r="A65" s="2547"/>
      <c r="B65" s="2187" t="s">
        <v>1761</v>
      </c>
      <c r="C65" s="2167"/>
      <c r="D65" s="2167"/>
      <c r="E65" s="2167"/>
      <c r="F65" s="2167"/>
      <c r="G65" s="2167"/>
      <c r="H65" s="2167"/>
      <c r="I65" s="2167"/>
      <c r="J65" s="2167"/>
      <c r="K65" s="2167"/>
      <c r="L65" s="2279"/>
      <c r="M65" s="940"/>
      <c r="N65" s="651" t="s">
        <v>225</v>
      </c>
      <c r="O65" s="2565"/>
      <c r="P65" s="2175"/>
      <c r="Q65" s="2175"/>
      <c r="R65" s="2566"/>
    </row>
    <row r="66" spans="1:19" s="628" customFormat="1" ht="15" customHeight="1" x14ac:dyDescent="0.2">
      <c r="A66" s="2547"/>
      <c r="B66" s="2187" t="s">
        <v>1760</v>
      </c>
      <c r="C66" s="2167"/>
      <c r="D66" s="2167"/>
      <c r="E66" s="2167"/>
      <c r="F66" s="2167"/>
      <c r="G66" s="2167"/>
      <c r="H66" s="2167"/>
      <c r="I66" s="2167"/>
      <c r="J66" s="2167"/>
      <c r="K66" s="2167"/>
      <c r="L66" s="2279"/>
      <c r="M66" s="940"/>
      <c r="N66" s="651" t="s">
        <v>225</v>
      </c>
      <c r="O66" s="2565"/>
      <c r="P66" s="2175"/>
      <c r="Q66" s="2175"/>
      <c r="R66" s="2566"/>
    </row>
    <row r="67" spans="1:19" s="628" customFormat="1" ht="15" customHeight="1" x14ac:dyDescent="0.2">
      <c r="A67" s="2547"/>
      <c r="B67" s="2187" t="s">
        <v>1759</v>
      </c>
      <c r="C67" s="2167"/>
      <c r="D67" s="2167"/>
      <c r="E67" s="2167"/>
      <c r="F67" s="2167"/>
      <c r="G67" s="2167"/>
      <c r="H67" s="2167"/>
      <c r="I67" s="2167"/>
      <c r="J67" s="2167"/>
      <c r="K67" s="2167"/>
      <c r="L67" s="2279"/>
      <c r="M67" s="939"/>
      <c r="N67" s="634" t="s">
        <v>1742</v>
      </c>
      <c r="O67" s="937"/>
      <c r="P67" s="937"/>
      <c r="Q67" s="937"/>
      <c r="R67" s="936"/>
    </row>
    <row r="68" spans="1:19" s="628" customFormat="1" ht="15" customHeight="1" x14ac:dyDescent="0.2">
      <c r="A68" s="2547"/>
      <c r="B68" s="2187" t="s">
        <v>1758</v>
      </c>
      <c r="C68" s="2167"/>
      <c r="D68" s="2167"/>
      <c r="E68" s="2167"/>
      <c r="F68" s="2167"/>
      <c r="G68" s="2167"/>
      <c r="H68" s="2167"/>
      <c r="I68" s="2167"/>
      <c r="J68" s="2167"/>
      <c r="K68" s="2167"/>
      <c r="L68" s="2279"/>
      <c r="M68" s="938"/>
      <c r="N68" s="635" t="s">
        <v>1742</v>
      </c>
      <c r="O68" s="937"/>
      <c r="P68" s="937"/>
      <c r="Q68" s="937"/>
      <c r="R68" s="936"/>
    </row>
    <row r="69" spans="1:19" s="628" customFormat="1" ht="15" customHeight="1" thickBot="1" x14ac:dyDescent="0.25">
      <c r="A69" s="2548"/>
      <c r="B69" s="2147" t="s">
        <v>1757</v>
      </c>
      <c r="C69" s="2148"/>
      <c r="D69" s="2148"/>
      <c r="E69" s="2148"/>
      <c r="F69" s="2148"/>
      <c r="G69" s="2148"/>
      <c r="H69" s="2148"/>
      <c r="I69" s="2148"/>
      <c r="J69" s="2148"/>
      <c r="K69" s="2148"/>
      <c r="L69" s="2524"/>
      <c r="M69" s="935"/>
      <c r="N69" s="630" t="s">
        <v>1742</v>
      </c>
      <c r="O69" s="934"/>
      <c r="P69" s="934"/>
      <c r="Q69" s="934"/>
      <c r="R69" s="933"/>
    </row>
    <row r="70" spans="1:19" ht="18.600000000000001" customHeight="1" thickBot="1" x14ac:dyDescent="0.25">
      <c r="A70" s="2573" t="s">
        <v>1756</v>
      </c>
      <c r="B70" s="2574"/>
      <c r="C70" s="2574"/>
      <c r="D70" s="2574"/>
      <c r="E70" s="2574"/>
      <c r="F70" s="2574"/>
      <c r="G70" s="2574"/>
      <c r="H70" s="2574"/>
      <c r="I70" s="2574"/>
      <c r="J70" s="2574"/>
      <c r="K70" s="2574"/>
      <c r="L70" s="2574"/>
      <c r="M70" s="2574"/>
      <c r="N70" s="2574"/>
      <c r="O70" s="2574"/>
      <c r="P70" s="2574"/>
      <c r="Q70" s="2574"/>
      <c r="R70" s="2575"/>
    </row>
    <row r="71" spans="1:19" ht="15" customHeight="1" x14ac:dyDescent="0.2">
      <c r="A71" s="932"/>
      <c r="B71" s="2576" t="s">
        <v>1472</v>
      </c>
      <c r="C71" s="2577"/>
      <c r="D71" s="2577"/>
      <c r="E71" s="2577"/>
      <c r="F71" s="2577"/>
      <c r="G71" s="2577"/>
      <c r="H71" s="2577"/>
      <c r="I71" s="2577"/>
      <c r="J71" s="2577"/>
      <c r="K71" s="2577"/>
      <c r="L71" s="2577"/>
      <c r="M71" s="2577"/>
      <c r="N71" s="2577"/>
      <c r="O71" s="2577"/>
      <c r="P71" s="2577"/>
      <c r="Q71" s="2577"/>
      <c r="R71" s="2578"/>
    </row>
    <row r="72" spans="1:19" ht="21.15" customHeight="1" x14ac:dyDescent="0.2">
      <c r="A72" s="932"/>
      <c r="B72" s="2581" t="s">
        <v>373</v>
      </c>
      <c r="C72" s="2582"/>
      <c r="D72" s="2582"/>
      <c r="E72" s="2582"/>
      <c r="F72" s="2582"/>
      <c r="G72" s="2582"/>
      <c r="H72" s="2583"/>
      <c r="I72" s="2587" t="s">
        <v>368</v>
      </c>
      <c r="J72" s="2562"/>
      <c r="K72" s="2588"/>
      <c r="L72" s="2589"/>
      <c r="M72" s="2589"/>
      <c r="N72" s="2589"/>
      <c r="O72" s="2589"/>
      <c r="P72" s="2589"/>
      <c r="Q72" s="2589"/>
      <c r="R72" s="2590"/>
    </row>
    <row r="73" spans="1:19" s="628" customFormat="1" ht="16.350000000000001" customHeight="1" x14ac:dyDescent="0.2">
      <c r="A73" s="932"/>
      <c r="B73" s="2584"/>
      <c r="C73" s="2585"/>
      <c r="D73" s="2585"/>
      <c r="E73" s="2585"/>
      <c r="F73" s="2585"/>
      <c r="G73" s="2585"/>
      <c r="H73" s="2586"/>
      <c r="I73" s="663" t="s">
        <v>224</v>
      </c>
      <c r="J73" s="651" t="s">
        <v>1750</v>
      </c>
      <c r="K73" s="2588"/>
      <c r="L73" s="2589"/>
      <c r="M73" s="2589"/>
      <c r="N73" s="2589"/>
      <c r="O73" s="2589"/>
      <c r="P73" s="2589"/>
      <c r="Q73" s="2589"/>
      <c r="R73" s="2590"/>
    </row>
    <row r="74" spans="1:19" s="628" customFormat="1" ht="16.350000000000001" customHeight="1" x14ac:dyDescent="0.2">
      <c r="A74" s="932"/>
      <c r="B74" s="2591" t="s">
        <v>372</v>
      </c>
      <c r="C74" s="2592"/>
      <c r="D74" s="2592"/>
      <c r="E74" s="2592"/>
      <c r="F74" s="2592"/>
      <c r="G74" s="2592"/>
      <c r="H74" s="2593"/>
      <c r="I74" s="663"/>
      <c r="J74" s="651"/>
      <c r="K74" s="2588"/>
      <c r="L74" s="2589"/>
      <c r="M74" s="2589"/>
      <c r="N74" s="2589"/>
      <c r="O74" s="2589"/>
      <c r="P74" s="2589"/>
      <c r="Q74" s="2589"/>
      <c r="R74" s="2590"/>
    </row>
    <row r="75" spans="1:19" s="628" customFormat="1" ht="16.350000000000001" customHeight="1" x14ac:dyDescent="0.2">
      <c r="A75" s="932"/>
      <c r="B75" s="2594" t="s">
        <v>371</v>
      </c>
      <c r="C75" s="2595"/>
      <c r="D75" s="2595"/>
      <c r="E75" s="2595"/>
      <c r="F75" s="2595"/>
      <c r="G75" s="2595"/>
      <c r="H75" s="2596"/>
      <c r="I75" s="923"/>
      <c r="J75" s="924"/>
      <c r="K75" s="2588"/>
      <c r="L75" s="2589"/>
      <c r="M75" s="2589"/>
      <c r="N75" s="2589"/>
      <c r="O75" s="2589"/>
      <c r="P75" s="2589"/>
      <c r="Q75" s="2589"/>
      <c r="R75" s="2590"/>
    </row>
    <row r="76" spans="1:19" ht="15" customHeight="1" x14ac:dyDescent="0.2">
      <c r="A76" s="932"/>
      <c r="B76" s="2599" t="s">
        <v>1749</v>
      </c>
      <c r="C76" s="2600"/>
      <c r="D76" s="2600"/>
      <c r="E76" s="2600"/>
      <c r="F76" s="2600"/>
      <c r="G76" s="2600"/>
      <c r="H76" s="2600"/>
      <c r="I76" s="2600"/>
      <c r="J76" s="2600"/>
      <c r="K76" s="2600"/>
      <c r="L76" s="2600"/>
      <c r="M76" s="2600"/>
      <c r="N76" s="2600"/>
      <c r="O76" s="2600"/>
      <c r="P76" s="2600"/>
      <c r="Q76" s="2600"/>
      <c r="R76" s="2601"/>
    </row>
    <row r="77" spans="1:19" s="628" customFormat="1" ht="15" customHeight="1" thickBot="1" x14ac:dyDescent="0.25">
      <c r="A77" s="931"/>
      <c r="B77" s="2603" t="s">
        <v>1755</v>
      </c>
      <c r="C77" s="2182"/>
      <c r="D77" s="2182"/>
      <c r="E77" s="2182"/>
      <c r="F77" s="2182"/>
      <c r="G77" s="2182"/>
      <c r="H77" s="2182"/>
      <c r="I77" s="2182"/>
      <c r="J77" s="2604"/>
      <c r="K77" s="930"/>
      <c r="L77" s="929" t="s">
        <v>225</v>
      </c>
      <c r="M77" s="2605" t="s">
        <v>1418</v>
      </c>
      <c r="N77" s="2182"/>
      <c r="O77" s="2182"/>
      <c r="P77" s="2604"/>
      <c r="Q77" s="928"/>
      <c r="R77" s="927" t="s">
        <v>1419</v>
      </c>
      <c r="S77" s="614"/>
    </row>
    <row r="78" spans="1:19" ht="15" customHeight="1" x14ac:dyDescent="0.2">
      <c r="A78" s="2293" t="s">
        <v>1754</v>
      </c>
      <c r="B78" s="2606" t="s">
        <v>1472</v>
      </c>
      <c r="C78" s="2607"/>
      <c r="D78" s="2607"/>
      <c r="E78" s="2607"/>
      <c r="F78" s="2607"/>
      <c r="G78" s="2607"/>
      <c r="H78" s="2607"/>
      <c r="I78" s="2607"/>
      <c r="J78" s="2607"/>
      <c r="K78" s="2607"/>
      <c r="L78" s="2607"/>
      <c r="M78" s="2607"/>
      <c r="N78" s="2607"/>
      <c r="O78" s="2607"/>
      <c r="P78" s="2607"/>
      <c r="Q78" s="2607"/>
      <c r="R78" s="2608"/>
    </row>
    <row r="79" spans="1:19" ht="15" customHeight="1" x14ac:dyDescent="0.2">
      <c r="A79" s="2294"/>
      <c r="B79" s="2165" t="s">
        <v>1753</v>
      </c>
      <c r="C79" s="2166"/>
      <c r="D79" s="2166"/>
      <c r="E79" s="2166"/>
      <c r="F79" s="2166"/>
      <c r="G79" s="2166"/>
      <c r="H79" s="2513"/>
      <c r="I79" s="2587" t="s">
        <v>370</v>
      </c>
      <c r="J79" s="2562"/>
      <c r="K79" s="2587" t="s">
        <v>218</v>
      </c>
      <c r="L79" s="2562"/>
      <c r="M79" s="2508" t="s">
        <v>1752</v>
      </c>
      <c r="N79" s="2508"/>
      <c r="O79" s="2508" t="s">
        <v>1751</v>
      </c>
      <c r="P79" s="2508"/>
      <c r="Q79" s="2278" t="s">
        <v>219</v>
      </c>
      <c r="R79" s="2602"/>
    </row>
    <row r="80" spans="1:19" s="628" customFormat="1" ht="15" customHeight="1" x14ac:dyDescent="0.2">
      <c r="A80" s="2294"/>
      <c r="B80" s="2609"/>
      <c r="C80" s="2561"/>
      <c r="D80" s="2561"/>
      <c r="E80" s="2561"/>
      <c r="F80" s="2561"/>
      <c r="G80" s="2561"/>
      <c r="H80" s="2562"/>
      <c r="I80" s="663" t="s">
        <v>224</v>
      </c>
      <c r="J80" s="651" t="s">
        <v>1750</v>
      </c>
      <c r="K80" s="663" t="s">
        <v>224</v>
      </c>
      <c r="L80" s="651" t="s">
        <v>1750</v>
      </c>
      <c r="M80" s="663" t="s">
        <v>224</v>
      </c>
      <c r="N80" s="651" t="s">
        <v>1750</v>
      </c>
      <c r="O80" s="663" t="s">
        <v>224</v>
      </c>
      <c r="P80" s="651" t="s">
        <v>1750</v>
      </c>
      <c r="Q80" s="663" t="s">
        <v>224</v>
      </c>
      <c r="R80" s="925" t="s">
        <v>1750</v>
      </c>
    </row>
    <row r="81" spans="1:19" s="628" customFormat="1" ht="15" customHeight="1" x14ac:dyDescent="0.2">
      <c r="A81" s="2294"/>
      <c r="B81" s="2279" t="s">
        <v>1477</v>
      </c>
      <c r="C81" s="2338"/>
      <c r="D81" s="2338"/>
      <c r="E81" s="2338"/>
      <c r="F81" s="2338"/>
      <c r="G81" s="2338"/>
      <c r="H81" s="2338"/>
      <c r="I81" s="663"/>
      <c r="J81" s="651"/>
      <c r="K81" s="663"/>
      <c r="L81" s="651"/>
      <c r="M81" s="663"/>
      <c r="N81" s="651"/>
      <c r="O81" s="663"/>
      <c r="P81" s="651"/>
      <c r="Q81" s="663"/>
      <c r="R81" s="925"/>
    </row>
    <row r="82" spans="1:19" s="628" customFormat="1" ht="15" customHeight="1" x14ac:dyDescent="0.2">
      <c r="A82" s="2294"/>
      <c r="B82" s="2513" t="s">
        <v>1478</v>
      </c>
      <c r="C82" s="2506"/>
      <c r="D82" s="2506"/>
      <c r="E82" s="2506"/>
      <c r="F82" s="2506"/>
      <c r="G82" s="2506"/>
      <c r="H82" s="2506"/>
      <c r="I82" s="923"/>
      <c r="J82" s="924"/>
      <c r="K82" s="923"/>
      <c r="L82" s="924"/>
      <c r="M82" s="923"/>
      <c r="N82" s="924"/>
      <c r="O82" s="923"/>
      <c r="P82" s="924"/>
      <c r="Q82" s="923"/>
      <c r="R82" s="922"/>
    </row>
    <row r="83" spans="1:19" s="628" customFormat="1" ht="15" customHeight="1" x14ac:dyDescent="0.2">
      <c r="A83" s="2294"/>
      <c r="B83" s="2279" t="s">
        <v>1479</v>
      </c>
      <c r="C83" s="2338"/>
      <c r="D83" s="2338"/>
      <c r="E83" s="2338"/>
      <c r="F83" s="2338"/>
      <c r="G83" s="2338"/>
      <c r="H83" s="2338"/>
      <c r="I83" s="2278"/>
      <c r="J83" s="2279"/>
      <c r="K83" s="2278"/>
      <c r="L83" s="2279"/>
      <c r="M83" s="2278"/>
      <c r="N83" s="2279"/>
      <c r="O83" s="2597"/>
      <c r="P83" s="2339"/>
      <c r="Q83" s="2597"/>
      <c r="R83" s="2598"/>
    </row>
    <row r="84" spans="1:19" ht="15" customHeight="1" x14ac:dyDescent="0.2">
      <c r="A84" s="2294"/>
      <c r="B84" s="2599" t="s">
        <v>1749</v>
      </c>
      <c r="C84" s="2600"/>
      <c r="D84" s="2600"/>
      <c r="E84" s="2600"/>
      <c r="F84" s="2600"/>
      <c r="G84" s="2600"/>
      <c r="H84" s="2600"/>
      <c r="I84" s="2600"/>
      <c r="J84" s="2600"/>
      <c r="K84" s="2600"/>
      <c r="L84" s="2600"/>
      <c r="M84" s="2600"/>
      <c r="N84" s="2600"/>
      <c r="O84" s="2600"/>
      <c r="P84" s="2600"/>
      <c r="Q84" s="2600"/>
      <c r="R84" s="2601"/>
    </row>
    <row r="85" spans="1:19" s="628" customFormat="1" ht="15" customHeight="1" x14ac:dyDescent="0.2">
      <c r="A85" s="2294"/>
      <c r="B85" s="2166" t="s">
        <v>1748</v>
      </c>
      <c r="C85" s="2166"/>
      <c r="D85" s="2166"/>
      <c r="E85" s="2166"/>
      <c r="F85" s="2166"/>
      <c r="G85" s="2166"/>
      <c r="H85" s="2513"/>
      <c r="I85" s="921" t="s">
        <v>1427</v>
      </c>
      <c r="J85" s="920" t="s">
        <v>1428</v>
      </c>
      <c r="K85" s="920" t="s">
        <v>1429</v>
      </c>
      <c r="L85" s="920" t="s">
        <v>1430</v>
      </c>
      <c r="M85" s="926" t="s">
        <v>1747</v>
      </c>
      <c r="N85" s="926" t="s">
        <v>1746</v>
      </c>
      <c r="O85" s="926" t="s">
        <v>1745</v>
      </c>
      <c r="P85" s="926" t="s">
        <v>1434</v>
      </c>
      <c r="Q85" s="2497"/>
      <c r="R85" s="2499"/>
    </row>
    <row r="86" spans="1:19" s="628" customFormat="1" ht="15" customHeight="1" x14ac:dyDescent="0.2">
      <c r="A86" s="2294"/>
      <c r="B86" s="2237"/>
      <c r="C86" s="2237"/>
      <c r="D86" s="2237"/>
      <c r="E86" s="2237"/>
      <c r="F86" s="2237"/>
      <c r="G86" s="2237"/>
      <c r="H86" s="2238"/>
      <c r="I86" s="919"/>
      <c r="J86" s="919"/>
      <c r="K86" s="919"/>
      <c r="L86" s="919"/>
      <c r="M86" s="919"/>
      <c r="N86" s="919"/>
      <c r="O86" s="919"/>
      <c r="P86" s="918"/>
      <c r="Q86" s="2618"/>
      <c r="R86" s="2619"/>
    </row>
    <row r="87" spans="1:19" s="628" customFormat="1" ht="15" customHeight="1" x14ac:dyDescent="0.2">
      <c r="A87" s="2294"/>
      <c r="B87" s="2561"/>
      <c r="C87" s="2561"/>
      <c r="D87" s="2561"/>
      <c r="E87" s="2561"/>
      <c r="F87" s="2561"/>
      <c r="G87" s="2561"/>
      <c r="H87" s="2562"/>
      <c r="I87" s="2620" t="s">
        <v>1435</v>
      </c>
      <c r="J87" s="2621"/>
      <c r="K87" s="2622"/>
      <c r="L87" s="2623"/>
      <c r="M87" s="2610"/>
      <c r="N87" s="2610"/>
      <c r="O87" s="2610"/>
      <c r="P87" s="2610"/>
      <c r="Q87" s="2610"/>
      <c r="R87" s="2611"/>
    </row>
    <row r="88" spans="1:19" s="628" customFormat="1" ht="15" customHeight="1" x14ac:dyDescent="0.2">
      <c r="A88" s="2294"/>
      <c r="B88" s="2166" t="s">
        <v>1436</v>
      </c>
      <c r="C88" s="2167"/>
      <c r="D88" s="2167"/>
      <c r="E88" s="2167"/>
      <c r="F88" s="2167"/>
      <c r="G88" s="2167"/>
      <c r="H88" s="2167"/>
      <c r="I88" s="2568"/>
      <c r="J88" s="2169"/>
      <c r="K88" s="915" t="s">
        <v>445</v>
      </c>
      <c r="L88" s="914"/>
      <c r="M88" s="913" t="s">
        <v>382</v>
      </c>
      <c r="N88" s="2169"/>
      <c r="O88" s="2169"/>
      <c r="P88" s="912" t="s">
        <v>445</v>
      </c>
      <c r="Q88" s="2610"/>
      <c r="R88" s="2611"/>
    </row>
    <row r="89" spans="1:19" s="628" customFormat="1" ht="15" customHeight="1" x14ac:dyDescent="0.2">
      <c r="A89" s="2294"/>
      <c r="B89" s="917"/>
      <c r="C89" s="2612" t="s">
        <v>1744</v>
      </c>
      <c r="D89" s="2613"/>
      <c r="E89" s="2194" t="s">
        <v>381</v>
      </c>
      <c r="F89" s="2195"/>
      <c r="G89" s="2195"/>
      <c r="H89" s="2196"/>
      <c r="I89" s="2568"/>
      <c r="J89" s="2169"/>
      <c r="K89" s="915" t="s">
        <v>445</v>
      </c>
      <c r="L89" s="914"/>
      <c r="M89" s="913" t="s">
        <v>382</v>
      </c>
      <c r="N89" s="2169"/>
      <c r="O89" s="2169"/>
      <c r="P89" s="912" t="s">
        <v>445</v>
      </c>
      <c r="Q89" s="2610"/>
      <c r="R89" s="2611"/>
    </row>
    <row r="90" spans="1:19" s="628" customFormat="1" ht="15" customHeight="1" x14ac:dyDescent="0.2">
      <c r="A90" s="2294"/>
      <c r="B90" s="917"/>
      <c r="C90" s="2614"/>
      <c r="D90" s="2615"/>
      <c r="E90" s="2194" t="s">
        <v>1433</v>
      </c>
      <c r="F90" s="2195"/>
      <c r="G90" s="2195"/>
      <c r="H90" s="2196"/>
      <c r="I90" s="2568"/>
      <c r="J90" s="2169"/>
      <c r="K90" s="915" t="s">
        <v>445</v>
      </c>
      <c r="L90" s="914"/>
      <c r="M90" s="913" t="s">
        <v>382</v>
      </c>
      <c r="N90" s="2169"/>
      <c r="O90" s="2169"/>
      <c r="P90" s="912" t="s">
        <v>445</v>
      </c>
      <c r="Q90" s="2610"/>
      <c r="R90" s="2611"/>
    </row>
    <row r="91" spans="1:19" s="628" customFormat="1" ht="15" customHeight="1" x14ac:dyDescent="0.2">
      <c r="A91" s="2294"/>
      <c r="B91" s="916"/>
      <c r="C91" s="2616"/>
      <c r="D91" s="2617"/>
      <c r="E91" s="2194" t="s">
        <v>1438</v>
      </c>
      <c r="F91" s="2195"/>
      <c r="G91" s="2195"/>
      <c r="H91" s="2196"/>
      <c r="I91" s="2568"/>
      <c r="J91" s="2169"/>
      <c r="K91" s="915" t="s">
        <v>445</v>
      </c>
      <c r="L91" s="914"/>
      <c r="M91" s="913" t="s">
        <v>382</v>
      </c>
      <c r="N91" s="2169"/>
      <c r="O91" s="2169"/>
      <c r="P91" s="912" t="s">
        <v>445</v>
      </c>
      <c r="Q91" s="2610"/>
      <c r="R91" s="2611"/>
    </row>
    <row r="92" spans="1:19" s="628" customFormat="1" ht="15" customHeight="1" x14ac:dyDescent="0.2">
      <c r="A92" s="2294"/>
      <c r="B92" s="2166" t="s">
        <v>1439</v>
      </c>
      <c r="C92" s="2166"/>
      <c r="D92" s="2166"/>
      <c r="E92" s="2166"/>
      <c r="F92" s="2166"/>
      <c r="G92" s="2166"/>
      <c r="H92" s="2513"/>
      <c r="I92" s="2568"/>
      <c r="J92" s="2169"/>
      <c r="K92" s="915" t="s">
        <v>445</v>
      </c>
      <c r="L92" s="914"/>
      <c r="M92" s="913" t="s">
        <v>382</v>
      </c>
      <c r="N92" s="2169"/>
      <c r="O92" s="2169"/>
      <c r="P92" s="912" t="s">
        <v>445</v>
      </c>
      <c r="Q92" s="2610"/>
      <c r="R92" s="2611"/>
    </row>
    <row r="93" spans="1:19" s="628" customFormat="1" ht="15" customHeight="1" thickBot="1" x14ac:dyDescent="0.25">
      <c r="A93" s="2295"/>
      <c r="B93" s="2148" t="s">
        <v>1743</v>
      </c>
      <c r="C93" s="2148"/>
      <c r="D93" s="2148"/>
      <c r="E93" s="2148"/>
      <c r="F93" s="2148"/>
      <c r="G93" s="2148"/>
      <c r="H93" s="2524"/>
      <c r="I93" s="2624"/>
      <c r="J93" s="2625"/>
      <c r="K93" s="2625"/>
      <c r="L93" s="641" t="s">
        <v>1742</v>
      </c>
      <c r="M93" s="911"/>
      <c r="N93" s="911"/>
      <c r="O93" s="911"/>
      <c r="P93" s="911"/>
      <c r="Q93" s="911"/>
      <c r="R93" s="910"/>
    </row>
    <row r="94" spans="1:19" ht="15" customHeight="1" x14ac:dyDescent="0.2">
      <c r="A94" s="2293" t="s">
        <v>1441</v>
      </c>
      <c r="B94" s="2606" t="s">
        <v>1472</v>
      </c>
      <c r="C94" s="2607"/>
      <c r="D94" s="2607"/>
      <c r="E94" s="2607"/>
      <c r="F94" s="2607"/>
      <c r="G94" s="2607"/>
      <c r="H94" s="2607"/>
      <c r="I94" s="2607"/>
      <c r="J94" s="2607"/>
      <c r="K94" s="2607"/>
      <c r="L94" s="2607"/>
      <c r="M94" s="2607"/>
      <c r="N94" s="2607"/>
      <c r="O94" s="2607"/>
      <c r="P94" s="2607"/>
      <c r="Q94" s="2607"/>
      <c r="R94" s="2608"/>
    </row>
    <row r="95" spans="1:19" ht="15" customHeight="1" x14ac:dyDescent="0.2">
      <c r="A95" s="2294"/>
      <c r="B95" s="2165" t="s">
        <v>1753</v>
      </c>
      <c r="C95" s="2166"/>
      <c r="D95" s="2166"/>
      <c r="E95" s="2166"/>
      <c r="F95" s="2166"/>
      <c r="G95" s="2166"/>
      <c r="H95" s="2513"/>
      <c r="I95" s="2587" t="s">
        <v>370</v>
      </c>
      <c r="J95" s="2562"/>
      <c r="K95" s="2587" t="s">
        <v>218</v>
      </c>
      <c r="L95" s="2562"/>
      <c r="M95" s="2508" t="s">
        <v>1752</v>
      </c>
      <c r="N95" s="2508"/>
      <c r="O95" s="2508" t="s">
        <v>1751</v>
      </c>
      <c r="P95" s="2508"/>
      <c r="Q95" s="2278" t="s">
        <v>219</v>
      </c>
      <c r="R95" s="2602"/>
      <c r="S95" s="628"/>
    </row>
    <row r="96" spans="1:19" s="628" customFormat="1" ht="15" customHeight="1" x14ac:dyDescent="0.2">
      <c r="A96" s="2294"/>
      <c r="B96" s="2609"/>
      <c r="C96" s="2561"/>
      <c r="D96" s="2561"/>
      <c r="E96" s="2561"/>
      <c r="F96" s="2561"/>
      <c r="G96" s="2561"/>
      <c r="H96" s="2562"/>
      <c r="I96" s="663" t="s">
        <v>224</v>
      </c>
      <c r="J96" s="651" t="s">
        <v>1750</v>
      </c>
      <c r="K96" s="663" t="s">
        <v>224</v>
      </c>
      <c r="L96" s="651" t="s">
        <v>1750</v>
      </c>
      <c r="M96" s="663" t="s">
        <v>224</v>
      </c>
      <c r="N96" s="651" t="s">
        <v>1750</v>
      </c>
      <c r="O96" s="663" t="s">
        <v>224</v>
      </c>
      <c r="P96" s="651" t="s">
        <v>1750</v>
      </c>
      <c r="Q96" s="663" t="s">
        <v>224</v>
      </c>
      <c r="R96" s="925" t="s">
        <v>1750</v>
      </c>
    </row>
    <row r="97" spans="1:18" s="628" customFormat="1" ht="15" customHeight="1" x14ac:dyDescent="0.2">
      <c r="A97" s="2294"/>
      <c r="B97" s="2187" t="s">
        <v>1477</v>
      </c>
      <c r="C97" s="2167"/>
      <c r="D97" s="2167"/>
      <c r="E97" s="2167"/>
      <c r="F97" s="2167"/>
      <c r="G97" s="2167"/>
      <c r="H97" s="2279"/>
      <c r="I97" s="663"/>
      <c r="J97" s="651"/>
      <c r="K97" s="663"/>
      <c r="L97" s="651"/>
      <c r="M97" s="663"/>
      <c r="N97" s="651"/>
      <c r="O97" s="663"/>
      <c r="P97" s="651"/>
      <c r="Q97" s="663"/>
      <c r="R97" s="925"/>
    </row>
    <row r="98" spans="1:18" s="628" customFormat="1" ht="15" customHeight="1" x14ac:dyDescent="0.2">
      <c r="A98" s="2294"/>
      <c r="B98" s="2165" t="s">
        <v>1478</v>
      </c>
      <c r="C98" s="2166"/>
      <c r="D98" s="2166"/>
      <c r="E98" s="2166"/>
      <c r="F98" s="2166"/>
      <c r="G98" s="2166"/>
      <c r="H98" s="2513"/>
      <c r="I98" s="923"/>
      <c r="J98" s="924"/>
      <c r="K98" s="923"/>
      <c r="L98" s="924"/>
      <c r="M98" s="923"/>
      <c r="N98" s="924"/>
      <c r="O98" s="923"/>
      <c r="P98" s="924"/>
      <c r="Q98" s="923"/>
      <c r="R98" s="922"/>
    </row>
    <row r="99" spans="1:18" s="628" customFormat="1" ht="15" customHeight="1" x14ac:dyDescent="0.2">
      <c r="A99" s="2294"/>
      <c r="B99" s="2630" t="s">
        <v>1479</v>
      </c>
      <c r="C99" s="2631"/>
      <c r="D99" s="2631"/>
      <c r="E99" s="2631"/>
      <c r="F99" s="2631"/>
      <c r="G99" s="2631"/>
      <c r="H99" s="2631"/>
      <c r="I99" s="2278"/>
      <c r="J99" s="2279"/>
      <c r="K99" s="2278"/>
      <c r="L99" s="2279"/>
      <c r="M99" s="2278"/>
      <c r="N99" s="2279"/>
      <c r="O99" s="2597"/>
      <c r="P99" s="2339"/>
      <c r="Q99" s="2597"/>
      <c r="R99" s="2598"/>
    </row>
    <row r="100" spans="1:18" ht="15" customHeight="1" x14ac:dyDescent="0.2">
      <c r="A100" s="2294"/>
      <c r="B100" s="2600" t="s">
        <v>1749</v>
      </c>
      <c r="C100" s="2600"/>
      <c r="D100" s="2600"/>
      <c r="E100" s="2600"/>
      <c r="F100" s="2600"/>
      <c r="G100" s="2600"/>
      <c r="H100" s="2600"/>
      <c r="I100" s="2600"/>
      <c r="J100" s="2600"/>
      <c r="K100" s="2600"/>
      <c r="L100" s="2600"/>
      <c r="M100" s="2600"/>
      <c r="N100" s="2600"/>
      <c r="O100" s="2600"/>
      <c r="P100" s="2600"/>
      <c r="Q100" s="2600"/>
      <c r="R100" s="2601"/>
    </row>
    <row r="101" spans="1:18" s="628" customFormat="1" ht="15" customHeight="1" x14ac:dyDescent="0.2">
      <c r="A101" s="2294"/>
      <c r="B101" s="2237" t="s">
        <v>1748</v>
      </c>
      <c r="C101" s="2237"/>
      <c r="D101" s="2237"/>
      <c r="E101" s="2237"/>
      <c r="F101" s="2237"/>
      <c r="G101" s="2237"/>
      <c r="H101" s="2238"/>
      <c r="I101" s="921" t="s">
        <v>1427</v>
      </c>
      <c r="J101" s="920" t="s">
        <v>1428</v>
      </c>
      <c r="K101" s="920" t="s">
        <v>1429</v>
      </c>
      <c r="L101" s="920" t="s">
        <v>1430</v>
      </c>
      <c r="M101" s="920" t="s">
        <v>1747</v>
      </c>
      <c r="N101" s="920" t="s">
        <v>1746</v>
      </c>
      <c r="O101" s="920" t="s">
        <v>1745</v>
      </c>
      <c r="P101" s="920" t="s">
        <v>1434</v>
      </c>
      <c r="Q101" s="2497" t="s">
        <v>133</v>
      </c>
      <c r="R101" s="2499"/>
    </row>
    <row r="102" spans="1:18" s="628" customFormat="1" ht="15" customHeight="1" x14ac:dyDescent="0.2">
      <c r="A102" s="2294"/>
      <c r="B102" s="2237"/>
      <c r="C102" s="2237"/>
      <c r="D102" s="2237"/>
      <c r="E102" s="2237"/>
      <c r="F102" s="2237"/>
      <c r="G102" s="2237"/>
      <c r="H102" s="2238"/>
      <c r="I102" s="919"/>
      <c r="J102" s="919"/>
      <c r="K102" s="919"/>
      <c r="L102" s="919"/>
      <c r="M102" s="919"/>
      <c r="N102" s="919"/>
      <c r="O102" s="919"/>
      <c r="P102" s="918"/>
      <c r="Q102" s="2618"/>
      <c r="R102" s="2619"/>
    </row>
    <row r="103" spans="1:18" s="628" customFormat="1" ht="15" customHeight="1" x14ac:dyDescent="0.2">
      <c r="A103" s="2294"/>
      <c r="B103" s="2561"/>
      <c r="C103" s="2561"/>
      <c r="D103" s="2561"/>
      <c r="E103" s="2561"/>
      <c r="F103" s="2561"/>
      <c r="G103" s="2561"/>
      <c r="H103" s="2562"/>
      <c r="I103" s="2620" t="s">
        <v>1435</v>
      </c>
      <c r="J103" s="2621"/>
      <c r="K103" s="2622"/>
      <c r="L103" s="2623"/>
      <c r="M103" s="2610"/>
      <c r="N103" s="2610"/>
      <c r="O103" s="2610"/>
      <c r="P103" s="2610"/>
      <c r="Q103" s="2610"/>
      <c r="R103" s="2611"/>
    </row>
    <row r="104" spans="1:18" s="628" customFormat="1" ht="15" customHeight="1" x14ac:dyDescent="0.2">
      <c r="A104" s="2294"/>
      <c r="B104" s="2166" t="s">
        <v>1436</v>
      </c>
      <c r="C104" s="2167"/>
      <c r="D104" s="2167"/>
      <c r="E104" s="2167"/>
      <c r="F104" s="2167"/>
      <c r="G104" s="2167"/>
      <c r="H104" s="2167"/>
      <c r="I104" s="2568"/>
      <c r="J104" s="2169"/>
      <c r="K104" s="915" t="s">
        <v>445</v>
      </c>
      <c r="L104" s="914"/>
      <c r="M104" s="913" t="s">
        <v>382</v>
      </c>
      <c r="N104" s="2169"/>
      <c r="O104" s="2169"/>
      <c r="P104" s="912" t="s">
        <v>445</v>
      </c>
      <c r="Q104" s="2610"/>
      <c r="R104" s="2611"/>
    </row>
    <row r="105" spans="1:18" s="628" customFormat="1" ht="15" customHeight="1" x14ac:dyDescent="0.2">
      <c r="A105" s="2294"/>
      <c r="B105" s="917"/>
      <c r="C105" s="2612" t="s">
        <v>1744</v>
      </c>
      <c r="D105" s="2613"/>
      <c r="E105" s="2194" t="s">
        <v>381</v>
      </c>
      <c r="F105" s="2195"/>
      <c r="G105" s="2195"/>
      <c r="H105" s="2196"/>
      <c r="I105" s="2568"/>
      <c r="J105" s="2169"/>
      <c r="K105" s="915" t="s">
        <v>445</v>
      </c>
      <c r="L105" s="914"/>
      <c r="M105" s="913" t="s">
        <v>382</v>
      </c>
      <c r="N105" s="2169"/>
      <c r="O105" s="2169"/>
      <c r="P105" s="912" t="s">
        <v>445</v>
      </c>
      <c r="Q105" s="2610"/>
      <c r="R105" s="2611"/>
    </row>
    <row r="106" spans="1:18" s="628" customFormat="1" ht="15" customHeight="1" x14ac:dyDescent="0.2">
      <c r="A106" s="2294"/>
      <c r="B106" s="917"/>
      <c r="C106" s="2614"/>
      <c r="D106" s="2615"/>
      <c r="E106" s="2194" t="s">
        <v>1433</v>
      </c>
      <c r="F106" s="2195"/>
      <c r="G106" s="2195"/>
      <c r="H106" s="2196"/>
      <c r="I106" s="2568"/>
      <c r="J106" s="2169"/>
      <c r="K106" s="915" t="s">
        <v>445</v>
      </c>
      <c r="L106" s="914"/>
      <c r="M106" s="913" t="s">
        <v>382</v>
      </c>
      <c r="N106" s="2169"/>
      <c r="O106" s="2169"/>
      <c r="P106" s="912" t="s">
        <v>445</v>
      </c>
      <c r="Q106" s="2610"/>
      <c r="R106" s="2611"/>
    </row>
    <row r="107" spans="1:18" s="628" customFormat="1" ht="15" customHeight="1" x14ac:dyDescent="0.2">
      <c r="A107" s="2294"/>
      <c r="B107" s="916"/>
      <c r="C107" s="2616"/>
      <c r="D107" s="2617"/>
      <c r="E107" s="2194" t="s">
        <v>1438</v>
      </c>
      <c r="F107" s="2195"/>
      <c r="G107" s="2195"/>
      <c r="H107" s="2196"/>
      <c r="I107" s="2568"/>
      <c r="J107" s="2169"/>
      <c r="K107" s="915" t="s">
        <v>445</v>
      </c>
      <c r="L107" s="914"/>
      <c r="M107" s="913" t="s">
        <v>382</v>
      </c>
      <c r="N107" s="2169"/>
      <c r="O107" s="2169"/>
      <c r="P107" s="912" t="s">
        <v>445</v>
      </c>
      <c r="Q107" s="2610"/>
      <c r="R107" s="2611"/>
    </row>
    <row r="108" spans="1:18" s="628" customFormat="1" ht="15" customHeight="1" x14ac:dyDescent="0.2">
      <c r="A108" s="2294"/>
      <c r="B108" s="2166" t="s">
        <v>1439</v>
      </c>
      <c r="C108" s="2166"/>
      <c r="D108" s="2166"/>
      <c r="E108" s="2166"/>
      <c r="F108" s="2166"/>
      <c r="G108" s="2166"/>
      <c r="H108" s="2513"/>
      <c r="I108" s="2568"/>
      <c r="J108" s="2169"/>
      <c r="K108" s="915" t="s">
        <v>445</v>
      </c>
      <c r="L108" s="914"/>
      <c r="M108" s="913" t="s">
        <v>382</v>
      </c>
      <c r="N108" s="2169"/>
      <c r="O108" s="2169"/>
      <c r="P108" s="912" t="s">
        <v>445</v>
      </c>
      <c r="Q108" s="2610"/>
      <c r="R108" s="2611"/>
    </row>
    <row r="109" spans="1:18" s="628" customFormat="1" ht="15" customHeight="1" thickBot="1" x14ac:dyDescent="0.25">
      <c r="A109" s="2295"/>
      <c r="B109" s="2148" t="s">
        <v>1743</v>
      </c>
      <c r="C109" s="2148"/>
      <c r="D109" s="2148"/>
      <c r="E109" s="2148"/>
      <c r="F109" s="2148"/>
      <c r="G109" s="2148"/>
      <c r="H109" s="2524"/>
      <c r="I109" s="2624"/>
      <c r="J109" s="2625"/>
      <c r="K109" s="2625"/>
      <c r="L109" s="641" t="s">
        <v>1742</v>
      </c>
      <c r="M109" s="911"/>
      <c r="N109" s="911"/>
      <c r="O109" s="911"/>
      <c r="P109" s="911"/>
      <c r="Q109" s="911"/>
      <c r="R109" s="910"/>
    </row>
    <row r="110" spans="1:18" s="628" customFormat="1" ht="18.75" customHeight="1" thickBot="1" x14ac:dyDescent="0.25">
      <c r="A110" s="2626" t="s">
        <v>229</v>
      </c>
      <c r="B110" s="2627"/>
      <c r="C110" s="2627"/>
      <c r="D110" s="2627"/>
      <c r="E110" s="2627"/>
      <c r="F110" s="2628" t="s">
        <v>24</v>
      </c>
      <c r="G110" s="2628"/>
      <c r="H110" s="2628"/>
      <c r="I110" s="2628"/>
      <c r="J110" s="2628"/>
      <c r="K110" s="2628"/>
      <c r="L110" s="2628"/>
      <c r="M110" s="2628"/>
      <c r="N110" s="2628"/>
      <c r="O110" s="2628"/>
      <c r="P110" s="2628"/>
      <c r="Q110" s="2628"/>
      <c r="R110" s="2629"/>
    </row>
    <row r="111" spans="1:18" s="628" customFormat="1" ht="19.5" customHeight="1" x14ac:dyDescent="0.2">
      <c r="A111" s="650"/>
      <c r="B111" s="650"/>
      <c r="C111" s="650"/>
      <c r="D111" s="650"/>
      <c r="E111" s="650"/>
      <c r="F111" s="650"/>
      <c r="G111" s="650"/>
      <c r="H111" s="650"/>
      <c r="I111" s="650"/>
      <c r="J111" s="650"/>
      <c r="K111" s="650"/>
      <c r="L111" s="650"/>
      <c r="M111" s="650"/>
      <c r="P111" s="628" t="s">
        <v>307</v>
      </c>
    </row>
    <row r="112" spans="1:18" s="628" customFormat="1" ht="16.649999999999999" customHeight="1" x14ac:dyDescent="0.2">
      <c r="A112" s="909" t="s">
        <v>531</v>
      </c>
      <c r="C112" s="2632" t="s">
        <v>1741</v>
      </c>
      <c r="D112" s="2632"/>
      <c r="E112" s="2632"/>
      <c r="F112" s="2632"/>
      <c r="G112" s="2632"/>
      <c r="H112" s="2632"/>
      <c r="I112" s="2632"/>
      <c r="J112" s="2632"/>
      <c r="K112" s="2632"/>
      <c r="L112" s="2632"/>
      <c r="M112" s="2632"/>
      <c r="N112" s="2632"/>
      <c r="O112" s="2632"/>
      <c r="P112" s="2632"/>
      <c r="Q112" s="2632"/>
      <c r="R112" s="2632"/>
    </row>
    <row r="113" spans="1:18" s="907" customFormat="1" ht="16.649999999999999" customHeight="1" x14ac:dyDescent="0.2">
      <c r="A113" s="908"/>
      <c r="C113" s="2632"/>
      <c r="D113" s="2632"/>
      <c r="E113" s="2632"/>
      <c r="F113" s="2632"/>
      <c r="G113" s="2632"/>
      <c r="H113" s="2632"/>
      <c r="I113" s="2632"/>
      <c r="J113" s="2632"/>
      <c r="K113" s="2632"/>
      <c r="L113" s="2632"/>
      <c r="M113" s="2632"/>
      <c r="N113" s="2632"/>
      <c r="O113" s="2632"/>
      <c r="P113" s="2632"/>
      <c r="Q113" s="2632"/>
      <c r="R113" s="2632"/>
    </row>
    <row r="114" spans="1:18" x14ac:dyDescent="0.2">
      <c r="C114" s="2632"/>
      <c r="D114" s="2632"/>
      <c r="E114" s="2632"/>
      <c r="F114" s="2632"/>
      <c r="G114" s="2632"/>
      <c r="H114" s="2632"/>
      <c r="I114" s="2632"/>
      <c r="J114" s="2632"/>
      <c r="K114" s="2632"/>
      <c r="L114" s="2632"/>
      <c r="M114" s="2632"/>
      <c r="N114" s="2632"/>
      <c r="O114" s="2632"/>
      <c r="P114" s="2632"/>
      <c r="Q114" s="2632"/>
      <c r="R114" s="2632"/>
    </row>
  </sheetData>
  <mergeCells count="259">
    <mergeCell ref="C112:R114"/>
    <mergeCell ref="B108:H108"/>
    <mergeCell ref="I108:J108"/>
    <mergeCell ref="N108:O108"/>
    <mergeCell ref="Q108:R108"/>
    <mergeCell ref="B109:H109"/>
    <mergeCell ref="I109:K109"/>
    <mergeCell ref="E107:H107"/>
    <mergeCell ref="I107:J107"/>
    <mergeCell ref="N107:O107"/>
    <mergeCell ref="Q107:R107"/>
    <mergeCell ref="C105:D107"/>
    <mergeCell ref="E105:H105"/>
    <mergeCell ref="E106:H106"/>
    <mergeCell ref="Q106:R106"/>
    <mergeCell ref="A94:A109"/>
    <mergeCell ref="B94:R94"/>
    <mergeCell ref="B95:H96"/>
    <mergeCell ref="I95:J95"/>
    <mergeCell ref="K95:L95"/>
    <mergeCell ref="M95:N95"/>
    <mergeCell ref="O95:P95"/>
    <mergeCell ref="Q95:R95"/>
    <mergeCell ref="A110:E110"/>
    <mergeCell ref="F110:R110"/>
    <mergeCell ref="B104:H104"/>
    <mergeCell ref="I104:J104"/>
    <mergeCell ref="N104:O104"/>
    <mergeCell ref="Q104:R104"/>
    <mergeCell ref="I106:J106"/>
    <mergeCell ref="B99:H99"/>
    <mergeCell ref="I99:J99"/>
    <mergeCell ref="K99:L99"/>
    <mergeCell ref="N106:O106"/>
    <mergeCell ref="O99:P99"/>
    <mergeCell ref="Q99:R99"/>
    <mergeCell ref="B100:R100"/>
    <mergeCell ref="B101:H103"/>
    <mergeCell ref="Q101:R102"/>
    <mergeCell ref="I103:K103"/>
    <mergeCell ref="L103:R103"/>
    <mergeCell ref="B93:H93"/>
    <mergeCell ref="I93:K93"/>
    <mergeCell ref="M83:N83"/>
    <mergeCell ref="O83:P83"/>
    <mergeCell ref="E91:H91"/>
    <mergeCell ref="I105:J105"/>
    <mergeCell ref="N105:O105"/>
    <mergeCell ref="Q105:R105"/>
    <mergeCell ref="M99:N99"/>
    <mergeCell ref="Q88:R88"/>
    <mergeCell ref="I91:J91"/>
    <mergeCell ref="N91:O91"/>
    <mergeCell ref="Q91:R91"/>
    <mergeCell ref="I90:J90"/>
    <mergeCell ref="N90:O90"/>
    <mergeCell ref="Q90:R90"/>
    <mergeCell ref="B97:H97"/>
    <mergeCell ref="B98:H98"/>
    <mergeCell ref="A78:A93"/>
    <mergeCell ref="B78:R78"/>
    <mergeCell ref="B79:H80"/>
    <mergeCell ref="I79:J79"/>
    <mergeCell ref="K79:L79"/>
    <mergeCell ref="B92:H92"/>
    <mergeCell ref="I92:J92"/>
    <mergeCell ref="N92:O92"/>
    <mergeCell ref="Q92:R92"/>
    <mergeCell ref="C89:D91"/>
    <mergeCell ref="E89:H89"/>
    <mergeCell ref="I89:J89"/>
    <mergeCell ref="N89:O89"/>
    <mergeCell ref="Q89:R89"/>
    <mergeCell ref="E90:H90"/>
    <mergeCell ref="B88:H88"/>
    <mergeCell ref="I88:J88"/>
    <mergeCell ref="N88:O88"/>
    <mergeCell ref="B85:H87"/>
    <mergeCell ref="Q85:R86"/>
    <mergeCell ref="I87:K87"/>
    <mergeCell ref="L87:R87"/>
    <mergeCell ref="B72:H73"/>
    <mergeCell ref="I72:J72"/>
    <mergeCell ref="K72:R75"/>
    <mergeCell ref="B74:H74"/>
    <mergeCell ref="B75:H75"/>
    <mergeCell ref="Q83:R83"/>
    <mergeCell ref="B84:R84"/>
    <mergeCell ref="M79:N79"/>
    <mergeCell ref="O79:P79"/>
    <mergeCell ref="Q79:R79"/>
    <mergeCell ref="B81:H81"/>
    <mergeCell ref="B82:H82"/>
    <mergeCell ref="B83:H83"/>
    <mergeCell ref="I83:J83"/>
    <mergeCell ref="K83:L83"/>
    <mergeCell ref="B76:R76"/>
    <mergeCell ref="B77:J77"/>
    <mergeCell ref="M77:P77"/>
    <mergeCell ref="A70:R70"/>
    <mergeCell ref="B71:R71"/>
    <mergeCell ref="Q59:R59"/>
    <mergeCell ref="B60:R60"/>
    <mergeCell ref="K55:L55"/>
    <mergeCell ref="M55:N55"/>
    <mergeCell ref="O55:P55"/>
    <mergeCell ref="Q55:R55"/>
    <mergeCell ref="C57:H58"/>
    <mergeCell ref="O61:R66"/>
    <mergeCell ref="I62:L62"/>
    <mergeCell ref="C63:H64"/>
    <mergeCell ref="I63:L63"/>
    <mergeCell ref="I64:L64"/>
    <mergeCell ref="B65:L65"/>
    <mergeCell ref="B66:L66"/>
    <mergeCell ref="A48:A69"/>
    <mergeCell ref="B68:L68"/>
    <mergeCell ref="O59:P59"/>
    <mergeCell ref="I35:J35"/>
    <mergeCell ref="I36:J36"/>
    <mergeCell ref="C37:J37"/>
    <mergeCell ref="K37:L37"/>
    <mergeCell ref="C61:H62"/>
    <mergeCell ref="I61:L61"/>
    <mergeCell ref="B69:L69"/>
    <mergeCell ref="O37:P37"/>
    <mergeCell ref="C59:J59"/>
    <mergeCell ref="K59:L59"/>
    <mergeCell ref="M59:N59"/>
    <mergeCell ref="B48:J48"/>
    <mergeCell ref="L48:M48"/>
    <mergeCell ref="C52:H53"/>
    <mergeCell ref="I52:J52"/>
    <mergeCell ref="I53:J53"/>
    <mergeCell ref="I57:J57"/>
    <mergeCell ref="I58:J58"/>
    <mergeCell ref="O54:P54"/>
    <mergeCell ref="B67:L67"/>
    <mergeCell ref="P48:Q48"/>
    <mergeCell ref="B49:R49"/>
    <mergeCell ref="Q37:R37"/>
    <mergeCell ref="B38:R38"/>
    <mergeCell ref="C39:H40"/>
    <mergeCell ref="I39:L39"/>
    <mergeCell ref="O39:R44"/>
    <mergeCell ref="I40:L40"/>
    <mergeCell ref="C54:J54"/>
    <mergeCell ref="K54:L54"/>
    <mergeCell ref="M54:N54"/>
    <mergeCell ref="Q50:R50"/>
    <mergeCell ref="B45:L45"/>
    <mergeCell ref="B46:L46"/>
    <mergeCell ref="B47:L47"/>
    <mergeCell ref="Q54:R54"/>
    <mergeCell ref="B50:J51"/>
    <mergeCell ref="K50:L50"/>
    <mergeCell ref="M50:N50"/>
    <mergeCell ref="O50:P50"/>
    <mergeCell ref="C30:H31"/>
    <mergeCell ref="I30:J30"/>
    <mergeCell ref="I31:J31"/>
    <mergeCell ref="A26:A47"/>
    <mergeCell ref="B26:J26"/>
    <mergeCell ref="L26:M26"/>
    <mergeCell ref="P26:Q26"/>
    <mergeCell ref="B27:R27"/>
    <mergeCell ref="O32:P32"/>
    <mergeCell ref="Q32:R32"/>
    <mergeCell ref="K33:L33"/>
    <mergeCell ref="M33:N33"/>
    <mergeCell ref="O33:P33"/>
    <mergeCell ref="M37:N37"/>
    <mergeCell ref="C32:J32"/>
    <mergeCell ref="K32:L32"/>
    <mergeCell ref="M32:N32"/>
    <mergeCell ref="Q33:R33"/>
    <mergeCell ref="C41:H42"/>
    <mergeCell ref="I41:L41"/>
    <mergeCell ref="I42:L42"/>
    <mergeCell ref="B43:L43"/>
    <mergeCell ref="B44:L44"/>
    <mergeCell ref="C35:H36"/>
    <mergeCell ref="C23:D23"/>
    <mergeCell ref="E23:J23"/>
    <mergeCell ref="K23:L23"/>
    <mergeCell ref="M23:R23"/>
    <mergeCell ref="A20:B23"/>
    <mergeCell ref="B28:J29"/>
    <mergeCell ref="K28:L28"/>
    <mergeCell ref="M28:N28"/>
    <mergeCell ref="O28:P28"/>
    <mergeCell ref="Q28:R28"/>
    <mergeCell ref="B24:J24"/>
    <mergeCell ref="K24:R24"/>
    <mergeCell ref="B25:J25"/>
    <mergeCell ref="L25:N25"/>
    <mergeCell ref="P25:R25"/>
    <mergeCell ref="C22:D22"/>
    <mergeCell ref="C20:D20"/>
    <mergeCell ref="E20:J20"/>
    <mergeCell ref="K20:L20"/>
    <mergeCell ref="M20:R20"/>
    <mergeCell ref="C21:D21"/>
    <mergeCell ref="E21:J21"/>
    <mergeCell ref="K21:L21"/>
    <mergeCell ref="M21:R21"/>
    <mergeCell ref="A18:J19"/>
    <mergeCell ref="K18:L18"/>
    <mergeCell ref="M18:R18"/>
    <mergeCell ref="K19:L19"/>
    <mergeCell ref="M19:R19"/>
    <mergeCell ref="M12:R13"/>
    <mergeCell ref="C13:D13"/>
    <mergeCell ref="A17:J17"/>
    <mergeCell ref="M17:P17"/>
    <mergeCell ref="M15:R15"/>
    <mergeCell ref="K16:L16"/>
    <mergeCell ref="M16:R16"/>
    <mergeCell ref="E22:J22"/>
    <mergeCell ref="K22:L22"/>
    <mergeCell ref="M22:R22"/>
    <mergeCell ref="Q17:R17"/>
    <mergeCell ref="A1:R1"/>
    <mergeCell ref="C3:D3"/>
    <mergeCell ref="E3:R3"/>
    <mergeCell ref="C4:D4"/>
    <mergeCell ref="E4:R4"/>
    <mergeCell ref="C5:D8"/>
    <mergeCell ref="E5:G5"/>
    <mergeCell ref="H5:I5"/>
    <mergeCell ref="A11:B16"/>
    <mergeCell ref="C11:D11"/>
    <mergeCell ref="E11:K11"/>
    <mergeCell ref="L11:L13"/>
    <mergeCell ref="M11:N11"/>
    <mergeCell ref="C12:D12"/>
    <mergeCell ref="E12:K12"/>
    <mergeCell ref="E13:K13"/>
    <mergeCell ref="C14:J16"/>
    <mergeCell ref="K14:L14"/>
    <mergeCell ref="M14:R14"/>
    <mergeCell ref="K15:L15"/>
    <mergeCell ref="C2:D2"/>
    <mergeCell ref="E2:R2"/>
    <mergeCell ref="A2:B10"/>
    <mergeCell ref="C9:D10"/>
    <mergeCell ref="E9:G9"/>
    <mergeCell ref="H9:J9"/>
    <mergeCell ref="L9:M9"/>
    <mergeCell ref="N9:O9"/>
    <mergeCell ref="K5:L5"/>
    <mergeCell ref="N5:R5"/>
    <mergeCell ref="E6:H7"/>
    <mergeCell ref="J6:L7"/>
    <mergeCell ref="N6:R7"/>
    <mergeCell ref="E8:R8"/>
    <mergeCell ref="H10:R10"/>
    <mergeCell ref="P9:R9"/>
    <mergeCell ref="E10:G10"/>
  </mergeCells>
  <phoneticPr fontId="2"/>
  <dataValidations count="1">
    <dataValidation type="list" allowBlank="1" showInputMessage="1" showErrorMessage="1" sqref="I86:P86 I102:P102" xr:uid="{133C3478-C121-49C3-9E9A-7709A7ADA418}">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38977" r:id="rId4" name="Check Box 1">
              <controlPr defaultSize="0" autoFill="0" autoLine="0" autoPict="0">
                <anchor moveWithCells="1">
                  <from>
                    <xdr:col>10</xdr:col>
                    <xdr:colOff>160020</xdr:colOff>
                    <xdr:row>16</xdr:row>
                    <xdr:rowOff>30480</xdr:rowOff>
                  </from>
                  <to>
                    <xdr:col>11</xdr:col>
                    <xdr:colOff>0</xdr:colOff>
                    <xdr:row>16</xdr:row>
                    <xdr:rowOff>289560</xdr:rowOff>
                  </to>
                </anchor>
              </controlPr>
            </control>
          </mc:Choice>
        </mc:AlternateContent>
        <mc:AlternateContent xmlns:mc="http://schemas.openxmlformats.org/markup-compatibility/2006">
          <mc:Choice Requires="x14">
            <control shapeId="638978" r:id="rId5" name="Check Box 2">
              <controlPr defaultSize="0" autoFill="0" autoLine="0" autoPict="0">
                <anchor moveWithCells="1">
                  <from>
                    <xdr:col>11</xdr:col>
                    <xdr:colOff>38100</xdr:colOff>
                    <xdr:row>16</xdr:row>
                    <xdr:rowOff>45720</xdr:rowOff>
                  </from>
                  <to>
                    <xdr:col>12</xdr:col>
                    <xdr:colOff>0</xdr:colOff>
                    <xdr:row>16</xdr:row>
                    <xdr:rowOff>274320</xdr:rowOff>
                  </to>
                </anchor>
              </controlPr>
            </control>
          </mc:Choice>
        </mc:AlternateContent>
        <mc:AlternateContent xmlns:mc="http://schemas.openxmlformats.org/markup-compatibility/2006">
          <mc:Choice Requires="x14">
            <control shapeId="638979" r:id="rId6" name="Check Box 3">
              <controlPr defaultSize="0" autoFill="0" autoLine="0" autoPict="0">
                <anchor moveWithCells="1">
                  <from>
                    <xdr:col>17</xdr:col>
                    <xdr:colOff>83820</xdr:colOff>
                    <xdr:row>16</xdr:row>
                    <xdr:rowOff>60960</xdr:rowOff>
                  </from>
                  <to>
                    <xdr:col>18</xdr:col>
                    <xdr:colOff>7620</xdr:colOff>
                    <xdr:row>16</xdr:row>
                    <xdr:rowOff>274320</xdr:rowOff>
                  </to>
                </anchor>
              </controlPr>
            </control>
          </mc:Choice>
        </mc:AlternateContent>
        <mc:AlternateContent xmlns:mc="http://schemas.openxmlformats.org/markup-compatibility/2006">
          <mc:Choice Requires="x14">
            <control shapeId="638980" r:id="rId7" name="Check Box 4">
              <controlPr defaultSize="0" autoFill="0" autoLine="0" autoPict="0">
                <anchor moveWithCells="1">
                  <from>
                    <xdr:col>16</xdr:col>
                    <xdr:colOff>76200</xdr:colOff>
                    <xdr:row>16</xdr:row>
                    <xdr:rowOff>60960</xdr:rowOff>
                  </from>
                  <to>
                    <xdr:col>17</xdr:col>
                    <xdr:colOff>0</xdr:colOff>
                    <xdr:row>16</xdr:row>
                    <xdr:rowOff>274320</xdr:rowOff>
                  </to>
                </anchor>
              </controlPr>
            </control>
          </mc:Choice>
        </mc:AlternateContent>
        <mc:AlternateContent xmlns:mc="http://schemas.openxmlformats.org/markup-compatibility/2006">
          <mc:Choice Requires="x14">
            <control shapeId="638981" r:id="rId8" name="Check Box 5">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2" r:id="rId9" name="Check Box 6">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3" r:id="rId10" name="Check Box 7">
              <controlPr defaultSize="0" autoFill="0" autoLine="0" autoPict="0">
                <anchor moveWithCells="1">
                  <from>
                    <xdr:col>10</xdr:col>
                    <xdr:colOff>259080</xdr:colOff>
                    <xdr:row>24</xdr:row>
                    <xdr:rowOff>0</xdr:rowOff>
                  </from>
                  <to>
                    <xdr:col>10</xdr:col>
                    <xdr:colOff>541020</xdr:colOff>
                    <xdr:row>25</xdr:row>
                    <xdr:rowOff>30480</xdr:rowOff>
                  </to>
                </anchor>
              </controlPr>
            </control>
          </mc:Choice>
        </mc:AlternateContent>
        <mc:AlternateContent xmlns:mc="http://schemas.openxmlformats.org/markup-compatibility/2006">
          <mc:Choice Requires="x14">
            <control shapeId="638984" r:id="rId11" name="Check Box 8">
              <controlPr defaultSize="0" autoFill="0" autoLine="0" autoPict="0">
                <anchor moveWithCells="1">
                  <from>
                    <xdr:col>14</xdr:col>
                    <xdr:colOff>289560</xdr:colOff>
                    <xdr:row>24</xdr:row>
                    <xdr:rowOff>0</xdr:rowOff>
                  </from>
                  <to>
                    <xdr:col>14</xdr:col>
                    <xdr:colOff>571500</xdr:colOff>
                    <xdr:row>25</xdr:row>
                    <xdr:rowOff>30480</xdr:rowOff>
                  </to>
                </anchor>
              </controlPr>
            </control>
          </mc:Choice>
        </mc:AlternateContent>
        <mc:AlternateContent xmlns:mc="http://schemas.openxmlformats.org/markup-compatibility/2006">
          <mc:Choice Requires="x14">
            <control shapeId="638985" r:id="rId12" name="Check Box 9">
              <controlPr defaultSize="0" autoFill="0" autoLine="0" autoPict="0">
                <anchor moveWithCells="1">
                  <from>
                    <xdr:col>10</xdr:col>
                    <xdr:colOff>259080</xdr:colOff>
                    <xdr:row>47</xdr:row>
                    <xdr:rowOff>0</xdr:rowOff>
                  </from>
                  <to>
                    <xdr:col>10</xdr:col>
                    <xdr:colOff>533400</xdr:colOff>
                    <xdr:row>48</xdr:row>
                    <xdr:rowOff>22860</xdr:rowOff>
                  </to>
                </anchor>
              </controlPr>
            </control>
          </mc:Choice>
        </mc:AlternateContent>
        <mc:AlternateContent xmlns:mc="http://schemas.openxmlformats.org/markup-compatibility/2006">
          <mc:Choice Requires="x14">
            <control shapeId="638986" r:id="rId13" name="Check Box 10">
              <controlPr defaultSize="0" autoFill="0" autoLine="0" autoPict="0">
                <anchor moveWithCells="1">
                  <from>
                    <xdr:col>14</xdr:col>
                    <xdr:colOff>289560</xdr:colOff>
                    <xdr:row>47</xdr:row>
                    <xdr:rowOff>0</xdr:rowOff>
                  </from>
                  <to>
                    <xdr:col>14</xdr:col>
                    <xdr:colOff>571500</xdr:colOff>
                    <xdr:row>48</xdr:row>
                    <xdr:rowOff>22860</xdr:rowOff>
                  </to>
                </anchor>
              </controlPr>
            </control>
          </mc:Choice>
        </mc:AlternateContent>
        <mc:AlternateContent xmlns:mc="http://schemas.openxmlformats.org/markup-compatibility/2006">
          <mc:Choice Requires="x14">
            <control shapeId="638987" r:id="rId14" name="Check Box 11">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88" r:id="rId15" name="Check Box 12">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mc:AlternateContent xmlns:mc="http://schemas.openxmlformats.org/markup-compatibility/2006">
          <mc:Choice Requires="x14">
            <control shapeId="638989" r:id="rId16" name="Check Box 13">
              <controlPr defaultSize="0" autoFill="0" autoLine="0" autoPict="0">
                <anchor moveWithCells="1">
                  <from>
                    <xdr:col>10</xdr:col>
                    <xdr:colOff>259080</xdr:colOff>
                    <xdr:row>24</xdr:row>
                    <xdr:rowOff>213360</xdr:rowOff>
                  </from>
                  <to>
                    <xdr:col>10</xdr:col>
                    <xdr:colOff>541020</xdr:colOff>
                    <xdr:row>26</xdr:row>
                    <xdr:rowOff>7620</xdr:rowOff>
                  </to>
                </anchor>
              </controlPr>
            </control>
          </mc:Choice>
        </mc:AlternateContent>
        <mc:AlternateContent xmlns:mc="http://schemas.openxmlformats.org/markup-compatibility/2006">
          <mc:Choice Requires="x14">
            <control shapeId="638990" r:id="rId17" name="Check Box 14">
              <controlPr defaultSize="0" autoFill="0" autoLine="0" autoPict="0">
                <anchor moveWithCells="1">
                  <from>
                    <xdr:col>14</xdr:col>
                    <xdr:colOff>289560</xdr:colOff>
                    <xdr:row>24</xdr:row>
                    <xdr:rowOff>213360</xdr:rowOff>
                  </from>
                  <to>
                    <xdr:col>14</xdr:col>
                    <xdr:colOff>571500</xdr:colOff>
                    <xdr:row>26</xdr:row>
                    <xdr:rowOff>7620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4D96-7749-41D1-851F-845B5978B304}">
  <sheetPr>
    <tabColor rgb="FFFFFF00"/>
    <pageSetUpPr fitToPage="1"/>
  </sheetPr>
  <dimension ref="A1:X90"/>
  <sheetViews>
    <sheetView view="pageBreakPreview" zoomScaleNormal="100" zoomScaleSheetLayoutView="100" workbookViewId="0">
      <selection activeCell="W8" sqref="W8"/>
    </sheetView>
  </sheetViews>
  <sheetFormatPr defaultColWidth="8.77734375" defaultRowHeight="12" x14ac:dyDescent="0.2"/>
  <cols>
    <col min="1" max="1" width="4.109375" style="969" customWidth="1"/>
    <col min="2" max="2" width="3.109375" style="969" customWidth="1"/>
    <col min="3" max="3" width="6.77734375" style="969" customWidth="1"/>
    <col min="4" max="5" width="6.33203125" style="969" customWidth="1"/>
    <col min="6" max="6" width="4.6640625" style="969" customWidth="1"/>
    <col min="7" max="7" width="3.6640625" style="969" customWidth="1"/>
    <col min="8" max="8" width="5.77734375" style="969" customWidth="1"/>
    <col min="9" max="18" width="10" style="969" customWidth="1"/>
    <col min="19" max="16384" width="8.77734375" style="969"/>
  </cols>
  <sheetData>
    <row r="1" spans="1:24" ht="36" customHeight="1" x14ac:dyDescent="0.2">
      <c r="A1" s="2633" t="s">
        <v>1814</v>
      </c>
      <c r="B1" s="2633"/>
      <c r="C1" s="2633"/>
      <c r="D1" s="2633"/>
      <c r="E1" s="2633"/>
      <c r="F1" s="2633"/>
      <c r="G1" s="2633"/>
      <c r="H1" s="2633"/>
      <c r="I1" s="2633"/>
      <c r="J1" s="2633"/>
      <c r="K1" s="2633"/>
      <c r="L1" s="2633"/>
      <c r="M1" s="2633"/>
      <c r="N1" s="2633"/>
      <c r="O1" s="2633"/>
      <c r="P1" s="2633"/>
      <c r="Q1" s="2633"/>
      <c r="R1" s="2633"/>
    </row>
    <row r="2" spans="1:24" s="686" customFormat="1" ht="15" customHeight="1" thickBot="1" x14ac:dyDescent="0.25">
      <c r="A2" s="2634" t="s">
        <v>1813</v>
      </c>
      <c r="B2" s="2634"/>
      <c r="C2" s="2634"/>
      <c r="D2" s="2634"/>
      <c r="E2" s="2634"/>
      <c r="F2" s="2634"/>
      <c r="G2" s="2634"/>
      <c r="H2" s="2634"/>
      <c r="I2" s="2634"/>
      <c r="J2" s="992"/>
      <c r="K2" s="992"/>
      <c r="L2" s="992"/>
      <c r="M2" s="706"/>
      <c r="N2" s="978"/>
      <c r="O2" s="991"/>
      <c r="P2" s="991"/>
      <c r="Q2" s="991"/>
      <c r="R2" s="991"/>
    </row>
    <row r="3" spans="1:24" s="686" customFormat="1" ht="15" customHeight="1" x14ac:dyDescent="0.2">
      <c r="A3" s="2635" t="s">
        <v>1784</v>
      </c>
      <c r="B3" s="2636"/>
      <c r="C3" s="2641" t="s">
        <v>1783</v>
      </c>
      <c r="D3" s="2642"/>
      <c r="E3" s="2643"/>
      <c r="F3" s="2644"/>
      <c r="G3" s="2644"/>
      <c r="H3" s="2644"/>
      <c r="I3" s="2644"/>
      <c r="J3" s="2645"/>
      <c r="K3" s="2646" t="s">
        <v>1782</v>
      </c>
      <c r="L3" s="2647"/>
      <c r="M3" s="2648"/>
      <c r="N3" s="2649"/>
      <c r="O3" s="2649"/>
      <c r="P3" s="2649"/>
      <c r="Q3" s="2649"/>
      <c r="R3" s="2650"/>
    </row>
    <row r="4" spans="1:24" s="686" customFormat="1" ht="15" customHeight="1" x14ac:dyDescent="0.2">
      <c r="A4" s="2637"/>
      <c r="B4" s="2638"/>
      <c r="C4" s="2651" t="s">
        <v>1783</v>
      </c>
      <c r="D4" s="2652"/>
      <c r="E4" s="2653"/>
      <c r="F4" s="2654"/>
      <c r="G4" s="2654"/>
      <c r="H4" s="2654"/>
      <c r="I4" s="2654"/>
      <c r="J4" s="2655"/>
      <c r="K4" s="2656" t="s">
        <v>1782</v>
      </c>
      <c r="L4" s="2657"/>
      <c r="M4" s="2658"/>
      <c r="N4" s="2659"/>
      <c r="O4" s="2659"/>
      <c r="P4" s="2659"/>
      <c r="Q4" s="2659"/>
      <c r="R4" s="2660"/>
    </row>
    <row r="5" spans="1:24" s="686" customFormat="1" ht="15" customHeight="1" x14ac:dyDescent="0.2">
      <c r="A5" s="2637"/>
      <c r="B5" s="2638"/>
      <c r="C5" s="2651" t="s">
        <v>1783</v>
      </c>
      <c r="D5" s="2652"/>
      <c r="E5" s="2653"/>
      <c r="F5" s="2654"/>
      <c r="G5" s="2654"/>
      <c r="H5" s="2654"/>
      <c r="I5" s="2654"/>
      <c r="J5" s="2655"/>
      <c r="K5" s="2656" t="s">
        <v>1782</v>
      </c>
      <c r="L5" s="2657"/>
      <c r="M5" s="2658"/>
      <c r="N5" s="2659"/>
      <c r="O5" s="2659"/>
      <c r="P5" s="2659"/>
      <c r="Q5" s="2659"/>
      <c r="R5" s="2660"/>
    </row>
    <row r="6" spans="1:24" s="686" customFormat="1" ht="15" customHeight="1" thickBot="1" x14ac:dyDescent="0.25">
      <c r="A6" s="2639"/>
      <c r="B6" s="2640"/>
      <c r="C6" s="2661" t="s">
        <v>1783</v>
      </c>
      <c r="D6" s="2662"/>
      <c r="E6" s="2663"/>
      <c r="F6" s="2664"/>
      <c r="G6" s="2664"/>
      <c r="H6" s="2664"/>
      <c r="I6" s="2664"/>
      <c r="J6" s="2665"/>
      <c r="K6" s="2666" t="s">
        <v>1782</v>
      </c>
      <c r="L6" s="2667"/>
      <c r="M6" s="2663"/>
      <c r="N6" s="2664"/>
      <c r="O6" s="2664"/>
      <c r="P6" s="2664"/>
      <c r="Q6" s="2664"/>
      <c r="R6" s="2668"/>
    </row>
    <row r="7" spans="1:24" s="686" customFormat="1" ht="15" customHeight="1" x14ac:dyDescent="0.2">
      <c r="A7" s="1036"/>
      <c r="B7" s="1036"/>
      <c r="C7" s="992"/>
      <c r="D7" s="992"/>
      <c r="E7" s="1034"/>
      <c r="F7" s="1034"/>
      <c r="G7" s="1034"/>
      <c r="H7" s="1034"/>
      <c r="I7" s="1034"/>
      <c r="J7" s="1034"/>
      <c r="K7" s="1035"/>
      <c r="L7" s="1035"/>
      <c r="M7" s="1034"/>
      <c r="N7" s="1034"/>
      <c r="O7" s="1034"/>
      <c r="P7" s="1034"/>
      <c r="Q7" s="1034"/>
      <c r="R7" s="1034"/>
    </row>
    <row r="8" spans="1:24" s="686" customFormat="1" ht="15" customHeight="1" thickBot="1" x14ac:dyDescent="0.25">
      <c r="A8" s="2634" t="s">
        <v>1812</v>
      </c>
      <c r="B8" s="2634"/>
      <c r="C8" s="2634"/>
      <c r="D8" s="2634"/>
      <c r="E8" s="2634"/>
      <c r="F8" s="2634"/>
      <c r="G8" s="2634"/>
      <c r="H8" s="2634"/>
      <c r="I8" s="2634"/>
      <c r="J8" s="992"/>
      <c r="K8" s="992"/>
      <c r="L8" s="992"/>
      <c r="M8" s="706"/>
      <c r="N8" s="978"/>
      <c r="O8" s="991"/>
      <c r="P8" s="991"/>
      <c r="Q8" s="991"/>
      <c r="R8" s="991"/>
    </row>
    <row r="9" spans="1:24" s="686" customFormat="1" ht="18" customHeight="1" x14ac:dyDescent="0.2">
      <c r="A9" s="1033"/>
      <c r="B9" s="2682" t="s">
        <v>1781</v>
      </c>
      <c r="C9" s="2682"/>
      <c r="D9" s="2682"/>
      <c r="E9" s="2682"/>
      <c r="F9" s="2682"/>
      <c r="G9" s="2682"/>
      <c r="H9" s="2682"/>
      <c r="I9" s="2682"/>
      <c r="J9" s="2683"/>
      <c r="K9" s="2684"/>
      <c r="L9" s="2685"/>
      <c r="M9" s="2685"/>
      <c r="N9" s="2685"/>
      <c r="O9" s="2685"/>
      <c r="P9" s="2685"/>
      <c r="Q9" s="2685"/>
      <c r="R9" s="2686"/>
    </row>
    <row r="10" spans="1:24" s="686" customFormat="1" ht="18" customHeight="1" thickBot="1" x14ac:dyDescent="0.25">
      <c r="A10" s="1032"/>
      <c r="B10" s="2687" t="s">
        <v>1780</v>
      </c>
      <c r="C10" s="2687"/>
      <c r="D10" s="2687"/>
      <c r="E10" s="2687"/>
      <c r="F10" s="2687"/>
      <c r="G10" s="2687"/>
      <c r="H10" s="2687"/>
      <c r="I10" s="2687"/>
      <c r="J10" s="2688"/>
      <c r="K10" s="1031"/>
      <c r="L10" s="2689" t="s">
        <v>1779</v>
      </c>
      <c r="M10" s="2689"/>
      <c r="N10" s="2689"/>
      <c r="O10" s="1031"/>
      <c r="P10" s="2689" t="s">
        <v>1778</v>
      </c>
      <c r="Q10" s="2689"/>
      <c r="R10" s="2690"/>
      <c r="S10" s="969"/>
      <c r="X10" s="969"/>
    </row>
    <row r="11" spans="1:24" s="686" customFormat="1" ht="18" customHeight="1" x14ac:dyDescent="0.2">
      <c r="A11" s="2695" t="s">
        <v>1811</v>
      </c>
      <c r="B11" s="2698" t="s">
        <v>1777</v>
      </c>
      <c r="C11" s="2699"/>
      <c r="D11" s="2699"/>
      <c r="E11" s="2699"/>
      <c r="F11" s="2699"/>
      <c r="G11" s="2699"/>
      <c r="H11" s="2699"/>
      <c r="I11" s="2699"/>
      <c r="J11" s="2700"/>
      <c r="K11" s="1026"/>
      <c r="L11" s="2464" t="s">
        <v>1773</v>
      </c>
      <c r="M11" s="2464"/>
      <c r="N11" s="711"/>
      <c r="O11" s="711"/>
      <c r="P11" s="2464" t="s">
        <v>1772</v>
      </c>
      <c r="Q11" s="2464"/>
      <c r="R11" s="1025"/>
    </row>
    <row r="12" spans="1:24" ht="15" customHeight="1" x14ac:dyDescent="0.2">
      <c r="A12" s="2696"/>
      <c r="B12" s="2691" t="s">
        <v>1472</v>
      </c>
      <c r="C12" s="2692"/>
      <c r="D12" s="2692"/>
      <c r="E12" s="2692"/>
      <c r="F12" s="2692"/>
      <c r="G12" s="2692"/>
      <c r="H12" s="2692"/>
      <c r="I12" s="2692"/>
      <c r="J12" s="2692"/>
      <c r="K12" s="2692"/>
      <c r="L12" s="2692"/>
      <c r="M12" s="2692"/>
      <c r="N12" s="2692"/>
      <c r="O12" s="2692"/>
      <c r="P12" s="2692"/>
      <c r="Q12" s="2692"/>
      <c r="R12" s="2693"/>
    </row>
    <row r="13" spans="1:24" ht="15" customHeight="1" x14ac:dyDescent="0.2">
      <c r="A13" s="2696"/>
      <c r="B13" s="2427" t="s">
        <v>1771</v>
      </c>
      <c r="C13" s="2428"/>
      <c r="D13" s="2428"/>
      <c r="E13" s="2428"/>
      <c r="F13" s="2428"/>
      <c r="G13" s="2428"/>
      <c r="H13" s="2428"/>
      <c r="I13" s="2428"/>
      <c r="J13" s="2429"/>
      <c r="K13" s="2442" t="s">
        <v>1770</v>
      </c>
      <c r="L13" s="2428"/>
      <c r="M13" s="2651" t="s">
        <v>1769</v>
      </c>
      <c r="N13" s="2652"/>
      <c r="O13" s="2422" t="s">
        <v>123</v>
      </c>
      <c r="P13" s="2423"/>
      <c r="Q13" s="2675" t="s">
        <v>124</v>
      </c>
      <c r="R13" s="2441"/>
    </row>
    <row r="14" spans="1:24" ht="15" customHeight="1" x14ac:dyDescent="0.2">
      <c r="A14" s="2696"/>
      <c r="B14" s="2694"/>
      <c r="C14" s="2673"/>
      <c r="D14" s="2673"/>
      <c r="E14" s="2673"/>
      <c r="F14" s="2673"/>
      <c r="G14" s="2673"/>
      <c r="H14" s="2673"/>
      <c r="I14" s="2673"/>
      <c r="J14" s="2674"/>
      <c r="K14" s="1017" t="s">
        <v>1475</v>
      </c>
      <c r="L14" s="987" t="s">
        <v>1476</v>
      </c>
      <c r="M14" s="1017" t="s">
        <v>1475</v>
      </c>
      <c r="N14" s="1024" t="s">
        <v>1476</v>
      </c>
      <c r="O14" s="1017" t="s">
        <v>1475</v>
      </c>
      <c r="P14" s="1024" t="s">
        <v>1476</v>
      </c>
      <c r="Q14" s="1017" t="s">
        <v>1475</v>
      </c>
      <c r="R14" s="1016" t="s">
        <v>1476</v>
      </c>
    </row>
    <row r="15" spans="1:24" ht="15" customHeight="1" x14ac:dyDescent="0.2">
      <c r="A15" s="2696"/>
      <c r="B15" s="1029"/>
      <c r="C15" s="2669" t="s">
        <v>1765</v>
      </c>
      <c r="D15" s="2670"/>
      <c r="E15" s="2670"/>
      <c r="F15" s="2670"/>
      <c r="G15" s="2670"/>
      <c r="H15" s="2671"/>
      <c r="I15" s="2675" t="s">
        <v>1477</v>
      </c>
      <c r="J15" s="2423"/>
      <c r="K15" s="1023"/>
      <c r="L15" s="1022"/>
      <c r="M15" s="1021"/>
      <c r="N15" s="1014"/>
      <c r="O15" s="1014"/>
      <c r="P15" s="1014"/>
      <c r="Q15" s="1013"/>
      <c r="R15" s="1012"/>
    </row>
    <row r="16" spans="1:24" ht="15" customHeight="1" x14ac:dyDescent="0.2">
      <c r="A16" s="2696"/>
      <c r="B16" s="1029"/>
      <c r="C16" s="2672"/>
      <c r="D16" s="2673"/>
      <c r="E16" s="2673"/>
      <c r="F16" s="2673"/>
      <c r="G16" s="2673"/>
      <c r="H16" s="2674"/>
      <c r="I16" s="2442" t="s">
        <v>1478</v>
      </c>
      <c r="J16" s="2429"/>
      <c r="K16" s="1011"/>
      <c r="L16" s="1020"/>
      <c r="M16" s="1020"/>
      <c r="N16" s="1010"/>
      <c r="O16" s="1010"/>
      <c r="P16" s="1010"/>
      <c r="Q16" s="1009"/>
      <c r="R16" s="1008"/>
    </row>
    <row r="17" spans="1:18" s="686" customFormat="1" ht="15" customHeight="1" x14ac:dyDescent="0.2">
      <c r="A17" s="2696"/>
      <c r="B17" s="1029"/>
      <c r="C17" s="2651" t="s">
        <v>1479</v>
      </c>
      <c r="D17" s="2676"/>
      <c r="E17" s="2676"/>
      <c r="F17" s="2676"/>
      <c r="G17" s="2676"/>
      <c r="H17" s="2676"/>
      <c r="I17" s="2676"/>
      <c r="J17" s="2677"/>
      <c r="K17" s="2678"/>
      <c r="L17" s="2679"/>
      <c r="M17" s="2680"/>
      <c r="N17" s="2681"/>
      <c r="O17" s="2680"/>
      <c r="P17" s="2681"/>
      <c r="Q17" s="2678"/>
      <c r="R17" s="2701"/>
    </row>
    <row r="18" spans="1:18" ht="15" customHeight="1" x14ac:dyDescent="0.2">
      <c r="A18" s="2696"/>
      <c r="B18" s="1030"/>
      <c r="C18" s="1019"/>
      <c r="D18" s="1019"/>
      <c r="E18" s="1019"/>
      <c r="F18" s="1019"/>
      <c r="G18" s="1019"/>
      <c r="H18" s="1019"/>
      <c r="I18" s="1019"/>
      <c r="J18" s="1018"/>
      <c r="K18" s="2702" t="s">
        <v>1768</v>
      </c>
      <c r="L18" s="2703"/>
      <c r="M18" s="2704" t="s">
        <v>1767</v>
      </c>
      <c r="N18" s="2705"/>
      <c r="O18" s="2704" t="s">
        <v>1766</v>
      </c>
      <c r="P18" s="2705"/>
      <c r="Q18" s="2702" t="s">
        <v>122</v>
      </c>
      <c r="R18" s="2706"/>
    </row>
    <row r="19" spans="1:18" ht="15" customHeight="1" x14ac:dyDescent="0.2">
      <c r="A19" s="2696"/>
      <c r="B19" s="1030"/>
      <c r="C19" s="1019"/>
      <c r="D19" s="1019"/>
      <c r="E19" s="1019"/>
      <c r="F19" s="1019"/>
      <c r="G19" s="1019"/>
      <c r="H19" s="1019"/>
      <c r="I19" s="1019"/>
      <c r="J19" s="1018"/>
      <c r="K19" s="1017" t="s">
        <v>1475</v>
      </c>
      <c r="L19" s="1017" t="s">
        <v>1476</v>
      </c>
      <c r="M19" s="1017" t="s">
        <v>1475</v>
      </c>
      <c r="N19" s="1017" t="s">
        <v>1476</v>
      </c>
      <c r="O19" s="1017" t="s">
        <v>1475</v>
      </c>
      <c r="P19" s="1017" t="s">
        <v>1476</v>
      </c>
      <c r="Q19" s="1017" t="s">
        <v>1475</v>
      </c>
      <c r="R19" s="1016" t="s">
        <v>1476</v>
      </c>
    </row>
    <row r="20" spans="1:18" ht="15" customHeight="1" x14ac:dyDescent="0.2">
      <c r="A20" s="2696"/>
      <c r="B20" s="1029"/>
      <c r="C20" s="2669" t="s">
        <v>1765</v>
      </c>
      <c r="D20" s="2670"/>
      <c r="E20" s="2670"/>
      <c r="F20" s="2670"/>
      <c r="G20" s="2670"/>
      <c r="H20" s="2671"/>
      <c r="I20" s="2675" t="s">
        <v>1477</v>
      </c>
      <c r="J20" s="2423"/>
      <c r="K20" s="1015"/>
      <c r="L20" s="1013"/>
      <c r="M20" s="1015"/>
      <c r="N20" s="1013"/>
      <c r="O20" s="1014"/>
      <c r="P20" s="1014"/>
      <c r="Q20" s="1013"/>
      <c r="R20" s="1012"/>
    </row>
    <row r="21" spans="1:18" ht="15" customHeight="1" x14ac:dyDescent="0.2">
      <c r="A21" s="2696"/>
      <c r="B21" s="1029"/>
      <c r="C21" s="2672"/>
      <c r="D21" s="2673"/>
      <c r="E21" s="2673"/>
      <c r="F21" s="2673"/>
      <c r="G21" s="2673"/>
      <c r="H21" s="2674"/>
      <c r="I21" s="2442" t="s">
        <v>1478</v>
      </c>
      <c r="J21" s="2429"/>
      <c r="K21" s="1011"/>
      <c r="L21" s="1009"/>
      <c r="M21" s="1011"/>
      <c r="N21" s="1009"/>
      <c r="O21" s="1010"/>
      <c r="P21" s="1010"/>
      <c r="Q21" s="1009"/>
      <c r="R21" s="1008"/>
    </row>
    <row r="22" spans="1:18" s="686" customFormat="1" ht="15" customHeight="1" x14ac:dyDescent="0.2">
      <c r="A22" s="2696"/>
      <c r="B22" s="1029"/>
      <c r="C22" s="2435" t="s">
        <v>1479</v>
      </c>
      <c r="D22" s="2435"/>
      <c r="E22" s="2435"/>
      <c r="F22" s="2435"/>
      <c r="G22" s="2435"/>
      <c r="H22" s="2435"/>
      <c r="I22" s="2435"/>
      <c r="J22" s="2435"/>
      <c r="K22" s="2710"/>
      <c r="L22" s="2710"/>
      <c r="M22" s="2710"/>
      <c r="N22" s="2710"/>
      <c r="O22" s="2710"/>
      <c r="P22" s="2710"/>
      <c r="Q22" s="2710"/>
      <c r="R22" s="2711"/>
    </row>
    <row r="23" spans="1:18" ht="15" customHeight="1" x14ac:dyDescent="0.2">
      <c r="A23" s="2696"/>
      <c r="B23" s="2712" t="s">
        <v>1749</v>
      </c>
      <c r="C23" s="2713"/>
      <c r="D23" s="2713"/>
      <c r="E23" s="2713"/>
      <c r="F23" s="2713"/>
      <c r="G23" s="2713"/>
      <c r="H23" s="2713"/>
      <c r="I23" s="2713"/>
      <c r="J23" s="2713"/>
      <c r="K23" s="2713"/>
      <c r="L23" s="2713"/>
      <c r="M23" s="2713"/>
      <c r="N23" s="2713"/>
      <c r="O23" s="2713"/>
      <c r="P23" s="2713"/>
      <c r="Q23" s="2713"/>
      <c r="R23" s="2714"/>
    </row>
    <row r="24" spans="1:18" s="686" customFormat="1" ht="15" customHeight="1" x14ac:dyDescent="0.2">
      <c r="A24" s="2696"/>
      <c r="B24" s="1028"/>
      <c r="C24" s="2670" t="s">
        <v>1764</v>
      </c>
      <c r="D24" s="2670"/>
      <c r="E24" s="2670"/>
      <c r="F24" s="2670"/>
      <c r="G24" s="2670"/>
      <c r="H24" s="2707"/>
      <c r="I24" s="2651" t="s">
        <v>1763</v>
      </c>
      <c r="J24" s="2676"/>
      <c r="K24" s="2676"/>
      <c r="L24" s="2652"/>
      <c r="M24" s="1007"/>
      <c r="N24" s="1006" t="s">
        <v>1742</v>
      </c>
      <c r="O24" s="2717"/>
      <c r="P24" s="2718"/>
      <c r="Q24" s="2718"/>
      <c r="R24" s="2719"/>
    </row>
    <row r="25" spans="1:18" s="686" customFormat="1" ht="15" customHeight="1" x14ac:dyDescent="0.2">
      <c r="A25" s="2696"/>
      <c r="B25" s="1029"/>
      <c r="C25" s="2708"/>
      <c r="D25" s="2708"/>
      <c r="E25" s="2708"/>
      <c r="F25" s="2708"/>
      <c r="G25" s="2708"/>
      <c r="H25" s="2709"/>
      <c r="I25" s="2723" t="s">
        <v>1762</v>
      </c>
      <c r="J25" s="2724"/>
      <c r="K25" s="2724"/>
      <c r="L25" s="2725"/>
      <c r="M25" s="1003"/>
      <c r="N25" s="1005" t="s">
        <v>225</v>
      </c>
      <c r="O25" s="2720"/>
      <c r="P25" s="2721"/>
      <c r="Q25" s="2721"/>
      <c r="R25" s="2722"/>
    </row>
    <row r="26" spans="1:18" s="686" customFormat="1" ht="15" customHeight="1" x14ac:dyDescent="0.2">
      <c r="A26" s="2696"/>
      <c r="B26" s="1028"/>
      <c r="C26" s="2670" t="s">
        <v>1484</v>
      </c>
      <c r="D26" s="2670"/>
      <c r="E26" s="2670"/>
      <c r="F26" s="2670"/>
      <c r="G26" s="2670"/>
      <c r="H26" s="2707"/>
      <c r="I26" s="2651" t="s">
        <v>226</v>
      </c>
      <c r="J26" s="2676"/>
      <c r="K26" s="2676"/>
      <c r="L26" s="2652"/>
      <c r="M26" s="1003"/>
      <c r="N26" s="987" t="s">
        <v>227</v>
      </c>
      <c r="O26" s="2720"/>
      <c r="P26" s="2721"/>
      <c r="Q26" s="2721"/>
      <c r="R26" s="2722"/>
    </row>
    <row r="27" spans="1:18" s="686" customFormat="1" ht="15" customHeight="1" x14ac:dyDescent="0.2">
      <c r="A27" s="2696"/>
      <c r="B27" s="1027"/>
      <c r="C27" s="2708"/>
      <c r="D27" s="2708"/>
      <c r="E27" s="2708"/>
      <c r="F27" s="2708"/>
      <c r="G27" s="2708"/>
      <c r="H27" s="2709"/>
      <c r="I27" s="2651" t="s">
        <v>228</v>
      </c>
      <c r="J27" s="2676"/>
      <c r="K27" s="2676"/>
      <c r="L27" s="2652"/>
      <c r="M27" s="1003"/>
      <c r="N27" s="987" t="s">
        <v>227</v>
      </c>
      <c r="O27" s="2720"/>
      <c r="P27" s="2721"/>
      <c r="Q27" s="2721"/>
      <c r="R27" s="2722"/>
    </row>
    <row r="28" spans="1:18" s="686" customFormat="1" ht="15" customHeight="1" x14ac:dyDescent="0.2">
      <c r="A28" s="2696"/>
      <c r="B28" s="2726" t="s">
        <v>1761</v>
      </c>
      <c r="C28" s="2676"/>
      <c r="D28" s="2676"/>
      <c r="E28" s="2676"/>
      <c r="F28" s="2676"/>
      <c r="G28" s="2676"/>
      <c r="H28" s="2676"/>
      <c r="I28" s="2676"/>
      <c r="J28" s="2676"/>
      <c r="K28" s="2676"/>
      <c r="L28" s="2652"/>
      <c r="M28" s="1003"/>
      <c r="N28" s="987" t="s">
        <v>225</v>
      </c>
      <c r="O28" s="2720"/>
      <c r="P28" s="2721"/>
      <c r="Q28" s="2721"/>
      <c r="R28" s="2722"/>
    </row>
    <row r="29" spans="1:18" s="686" customFormat="1" ht="15" customHeight="1" x14ac:dyDescent="0.2">
      <c r="A29" s="2696"/>
      <c r="B29" s="2726" t="s">
        <v>1760</v>
      </c>
      <c r="C29" s="2676"/>
      <c r="D29" s="2676"/>
      <c r="E29" s="2676"/>
      <c r="F29" s="2676"/>
      <c r="G29" s="2676"/>
      <c r="H29" s="2676"/>
      <c r="I29" s="2676"/>
      <c r="J29" s="2676"/>
      <c r="K29" s="2676"/>
      <c r="L29" s="2652"/>
      <c r="M29" s="1003"/>
      <c r="N29" s="987" t="s">
        <v>225</v>
      </c>
      <c r="O29" s="2720"/>
      <c r="P29" s="2721"/>
      <c r="Q29" s="2721"/>
      <c r="R29" s="2722"/>
    </row>
    <row r="30" spans="1:18" s="686" customFormat="1" ht="15" customHeight="1" x14ac:dyDescent="0.2">
      <c r="A30" s="2696"/>
      <c r="B30" s="2726" t="s">
        <v>1759</v>
      </c>
      <c r="C30" s="2676"/>
      <c r="D30" s="2676"/>
      <c r="E30" s="2676"/>
      <c r="F30" s="2676"/>
      <c r="G30" s="2676"/>
      <c r="H30" s="2676"/>
      <c r="I30" s="2676"/>
      <c r="J30" s="2676"/>
      <c r="K30" s="2676"/>
      <c r="L30" s="2652"/>
      <c r="M30" s="1002"/>
      <c r="N30" s="1001" t="s">
        <v>1742</v>
      </c>
      <c r="O30" s="998"/>
      <c r="P30" s="998"/>
      <c r="Q30" s="998"/>
      <c r="R30" s="997"/>
    </row>
    <row r="31" spans="1:18" s="686" customFormat="1" ht="15" customHeight="1" x14ac:dyDescent="0.2">
      <c r="A31" s="2696"/>
      <c r="B31" s="2726" t="s">
        <v>1758</v>
      </c>
      <c r="C31" s="2676"/>
      <c r="D31" s="2676"/>
      <c r="E31" s="2676"/>
      <c r="F31" s="2676"/>
      <c r="G31" s="2676"/>
      <c r="H31" s="2676"/>
      <c r="I31" s="2676"/>
      <c r="J31" s="2676"/>
      <c r="K31" s="2676"/>
      <c r="L31" s="2652"/>
      <c r="M31" s="1000"/>
      <c r="N31" s="999" t="s">
        <v>1742</v>
      </c>
      <c r="O31" s="998"/>
      <c r="P31" s="998"/>
      <c r="Q31" s="998"/>
      <c r="R31" s="997"/>
    </row>
    <row r="32" spans="1:18" s="686" customFormat="1" ht="15" customHeight="1" thickBot="1" x14ac:dyDescent="0.25">
      <c r="A32" s="2697"/>
      <c r="B32" s="2715" t="s">
        <v>1776</v>
      </c>
      <c r="C32" s="2716"/>
      <c r="D32" s="2716"/>
      <c r="E32" s="2716"/>
      <c r="F32" s="2716"/>
      <c r="G32" s="2716"/>
      <c r="H32" s="2716"/>
      <c r="I32" s="2716"/>
      <c r="J32" s="2716"/>
      <c r="K32" s="2716"/>
      <c r="L32" s="2662"/>
      <c r="M32" s="996"/>
      <c r="N32" s="703" t="s">
        <v>1742</v>
      </c>
      <c r="O32" s="994"/>
      <c r="P32" s="994"/>
      <c r="Q32" s="994"/>
      <c r="R32" s="993"/>
    </row>
    <row r="33" spans="1:18" s="686" customFormat="1" ht="18" customHeight="1" x14ac:dyDescent="0.2">
      <c r="A33" s="2695" t="s">
        <v>1810</v>
      </c>
      <c r="B33" s="2698" t="s">
        <v>1774</v>
      </c>
      <c r="C33" s="2699"/>
      <c r="D33" s="2699"/>
      <c r="E33" s="2699"/>
      <c r="F33" s="2699"/>
      <c r="G33" s="2699"/>
      <c r="H33" s="2699"/>
      <c r="I33" s="2699"/>
      <c r="J33" s="2700"/>
      <c r="K33" s="1026"/>
      <c r="L33" s="2464" t="s">
        <v>1773</v>
      </c>
      <c r="M33" s="2464"/>
      <c r="N33" s="710"/>
      <c r="O33" s="710"/>
      <c r="P33" s="2464" t="s">
        <v>1772</v>
      </c>
      <c r="Q33" s="2464"/>
      <c r="R33" s="1025"/>
    </row>
    <row r="34" spans="1:18" ht="15" customHeight="1" x14ac:dyDescent="0.2">
      <c r="A34" s="2696"/>
      <c r="B34" s="2692" t="s">
        <v>1472</v>
      </c>
      <c r="C34" s="2692"/>
      <c r="D34" s="2692"/>
      <c r="E34" s="2692"/>
      <c r="F34" s="2692"/>
      <c r="G34" s="2692"/>
      <c r="H34" s="2692"/>
      <c r="I34" s="2692"/>
      <c r="J34" s="2692"/>
      <c r="K34" s="2692"/>
      <c r="L34" s="2692"/>
      <c r="M34" s="2692"/>
      <c r="N34" s="2692"/>
      <c r="O34" s="2692"/>
      <c r="P34" s="2692"/>
      <c r="Q34" s="2692"/>
      <c r="R34" s="2693"/>
    </row>
    <row r="35" spans="1:18" ht="15" customHeight="1" x14ac:dyDescent="0.2">
      <c r="A35" s="2696"/>
      <c r="B35" s="2428" t="s">
        <v>1771</v>
      </c>
      <c r="C35" s="2428"/>
      <c r="D35" s="2428"/>
      <c r="E35" s="2428"/>
      <c r="F35" s="2428"/>
      <c r="G35" s="2428"/>
      <c r="H35" s="2428"/>
      <c r="I35" s="2428"/>
      <c r="J35" s="2429"/>
      <c r="K35" s="2442" t="s">
        <v>1770</v>
      </c>
      <c r="L35" s="2428"/>
      <c r="M35" s="2651" t="s">
        <v>1769</v>
      </c>
      <c r="N35" s="2652"/>
      <c r="O35" s="2422" t="s">
        <v>123</v>
      </c>
      <c r="P35" s="2423"/>
      <c r="Q35" s="2675" t="s">
        <v>124</v>
      </c>
      <c r="R35" s="2441"/>
    </row>
    <row r="36" spans="1:18" ht="15" customHeight="1" x14ac:dyDescent="0.2">
      <c r="A36" s="2696"/>
      <c r="B36" s="2673"/>
      <c r="C36" s="2673"/>
      <c r="D36" s="2673"/>
      <c r="E36" s="2673"/>
      <c r="F36" s="2673"/>
      <c r="G36" s="2673"/>
      <c r="H36" s="2673"/>
      <c r="I36" s="2673"/>
      <c r="J36" s="2674"/>
      <c r="K36" s="1017" t="s">
        <v>1475</v>
      </c>
      <c r="L36" s="987" t="s">
        <v>1476</v>
      </c>
      <c r="M36" s="1017" t="s">
        <v>1475</v>
      </c>
      <c r="N36" s="1024" t="s">
        <v>1476</v>
      </c>
      <c r="O36" s="1017" t="s">
        <v>1475</v>
      </c>
      <c r="P36" s="1024" t="s">
        <v>1476</v>
      </c>
      <c r="Q36" s="1017" t="s">
        <v>1475</v>
      </c>
      <c r="R36" s="1016" t="s">
        <v>1476</v>
      </c>
    </row>
    <row r="37" spans="1:18" ht="15" customHeight="1" x14ac:dyDescent="0.2">
      <c r="A37" s="2696"/>
      <c r="B37" s="978"/>
      <c r="C37" s="2669" t="s">
        <v>1765</v>
      </c>
      <c r="D37" s="2670"/>
      <c r="E37" s="2670"/>
      <c r="F37" s="2670"/>
      <c r="G37" s="2670"/>
      <c r="H37" s="2671"/>
      <c r="I37" s="2675" t="s">
        <v>1477</v>
      </c>
      <c r="J37" s="2423"/>
      <c r="K37" s="1023"/>
      <c r="L37" s="1022"/>
      <c r="M37" s="1021"/>
      <c r="N37" s="1014"/>
      <c r="O37" s="1014"/>
      <c r="P37" s="1014"/>
      <c r="Q37" s="1013"/>
      <c r="R37" s="1012"/>
    </row>
    <row r="38" spans="1:18" ht="15" customHeight="1" x14ac:dyDescent="0.2">
      <c r="A38" s="2696"/>
      <c r="B38" s="978"/>
      <c r="C38" s="2672"/>
      <c r="D38" s="2673"/>
      <c r="E38" s="2673"/>
      <c r="F38" s="2673"/>
      <c r="G38" s="2673"/>
      <c r="H38" s="2674"/>
      <c r="I38" s="2442" t="s">
        <v>1478</v>
      </c>
      <c r="J38" s="2429"/>
      <c r="K38" s="1011"/>
      <c r="L38" s="1020"/>
      <c r="M38" s="1020"/>
      <c r="N38" s="1010"/>
      <c r="O38" s="1010"/>
      <c r="P38" s="1010"/>
      <c r="Q38" s="1009"/>
      <c r="R38" s="1008"/>
    </row>
    <row r="39" spans="1:18" s="686" customFormat="1" ht="15" customHeight="1" x14ac:dyDescent="0.2">
      <c r="A39" s="2696"/>
      <c r="B39" s="978"/>
      <c r="C39" s="2651" t="s">
        <v>1479</v>
      </c>
      <c r="D39" s="2676"/>
      <c r="E39" s="2676"/>
      <c r="F39" s="2676"/>
      <c r="G39" s="2676"/>
      <c r="H39" s="2676"/>
      <c r="I39" s="2676"/>
      <c r="J39" s="2677"/>
      <c r="K39" s="2678"/>
      <c r="L39" s="2679"/>
      <c r="M39" s="2680"/>
      <c r="N39" s="2681"/>
      <c r="O39" s="2680"/>
      <c r="P39" s="2681"/>
      <c r="Q39" s="2678"/>
      <c r="R39" s="2701"/>
    </row>
    <row r="40" spans="1:18" ht="15" customHeight="1" x14ac:dyDescent="0.2">
      <c r="A40" s="2696"/>
      <c r="B40" s="1019"/>
      <c r="C40" s="1019"/>
      <c r="D40" s="1019"/>
      <c r="E40" s="1019"/>
      <c r="F40" s="1019"/>
      <c r="G40" s="1019"/>
      <c r="H40" s="1019"/>
      <c r="I40" s="702"/>
      <c r="J40" s="1018"/>
      <c r="K40" s="2702" t="s">
        <v>1768</v>
      </c>
      <c r="L40" s="2703"/>
      <c r="M40" s="2704" t="s">
        <v>1767</v>
      </c>
      <c r="N40" s="2705"/>
      <c r="O40" s="2704" t="s">
        <v>1766</v>
      </c>
      <c r="P40" s="2705"/>
      <c r="Q40" s="2702" t="s">
        <v>122</v>
      </c>
      <c r="R40" s="2706"/>
    </row>
    <row r="41" spans="1:18" ht="15" customHeight="1" x14ac:dyDescent="0.2">
      <c r="A41" s="2696"/>
      <c r="B41" s="1019"/>
      <c r="C41" s="1019"/>
      <c r="D41" s="1019"/>
      <c r="E41" s="1019"/>
      <c r="F41" s="1019"/>
      <c r="G41" s="1019"/>
      <c r="H41" s="1019"/>
      <c r="I41" s="1019"/>
      <c r="J41" s="1018"/>
      <c r="K41" s="1017" t="s">
        <v>1475</v>
      </c>
      <c r="L41" s="1017" t="s">
        <v>1476</v>
      </c>
      <c r="M41" s="1017" t="s">
        <v>1475</v>
      </c>
      <c r="N41" s="1017" t="s">
        <v>1476</v>
      </c>
      <c r="O41" s="1017" t="s">
        <v>1475</v>
      </c>
      <c r="P41" s="1017" t="s">
        <v>1476</v>
      </c>
      <c r="Q41" s="1017" t="s">
        <v>1475</v>
      </c>
      <c r="R41" s="1016" t="s">
        <v>1476</v>
      </c>
    </row>
    <row r="42" spans="1:18" ht="15" customHeight="1" x14ac:dyDescent="0.2">
      <c r="A42" s="2696"/>
      <c r="B42" s="978"/>
      <c r="C42" s="2669" t="s">
        <v>1765</v>
      </c>
      <c r="D42" s="2670"/>
      <c r="E42" s="2670"/>
      <c r="F42" s="2670"/>
      <c r="G42" s="2670"/>
      <c r="H42" s="2671"/>
      <c r="I42" s="2675" t="s">
        <v>1477</v>
      </c>
      <c r="J42" s="2423"/>
      <c r="K42" s="1015"/>
      <c r="L42" s="1013"/>
      <c r="M42" s="1015"/>
      <c r="N42" s="1013"/>
      <c r="O42" s="1014"/>
      <c r="P42" s="1014"/>
      <c r="Q42" s="1013"/>
      <c r="R42" s="1012"/>
    </row>
    <row r="43" spans="1:18" ht="15" customHeight="1" x14ac:dyDescent="0.2">
      <c r="A43" s="2696"/>
      <c r="B43" s="978"/>
      <c r="C43" s="2672"/>
      <c r="D43" s="2673"/>
      <c r="E43" s="2673"/>
      <c r="F43" s="2673"/>
      <c r="G43" s="2673"/>
      <c r="H43" s="2674"/>
      <c r="I43" s="2442" t="s">
        <v>1478</v>
      </c>
      <c r="J43" s="2429"/>
      <c r="K43" s="1011"/>
      <c r="L43" s="1009"/>
      <c r="M43" s="1011"/>
      <c r="N43" s="1009"/>
      <c r="O43" s="1010"/>
      <c r="P43" s="1010"/>
      <c r="Q43" s="1009"/>
      <c r="R43" s="1008"/>
    </row>
    <row r="44" spans="1:18" s="686" customFormat="1" ht="15" customHeight="1" x14ac:dyDescent="0.2">
      <c r="A44" s="2696"/>
      <c r="B44" s="978"/>
      <c r="C44" s="2651" t="s">
        <v>1479</v>
      </c>
      <c r="D44" s="2676"/>
      <c r="E44" s="2676"/>
      <c r="F44" s="2676"/>
      <c r="G44" s="2676"/>
      <c r="H44" s="2676"/>
      <c r="I44" s="2676"/>
      <c r="J44" s="2677"/>
      <c r="K44" s="2729"/>
      <c r="L44" s="2731"/>
      <c r="M44" s="2727"/>
      <c r="N44" s="2731"/>
      <c r="O44" s="2727"/>
      <c r="P44" s="2728"/>
      <c r="Q44" s="2729"/>
      <c r="R44" s="2730"/>
    </row>
    <row r="45" spans="1:18" ht="15" customHeight="1" x14ac:dyDescent="0.2">
      <c r="A45" s="2696"/>
      <c r="B45" s="2712" t="s">
        <v>1749</v>
      </c>
      <c r="C45" s="2713"/>
      <c r="D45" s="2713"/>
      <c r="E45" s="2713"/>
      <c r="F45" s="2713"/>
      <c r="G45" s="2713"/>
      <c r="H45" s="2713"/>
      <c r="I45" s="2713"/>
      <c r="J45" s="2713"/>
      <c r="K45" s="2713"/>
      <c r="L45" s="2713"/>
      <c r="M45" s="2713"/>
      <c r="N45" s="2713"/>
      <c r="O45" s="2713"/>
      <c r="P45" s="2713"/>
      <c r="Q45" s="2713"/>
      <c r="R45" s="2714"/>
    </row>
    <row r="46" spans="1:18" s="686" customFormat="1" ht="15" customHeight="1" x14ac:dyDescent="0.2">
      <c r="A46" s="2696"/>
      <c r="B46" s="1004"/>
      <c r="C46" s="2670" t="s">
        <v>1764</v>
      </c>
      <c r="D46" s="2670"/>
      <c r="E46" s="2670"/>
      <c r="F46" s="2670"/>
      <c r="G46" s="2670"/>
      <c r="H46" s="2707"/>
      <c r="I46" s="2651" t="s">
        <v>1763</v>
      </c>
      <c r="J46" s="2676"/>
      <c r="K46" s="2676"/>
      <c r="L46" s="2652"/>
      <c r="M46" s="1007"/>
      <c r="N46" s="1006" t="s">
        <v>1742</v>
      </c>
      <c r="O46" s="2717"/>
      <c r="P46" s="2718"/>
      <c r="Q46" s="2718"/>
      <c r="R46" s="2719"/>
    </row>
    <row r="47" spans="1:18" s="686" customFormat="1" ht="15" customHeight="1" x14ac:dyDescent="0.2">
      <c r="A47" s="2696"/>
      <c r="B47" s="978"/>
      <c r="C47" s="2708"/>
      <c r="D47" s="2708"/>
      <c r="E47" s="2708"/>
      <c r="F47" s="2708"/>
      <c r="G47" s="2708"/>
      <c r="H47" s="2709"/>
      <c r="I47" s="2723" t="s">
        <v>1762</v>
      </c>
      <c r="J47" s="2724"/>
      <c r="K47" s="2724"/>
      <c r="L47" s="2725"/>
      <c r="M47" s="1003"/>
      <c r="N47" s="1005" t="s">
        <v>225</v>
      </c>
      <c r="O47" s="2720"/>
      <c r="P47" s="2721"/>
      <c r="Q47" s="2721"/>
      <c r="R47" s="2722"/>
    </row>
    <row r="48" spans="1:18" s="686" customFormat="1" ht="15" customHeight="1" x14ac:dyDescent="0.2">
      <c r="A48" s="2696"/>
      <c r="B48" s="1004"/>
      <c r="C48" s="2670" t="s">
        <v>1484</v>
      </c>
      <c r="D48" s="2670"/>
      <c r="E48" s="2670"/>
      <c r="F48" s="2670"/>
      <c r="G48" s="2670"/>
      <c r="H48" s="2707"/>
      <c r="I48" s="2651" t="s">
        <v>226</v>
      </c>
      <c r="J48" s="2676"/>
      <c r="K48" s="2676"/>
      <c r="L48" s="2652"/>
      <c r="M48" s="1003"/>
      <c r="N48" s="987" t="s">
        <v>227</v>
      </c>
      <c r="O48" s="2720"/>
      <c r="P48" s="2721"/>
      <c r="Q48" s="2721"/>
      <c r="R48" s="2722"/>
    </row>
    <row r="49" spans="1:18" s="686" customFormat="1" ht="15" customHeight="1" x14ac:dyDescent="0.2">
      <c r="A49" s="2696"/>
      <c r="B49" s="689"/>
      <c r="C49" s="2708"/>
      <c r="D49" s="2708"/>
      <c r="E49" s="2708"/>
      <c r="F49" s="2708"/>
      <c r="G49" s="2708"/>
      <c r="H49" s="2709"/>
      <c r="I49" s="2651" t="s">
        <v>228</v>
      </c>
      <c r="J49" s="2676"/>
      <c r="K49" s="2676"/>
      <c r="L49" s="2652"/>
      <c r="M49" s="1003"/>
      <c r="N49" s="987" t="s">
        <v>227</v>
      </c>
      <c r="O49" s="2720"/>
      <c r="P49" s="2721"/>
      <c r="Q49" s="2721"/>
      <c r="R49" s="2722"/>
    </row>
    <row r="50" spans="1:18" s="686" customFormat="1" ht="15" customHeight="1" x14ac:dyDescent="0.2">
      <c r="A50" s="2696"/>
      <c r="B50" s="2676" t="s">
        <v>1761</v>
      </c>
      <c r="C50" s="2676"/>
      <c r="D50" s="2676"/>
      <c r="E50" s="2676"/>
      <c r="F50" s="2676"/>
      <c r="G50" s="2676"/>
      <c r="H50" s="2676"/>
      <c r="I50" s="2676"/>
      <c r="J50" s="2676"/>
      <c r="K50" s="2676"/>
      <c r="L50" s="2652"/>
      <c r="M50" s="1003"/>
      <c r="N50" s="987" t="s">
        <v>225</v>
      </c>
      <c r="O50" s="2720"/>
      <c r="P50" s="2721"/>
      <c r="Q50" s="2721"/>
      <c r="R50" s="2722"/>
    </row>
    <row r="51" spans="1:18" s="686" customFormat="1" ht="15" customHeight="1" x14ac:dyDescent="0.2">
      <c r="A51" s="2696"/>
      <c r="B51" s="2726" t="s">
        <v>1760</v>
      </c>
      <c r="C51" s="2676"/>
      <c r="D51" s="2676"/>
      <c r="E51" s="2676"/>
      <c r="F51" s="2676"/>
      <c r="G51" s="2676"/>
      <c r="H51" s="2676"/>
      <c r="I51" s="2676"/>
      <c r="J51" s="2676"/>
      <c r="K51" s="2676"/>
      <c r="L51" s="2652"/>
      <c r="M51" s="1003"/>
      <c r="N51" s="987" t="s">
        <v>225</v>
      </c>
      <c r="O51" s="2720"/>
      <c r="P51" s="2721"/>
      <c r="Q51" s="2721"/>
      <c r="R51" s="2722"/>
    </row>
    <row r="52" spans="1:18" s="686" customFormat="1" ht="15" customHeight="1" x14ac:dyDescent="0.2">
      <c r="A52" s="2696"/>
      <c r="B52" s="2726" t="s">
        <v>1759</v>
      </c>
      <c r="C52" s="2676"/>
      <c r="D52" s="2676"/>
      <c r="E52" s="2676"/>
      <c r="F52" s="2676"/>
      <c r="G52" s="2676"/>
      <c r="H52" s="2676"/>
      <c r="I52" s="2676"/>
      <c r="J52" s="2676"/>
      <c r="K52" s="2676"/>
      <c r="L52" s="2652"/>
      <c r="M52" s="1002"/>
      <c r="N52" s="1001" t="s">
        <v>1742</v>
      </c>
      <c r="O52" s="998"/>
      <c r="P52" s="998"/>
      <c r="Q52" s="998"/>
      <c r="R52" s="997"/>
    </row>
    <row r="53" spans="1:18" s="686" customFormat="1" ht="15" customHeight="1" x14ac:dyDescent="0.2">
      <c r="A53" s="2696"/>
      <c r="B53" s="2726" t="s">
        <v>1758</v>
      </c>
      <c r="C53" s="2676"/>
      <c r="D53" s="2676"/>
      <c r="E53" s="2676"/>
      <c r="F53" s="2676"/>
      <c r="G53" s="2676"/>
      <c r="H53" s="2676"/>
      <c r="I53" s="2676"/>
      <c r="J53" s="2676"/>
      <c r="K53" s="2676"/>
      <c r="L53" s="2652"/>
      <c r="M53" s="1000"/>
      <c r="N53" s="999" t="s">
        <v>1742</v>
      </c>
      <c r="O53" s="998"/>
      <c r="P53" s="998"/>
      <c r="Q53" s="998"/>
      <c r="R53" s="997"/>
    </row>
    <row r="54" spans="1:18" s="686" customFormat="1" ht="15" customHeight="1" thickBot="1" x14ac:dyDescent="0.25">
      <c r="A54" s="2697"/>
      <c r="B54" s="2715" t="s">
        <v>1757</v>
      </c>
      <c r="C54" s="2716"/>
      <c r="D54" s="2716"/>
      <c r="E54" s="2716"/>
      <c r="F54" s="2716"/>
      <c r="G54" s="2716"/>
      <c r="H54" s="2716"/>
      <c r="I54" s="2716"/>
      <c r="J54" s="2716"/>
      <c r="K54" s="2716"/>
      <c r="L54" s="2662"/>
      <c r="M54" s="996"/>
      <c r="N54" s="995" t="s">
        <v>1742</v>
      </c>
      <c r="O54" s="994"/>
      <c r="P54" s="994"/>
      <c r="Q54" s="994"/>
      <c r="R54" s="993"/>
    </row>
    <row r="55" spans="1:18" s="686" customFormat="1" ht="15" customHeight="1" x14ac:dyDescent="0.2">
      <c r="A55" s="971"/>
      <c r="B55" s="971"/>
      <c r="C55" s="971"/>
      <c r="D55" s="971"/>
      <c r="E55" s="971"/>
      <c r="F55" s="971"/>
      <c r="G55" s="971"/>
      <c r="H55" s="971"/>
      <c r="I55" s="971"/>
      <c r="J55" s="992"/>
      <c r="K55" s="992"/>
      <c r="L55" s="992"/>
      <c r="M55" s="706"/>
      <c r="N55" s="978"/>
      <c r="O55" s="991"/>
      <c r="P55" s="991"/>
      <c r="Q55" s="991"/>
      <c r="R55" s="991"/>
    </row>
    <row r="56" spans="1:18" s="686" customFormat="1" ht="15" customHeight="1" thickBot="1" x14ac:dyDescent="0.25">
      <c r="A56" s="2735" t="s">
        <v>1809</v>
      </c>
      <c r="B56" s="2735"/>
      <c r="C56" s="2735"/>
      <c r="D56" s="2735"/>
      <c r="E56" s="2735"/>
      <c r="F56" s="2735"/>
      <c r="G56" s="2735"/>
      <c r="H56" s="2735"/>
      <c r="I56" s="2735"/>
      <c r="J56" s="703"/>
      <c r="K56" s="703"/>
      <c r="L56" s="703"/>
      <c r="M56" s="716"/>
      <c r="N56" s="990"/>
      <c r="O56" s="989"/>
      <c r="P56" s="989"/>
      <c r="Q56" s="989"/>
      <c r="R56" s="989"/>
    </row>
    <row r="57" spans="1:18" ht="15" customHeight="1" x14ac:dyDescent="0.2">
      <c r="A57" s="2736" t="s">
        <v>1808</v>
      </c>
      <c r="B57" s="2737" t="s">
        <v>1472</v>
      </c>
      <c r="C57" s="2738"/>
      <c r="D57" s="2738"/>
      <c r="E57" s="2738"/>
      <c r="F57" s="2738"/>
      <c r="G57" s="2738"/>
      <c r="H57" s="2738"/>
      <c r="I57" s="2738"/>
      <c r="J57" s="2738"/>
      <c r="K57" s="2738"/>
      <c r="L57" s="2738"/>
      <c r="M57" s="2738"/>
      <c r="N57" s="2738"/>
      <c r="O57" s="2738"/>
      <c r="P57" s="2738"/>
      <c r="Q57" s="2738"/>
      <c r="R57" s="2739"/>
    </row>
    <row r="58" spans="1:18" ht="15" customHeight="1" x14ac:dyDescent="0.2">
      <c r="A58" s="2379"/>
      <c r="B58" s="2740" t="s">
        <v>1753</v>
      </c>
      <c r="C58" s="2670"/>
      <c r="D58" s="2670"/>
      <c r="E58" s="2670"/>
      <c r="F58" s="2670"/>
      <c r="G58" s="2670"/>
      <c r="H58" s="2707"/>
      <c r="I58" s="2742" t="s">
        <v>370</v>
      </c>
      <c r="J58" s="2709"/>
      <c r="K58" s="2742" t="s">
        <v>218</v>
      </c>
      <c r="L58" s="2709"/>
      <c r="M58" s="2743" t="s">
        <v>1752</v>
      </c>
      <c r="N58" s="2743"/>
      <c r="O58" s="2743" t="s">
        <v>1751</v>
      </c>
      <c r="P58" s="2743"/>
      <c r="Q58" s="2651" t="s">
        <v>219</v>
      </c>
      <c r="R58" s="2744"/>
    </row>
    <row r="59" spans="1:18" s="686" customFormat="1" ht="15" customHeight="1" x14ac:dyDescent="0.2">
      <c r="A59" s="2379"/>
      <c r="B59" s="2741"/>
      <c r="C59" s="2708"/>
      <c r="D59" s="2708"/>
      <c r="E59" s="2708"/>
      <c r="F59" s="2708"/>
      <c r="G59" s="2708"/>
      <c r="H59" s="2709"/>
      <c r="I59" s="695" t="s">
        <v>224</v>
      </c>
      <c r="J59" s="987" t="s">
        <v>1750</v>
      </c>
      <c r="K59" s="695" t="s">
        <v>224</v>
      </c>
      <c r="L59" s="987" t="s">
        <v>1750</v>
      </c>
      <c r="M59" s="695" t="s">
        <v>224</v>
      </c>
      <c r="N59" s="987" t="s">
        <v>1750</v>
      </c>
      <c r="O59" s="695" t="s">
        <v>224</v>
      </c>
      <c r="P59" s="987" t="s">
        <v>1750</v>
      </c>
      <c r="Q59" s="695" t="s">
        <v>224</v>
      </c>
      <c r="R59" s="986" t="s">
        <v>1750</v>
      </c>
    </row>
    <row r="60" spans="1:18" s="686" customFormat="1" ht="15" customHeight="1" x14ac:dyDescent="0.2">
      <c r="A60" s="2379"/>
      <c r="B60" s="2652" t="s">
        <v>1477</v>
      </c>
      <c r="C60" s="2435"/>
      <c r="D60" s="2435"/>
      <c r="E60" s="2435"/>
      <c r="F60" s="2435"/>
      <c r="G60" s="2435"/>
      <c r="H60" s="2435"/>
      <c r="I60" s="695"/>
      <c r="J60" s="987"/>
      <c r="K60" s="695"/>
      <c r="L60" s="987"/>
      <c r="M60" s="695"/>
      <c r="N60" s="987"/>
      <c r="O60" s="695"/>
      <c r="P60" s="987"/>
      <c r="Q60" s="695"/>
      <c r="R60" s="986"/>
    </row>
    <row r="61" spans="1:18" s="686" customFormat="1" ht="15" customHeight="1" x14ac:dyDescent="0.2">
      <c r="A61" s="2379"/>
      <c r="B61" s="2707" t="s">
        <v>1478</v>
      </c>
      <c r="C61" s="2734"/>
      <c r="D61" s="2734"/>
      <c r="E61" s="2734"/>
      <c r="F61" s="2734"/>
      <c r="G61" s="2734"/>
      <c r="H61" s="2734"/>
      <c r="I61" s="984"/>
      <c r="J61" s="985"/>
      <c r="K61" s="984"/>
      <c r="L61" s="985"/>
      <c r="M61" s="984"/>
      <c r="N61" s="985"/>
      <c r="O61" s="984"/>
      <c r="P61" s="985"/>
      <c r="Q61" s="984"/>
      <c r="R61" s="983"/>
    </row>
    <row r="62" spans="1:18" s="686" customFormat="1" ht="15" customHeight="1" x14ac:dyDescent="0.2">
      <c r="A62" s="2379"/>
      <c r="B62" s="2652" t="s">
        <v>1479</v>
      </c>
      <c r="C62" s="2435"/>
      <c r="D62" s="2435"/>
      <c r="E62" s="2435"/>
      <c r="F62" s="2435"/>
      <c r="G62" s="2435"/>
      <c r="H62" s="2435"/>
      <c r="I62" s="2651"/>
      <c r="J62" s="2652"/>
      <c r="K62" s="2651"/>
      <c r="L62" s="2652"/>
      <c r="M62" s="2651"/>
      <c r="N62" s="2652"/>
      <c r="O62" s="2732"/>
      <c r="P62" s="2436"/>
      <c r="Q62" s="2732"/>
      <c r="R62" s="2733"/>
    </row>
    <row r="63" spans="1:18" ht="15" customHeight="1" x14ac:dyDescent="0.2">
      <c r="A63" s="2379"/>
      <c r="B63" s="2747" t="s">
        <v>1749</v>
      </c>
      <c r="C63" s="2748"/>
      <c r="D63" s="2748"/>
      <c r="E63" s="2748"/>
      <c r="F63" s="2748"/>
      <c r="G63" s="2748"/>
      <c r="H63" s="2748"/>
      <c r="I63" s="2748"/>
      <c r="J63" s="2748"/>
      <c r="K63" s="2748"/>
      <c r="L63" s="2748"/>
      <c r="M63" s="2748"/>
      <c r="N63" s="2748"/>
      <c r="O63" s="2748"/>
      <c r="P63" s="2748"/>
      <c r="Q63" s="2748"/>
      <c r="R63" s="2749"/>
    </row>
    <row r="64" spans="1:18" s="686" customFormat="1" ht="15" customHeight="1" x14ac:dyDescent="0.2">
      <c r="A64" s="2379"/>
      <c r="B64" s="2670" t="s">
        <v>1748</v>
      </c>
      <c r="C64" s="2670"/>
      <c r="D64" s="2670"/>
      <c r="E64" s="2670"/>
      <c r="F64" s="2670"/>
      <c r="G64" s="2670"/>
      <c r="H64" s="2707"/>
      <c r="I64" s="982" t="s">
        <v>1427</v>
      </c>
      <c r="J64" s="981" t="s">
        <v>1428</v>
      </c>
      <c r="K64" s="981" t="s">
        <v>1429</v>
      </c>
      <c r="L64" s="981" t="s">
        <v>1430</v>
      </c>
      <c r="M64" s="988" t="s">
        <v>1747</v>
      </c>
      <c r="N64" s="988" t="s">
        <v>1746</v>
      </c>
      <c r="O64" s="988" t="s">
        <v>1745</v>
      </c>
      <c r="P64" s="988" t="s">
        <v>1434</v>
      </c>
      <c r="Q64" s="2658"/>
      <c r="R64" s="2660"/>
    </row>
    <row r="65" spans="1:19" s="686" customFormat="1" ht="15" customHeight="1" x14ac:dyDescent="0.2">
      <c r="A65" s="2379"/>
      <c r="B65" s="2673"/>
      <c r="C65" s="2673"/>
      <c r="D65" s="2673"/>
      <c r="E65" s="2673"/>
      <c r="F65" s="2673"/>
      <c r="G65" s="2673"/>
      <c r="H65" s="2750"/>
      <c r="I65" s="980"/>
      <c r="J65" s="980"/>
      <c r="K65" s="980"/>
      <c r="L65" s="980"/>
      <c r="M65" s="980"/>
      <c r="N65" s="980"/>
      <c r="O65" s="980"/>
      <c r="P65" s="979"/>
      <c r="Q65" s="2751"/>
      <c r="R65" s="2752"/>
    </row>
    <row r="66" spans="1:19" s="686" customFormat="1" ht="15" customHeight="1" x14ac:dyDescent="0.2">
      <c r="A66" s="2379"/>
      <c r="B66" s="2708"/>
      <c r="C66" s="2708"/>
      <c r="D66" s="2708"/>
      <c r="E66" s="2708"/>
      <c r="F66" s="2708"/>
      <c r="G66" s="2708"/>
      <c r="H66" s="2709"/>
      <c r="I66" s="2753" t="s">
        <v>1435</v>
      </c>
      <c r="J66" s="2754"/>
      <c r="K66" s="2755"/>
      <c r="L66" s="2756"/>
      <c r="M66" s="2745"/>
      <c r="N66" s="2745"/>
      <c r="O66" s="2745"/>
      <c r="P66" s="2745"/>
      <c r="Q66" s="2745"/>
      <c r="R66" s="2746"/>
    </row>
    <row r="67" spans="1:19" s="686" customFormat="1" ht="15" customHeight="1" x14ac:dyDescent="0.2">
      <c r="A67" s="2379"/>
      <c r="B67" s="2670" t="s">
        <v>1436</v>
      </c>
      <c r="C67" s="2676"/>
      <c r="D67" s="2676"/>
      <c r="E67" s="2676"/>
      <c r="F67" s="2676"/>
      <c r="G67" s="2676"/>
      <c r="H67" s="2676"/>
      <c r="I67" s="2727"/>
      <c r="J67" s="2731"/>
      <c r="K67" s="977" t="s">
        <v>445</v>
      </c>
      <c r="L67" s="976"/>
      <c r="M67" s="975" t="s">
        <v>382</v>
      </c>
      <c r="N67" s="2731"/>
      <c r="O67" s="2731"/>
      <c r="P67" s="974" t="s">
        <v>445</v>
      </c>
      <c r="Q67" s="2745"/>
      <c r="R67" s="2746"/>
    </row>
    <row r="68" spans="1:19" s="686" customFormat="1" ht="15" customHeight="1" x14ac:dyDescent="0.2">
      <c r="A68" s="2379"/>
      <c r="B68" s="978"/>
      <c r="C68" s="2757" t="s">
        <v>1744</v>
      </c>
      <c r="D68" s="2758"/>
      <c r="E68" s="2723" t="s">
        <v>381</v>
      </c>
      <c r="F68" s="2724"/>
      <c r="G68" s="2724"/>
      <c r="H68" s="2725"/>
      <c r="I68" s="2727"/>
      <c r="J68" s="2731"/>
      <c r="K68" s="977" t="s">
        <v>445</v>
      </c>
      <c r="L68" s="976"/>
      <c r="M68" s="975" t="s">
        <v>382</v>
      </c>
      <c r="N68" s="2731"/>
      <c r="O68" s="2731"/>
      <c r="P68" s="974" t="s">
        <v>445</v>
      </c>
      <c r="Q68" s="2745"/>
      <c r="R68" s="2746"/>
    </row>
    <row r="69" spans="1:19" s="686" customFormat="1" ht="15" customHeight="1" x14ac:dyDescent="0.2">
      <c r="A69" s="2379"/>
      <c r="B69" s="978"/>
      <c r="C69" s="2759"/>
      <c r="D69" s="2760"/>
      <c r="E69" s="2723" t="s">
        <v>1433</v>
      </c>
      <c r="F69" s="2724"/>
      <c r="G69" s="2724"/>
      <c r="H69" s="2725"/>
      <c r="I69" s="2727"/>
      <c r="J69" s="2731"/>
      <c r="K69" s="977" t="s">
        <v>445</v>
      </c>
      <c r="L69" s="976"/>
      <c r="M69" s="975" t="s">
        <v>382</v>
      </c>
      <c r="N69" s="2731"/>
      <c r="O69" s="2731"/>
      <c r="P69" s="974" t="s">
        <v>445</v>
      </c>
      <c r="Q69" s="2745"/>
      <c r="R69" s="2746"/>
    </row>
    <row r="70" spans="1:19" s="686" customFormat="1" ht="15" customHeight="1" x14ac:dyDescent="0.2">
      <c r="A70" s="2379"/>
      <c r="B70" s="689"/>
      <c r="C70" s="2761"/>
      <c r="D70" s="2762"/>
      <c r="E70" s="2723" t="s">
        <v>1438</v>
      </c>
      <c r="F70" s="2724"/>
      <c r="G70" s="2724"/>
      <c r="H70" s="2725"/>
      <c r="I70" s="2727"/>
      <c r="J70" s="2731"/>
      <c r="K70" s="977" t="s">
        <v>445</v>
      </c>
      <c r="L70" s="976"/>
      <c r="M70" s="975" t="s">
        <v>382</v>
      </c>
      <c r="N70" s="2731"/>
      <c r="O70" s="2731"/>
      <c r="P70" s="974" t="s">
        <v>445</v>
      </c>
      <c r="Q70" s="2745"/>
      <c r="R70" s="2746"/>
    </row>
    <row r="71" spans="1:19" s="686" customFormat="1" ht="15" customHeight="1" x14ac:dyDescent="0.2">
      <c r="A71" s="2379"/>
      <c r="B71" s="2670" t="s">
        <v>1439</v>
      </c>
      <c r="C71" s="2670"/>
      <c r="D71" s="2670"/>
      <c r="E71" s="2670"/>
      <c r="F71" s="2670"/>
      <c r="G71" s="2670"/>
      <c r="H71" s="2707"/>
      <c r="I71" s="2727"/>
      <c r="J71" s="2731"/>
      <c r="K71" s="977" t="s">
        <v>445</v>
      </c>
      <c r="L71" s="976"/>
      <c r="M71" s="975" t="s">
        <v>382</v>
      </c>
      <c r="N71" s="2731"/>
      <c r="O71" s="2731"/>
      <c r="P71" s="974" t="s">
        <v>445</v>
      </c>
      <c r="Q71" s="2745"/>
      <c r="R71" s="2746"/>
    </row>
    <row r="72" spans="1:19" s="686" customFormat="1" ht="15" customHeight="1" thickBot="1" x14ac:dyDescent="0.25">
      <c r="A72" s="2380"/>
      <c r="B72" s="2716" t="s">
        <v>1743</v>
      </c>
      <c r="C72" s="2716"/>
      <c r="D72" s="2716"/>
      <c r="E72" s="2716"/>
      <c r="F72" s="2716"/>
      <c r="G72" s="2716"/>
      <c r="H72" s="2662"/>
      <c r="I72" s="2765"/>
      <c r="J72" s="2766"/>
      <c r="K72" s="2766"/>
      <c r="L72" s="973" t="s">
        <v>1742</v>
      </c>
      <c r="M72" s="973"/>
      <c r="N72" s="973"/>
      <c r="O72" s="973"/>
      <c r="P72" s="973"/>
      <c r="Q72" s="973"/>
      <c r="R72" s="972"/>
    </row>
    <row r="73" spans="1:19" ht="15" customHeight="1" x14ac:dyDescent="0.2">
      <c r="A73" s="2736" t="s">
        <v>1807</v>
      </c>
      <c r="B73" s="2737" t="s">
        <v>1472</v>
      </c>
      <c r="C73" s="2738"/>
      <c r="D73" s="2738"/>
      <c r="E73" s="2738"/>
      <c r="F73" s="2738"/>
      <c r="G73" s="2738"/>
      <c r="H73" s="2738"/>
      <c r="I73" s="2738"/>
      <c r="J73" s="2738"/>
      <c r="K73" s="2738"/>
      <c r="L73" s="2738"/>
      <c r="M73" s="2738"/>
      <c r="N73" s="2738"/>
      <c r="O73" s="2738"/>
      <c r="P73" s="2738"/>
      <c r="Q73" s="2738"/>
      <c r="R73" s="2739"/>
    </row>
    <row r="74" spans="1:19" ht="15" customHeight="1" x14ac:dyDescent="0.2">
      <c r="A74" s="2379"/>
      <c r="B74" s="2740" t="s">
        <v>1753</v>
      </c>
      <c r="C74" s="2670"/>
      <c r="D74" s="2670"/>
      <c r="E74" s="2670"/>
      <c r="F74" s="2670"/>
      <c r="G74" s="2670"/>
      <c r="H74" s="2707"/>
      <c r="I74" s="2742" t="s">
        <v>370</v>
      </c>
      <c r="J74" s="2709"/>
      <c r="K74" s="2742" t="s">
        <v>218</v>
      </c>
      <c r="L74" s="2709"/>
      <c r="M74" s="2743" t="s">
        <v>1752</v>
      </c>
      <c r="N74" s="2743"/>
      <c r="O74" s="2743" t="s">
        <v>1751</v>
      </c>
      <c r="P74" s="2743"/>
      <c r="Q74" s="2651" t="s">
        <v>219</v>
      </c>
      <c r="R74" s="2744"/>
      <c r="S74" s="686"/>
    </row>
    <row r="75" spans="1:19" s="686" customFormat="1" ht="15" customHeight="1" x14ac:dyDescent="0.2">
      <c r="A75" s="2379"/>
      <c r="B75" s="2741"/>
      <c r="C75" s="2708"/>
      <c r="D75" s="2708"/>
      <c r="E75" s="2708"/>
      <c r="F75" s="2708"/>
      <c r="G75" s="2708"/>
      <c r="H75" s="2709"/>
      <c r="I75" s="695" t="s">
        <v>224</v>
      </c>
      <c r="J75" s="987" t="s">
        <v>1750</v>
      </c>
      <c r="K75" s="695" t="s">
        <v>224</v>
      </c>
      <c r="L75" s="987" t="s">
        <v>1750</v>
      </c>
      <c r="M75" s="695" t="s">
        <v>224</v>
      </c>
      <c r="N75" s="987" t="s">
        <v>1750</v>
      </c>
      <c r="O75" s="695" t="s">
        <v>224</v>
      </c>
      <c r="P75" s="987" t="s">
        <v>1750</v>
      </c>
      <c r="Q75" s="695" t="s">
        <v>224</v>
      </c>
      <c r="R75" s="986" t="s">
        <v>1750</v>
      </c>
    </row>
    <row r="76" spans="1:19" s="686" customFormat="1" ht="15" customHeight="1" x14ac:dyDescent="0.2">
      <c r="A76" s="2379"/>
      <c r="B76" s="2726" t="s">
        <v>1477</v>
      </c>
      <c r="C76" s="2676"/>
      <c r="D76" s="2676"/>
      <c r="E76" s="2676"/>
      <c r="F76" s="2676"/>
      <c r="G76" s="2676"/>
      <c r="H76" s="2652"/>
      <c r="I76" s="695"/>
      <c r="J76" s="987"/>
      <c r="K76" s="695"/>
      <c r="L76" s="987"/>
      <c r="M76" s="695"/>
      <c r="N76" s="987"/>
      <c r="O76" s="695"/>
      <c r="P76" s="987"/>
      <c r="Q76" s="695"/>
      <c r="R76" s="986"/>
    </row>
    <row r="77" spans="1:19" s="686" customFormat="1" ht="15" customHeight="1" x14ac:dyDescent="0.2">
      <c r="A77" s="2379"/>
      <c r="B77" s="2740" t="s">
        <v>1478</v>
      </c>
      <c r="C77" s="2670"/>
      <c r="D77" s="2670"/>
      <c r="E77" s="2670"/>
      <c r="F77" s="2670"/>
      <c r="G77" s="2670"/>
      <c r="H77" s="2707"/>
      <c r="I77" s="984"/>
      <c r="J77" s="985"/>
      <c r="K77" s="984"/>
      <c r="L77" s="985"/>
      <c r="M77" s="984"/>
      <c r="N77" s="985"/>
      <c r="O77" s="984"/>
      <c r="P77" s="985"/>
      <c r="Q77" s="984"/>
      <c r="R77" s="983"/>
    </row>
    <row r="78" spans="1:19" s="686" customFormat="1" ht="15" customHeight="1" x14ac:dyDescent="0.2">
      <c r="A78" s="2379"/>
      <c r="B78" s="2763" t="s">
        <v>1479</v>
      </c>
      <c r="C78" s="2764"/>
      <c r="D78" s="2764"/>
      <c r="E78" s="2764"/>
      <c r="F78" s="2764"/>
      <c r="G78" s="2764"/>
      <c r="H78" s="2764"/>
      <c r="I78" s="2651"/>
      <c r="J78" s="2652"/>
      <c r="K78" s="2651"/>
      <c r="L78" s="2652"/>
      <c r="M78" s="2651"/>
      <c r="N78" s="2652"/>
      <c r="O78" s="2732"/>
      <c r="P78" s="2436"/>
      <c r="Q78" s="2732"/>
      <c r="R78" s="2733"/>
    </row>
    <row r="79" spans="1:19" ht="15" customHeight="1" x14ac:dyDescent="0.2">
      <c r="A79" s="2379"/>
      <c r="B79" s="2748" t="s">
        <v>1749</v>
      </c>
      <c r="C79" s="2748"/>
      <c r="D79" s="2748"/>
      <c r="E79" s="2748"/>
      <c r="F79" s="2748"/>
      <c r="G79" s="2748"/>
      <c r="H79" s="2748"/>
      <c r="I79" s="2748"/>
      <c r="J79" s="2748"/>
      <c r="K79" s="2748"/>
      <c r="L79" s="2748"/>
      <c r="M79" s="2748"/>
      <c r="N79" s="2748"/>
      <c r="O79" s="2748"/>
      <c r="P79" s="2748"/>
      <c r="Q79" s="2748"/>
      <c r="R79" s="2749"/>
    </row>
    <row r="80" spans="1:19" s="686" customFormat="1" ht="15" customHeight="1" x14ac:dyDescent="0.2">
      <c r="A80" s="2379"/>
      <c r="B80" s="2673" t="s">
        <v>1748</v>
      </c>
      <c r="C80" s="2673"/>
      <c r="D80" s="2673"/>
      <c r="E80" s="2673"/>
      <c r="F80" s="2673"/>
      <c r="G80" s="2673"/>
      <c r="H80" s="2750"/>
      <c r="I80" s="982" t="s">
        <v>1427</v>
      </c>
      <c r="J80" s="981" t="s">
        <v>1428</v>
      </c>
      <c r="K80" s="981" t="s">
        <v>1429</v>
      </c>
      <c r="L80" s="981" t="s">
        <v>1430</v>
      </c>
      <c r="M80" s="981" t="s">
        <v>1747</v>
      </c>
      <c r="N80" s="981" t="s">
        <v>1746</v>
      </c>
      <c r="O80" s="981" t="s">
        <v>1745</v>
      </c>
      <c r="P80" s="981" t="s">
        <v>1434</v>
      </c>
      <c r="Q80" s="2658"/>
      <c r="R80" s="2660"/>
    </row>
    <row r="81" spans="1:18" s="686" customFormat="1" ht="15" customHeight="1" x14ac:dyDescent="0.2">
      <c r="A81" s="2379"/>
      <c r="B81" s="2673"/>
      <c r="C81" s="2673"/>
      <c r="D81" s="2673"/>
      <c r="E81" s="2673"/>
      <c r="F81" s="2673"/>
      <c r="G81" s="2673"/>
      <c r="H81" s="2750"/>
      <c r="I81" s="980"/>
      <c r="J81" s="980"/>
      <c r="K81" s="980"/>
      <c r="L81" s="980"/>
      <c r="M81" s="980"/>
      <c r="N81" s="980"/>
      <c r="O81" s="980"/>
      <c r="P81" s="979"/>
      <c r="Q81" s="2751"/>
      <c r="R81" s="2752"/>
    </row>
    <row r="82" spans="1:18" s="686" customFormat="1" ht="15" customHeight="1" x14ac:dyDescent="0.2">
      <c r="A82" s="2379"/>
      <c r="B82" s="2708"/>
      <c r="C82" s="2708"/>
      <c r="D82" s="2708"/>
      <c r="E82" s="2708"/>
      <c r="F82" s="2708"/>
      <c r="G82" s="2708"/>
      <c r="H82" s="2709"/>
      <c r="I82" s="2753" t="s">
        <v>1435</v>
      </c>
      <c r="J82" s="2754"/>
      <c r="K82" s="2755"/>
      <c r="L82" s="2756"/>
      <c r="M82" s="2745"/>
      <c r="N82" s="2745"/>
      <c r="O82" s="2745"/>
      <c r="P82" s="2745"/>
      <c r="Q82" s="2745"/>
      <c r="R82" s="2746"/>
    </row>
    <row r="83" spans="1:18" s="686" customFormat="1" ht="15" customHeight="1" x14ac:dyDescent="0.2">
      <c r="A83" s="2379"/>
      <c r="B83" s="2670" t="s">
        <v>1436</v>
      </c>
      <c r="C83" s="2676"/>
      <c r="D83" s="2676"/>
      <c r="E83" s="2676"/>
      <c r="F83" s="2676"/>
      <c r="G83" s="2676"/>
      <c r="H83" s="2676"/>
      <c r="I83" s="2727"/>
      <c r="J83" s="2731"/>
      <c r="K83" s="977" t="s">
        <v>445</v>
      </c>
      <c r="L83" s="976"/>
      <c r="M83" s="975" t="s">
        <v>382</v>
      </c>
      <c r="N83" s="2731"/>
      <c r="O83" s="2731"/>
      <c r="P83" s="974" t="s">
        <v>445</v>
      </c>
      <c r="Q83" s="2745"/>
      <c r="R83" s="2746"/>
    </row>
    <row r="84" spans="1:18" s="686" customFormat="1" ht="15" customHeight="1" x14ac:dyDescent="0.2">
      <c r="A84" s="2379"/>
      <c r="B84" s="978"/>
      <c r="C84" s="2757" t="s">
        <v>1744</v>
      </c>
      <c r="D84" s="2758"/>
      <c r="E84" s="2723" t="s">
        <v>381</v>
      </c>
      <c r="F84" s="2724"/>
      <c r="G84" s="2724"/>
      <c r="H84" s="2725"/>
      <c r="I84" s="2727"/>
      <c r="J84" s="2731"/>
      <c r="K84" s="977" t="s">
        <v>445</v>
      </c>
      <c r="L84" s="976"/>
      <c r="M84" s="975" t="s">
        <v>382</v>
      </c>
      <c r="N84" s="2731"/>
      <c r="O84" s="2731"/>
      <c r="P84" s="974" t="s">
        <v>445</v>
      </c>
      <c r="Q84" s="2745"/>
      <c r="R84" s="2746"/>
    </row>
    <row r="85" spans="1:18" s="686" customFormat="1" ht="15" customHeight="1" x14ac:dyDescent="0.2">
      <c r="A85" s="2379"/>
      <c r="B85" s="978"/>
      <c r="C85" s="2759"/>
      <c r="D85" s="2760"/>
      <c r="E85" s="2723" t="s">
        <v>1433</v>
      </c>
      <c r="F85" s="2724"/>
      <c r="G85" s="2724"/>
      <c r="H85" s="2725"/>
      <c r="I85" s="2727"/>
      <c r="J85" s="2731"/>
      <c r="K85" s="977" t="s">
        <v>445</v>
      </c>
      <c r="L85" s="976"/>
      <c r="M85" s="975" t="s">
        <v>382</v>
      </c>
      <c r="N85" s="2731"/>
      <c r="O85" s="2731"/>
      <c r="P85" s="974" t="s">
        <v>445</v>
      </c>
      <c r="Q85" s="2745"/>
      <c r="R85" s="2746"/>
    </row>
    <row r="86" spans="1:18" s="686" customFormat="1" ht="15" customHeight="1" x14ac:dyDescent="0.2">
      <c r="A86" s="2379"/>
      <c r="B86" s="689"/>
      <c r="C86" s="2761"/>
      <c r="D86" s="2762"/>
      <c r="E86" s="2723" t="s">
        <v>1438</v>
      </c>
      <c r="F86" s="2724"/>
      <c r="G86" s="2724"/>
      <c r="H86" s="2725"/>
      <c r="I86" s="2727"/>
      <c r="J86" s="2731"/>
      <c r="K86" s="977" t="s">
        <v>445</v>
      </c>
      <c r="L86" s="976"/>
      <c r="M86" s="975" t="s">
        <v>382</v>
      </c>
      <c r="N86" s="2731"/>
      <c r="O86" s="2731"/>
      <c r="P86" s="974" t="s">
        <v>445</v>
      </c>
      <c r="Q86" s="2745"/>
      <c r="R86" s="2746"/>
    </row>
    <row r="87" spans="1:18" s="686" customFormat="1" ht="15" customHeight="1" x14ac:dyDescent="0.2">
      <c r="A87" s="2379"/>
      <c r="B87" s="2670" t="s">
        <v>1439</v>
      </c>
      <c r="C87" s="2670"/>
      <c r="D87" s="2670"/>
      <c r="E87" s="2670"/>
      <c r="F87" s="2670"/>
      <c r="G87" s="2670"/>
      <c r="H87" s="2707"/>
      <c r="I87" s="2727"/>
      <c r="J87" s="2731"/>
      <c r="K87" s="977" t="s">
        <v>445</v>
      </c>
      <c r="L87" s="976"/>
      <c r="M87" s="975" t="s">
        <v>382</v>
      </c>
      <c r="N87" s="2731"/>
      <c r="O87" s="2731"/>
      <c r="P87" s="974" t="s">
        <v>445</v>
      </c>
      <c r="Q87" s="2745"/>
      <c r="R87" s="2746"/>
    </row>
    <row r="88" spans="1:18" s="686" customFormat="1" ht="15" customHeight="1" thickBot="1" x14ac:dyDescent="0.25">
      <c r="A88" s="2380"/>
      <c r="B88" s="2716" t="s">
        <v>1743</v>
      </c>
      <c r="C88" s="2716"/>
      <c r="D88" s="2716"/>
      <c r="E88" s="2716"/>
      <c r="F88" s="2716"/>
      <c r="G88" s="2716"/>
      <c r="H88" s="2662"/>
      <c r="I88" s="2765"/>
      <c r="J88" s="2766"/>
      <c r="K88" s="2766"/>
      <c r="L88" s="973" t="s">
        <v>1742</v>
      </c>
      <c r="M88" s="973"/>
      <c r="N88" s="973"/>
      <c r="O88" s="973"/>
      <c r="P88" s="973"/>
      <c r="Q88" s="973"/>
      <c r="R88" s="972"/>
    </row>
    <row r="89" spans="1:18" s="686" customFormat="1" ht="19.5" customHeight="1" x14ac:dyDescent="0.2">
      <c r="A89" s="971"/>
      <c r="B89" s="971"/>
      <c r="C89" s="971"/>
      <c r="D89" s="971"/>
      <c r="E89" s="971"/>
      <c r="F89" s="971"/>
      <c r="G89" s="971"/>
      <c r="H89" s="971"/>
      <c r="I89" s="971"/>
      <c r="J89" s="971"/>
      <c r="K89" s="971"/>
      <c r="L89" s="971"/>
      <c r="M89" s="971"/>
      <c r="N89" s="970"/>
      <c r="O89" s="970"/>
      <c r="P89" s="970"/>
      <c r="Q89" s="970"/>
      <c r="R89" s="970"/>
    </row>
    <row r="90" spans="1:18" x14ac:dyDescent="0.2">
      <c r="A90" s="681"/>
      <c r="B90" s="681"/>
      <c r="C90" s="2767"/>
      <c r="D90" s="2767"/>
      <c r="E90" s="2767"/>
      <c r="F90" s="2767"/>
      <c r="G90" s="2767"/>
      <c r="H90" s="2767"/>
      <c r="I90" s="2767"/>
      <c r="J90" s="2767"/>
      <c r="K90" s="2767"/>
      <c r="L90" s="2767"/>
      <c r="M90" s="2767"/>
      <c r="N90" s="2767"/>
      <c r="O90" s="2767"/>
      <c r="P90" s="2767"/>
      <c r="Q90" s="2767"/>
      <c r="R90" s="2767"/>
    </row>
  </sheetData>
  <mergeCells count="201">
    <mergeCell ref="B83:H83"/>
    <mergeCell ref="I85:J85"/>
    <mergeCell ref="N85:O85"/>
    <mergeCell ref="Q85:R85"/>
    <mergeCell ref="E86:H86"/>
    <mergeCell ref="I86:J86"/>
    <mergeCell ref="N86:O86"/>
    <mergeCell ref="Q86:R86"/>
    <mergeCell ref="C90:R90"/>
    <mergeCell ref="B87:H87"/>
    <mergeCell ref="I87:J87"/>
    <mergeCell ref="N87:O87"/>
    <mergeCell ref="Q87:R87"/>
    <mergeCell ref="B88:H88"/>
    <mergeCell ref="I88:K88"/>
    <mergeCell ref="B79:R79"/>
    <mergeCell ref="B80:H82"/>
    <mergeCell ref="Q80:R81"/>
    <mergeCell ref="I82:K82"/>
    <mergeCell ref="L82:R82"/>
    <mergeCell ref="B72:H72"/>
    <mergeCell ref="I72:K72"/>
    <mergeCell ref="A73:A88"/>
    <mergeCell ref="B73:R73"/>
    <mergeCell ref="B74:H75"/>
    <mergeCell ref="I74:J74"/>
    <mergeCell ref="K74:L74"/>
    <mergeCell ref="M74:N74"/>
    <mergeCell ref="O74:P74"/>
    <mergeCell ref="Q74:R74"/>
    <mergeCell ref="I83:J83"/>
    <mergeCell ref="N83:O83"/>
    <mergeCell ref="Q83:R83"/>
    <mergeCell ref="C84:D86"/>
    <mergeCell ref="E84:H84"/>
    <mergeCell ref="I84:J84"/>
    <mergeCell ref="N84:O84"/>
    <mergeCell ref="Q84:R84"/>
    <mergeCell ref="E85:H85"/>
    <mergeCell ref="B71:H71"/>
    <mergeCell ref="B67:H67"/>
    <mergeCell ref="I71:J71"/>
    <mergeCell ref="N71:O71"/>
    <mergeCell ref="Q71:R71"/>
    <mergeCell ref="C68:D70"/>
    <mergeCell ref="B76:H76"/>
    <mergeCell ref="B77:H77"/>
    <mergeCell ref="B78:H78"/>
    <mergeCell ref="I78:J78"/>
    <mergeCell ref="K78:L78"/>
    <mergeCell ref="M78:N78"/>
    <mergeCell ref="O78:P78"/>
    <mergeCell ref="Q78:R78"/>
    <mergeCell ref="E70:H70"/>
    <mergeCell ref="E69:H69"/>
    <mergeCell ref="I69:J69"/>
    <mergeCell ref="N69:O69"/>
    <mergeCell ref="Q69:R69"/>
    <mergeCell ref="N67:O67"/>
    <mergeCell ref="Q67:R67"/>
    <mergeCell ref="I70:J70"/>
    <mergeCell ref="N70:O70"/>
    <mergeCell ref="Q70:R70"/>
    <mergeCell ref="E68:H68"/>
    <mergeCell ref="I68:J68"/>
    <mergeCell ref="N68:O68"/>
    <mergeCell ref="Q68:R68"/>
    <mergeCell ref="I67:J67"/>
    <mergeCell ref="B63:R63"/>
    <mergeCell ref="B64:H66"/>
    <mergeCell ref="Q64:R65"/>
    <mergeCell ref="I66:K66"/>
    <mergeCell ref="L66:R66"/>
    <mergeCell ref="B52:L52"/>
    <mergeCell ref="O62:P62"/>
    <mergeCell ref="Q62:R62"/>
    <mergeCell ref="B60:H60"/>
    <mergeCell ref="B61:H61"/>
    <mergeCell ref="B62:H62"/>
    <mergeCell ref="I62:J62"/>
    <mergeCell ref="K62:L62"/>
    <mergeCell ref="M62:N62"/>
    <mergeCell ref="A56:I56"/>
    <mergeCell ref="A57:A72"/>
    <mergeCell ref="A33:A54"/>
    <mergeCell ref="B33:J33"/>
    <mergeCell ref="L33:M33"/>
    <mergeCell ref="C37:H38"/>
    <mergeCell ref="I37:J37"/>
    <mergeCell ref="I38:J38"/>
    <mergeCell ref="B57:R57"/>
    <mergeCell ref="B58:H59"/>
    <mergeCell ref="I58:J58"/>
    <mergeCell ref="K58:L58"/>
    <mergeCell ref="M58:N58"/>
    <mergeCell ref="O58:P58"/>
    <mergeCell ref="Q58:R58"/>
    <mergeCell ref="B34:R34"/>
    <mergeCell ref="B35:J36"/>
    <mergeCell ref="K35:L35"/>
    <mergeCell ref="M35:N35"/>
    <mergeCell ref="O35:P35"/>
    <mergeCell ref="Q35:R35"/>
    <mergeCell ref="O46:R51"/>
    <mergeCell ref="I47:L47"/>
    <mergeCell ref="C48:H49"/>
    <mergeCell ref="I48:L48"/>
    <mergeCell ref="I49:L49"/>
    <mergeCell ref="B50:L50"/>
    <mergeCell ref="B51:L51"/>
    <mergeCell ref="K44:L44"/>
    <mergeCell ref="M44:N44"/>
    <mergeCell ref="C46:H47"/>
    <mergeCell ref="I46:L46"/>
    <mergeCell ref="C39:J39"/>
    <mergeCell ref="K39:L39"/>
    <mergeCell ref="M39:N39"/>
    <mergeCell ref="C44:J44"/>
    <mergeCell ref="I43:J43"/>
    <mergeCell ref="B54:L54"/>
    <mergeCell ref="O24:R29"/>
    <mergeCell ref="I25:L25"/>
    <mergeCell ref="C26:H27"/>
    <mergeCell ref="I26:L26"/>
    <mergeCell ref="I27:L27"/>
    <mergeCell ref="O39:P39"/>
    <mergeCell ref="Q39:R39"/>
    <mergeCell ref="P33:Q33"/>
    <mergeCell ref="Q40:R40"/>
    <mergeCell ref="C42:H43"/>
    <mergeCell ref="I42:J42"/>
    <mergeCell ref="B28:L28"/>
    <mergeCell ref="B29:L29"/>
    <mergeCell ref="B30:L30"/>
    <mergeCell ref="B31:L31"/>
    <mergeCell ref="B32:L32"/>
    <mergeCell ref="B53:L53"/>
    <mergeCell ref="O44:P44"/>
    <mergeCell ref="Q44:R44"/>
    <mergeCell ref="B45:R45"/>
    <mergeCell ref="K40:L40"/>
    <mergeCell ref="M40:N40"/>
    <mergeCell ref="O40:P40"/>
    <mergeCell ref="O17:P17"/>
    <mergeCell ref="Q17:R17"/>
    <mergeCell ref="K18:L18"/>
    <mergeCell ref="M18:N18"/>
    <mergeCell ref="O18:P18"/>
    <mergeCell ref="Q18:R18"/>
    <mergeCell ref="C24:H25"/>
    <mergeCell ref="O22:P22"/>
    <mergeCell ref="Q22:R22"/>
    <mergeCell ref="B23:R23"/>
    <mergeCell ref="I24:L24"/>
    <mergeCell ref="I21:J21"/>
    <mergeCell ref="C22:J22"/>
    <mergeCell ref="K22:L22"/>
    <mergeCell ref="M22:N22"/>
    <mergeCell ref="C15:H16"/>
    <mergeCell ref="I15:J15"/>
    <mergeCell ref="I16:J16"/>
    <mergeCell ref="C17:J17"/>
    <mergeCell ref="K17:L17"/>
    <mergeCell ref="M17:N17"/>
    <mergeCell ref="A8:I8"/>
    <mergeCell ref="B9:J9"/>
    <mergeCell ref="K9:R9"/>
    <mergeCell ref="B10:J10"/>
    <mergeCell ref="L10:N10"/>
    <mergeCell ref="P10:R10"/>
    <mergeCell ref="P11:Q11"/>
    <mergeCell ref="B12:R12"/>
    <mergeCell ref="B13:J14"/>
    <mergeCell ref="K13:L13"/>
    <mergeCell ref="M13:N13"/>
    <mergeCell ref="O13:P13"/>
    <mergeCell ref="Q13:R13"/>
    <mergeCell ref="A11:A32"/>
    <mergeCell ref="B11:J11"/>
    <mergeCell ref="L11:M11"/>
    <mergeCell ref="C20:H21"/>
    <mergeCell ref="I20:J20"/>
    <mergeCell ref="A1:R1"/>
    <mergeCell ref="A2:I2"/>
    <mergeCell ref="A3:B6"/>
    <mergeCell ref="C3:D3"/>
    <mergeCell ref="E3:J3"/>
    <mergeCell ref="K3:L3"/>
    <mergeCell ref="M3:R3"/>
    <mergeCell ref="C4:D4"/>
    <mergeCell ref="E4:J4"/>
    <mergeCell ref="K4:L4"/>
    <mergeCell ref="M4:R4"/>
    <mergeCell ref="C5:D5"/>
    <mergeCell ref="E5:J5"/>
    <mergeCell ref="K5:L5"/>
    <mergeCell ref="M5:R5"/>
    <mergeCell ref="C6:D6"/>
    <mergeCell ref="E6:J6"/>
    <mergeCell ref="K6:L6"/>
    <mergeCell ref="M6:R6"/>
  </mergeCells>
  <phoneticPr fontId="2"/>
  <dataValidations count="1">
    <dataValidation type="list" allowBlank="1" showInputMessage="1" showErrorMessage="1" sqref="I65:P65 I81:P81" xr:uid="{C200E822-007A-4688-93BD-4D6A18BA7D20}">
      <formula1>"〇"</formula1>
    </dataValidation>
  </dataValidations>
  <printOptions horizontalCentered="1"/>
  <pageMargins left="0.70866141732283472" right="0.70866141732283472" top="0.74803149606299213" bottom="0.74803149606299213" header="0.31496062992125984" footer="0.31496062992125984"/>
  <pageSetup paperSize="9" scale="63" fitToHeight="0" orientation="portrait" r:id="rId1"/>
  <headerFooter alignWithMargins="0"/>
  <rowBreaks count="1" manualBreakCount="1">
    <brk id="55"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640001" r:id="rId4" name="Check Box 1">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2" r:id="rId5" name="Check Box 2">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3" r:id="rId6" name="Check Box 3">
              <controlPr defaultSize="0" autoFill="0" autoLine="0" autoPict="0">
                <anchor moveWithCells="1">
                  <from>
                    <xdr:col>10</xdr:col>
                    <xdr:colOff>259080</xdr:colOff>
                    <xdr:row>8</xdr:row>
                    <xdr:rowOff>198120</xdr:rowOff>
                  </from>
                  <to>
                    <xdr:col>10</xdr:col>
                    <xdr:colOff>541020</xdr:colOff>
                    <xdr:row>10</xdr:row>
                    <xdr:rowOff>38100</xdr:rowOff>
                  </to>
                </anchor>
              </controlPr>
            </control>
          </mc:Choice>
        </mc:AlternateContent>
        <mc:AlternateContent xmlns:mc="http://schemas.openxmlformats.org/markup-compatibility/2006">
          <mc:Choice Requires="x14">
            <control shapeId="640004" r:id="rId7" name="Check Box 4">
              <controlPr defaultSize="0" autoFill="0" autoLine="0" autoPict="0">
                <anchor moveWithCells="1">
                  <from>
                    <xdr:col>14</xdr:col>
                    <xdr:colOff>289560</xdr:colOff>
                    <xdr:row>8</xdr:row>
                    <xdr:rowOff>198120</xdr:rowOff>
                  </from>
                  <to>
                    <xdr:col>15</xdr:col>
                    <xdr:colOff>0</xdr:colOff>
                    <xdr:row>10</xdr:row>
                    <xdr:rowOff>38100</xdr:rowOff>
                  </to>
                </anchor>
              </controlPr>
            </control>
          </mc:Choice>
        </mc:AlternateContent>
        <mc:AlternateContent xmlns:mc="http://schemas.openxmlformats.org/markup-compatibility/2006">
          <mc:Choice Requires="x14">
            <control shapeId="640005" r:id="rId8" name="Check Box 5">
              <controlPr defaultSize="0" autoFill="0" autoLine="0" autoPict="0">
                <anchor moveWithCells="1">
                  <from>
                    <xdr:col>10</xdr:col>
                    <xdr:colOff>259080</xdr:colOff>
                    <xdr:row>31</xdr:row>
                    <xdr:rowOff>175260</xdr:rowOff>
                  </from>
                  <to>
                    <xdr:col>10</xdr:col>
                    <xdr:colOff>541020</xdr:colOff>
                    <xdr:row>33</xdr:row>
                    <xdr:rowOff>38100</xdr:rowOff>
                  </to>
                </anchor>
              </controlPr>
            </control>
          </mc:Choice>
        </mc:AlternateContent>
        <mc:AlternateContent xmlns:mc="http://schemas.openxmlformats.org/markup-compatibility/2006">
          <mc:Choice Requires="x14">
            <control shapeId="640006" r:id="rId9" name="Check Box 6">
              <controlPr defaultSize="0" autoFill="0" autoLine="0" autoPict="0">
                <anchor moveWithCells="1">
                  <from>
                    <xdr:col>14</xdr:col>
                    <xdr:colOff>289560</xdr:colOff>
                    <xdr:row>31</xdr:row>
                    <xdr:rowOff>175260</xdr:rowOff>
                  </from>
                  <to>
                    <xdr:col>14</xdr:col>
                    <xdr:colOff>571500</xdr:colOff>
                    <xdr:row>33</xdr:row>
                    <xdr:rowOff>38100</xdr:rowOff>
                  </to>
                </anchor>
              </controlPr>
            </control>
          </mc:Choice>
        </mc:AlternateContent>
        <mc:AlternateContent xmlns:mc="http://schemas.openxmlformats.org/markup-compatibility/2006">
          <mc:Choice Requires="x14">
            <control shapeId="640007" r:id="rId10" name="Check Box 7">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08" r:id="rId11" name="Check Box 8">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mc:AlternateContent xmlns:mc="http://schemas.openxmlformats.org/markup-compatibility/2006">
          <mc:Choice Requires="x14">
            <control shapeId="640009" r:id="rId12" name="Check Box 9">
              <controlPr defaultSize="0" autoFill="0" autoLine="0" autoPict="0">
                <anchor moveWithCells="1">
                  <from>
                    <xdr:col>10</xdr:col>
                    <xdr:colOff>259080</xdr:colOff>
                    <xdr:row>9</xdr:row>
                    <xdr:rowOff>175260</xdr:rowOff>
                  </from>
                  <to>
                    <xdr:col>10</xdr:col>
                    <xdr:colOff>541020</xdr:colOff>
                    <xdr:row>11</xdr:row>
                    <xdr:rowOff>38100</xdr:rowOff>
                  </to>
                </anchor>
              </controlPr>
            </control>
          </mc:Choice>
        </mc:AlternateContent>
        <mc:AlternateContent xmlns:mc="http://schemas.openxmlformats.org/markup-compatibility/2006">
          <mc:Choice Requires="x14">
            <control shapeId="640010" r:id="rId13" name="Check Box 10">
              <controlPr defaultSize="0" autoFill="0" autoLine="0" autoPict="0">
                <anchor moveWithCells="1">
                  <from>
                    <xdr:col>14</xdr:col>
                    <xdr:colOff>289560</xdr:colOff>
                    <xdr:row>9</xdr:row>
                    <xdr:rowOff>175260</xdr:rowOff>
                  </from>
                  <to>
                    <xdr:col>14</xdr:col>
                    <xdr:colOff>571500</xdr:colOff>
                    <xdr:row>11</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AE33"/>
  <sheetViews>
    <sheetView view="pageBreakPreview" zoomScale="85" zoomScaleNormal="100" zoomScaleSheetLayoutView="85" workbookViewId="0">
      <selection activeCell="AD10" sqref="AD10"/>
    </sheetView>
  </sheetViews>
  <sheetFormatPr defaultColWidth="9" defaultRowHeight="13.2" x14ac:dyDescent="0.2"/>
  <cols>
    <col min="1" max="1" width="1.33203125" style="184" customWidth="1"/>
    <col min="2" max="2" width="1.88671875" style="184" customWidth="1"/>
    <col min="3" max="3" width="2" style="184" customWidth="1"/>
    <col min="4" max="4" width="3.109375" style="184" customWidth="1"/>
    <col min="5" max="5" width="5.77734375" style="184" customWidth="1"/>
    <col min="6" max="6" width="5.6640625" style="184" customWidth="1"/>
    <col min="7" max="7" width="7.21875" style="184" customWidth="1"/>
    <col min="8" max="8" width="11.6640625" style="184" customWidth="1"/>
    <col min="9" max="9" width="7.21875" style="184" customWidth="1"/>
    <col min="10" max="10" width="5.33203125" style="184" customWidth="1"/>
    <col min="11" max="11" width="9.6640625" style="184" customWidth="1"/>
    <col min="12" max="12" width="7.109375" style="184" customWidth="1"/>
    <col min="13" max="13" width="7.21875" style="184" customWidth="1"/>
    <col min="14" max="14" width="7.109375" style="184" customWidth="1"/>
    <col min="15" max="15" width="7.21875" style="184" customWidth="1"/>
    <col min="16" max="18" width="7.109375" style="184" customWidth="1"/>
    <col min="19" max="19" width="8.77734375" style="184" bestFit="1" customWidth="1"/>
    <col min="20" max="21" width="1.6640625" style="184" customWidth="1"/>
    <col min="22" max="22" width="5.6640625" style="184" customWidth="1"/>
    <col min="23" max="16384" width="9" style="184"/>
  </cols>
  <sheetData>
    <row r="2" spans="2:31" x14ac:dyDescent="0.2">
      <c r="V2" s="5" t="s">
        <v>117</v>
      </c>
    </row>
    <row r="3" spans="2:31" ht="28.5" customHeight="1" x14ac:dyDescent="0.2">
      <c r="B3" s="2777" t="s">
        <v>471</v>
      </c>
      <c r="C3" s="2777"/>
      <c r="D3" s="2777"/>
      <c r="E3" s="2777"/>
      <c r="F3" s="2777"/>
      <c r="G3" s="2777"/>
      <c r="H3" s="2777"/>
      <c r="I3" s="2777"/>
      <c r="J3" s="2777"/>
      <c r="K3" s="2777"/>
      <c r="L3" s="2777"/>
      <c r="M3" s="2777"/>
      <c r="N3" s="2777"/>
      <c r="O3" s="2777"/>
      <c r="P3" s="2777"/>
      <c r="Q3" s="2777"/>
      <c r="R3" s="2777"/>
      <c r="S3" s="2777"/>
      <c r="V3" s="5" t="s">
        <v>118</v>
      </c>
    </row>
    <row r="4" spans="2:31" x14ac:dyDescent="0.2">
      <c r="V4" s="5"/>
    </row>
    <row r="5" spans="2:31" ht="35.1" customHeight="1" x14ac:dyDescent="0.2">
      <c r="L5" s="2768" t="s">
        <v>472</v>
      </c>
      <c r="M5" s="2768"/>
      <c r="N5" s="2778" t="e">
        <f>IF(#REF!="","",#REF!)</f>
        <v>#REF!</v>
      </c>
      <c r="O5" s="2779"/>
      <c r="P5" s="2779"/>
      <c r="Q5" s="2779"/>
      <c r="R5" s="2779"/>
      <c r="S5" s="2780"/>
    </row>
    <row r="6" spans="2:31" ht="11.25" customHeight="1" thickBot="1" x14ac:dyDescent="0.25">
      <c r="L6" s="185"/>
      <c r="M6" s="185"/>
      <c r="N6" s="186"/>
      <c r="O6" s="186"/>
      <c r="P6" s="186"/>
      <c r="Q6" s="186"/>
      <c r="R6" s="186"/>
      <c r="S6" s="186"/>
    </row>
    <row r="7" spans="2:31" ht="35.1" customHeight="1" x14ac:dyDescent="0.2">
      <c r="B7" s="2781" t="s">
        <v>473</v>
      </c>
      <c r="C7" s="2782"/>
      <c r="D7" s="2782"/>
      <c r="E7" s="2782"/>
      <c r="F7" s="2782"/>
      <c r="G7" s="193" t="s">
        <v>116</v>
      </c>
      <c r="H7" s="2787" t="s">
        <v>474</v>
      </c>
      <c r="I7" s="2787"/>
      <c r="J7" s="2787"/>
      <c r="K7" s="2787"/>
      <c r="L7" s="192" t="s">
        <v>116</v>
      </c>
      <c r="M7" s="2783" t="s">
        <v>475</v>
      </c>
      <c r="N7" s="2783"/>
      <c r="O7" s="2783"/>
      <c r="P7" s="2783"/>
      <c r="Q7" s="2783"/>
      <c r="R7" s="2783"/>
      <c r="S7" s="2784"/>
    </row>
    <row r="8" spans="2:31" ht="35.1" customHeight="1" thickBot="1" x14ac:dyDescent="0.25">
      <c r="B8" s="2785" t="s">
        <v>476</v>
      </c>
      <c r="C8" s="2786"/>
      <c r="D8" s="2786"/>
      <c r="E8" s="2786"/>
      <c r="F8" s="2786"/>
      <c r="G8" s="2788" t="s">
        <v>477</v>
      </c>
      <c r="H8" s="2789"/>
      <c r="I8" s="2789"/>
      <c r="J8" s="2789"/>
      <c r="K8" s="2789"/>
      <c r="L8" s="2789"/>
      <c r="M8" s="2789"/>
      <c r="N8" s="2789"/>
      <c r="O8" s="2789"/>
      <c r="P8" s="2789"/>
      <c r="Q8" s="2789"/>
      <c r="R8" s="2789"/>
      <c r="S8" s="2790"/>
      <c r="V8" s="119"/>
      <c r="W8" s="119"/>
      <c r="X8" s="119"/>
      <c r="Y8" s="119"/>
      <c r="Z8" s="119"/>
      <c r="AA8" s="119"/>
      <c r="AB8" s="119"/>
      <c r="AC8" s="119"/>
      <c r="AD8" s="119"/>
      <c r="AE8" s="119"/>
    </row>
    <row r="9" spans="2:31" ht="12.75" customHeight="1" x14ac:dyDescent="0.2">
      <c r="B9" s="185"/>
      <c r="C9" s="185"/>
      <c r="D9" s="185"/>
      <c r="E9" s="185"/>
      <c r="F9" s="185"/>
      <c r="G9" s="187"/>
      <c r="H9" s="187"/>
      <c r="I9" s="187"/>
      <c r="J9" s="187"/>
      <c r="K9" s="187"/>
      <c r="L9" s="187"/>
      <c r="M9" s="185"/>
      <c r="N9" s="185"/>
      <c r="O9" s="185"/>
      <c r="P9" s="185"/>
      <c r="Q9" s="185"/>
      <c r="R9" s="185"/>
      <c r="S9" s="185"/>
      <c r="V9" s="119"/>
      <c r="W9" s="119"/>
      <c r="X9" s="119"/>
      <c r="Y9" s="119"/>
      <c r="Z9" s="119"/>
      <c r="AA9" s="119"/>
      <c r="AB9" s="119"/>
      <c r="AC9" s="119"/>
      <c r="AD9" s="119"/>
      <c r="AE9" s="119"/>
    </row>
    <row r="10" spans="2:31" ht="32.25" customHeight="1" x14ac:dyDescent="0.2">
      <c r="B10" s="208" t="s">
        <v>478</v>
      </c>
      <c r="C10" s="209"/>
      <c r="D10" s="209"/>
      <c r="E10" s="209"/>
      <c r="F10" s="209"/>
      <c r="G10" s="210"/>
      <c r="H10" s="210"/>
      <c r="I10" s="210"/>
      <c r="J10" s="210"/>
      <c r="K10" s="210"/>
      <c r="L10" s="2776"/>
      <c r="M10" s="2776"/>
      <c r="N10" s="211" t="s">
        <v>479</v>
      </c>
      <c r="O10" s="211" t="s">
        <v>480</v>
      </c>
      <c r="P10" s="211"/>
      <c r="Q10" s="211"/>
      <c r="R10" s="211"/>
      <c r="S10" s="212"/>
      <c r="V10" s="119"/>
      <c r="W10" s="119"/>
      <c r="X10" s="119"/>
      <c r="Y10" s="119"/>
      <c r="Z10" s="119"/>
      <c r="AA10" s="119"/>
      <c r="AB10" s="119"/>
      <c r="AC10" s="119"/>
      <c r="AD10" s="119"/>
      <c r="AE10" s="119"/>
    </row>
    <row r="11" spans="2:31" ht="27" customHeight="1" x14ac:dyDescent="0.2">
      <c r="B11" s="2796" t="s">
        <v>516</v>
      </c>
      <c r="C11" s="2796"/>
      <c r="D11" s="2796"/>
      <c r="E11" s="2796"/>
      <c r="F11" s="2796"/>
      <c r="G11" s="2796"/>
      <c r="H11" s="2796"/>
      <c r="I11" s="2796"/>
      <c r="J11" s="2796"/>
      <c r="K11" s="2796"/>
      <c r="L11" s="2796"/>
      <c r="M11" s="2796"/>
      <c r="N11" s="2796"/>
      <c r="O11" s="2796"/>
      <c r="P11" s="2796"/>
      <c r="Q11" s="2796"/>
      <c r="R11" s="2796"/>
      <c r="S11" s="2796"/>
      <c r="V11" s="119"/>
      <c r="W11" s="119"/>
      <c r="X11" s="119"/>
      <c r="Y11" s="119"/>
      <c r="Z11" s="119"/>
      <c r="AA11" s="119"/>
      <c r="AB11" s="119"/>
      <c r="AC11" s="119"/>
      <c r="AD11" s="119"/>
      <c r="AE11" s="119"/>
    </row>
    <row r="12" spans="2:31" s="185" customFormat="1" ht="35.1" customHeight="1" x14ac:dyDescent="0.2">
      <c r="B12" s="213"/>
      <c r="F12" s="188" t="s">
        <v>481</v>
      </c>
      <c r="G12" s="194"/>
      <c r="H12" s="185" t="s">
        <v>482</v>
      </c>
      <c r="I12" s="194"/>
      <c r="J12" s="185" t="s">
        <v>483</v>
      </c>
      <c r="K12" s="190" t="s">
        <v>484</v>
      </c>
      <c r="L12" s="185" t="s">
        <v>485</v>
      </c>
      <c r="M12" s="194"/>
      <c r="N12" s="185" t="s">
        <v>482</v>
      </c>
      <c r="O12" s="194"/>
      <c r="P12" s="185" t="s">
        <v>483</v>
      </c>
      <c r="Q12" s="2800" t="s">
        <v>486</v>
      </c>
      <c r="R12" s="2800"/>
      <c r="S12" s="214"/>
      <c r="V12" s="119"/>
      <c r="W12" s="119"/>
      <c r="X12" s="119"/>
      <c r="Y12" s="119"/>
      <c r="Z12" s="119"/>
      <c r="AA12" s="119"/>
      <c r="AB12" s="119"/>
      <c r="AC12" s="119"/>
      <c r="AD12" s="119"/>
      <c r="AE12" s="119"/>
    </row>
    <row r="13" spans="2:31" s="185" customFormat="1" ht="4.5" customHeight="1" x14ac:dyDescent="0.2">
      <c r="B13" s="215"/>
      <c r="C13" s="216"/>
      <c r="D13" s="216"/>
      <c r="E13" s="216"/>
      <c r="F13" s="217"/>
      <c r="G13" s="211"/>
      <c r="H13" s="216"/>
      <c r="I13" s="211"/>
      <c r="J13" s="216"/>
      <c r="K13" s="216"/>
      <c r="L13" s="216"/>
      <c r="M13" s="211"/>
      <c r="N13" s="216"/>
      <c r="O13" s="211"/>
      <c r="P13" s="216"/>
      <c r="Q13" s="216"/>
      <c r="R13" s="216"/>
      <c r="S13" s="218"/>
    </row>
    <row r="14" spans="2:31" s="185" customFormat="1" ht="35.1" customHeight="1" x14ac:dyDescent="0.2">
      <c r="B14" s="2796" t="s">
        <v>487</v>
      </c>
      <c r="C14" s="2796"/>
      <c r="D14" s="2796"/>
      <c r="E14" s="2796"/>
      <c r="F14" s="2796"/>
      <c r="G14" s="2796"/>
      <c r="H14" s="2796"/>
      <c r="I14" s="2796"/>
      <c r="J14" s="2796"/>
      <c r="K14" s="2796"/>
      <c r="L14" s="2796"/>
      <c r="M14" s="2796"/>
      <c r="N14" s="2796"/>
      <c r="O14" s="2796"/>
      <c r="P14" s="2796"/>
      <c r="Q14" s="2796"/>
      <c r="R14" s="2796"/>
      <c r="S14" s="2796"/>
    </row>
    <row r="15" spans="2:31" ht="30" customHeight="1" x14ac:dyDescent="0.2">
      <c r="B15" s="205"/>
      <c r="C15" s="201" t="s">
        <v>488</v>
      </c>
      <c r="D15" s="202"/>
      <c r="E15" s="202"/>
      <c r="F15" s="202"/>
      <c r="G15" s="203"/>
      <c r="H15" s="203"/>
      <c r="I15" s="203"/>
      <c r="J15" s="203"/>
      <c r="K15" s="203"/>
      <c r="L15" s="203"/>
      <c r="M15" s="203"/>
      <c r="N15" s="203"/>
      <c r="O15" s="203"/>
      <c r="P15" s="203"/>
      <c r="Q15" s="203"/>
      <c r="R15" s="203"/>
      <c r="S15" s="204"/>
    </row>
    <row r="16" spans="2:31" ht="30" customHeight="1" x14ac:dyDescent="0.2">
      <c r="B16" s="205"/>
      <c r="C16" s="205"/>
      <c r="D16" s="2796" t="s">
        <v>489</v>
      </c>
      <c r="E16" s="2801"/>
      <c r="F16" s="2801"/>
      <c r="G16" s="2801"/>
      <c r="H16" s="2801"/>
      <c r="I16" s="2801"/>
      <c r="J16" s="2801"/>
      <c r="K16" s="2801"/>
      <c r="L16" s="2801"/>
      <c r="M16" s="2801"/>
      <c r="N16" s="2801"/>
      <c r="O16" s="2801"/>
      <c r="P16" s="2801"/>
      <c r="Q16" s="2801"/>
      <c r="R16" s="2801"/>
      <c r="S16" s="2801"/>
    </row>
    <row r="17" spans="2:21" ht="30" customHeight="1" x14ac:dyDescent="0.2">
      <c r="B17" s="205"/>
      <c r="C17" s="205"/>
      <c r="D17" s="2802"/>
      <c r="E17" s="2791" t="s">
        <v>490</v>
      </c>
      <c r="F17" s="2794" t="s">
        <v>491</v>
      </c>
      <c r="G17" s="2795"/>
      <c r="H17" s="2795"/>
      <c r="I17" s="2795"/>
      <c r="J17" s="2792" t="s">
        <v>569</v>
      </c>
      <c r="K17" s="2793"/>
      <c r="L17" s="2797">
        <f>ROUNDUP(R17,0)</f>
        <v>0</v>
      </c>
      <c r="M17" s="2797"/>
      <c r="N17" s="198" t="s">
        <v>492</v>
      </c>
      <c r="O17" s="199" t="s">
        <v>517</v>
      </c>
      <c r="P17" s="341">
        <f>L10</f>
        <v>0</v>
      </c>
      <c r="Q17" s="200" t="s">
        <v>519</v>
      </c>
      <c r="R17" s="340">
        <f>IF(P17="","",ROUNDUP(P17/15,1))</f>
        <v>0</v>
      </c>
      <c r="S17" s="220" t="s">
        <v>518</v>
      </c>
    </row>
    <row r="18" spans="2:21" ht="30" customHeight="1" x14ac:dyDescent="0.2">
      <c r="B18" s="205"/>
      <c r="C18" s="205"/>
      <c r="D18" s="2791"/>
      <c r="E18" s="2791"/>
      <c r="F18" s="2798" t="s">
        <v>493</v>
      </c>
      <c r="G18" s="2799"/>
      <c r="H18" s="2799"/>
      <c r="I18" s="2799"/>
      <c r="J18" s="2792" t="s">
        <v>569</v>
      </c>
      <c r="K18" s="2793"/>
      <c r="L18" s="2797">
        <f>ROUNDUP(R18,0)</f>
        <v>0</v>
      </c>
      <c r="M18" s="2797"/>
      <c r="N18" s="195" t="s">
        <v>492</v>
      </c>
      <c r="O18" s="196" t="s">
        <v>517</v>
      </c>
      <c r="P18" s="343">
        <f>L10</f>
        <v>0</v>
      </c>
      <c r="Q18" s="197" t="s">
        <v>520</v>
      </c>
      <c r="R18" s="342">
        <f>IF(P18="","",ROUND(P18/20,1))</f>
        <v>0</v>
      </c>
      <c r="S18" s="219" t="s">
        <v>518</v>
      </c>
    </row>
    <row r="19" spans="2:21" ht="30" customHeight="1" x14ac:dyDescent="0.2">
      <c r="B19" s="206"/>
      <c r="C19" s="206"/>
      <c r="D19" s="2791"/>
      <c r="E19" s="2768" t="s">
        <v>494</v>
      </c>
      <c r="F19" s="2769" t="s">
        <v>495</v>
      </c>
      <c r="G19" s="2770"/>
      <c r="H19" s="2770"/>
      <c r="I19" s="2770"/>
      <c r="J19" s="2770"/>
      <c r="K19" s="2771"/>
      <c r="L19" s="2772"/>
      <c r="M19" s="2772"/>
      <c r="N19" s="221" t="s">
        <v>496</v>
      </c>
      <c r="O19" s="222" t="s">
        <v>497</v>
      </c>
      <c r="P19" s="222"/>
      <c r="Q19" s="222"/>
      <c r="R19" s="222"/>
      <c r="S19" s="226"/>
    </row>
    <row r="20" spans="2:21" ht="30" customHeight="1" x14ac:dyDescent="0.2">
      <c r="B20" s="206"/>
      <c r="C20" s="206"/>
      <c r="D20" s="2791"/>
      <c r="E20" s="2768"/>
      <c r="F20" s="2773" t="s">
        <v>498</v>
      </c>
      <c r="G20" s="2774"/>
      <c r="H20" s="2774"/>
      <c r="I20" s="2774"/>
      <c r="J20" s="2774"/>
      <c r="K20" s="2775"/>
      <c r="L20" s="2776"/>
      <c r="M20" s="2776"/>
      <c r="N20" s="230" t="s">
        <v>167</v>
      </c>
      <c r="O20" s="2774" t="s">
        <v>499</v>
      </c>
      <c r="P20" s="2774"/>
      <c r="Q20" s="2818">
        <f>L20*16</f>
        <v>0</v>
      </c>
      <c r="R20" s="2818"/>
      <c r="S20" s="231" t="s">
        <v>500</v>
      </c>
      <c r="T20" s="185"/>
      <c r="U20" s="185"/>
    </row>
    <row r="21" spans="2:21" ht="30" customHeight="1" x14ac:dyDescent="0.2">
      <c r="B21" s="206"/>
      <c r="C21" s="207"/>
      <c r="D21" s="2791"/>
      <c r="E21" s="2768"/>
      <c r="F21" s="2809" t="s">
        <v>501</v>
      </c>
      <c r="G21" s="2810"/>
      <c r="H21" s="2810"/>
      <c r="I21" s="2810"/>
      <c r="J21" s="2810"/>
      <c r="K21" s="2810"/>
      <c r="L21" s="2821" t="e">
        <f>ROUNDDOWN(R21,2)</f>
        <v>#DIV/0!</v>
      </c>
      <c r="M21" s="2821"/>
      <c r="N21" s="227" t="s">
        <v>89</v>
      </c>
      <c r="O21" s="228" t="s">
        <v>521</v>
      </c>
      <c r="P21" s="339">
        <f>L19</f>
        <v>0</v>
      </c>
      <c r="Q21" s="216" t="s">
        <v>523</v>
      </c>
      <c r="R21" s="338" t="e">
        <f>P21/Q20</f>
        <v>#DIV/0!</v>
      </c>
      <c r="S21" s="229" t="s">
        <v>522</v>
      </c>
    </row>
    <row r="22" spans="2:21" ht="30" customHeight="1" x14ac:dyDescent="0.2">
      <c r="B22" s="205"/>
      <c r="C22" s="201" t="s">
        <v>502</v>
      </c>
      <c r="D22" s="202"/>
      <c r="E22" s="202"/>
      <c r="F22" s="202"/>
      <c r="G22" s="203"/>
      <c r="H22" s="203"/>
      <c r="I22" s="203"/>
      <c r="J22" s="203"/>
      <c r="K22" s="203"/>
      <c r="L22" s="203"/>
      <c r="M22" s="203"/>
      <c r="N22" s="203"/>
      <c r="O22" s="203"/>
      <c r="P22" s="203"/>
      <c r="Q22" s="203"/>
      <c r="R22" s="203"/>
      <c r="S22" s="204"/>
    </row>
    <row r="23" spans="2:21" ht="30" customHeight="1" x14ac:dyDescent="0.2">
      <c r="B23" s="205"/>
      <c r="C23" s="205"/>
      <c r="D23" s="2796" t="s">
        <v>503</v>
      </c>
      <c r="E23" s="2801"/>
      <c r="F23" s="2796"/>
      <c r="G23" s="2796"/>
      <c r="H23" s="2796"/>
      <c r="I23" s="2796"/>
      <c r="J23" s="2796"/>
      <c r="K23" s="2796"/>
      <c r="L23" s="2796"/>
      <c r="M23" s="2796"/>
      <c r="N23" s="2796"/>
      <c r="O23" s="2796"/>
      <c r="P23" s="2796"/>
      <c r="Q23" s="2796"/>
      <c r="R23" s="2796"/>
      <c r="S23" s="2796"/>
    </row>
    <row r="24" spans="2:21" ht="30" customHeight="1" x14ac:dyDescent="0.2">
      <c r="B24" s="205"/>
      <c r="C24" s="205"/>
      <c r="D24" s="2802"/>
      <c r="E24" s="2811" t="s">
        <v>490</v>
      </c>
      <c r="F24" s="2813" t="s">
        <v>504</v>
      </c>
      <c r="G24" s="2814"/>
      <c r="H24" s="2814"/>
      <c r="I24" s="2815" t="s">
        <v>505</v>
      </c>
      <c r="J24" s="2816"/>
      <c r="K24" s="2817"/>
      <c r="L24" s="2797">
        <f>ROUNDUP(R24,0)</f>
        <v>0</v>
      </c>
      <c r="M24" s="2797"/>
      <c r="N24" s="225" t="s">
        <v>506</v>
      </c>
      <c r="O24" s="199" t="s">
        <v>517</v>
      </c>
      <c r="P24" s="341">
        <f>L10</f>
        <v>0</v>
      </c>
      <c r="Q24" s="200" t="s">
        <v>519</v>
      </c>
      <c r="R24" s="340">
        <f>IF(P24="","",ROUNDUP(P24/15,1))</f>
        <v>0</v>
      </c>
      <c r="S24" s="220" t="s">
        <v>518</v>
      </c>
    </row>
    <row r="25" spans="2:21" ht="30" customHeight="1" x14ac:dyDescent="0.2">
      <c r="B25" s="205"/>
      <c r="C25" s="205"/>
      <c r="D25" s="2791"/>
      <c r="E25" s="2812"/>
      <c r="F25" s="2813" t="s">
        <v>507</v>
      </c>
      <c r="G25" s="2814"/>
      <c r="H25" s="2814"/>
      <c r="I25" s="2815" t="s">
        <v>505</v>
      </c>
      <c r="J25" s="2816"/>
      <c r="K25" s="2817"/>
      <c r="L25" s="2797">
        <f>ROUNDUP(R25,0)</f>
        <v>0</v>
      </c>
      <c r="M25" s="2797"/>
      <c r="N25" s="225" t="s">
        <v>506</v>
      </c>
      <c r="O25" s="199" t="s">
        <v>517</v>
      </c>
      <c r="P25" s="341">
        <f>L10</f>
        <v>0</v>
      </c>
      <c r="Q25" s="200" t="s">
        <v>520</v>
      </c>
      <c r="R25" s="340">
        <f>IF(P25="","",ROUND(P25/20,1))</f>
        <v>0</v>
      </c>
      <c r="S25" s="220" t="s">
        <v>518</v>
      </c>
    </row>
    <row r="26" spans="2:21" ht="30" customHeight="1" x14ac:dyDescent="0.2">
      <c r="B26" s="205"/>
      <c r="C26" s="205"/>
      <c r="D26" s="2791"/>
      <c r="E26" s="2802"/>
      <c r="F26" s="2813" t="s">
        <v>508</v>
      </c>
      <c r="G26" s="2814"/>
      <c r="H26" s="2814"/>
      <c r="I26" s="2815" t="s">
        <v>505</v>
      </c>
      <c r="J26" s="2816"/>
      <c r="K26" s="2817"/>
      <c r="L26" s="2797">
        <f>ROUNDUP(R26,0)</f>
        <v>0</v>
      </c>
      <c r="M26" s="2797"/>
      <c r="N26" s="225" t="s">
        <v>506</v>
      </c>
      <c r="O26" s="199" t="s">
        <v>517</v>
      </c>
      <c r="P26" s="341">
        <f>L10</f>
        <v>0</v>
      </c>
      <c r="Q26" s="200" t="s">
        <v>524</v>
      </c>
      <c r="R26" s="340">
        <f>IF(P26="","",ROUND(P26/30,1))</f>
        <v>0</v>
      </c>
      <c r="S26" s="220" t="s">
        <v>518</v>
      </c>
    </row>
    <row r="27" spans="2:21" ht="30" customHeight="1" x14ac:dyDescent="0.2">
      <c r="B27" s="206"/>
      <c r="C27" s="206"/>
      <c r="D27" s="2791"/>
      <c r="E27" s="2768" t="s">
        <v>494</v>
      </c>
      <c r="F27" s="2822" t="s">
        <v>509</v>
      </c>
      <c r="G27" s="2823"/>
      <c r="H27" s="2823"/>
      <c r="I27" s="2823"/>
      <c r="J27" s="2823"/>
      <c r="K27" s="2824"/>
      <c r="L27" s="2825"/>
      <c r="M27" s="2825"/>
      <c r="N27" s="223" t="s">
        <v>496</v>
      </c>
      <c r="O27" s="224" t="s">
        <v>510</v>
      </c>
      <c r="P27" s="197"/>
      <c r="Q27" s="2826" t="s">
        <v>543</v>
      </c>
      <c r="R27" s="2826"/>
      <c r="S27" s="2827"/>
    </row>
    <row r="28" spans="2:21" ht="30" customHeight="1" x14ac:dyDescent="0.2">
      <c r="B28" s="206"/>
      <c r="C28" s="206"/>
      <c r="D28" s="2791"/>
      <c r="E28" s="2768"/>
      <c r="F28" s="2806" t="s">
        <v>498</v>
      </c>
      <c r="G28" s="2807"/>
      <c r="H28" s="2807"/>
      <c r="I28" s="2807"/>
      <c r="J28" s="2807"/>
      <c r="K28" s="2808"/>
      <c r="L28" s="2776"/>
      <c r="M28" s="2776"/>
      <c r="N28" s="230" t="s">
        <v>167</v>
      </c>
      <c r="O28" s="2774" t="s">
        <v>499</v>
      </c>
      <c r="P28" s="2774"/>
      <c r="Q28" s="2818">
        <f>L28*16</f>
        <v>0</v>
      </c>
      <c r="R28" s="2818"/>
      <c r="S28" s="231" t="s">
        <v>500</v>
      </c>
      <c r="T28" s="185"/>
      <c r="U28" s="185"/>
    </row>
    <row r="29" spans="2:21" ht="30" customHeight="1" x14ac:dyDescent="0.2">
      <c r="B29" s="206"/>
      <c r="C29" s="207"/>
      <c r="D29" s="2791"/>
      <c r="E29" s="2768"/>
      <c r="F29" s="2819" t="s">
        <v>511</v>
      </c>
      <c r="G29" s="2820"/>
      <c r="H29" s="2820"/>
      <c r="I29" s="2820"/>
      <c r="J29" s="2820"/>
      <c r="K29" s="2820"/>
      <c r="L29" s="2821" t="e">
        <f>ROUNDDOWN(R29,2)</f>
        <v>#DIV/0!</v>
      </c>
      <c r="M29" s="2821"/>
      <c r="N29" s="227" t="s">
        <v>89</v>
      </c>
      <c r="O29" s="228" t="s">
        <v>544</v>
      </c>
      <c r="P29" s="339">
        <f>L27</f>
        <v>0</v>
      </c>
      <c r="Q29" s="216" t="s">
        <v>523</v>
      </c>
      <c r="R29" s="338" t="e">
        <f>P29/Q28</f>
        <v>#DIV/0!</v>
      </c>
      <c r="S29" s="229" t="s">
        <v>522</v>
      </c>
    </row>
    <row r="30" spans="2:21" ht="30" customHeight="1" x14ac:dyDescent="0.2">
      <c r="B30" s="207"/>
      <c r="C30" s="2803" t="s">
        <v>512</v>
      </c>
      <c r="D30" s="2804"/>
      <c r="E30" s="2804"/>
      <c r="F30" s="2804"/>
      <c r="G30" s="2804"/>
      <c r="H30" s="2804"/>
      <c r="I30" s="2804"/>
      <c r="J30" s="2804"/>
      <c r="K30" s="2804"/>
      <c r="L30" s="2804"/>
      <c r="M30" s="2804"/>
      <c r="N30" s="2804"/>
      <c r="O30" s="2804"/>
      <c r="P30" s="2804"/>
      <c r="Q30" s="2804"/>
      <c r="R30" s="2804"/>
      <c r="S30" s="2805"/>
    </row>
    <row r="31" spans="2:21" ht="18" customHeight="1" x14ac:dyDescent="0.2">
      <c r="B31" s="184" t="s">
        <v>513</v>
      </c>
      <c r="F31" s="191"/>
    </row>
    <row r="32" spans="2:21" ht="18" customHeight="1" x14ac:dyDescent="0.2">
      <c r="B32" s="184" t="s">
        <v>514</v>
      </c>
    </row>
    <row r="33" spans="2:6" ht="18" customHeight="1" x14ac:dyDescent="0.2">
      <c r="B33" s="184" t="s">
        <v>515</v>
      </c>
      <c r="F33" s="191"/>
    </row>
  </sheetData>
  <mergeCells count="53">
    <mergeCell ref="Q20:R20"/>
    <mergeCell ref="L26:M26"/>
    <mergeCell ref="F27:K27"/>
    <mergeCell ref="L27:M27"/>
    <mergeCell ref="L21:M21"/>
    <mergeCell ref="Q27:S27"/>
    <mergeCell ref="L25:M25"/>
    <mergeCell ref="F26:H26"/>
    <mergeCell ref="I26:K26"/>
    <mergeCell ref="I25:K25"/>
    <mergeCell ref="O20:P20"/>
    <mergeCell ref="C30:S30"/>
    <mergeCell ref="E27:E29"/>
    <mergeCell ref="F28:K28"/>
    <mergeCell ref="L28:M28"/>
    <mergeCell ref="F21:K21"/>
    <mergeCell ref="D23:S23"/>
    <mergeCell ref="D24:D29"/>
    <mergeCell ref="E24:E26"/>
    <mergeCell ref="F24:H24"/>
    <mergeCell ref="I24:K24"/>
    <mergeCell ref="L24:M24"/>
    <mergeCell ref="F25:H25"/>
    <mergeCell ref="O28:P28"/>
    <mergeCell ref="Q28:R28"/>
    <mergeCell ref="F29:K29"/>
    <mergeCell ref="L29:M29"/>
    <mergeCell ref="B8:F8"/>
    <mergeCell ref="H7:K7"/>
    <mergeCell ref="G8:S8"/>
    <mergeCell ref="E17:E18"/>
    <mergeCell ref="J17:K17"/>
    <mergeCell ref="F17:I17"/>
    <mergeCell ref="L10:M10"/>
    <mergeCell ref="B11:S11"/>
    <mergeCell ref="L17:M17"/>
    <mergeCell ref="F18:I18"/>
    <mergeCell ref="J18:K18"/>
    <mergeCell ref="L18:M18"/>
    <mergeCell ref="Q12:R12"/>
    <mergeCell ref="B14:S14"/>
    <mergeCell ref="D16:S16"/>
    <mergeCell ref="D17:D21"/>
    <mergeCell ref="B3:S3"/>
    <mergeCell ref="L5:M5"/>
    <mergeCell ref="N5:S5"/>
    <mergeCell ref="B7:F7"/>
    <mergeCell ref="M7:S7"/>
    <mergeCell ref="E19:E21"/>
    <mergeCell ref="F19:K19"/>
    <mergeCell ref="L19:M19"/>
    <mergeCell ref="F20:K20"/>
    <mergeCell ref="L20:M20"/>
  </mergeCells>
  <phoneticPr fontId="2"/>
  <dataValidations count="1">
    <dataValidation type="list" allowBlank="1" showInputMessage="1" showErrorMessage="1" sqref="L7 G7" xr:uid="{00000000-0002-0000-0800-000000000000}">
      <formula1>$V$2:$V$4</formula1>
    </dataValidation>
  </dataValidations>
  <printOptions horizont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C1:AL56"/>
  <sheetViews>
    <sheetView view="pageBreakPreview" zoomScale="85" zoomScaleNormal="100" zoomScaleSheetLayoutView="85" workbookViewId="0">
      <selection activeCell="W14" sqref="W14:AH18"/>
    </sheetView>
  </sheetViews>
  <sheetFormatPr defaultColWidth="9" defaultRowHeight="13.2" x14ac:dyDescent="0.2"/>
  <cols>
    <col min="1" max="1" width="1.21875" style="184" customWidth="1"/>
    <col min="2" max="2" width="1" style="184" customWidth="1"/>
    <col min="3" max="3" width="12.88671875" style="184" customWidth="1"/>
    <col min="4" max="4" width="11" style="184" customWidth="1"/>
    <col min="5" max="35" width="4.109375" style="184" customWidth="1"/>
    <col min="36" max="36" width="4.44140625" style="184" bestFit="1" customWidth="1"/>
    <col min="37" max="37" width="13" style="184" customWidth="1"/>
    <col min="38" max="38" width="10" style="184" customWidth="1"/>
    <col min="39" max="39" width="1.109375" style="184" customWidth="1"/>
    <col min="40" max="16384" width="9" style="184"/>
  </cols>
  <sheetData>
    <row r="1" spans="3:38" ht="3.75" customHeight="1" x14ac:dyDescent="0.2"/>
    <row r="2" spans="3:38" ht="16.2" x14ac:dyDescent="0.2">
      <c r="C2" s="232" t="s">
        <v>525</v>
      </c>
    </row>
    <row r="3" spans="3:38" ht="12" customHeight="1" x14ac:dyDescent="0.2">
      <c r="C3" s="233"/>
      <c r="D3" s="232"/>
    </row>
    <row r="4" spans="3:38" ht="16.2" x14ac:dyDescent="0.2">
      <c r="C4" s="184" t="s">
        <v>526</v>
      </c>
      <c r="D4" s="232"/>
      <c r="H4" s="270"/>
      <c r="I4" s="270"/>
      <c r="J4" s="270"/>
      <c r="K4" s="270"/>
    </row>
    <row r="5" spans="3:38" x14ac:dyDescent="0.2">
      <c r="C5" s="269" t="s">
        <v>472</v>
      </c>
      <c r="D5" s="2848" t="e">
        <f>IF(#REF!="","",#REF!)</f>
        <v>#REF!</v>
      </c>
      <c r="E5" s="2848"/>
      <c r="F5" s="2848"/>
      <c r="G5" s="2848"/>
      <c r="H5" s="2848"/>
      <c r="K5" s="2850" t="s">
        <v>527</v>
      </c>
      <c r="L5" s="2850"/>
      <c r="M5" s="2850"/>
      <c r="N5" s="2850"/>
      <c r="O5" s="227" t="s">
        <v>445</v>
      </c>
      <c r="P5" s="2849"/>
      <c r="Q5" s="2849"/>
      <c r="R5" s="227" t="s">
        <v>482</v>
      </c>
      <c r="S5" s="227" t="s">
        <v>382</v>
      </c>
      <c r="T5" s="2849"/>
      <c r="U5" s="2849"/>
      <c r="V5" s="184" t="s">
        <v>482</v>
      </c>
      <c r="AE5" s="272"/>
      <c r="AF5" s="272"/>
      <c r="AG5" s="271" t="s">
        <v>34</v>
      </c>
      <c r="AH5" s="272"/>
      <c r="AI5" s="273" t="s">
        <v>30</v>
      </c>
    </row>
    <row r="6" spans="3:38" ht="16.2" x14ac:dyDescent="0.2">
      <c r="D6" s="234"/>
      <c r="E6" s="235"/>
    </row>
    <row r="7" spans="3:38" ht="17.25" customHeight="1" x14ac:dyDescent="0.2">
      <c r="C7" s="2835" t="s">
        <v>528</v>
      </c>
      <c r="D7" s="2835" t="s">
        <v>529</v>
      </c>
      <c r="E7" s="503">
        <v>1</v>
      </c>
      <c r="F7" s="503">
        <v>2</v>
      </c>
      <c r="G7" s="503">
        <v>3</v>
      </c>
      <c r="H7" s="503">
        <v>4</v>
      </c>
      <c r="I7" s="503">
        <v>5</v>
      </c>
      <c r="J7" s="503">
        <v>6</v>
      </c>
      <c r="K7" s="503">
        <v>7</v>
      </c>
      <c r="L7" s="503">
        <v>8</v>
      </c>
      <c r="M7" s="503">
        <v>9</v>
      </c>
      <c r="N7" s="503">
        <v>10</v>
      </c>
      <c r="O7" s="503">
        <v>11</v>
      </c>
      <c r="P7" s="503">
        <v>12</v>
      </c>
      <c r="Q7" s="503">
        <v>13</v>
      </c>
      <c r="R7" s="503">
        <v>14</v>
      </c>
      <c r="S7" s="503">
        <v>15</v>
      </c>
      <c r="T7" s="503">
        <v>16</v>
      </c>
      <c r="U7" s="503">
        <v>17</v>
      </c>
      <c r="V7" s="503">
        <v>18</v>
      </c>
      <c r="W7" s="503">
        <v>19</v>
      </c>
      <c r="X7" s="503">
        <v>20</v>
      </c>
      <c r="Y7" s="503">
        <v>21</v>
      </c>
      <c r="Z7" s="503">
        <v>22</v>
      </c>
      <c r="AA7" s="503">
        <v>23</v>
      </c>
      <c r="AB7" s="503">
        <v>24</v>
      </c>
      <c r="AC7" s="503">
        <v>25</v>
      </c>
      <c r="AD7" s="503">
        <v>26</v>
      </c>
      <c r="AE7" s="503">
        <v>27</v>
      </c>
      <c r="AF7" s="503">
        <v>28</v>
      </c>
      <c r="AG7" s="503">
        <v>29</v>
      </c>
      <c r="AH7" s="503">
        <v>30</v>
      </c>
      <c r="AI7" s="504">
        <v>31</v>
      </c>
      <c r="AJ7" s="2842" t="s">
        <v>530</v>
      </c>
      <c r="AK7" s="2843"/>
      <c r="AL7" s="2846" t="s">
        <v>531</v>
      </c>
    </row>
    <row r="8" spans="3:38" ht="30.75" customHeight="1" x14ac:dyDescent="0.2">
      <c r="C8" s="2835"/>
      <c r="D8" s="2835"/>
      <c r="E8" s="505"/>
      <c r="F8" s="506"/>
      <c r="G8" s="505"/>
      <c r="H8" s="506"/>
      <c r="I8" s="505"/>
      <c r="J8" s="506"/>
      <c r="K8" s="505"/>
      <c r="L8" s="505"/>
      <c r="M8" s="506"/>
      <c r="N8" s="505"/>
      <c r="O8" s="506"/>
      <c r="P8" s="505"/>
      <c r="Q8" s="506"/>
      <c r="R8" s="505"/>
      <c r="S8" s="505"/>
      <c r="T8" s="506"/>
      <c r="U8" s="505"/>
      <c r="V8" s="506"/>
      <c r="W8" s="505"/>
      <c r="X8" s="506"/>
      <c r="Y8" s="505"/>
      <c r="Z8" s="505"/>
      <c r="AA8" s="506"/>
      <c r="AB8" s="505"/>
      <c r="AC8" s="506"/>
      <c r="AD8" s="505"/>
      <c r="AE8" s="506"/>
      <c r="AF8" s="505"/>
      <c r="AG8" s="505"/>
      <c r="AH8" s="505"/>
      <c r="AI8" s="507"/>
      <c r="AJ8" s="2844"/>
      <c r="AK8" s="2845"/>
      <c r="AL8" s="2846"/>
    </row>
    <row r="9" spans="3:38" ht="20.25" customHeight="1" x14ac:dyDescent="0.2">
      <c r="C9" s="236"/>
      <c r="D9" s="218"/>
      <c r="E9" s="237"/>
      <c r="F9" s="237"/>
      <c r="G9" s="237"/>
      <c r="H9" s="238"/>
      <c r="I9" s="238"/>
      <c r="J9" s="238"/>
      <c r="K9" s="238"/>
      <c r="L9" s="238"/>
      <c r="M9" s="238"/>
      <c r="N9" s="238"/>
      <c r="O9" s="238"/>
      <c r="P9" s="238"/>
      <c r="Q9" s="238"/>
      <c r="R9" s="238"/>
      <c r="S9" s="237"/>
      <c r="T9" s="237"/>
      <c r="U9" s="237"/>
      <c r="V9" s="238"/>
      <c r="W9" s="238"/>
      <c r="X9" s="238"/>
      <c r="Y9" s="238"/>
      <c r="Z9" s="238"/>
      <c r="AA9" s="238"/>
      <c r="AB9" s="238"/>
      <c r="AC9" s="238"/>
      <c r="AD9" s="238"/>
      <c r="AE9" s="238"/>
      <c r="AF9" s="238"/>
      <c r="AG9" s="237"/>
      <c r="AH9" s="237"/>
      <c r="AI9" s="239"/>
      <c r="AJ9" s="240"/>
      <c r="AK9" s="212"/>
      <c r="AL9" s="241"/>
    </row>
    <row r="10" spans="3:38" ht="20.25" customHeight="1" x14ac:dyDescent="0.2">
      <c r="C10" s="236"/>
      <c r="D10" s="218"/>
      <c r="E10" s="237"/>
      <c r="F10" s="237"/>
      <c r="G10" s="237"/>
      <c r="H10" s="238"/>
      <c r="I10" s="238"/>
      <c r="J10" s="238"/>
      <c r="K10" s="238"/>
      <c r="L10" s="238"/>
      <c r="M10" s="238"/>
      <c r="N10" s="238"/>
      <c r="O10" s="238"/>
      <c r="P10" s="238"/>
      <c r="Q10" s="238"/>
      <c r="R10" s="238"/>
      <c r="S10" s="237"/>
      <c r="T10" s="237"/>
      <c r="U10" s="237"/>
      <c r="V10" s="238"/>
      <c r="W10" s="238"/>
      <c r="X10" s="238"/>
      <c r="Y10" s="238"/>
      <c r="Z10" s="238"/>
      <c r="AA10" s="238"/>
      <c r="AB10" s="238"/>
      <c r="AC10" s="238"/>
      <c r="AD10" s="238"/>
      <c r="AE10" s="238"/>
      <c r="AF10" s="238"/>
      <c r="AG10" s="237"/>
      <c r="AH10" s="237"/>
      <c r="AI10" s="239"/>
      <c r="AJ10" s="240"/>
      <c r="AK10" s="212"/>
      <c r="AL10" s="241"/>
    </row>
    <row r="11" spans="3:38" ht="20.25" customHeight="1" x14ac:dyDescent="0.2">
      <c r="C11" s="236"/>
      <c r="D11" s="218"/>
      <c r="E11" s="237"/>
      <c r="F11" s="237"/>
      <c r="G11" s="237"/>
      <c r="H11" s="238"/>
      <c r="I11" s="238"/>
      <c r="J11" s="238"/>
      <c r="K11" s="238"/>
      <c r="L11" s="238"/>
      <c r="M11" s="238"/>
      <c r="N11" s="238"/>
      <c r="O11" s="238"/>
      <c r="P11" s="238"/>
      <c r="Q11" s="238"/>
      <c r="R11" s="238"/>
      <c r="S11" s="237"/>
      <c r="T11" s="237"/>
      <c r="U11" s="237"/>
      <c r="V11" s="238"/>
      <c r="W11" s="238"/>
      <c r="X11" s="238"/>
      <c r="Y11" s="238"/>
      <c r="Z11" s="238"/>
      <c r="AA11" s="238"/>
      <c r="AB11" s="238"/>
      <c r="AC11" s="238"/>
      <c r="AD11" s="238"/>
      <c r="AE11" s="238"/>
      <c r="AF11" s="238"/>
      <c r="AG11" s="237"/>
      <c r="AH11" s="237"/>
      <c r="AI11" s="239"/>
      <c r="AJ11" s="240"/>
      <c r="AK11" s="212"/>
      <c r="AL11" s="241"/>
    </row>
    <row r="12" spans="3:38" ht="20.25" customHeight="1" x14ac:dyDescent="0.2">
      <c r="C12" s="236"/>
      <c r="D12" s="218"/>
      <c r="E12" s="237"/>
      <c r="F12" s="237"/>
      <c r="G12" s="237"/>
      <c r="H12" s="238"/>
      <c r="I12" s="238"/>
      <c r="J12" s="238"/>
      <c r="K12" s="238"/>
      <c r="L12" s="238"/>
      <c r="M12" s="238"/>
      <c r="N12" s="238"/>
      <c r="O12" s="238"/>
      <c r="P12" s="238"/>
      <c r="Q12" s="238"/>
      <c r="R12" s="238"/>
      <c r="S12" s="237"/>
      <c r="T12" s="237"/>
      <c r="U12" s="237"/>
      <c r="V12" s="238"/>
      <c r="W12" s="238"/>
      <c r="X12" s="238"/>
      <c r="Y12" s="238"/>
      <c r="Z12" s="238"/>
      <c r="AA12" s="238"/>
      <c r="AB12" s="238"/>
      <c r="AC12" s="238"/>
      <c r="AD12" s="238"/>
      <c r="AE12" s="238"/>
      <c r="AF12" s="238"/>
      <c r="AG12" s="237"/>
      <c r="AH12" s="237"/>
      <c r="AI12" s="239"/>
      <c r="AJ12" s="240"/>
      <c r="AK12" s="212"/>
      <c r="AL12" s="241"/>
    </row>
    <row r="13" spans="3:38" ht="20.25" customHeight="1" x14ac:dyDescent="0.2">
      <c r="C13" s="236"/>
      <c r="D13" s="218"/>
      <c r="E13" s="237"/>
      <c r="F13" s="237"/>
      <c r="G13" s="237"/>
      <c r="H13" s="238"/>
      <c r="I13" s="238"/>
      <c r="J13" s="238"/>
      <c r="K13" s="238"/>
      <c r="L13" s="238"/>
      <c r="M13" s="238"/>
      <c r="N13" s="238"/>
      <c r="O13" s="238"/>
      <c r="P13" s="238"/>
      <c r="Q13" s="238"/>
      <c r="R13" s="238"/>
      <c r="S13" s="237"/>
      <c r="T13" s="237"/>
      <c r="U13" s="237"/>
      <c r="V13" s="238"/>
      <c r="W13" s="238"/>
      <c r="X13" s="238"/>
      <c r="Y13" s="238"/>
      <c r="Z13" s="238"/>
      <c r="AA13" s="238"/>
      <c r="AB13" s="238"/>
      <c r="AC13" s="238"/>
      <c r="AD13" s="238"/>
      <c r="AE13" s="238"/>
      <c r="AF13" s="238"/>
      <c r="AG13" s="237"/>
      <c r="AH13" s="237"/>
      <c r="AI13" s="239"/>
      <c r="AJ13" s="240"/>
      <c r="AK13" s="212"/>
      <c r="AL13" s="241"/>
    </row>
    <row r="14" spans="3:38" ht="20.25" customHeight="1" x14ac:dyDescent="0.2">
      <c r="C14" s="236"/>
      <c r="D14" s="218"/>
      <c r="E14" s="237"/>
      <c r="F14" s="237"/>
      <c r="G14" s="237"/>
      <c r="H14" s="238"/>
      <c r="I14" s="238"/>
      <c r="J14" s="238"/>
      <c r="K14" s="238"/>
      <c r="L14" s="238"/>
      <c r="M14" s="238"/>
      <c r="N14" s="238"/>
      <c r="O14" s="238"/>
      <c r="P14" s="238"/>
      <c r="Q14" s="238"/>
      <c r="R14" s="238"/>
      <c r="S14" s="237"/>
      <c r="T14" s="237"/>
      <c r="U14" s="237"/>
      <c r="V14" s="238"/>
      <c r="W14" s="238"/>
      <c r="X14" s="238"/>
      <c r="Y14" s="238"/>
      <c r="Z14" s="238"/>
      <c r="AA14" s="238"/>
      <c r="AB14" s="238"/>
      <c r="AC14" s="238"/>
      <c r="AD14" s="238"/>
      <c r="AE14" s="238"/>
      <c r="AF14" s="238"/>
      <c r="AG14" s="237"/>
      <c r="AH14" s="237"/>
      <c r="AI14" s="239"/>
      <c r="AJ14" s="240"/>
      <c r="AK14" s="212"/>
      <c r="AL14" s="241"/>
    </row>
    <row r="15" spans="3:38" ht="20.25" customHeight="1" x14ac:dyDescent="0.2">
      <c r="C15" s="236"/>
      <c r="D15" s="218"/>
      <c r="E15" s="237"/>
      <c r="F15" s="237"/>
      <c r="G15" s="237"/>
      <c r="H15" s="238"/>
      <c r="I15" s="238"/>
      <c r="J15" s="238"/>
      <c r="K15" s="238"/>
      <c r="L15" s="238"/>
      <c r="M15" s="238"/>
      <c r="N15" s="238"/>
      <c r="O15" s="238"/>
      <c r="P15" s="238"/>
      <c r="Q15" s="238"/>
      <c r="R15" s="238"/>
      <c r="S15" s="237"/>
      <c r="T15" s="237"/>
      <c r="U15" s="237"/>
      <c r="V15" s="238"/>
      <c r="W15" s="238"/>
      <c r="X15" s="238"/>
      <c r="Y15" s="238"/>
      <c r="Z15" s="238"/>
      <c r="AA15" s="238"/>
      <c r="AB15" s="238"/>
      <c r="AC15" s="238"/>
      <c r="AD15" s="238"/>
      <c r="AE15" s="238"/>
      <c r="AF15" s="238"/>
      <c r="AG15" s="237"/>
      <c r="AH15" s="237"/>
      <c r="AI15" s="239"/>
      <c r="AJ15" s="240"/>
      <c r="AK15" s="212"/>
      <c r="AL15" s="241"/>
    </row>
    <row r="16" spans="3:38" ht="20.25" customHeight="1" x14ac:dyDescent="0.2">
      <c r="C16" s="236"/>
      <c r="D16" s="218"/>
      <c r="E16" s="237"/>
      <c r="F16" s="237"/>
      <c r="G16" s="237"/>
      <c r="H16" s="238"/>
      <c r="I16" s="238"/>
      <c r="J16" s="238"/>
      <c r="K16" s="238"/>
      <c r="L16" s="238"/>
      <c r="M16" s="238"/>
      <c r="N16" s="238"/>
      <c r="O16" s="238"/>
      <c r="P16" s="238"/>
      <c r="Q16" s="238"/>
      <c r="R16" s="238"/>
      <c r="S16" s="237"/>
      <c r="T16" s="237"/>
      <c r="U16" s="237"/>
      <c r="V16" s="238"/>
      <c r="W16" s="238"/>
      <c r="X16" s="238"/>
      <c r="Y16" s="238"/>
      <c r="Z16" s="238"/>
      <c r="AA16" s="238"/>
      <c r="AB16" s="238"/>
      <c r="AC16" s="238"/>
      <c r="AD16" s="238"/>
      <c r="AE16" s="238"/>
      <c r="AF16" s="238"/>
      <c r="AG16" s="237"/>
      <c r="AH16" s="237"/>
      <c r="AI16" s="239"/>
      <c r="AJ16" s="240"/>
      <c r="AK16" s="212"/>
      <c r="AL16" s="241"/>
    </row>
    <row r="17" spans="3:38" ht="20.25" customHeight="1" x14ac:dyDescent="0.2">
      <c r="C17" s="236"/>
      <c r="D17" s="218"/>
      <c r="E17" s="237"/>
      <c r="F17" s="237"/>
      <c r="G17" s="237"/>
      <c r="H17" s="238"/>
      <c r="I17" s="238"/>
      <c r="J17" s="238"/>
      <c r="K17" s="238"/>
      <c r="L17" s="238"/>
      <c r="M17" s="238"/>
      <c r="N17" s="238"/>
      <c r="O17" s="238"/>
      <c r="P17" s="238"/>
      <c r="Q17" s="238"/>
      <c r="R17" s="238"/>
      <c r="S17" s="237"/>
      <c r="T17" s="237"/>
      <c r="U17" s="237"/>
      <c r="V17" s="238"/>
      <c r="W17" s="238"/>
      <c r="X17" s="238"/>
      <c r="Y17" s="238"/>
      <c r="Z17" s="238"/>
      <c r="AA17" s="238"/>
      <c r="AB17" s="238"/>
      <c r="AC17" s="238"/>
      <c r="AD17" s="238"/>
      <c r="AE17" s="238"/>
      <c r="AF17" s="238"/>
      <c r="AG17" s="237"/>
      <c r="AH17" s="237"/>
      <c r="AI17" s="239"/>
      <c r="AJ17" s="240"/>
      <c r="AK17" s="212"/>
      <c r="AL17" s="241"/>
    </row>
    <row r="18" spans="3:38" ht="20.25" customHeight="1" x14ac:dyDescent="0.2">
      <c r="C18" s="236"/>
      <c r="D18" s="218"/>
      <c r="E18" s="237"/>
      <c r="F18" s="237"/>
      <c r="G18" s="237"/>
      <c r="H18" s="238"/>
      <c r="I18" s="238"/>
      <c r="J18" s="238"/>
      <c r="K18" s="238"/>
      <c r="L18" s="238"/>
      <c r="M18" s="238"/>
      <c r="N18" s="238"/>
      <c r="O18" s="238"/>
      <c r="P18" s="238"/>
      <c r="Q18" s="238"/>
      <c r="R18" s="238"/>
      <c r="S18" s="237"/>
      <c r="T18" s="237"/>
      <c r="U18" s="237"/>
      <c r="V18" s="238"/>
      <c r="W18" s="238"/>
      <c r="X18" s="238"/>
      <c r="Y18" s="238"/>
      <c r="Z18" s="238"/>
      <c r="AA18" s="238"/>
      <c r="AB18" s="238"/>
      <c r="AC18" s="238"/>
      <c r="AD18" s="238"/>
      <c r="AE18" s="238"/>
      <c r="AF18" s="238"/>
      <c r="AG18" s="237"/>
      <c r="AH18" s="237"/>
      <c r="AI18" s="239"/>
      <c r="AJ18" s="240"/>
      <c r="AK18" s="212"/>
      <c r="AL18" s="241"/>
    </row>
    <row r="19" spans="3:38" ht="20.25" customHeight="1" x14ac:dyDescent="0.2">
      <c r="C19" s="236"/>
      <c r="D19" s="218"/>
      <c r="E19" s="237"/>
      <c r="F19" s="237"/>
      <c r="G19" s="237"/>
      <c r="H19" s="238"/>
      <c r="I19" s="238"/>
      <c r="J19" s="238"/>
      <c r="K19" s="238"/>
      <c r="L19" s="238"/>
      <c r="M19" s="238"/>
      <c r="N19" s="238"/>
      <c r="O19" s="238"/>
      <c r="P19" s="238"/>
      <c r="Q19" s="238"/>
      <c r="R19" s="238"/>
      <c r="S19" s="237"/>
      <c r="T19" s="237"/>
      <c r="U19" s="237"/>
      <c r="V19" s="238"/>
      <c r="W19" s="238"/>
      <c r="X19" s="238"/>
      <c r="Y19" s="238"/>
      <c r="Z19" s="238"/>
      <c r="AA19" s="238"/>
      <c r="AB19" s="238"/>
      <c r="AC19" s="238"/>
      <c r="AD19" s="238"/>
      <c r="AE19" s="238"/>
      <c r="AF19" s="238"/>
      <c r="AG19" s="237"/>
      <c r="AH19" s="237"/>
      <c r="AI19" s="239"/>
      <c r="AJ19" s="240"/>
      <c r="AK19" s="212"/>
      <c r="AL19" s="241"/>
    </row>
    <row r="20" spans="3:38" ht="20.25" customHeight="1" x14ac:dyDescent="0.2">
      <c r="C20" s="236"/>
      <c r="D20" s="212"/>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42"/>
      <c r="AJ20" s="240"/>
      <c r="AK20" s="212"/>
      <c r="AL20" s="243"/>
    </row>
    <row r="21" spans="3:38" ht="20.25" customHeight="1" x14ac:dyDescent="0.2">
      <c r="C21" s="236"/>
      <c r="D21" s="189"/>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42"/>
      <c r="AJ21" s="240"/>
      <c r="AK21" s="212"/>
      <c r="AL21" s="241"/>
    </row>
    <row r="22" spans="3:38" ht="20.25" customHeight="1" x14ac:dyDescent="0.2">
      <c r="C22" s="236"/>
      <c r="D22" s="189"/>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42"/>
      <c r="AJ22" s="240"/>
      <c r="AK22" s="212"/>
      <c r="AL22" s="241"/>
    </row>
    <row r="23" spans="3:38" ht="20.25" customHeight="1" thickBot="1" x14ac:dyDescent="0.25">
      <c r="C23" s="244"/>
      <c r="D23" s="245"/>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7"/>
      <c r="AJ23" s="248"/>
      <c r="AK23" s="249"/>
      <c r="AL23" s="250"/>
    </row>
    <row r="24" spans="3:38" ht="30" customHeight="1" x14ac:dyDescent="0.2">
      <c r="C24" s="2839" t="s">
        <v>532</v>
      </c>
      <c r="D24" s="251" t="s">
        <v>533</v>
      </c>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3"/>
      <c r="AJ24" s="254" t="s">
        <v>534</v>
      </c>
      <c r="AK24" s="255"/>
      <c r="AL24" s="256"/>
    </row>
    <row r="25" spans="3:38" ht="30" customHeight="1" thickBot="1" x14ac:dyDescent="0.25">
      <c r="C25" s="2840"/>
      <c r="D25" s="257" t="s">
        <v>535</v>
      </c>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9"/>
      <c r="AJ25" s="260" t="s">
        <v>536</v>
      </c>
      <c r="AK25" s="261"/>
      <c r="AL25" s="262"/>
    </row>
    <row r="26" spans="3:38" ht="3.75" customHeight="1" x14ac:dyDescent="0.2">
      <c r="D26" s="263"/>
      <c r="E26" s="263"/>
      <c r="F26" s="263"/>
      <c r="G26" s="263"/>
      <c r="H26" s="263"/>
      <c r="I26" s="263"/>
      <c r="J26" s="263"/>
      <c r="K26" s="263"/>
      <c r="L26" s="263"/>
      <c r="M26" s="263"/>
      <c r="N26" s="263"/>
      <c r="O26" s="263"/>
      <c r="P26" s="263"/>
      <c r="Q26" s="263"/>
      <c r="R26" s="264"/>
      <c r="S26" s="264"/>
      <c r="T26" s="264"/>
      <c r="U26" s="264"/>
      <c r="V26" s="264"/>
      <c r="W26" s="264"/>
      <c r="X26" s="264"/>
      <c r="Y26" s="264"/>
      <c r="Z26" s="264"/>
      <c r="AA26" s="264"/>
      <c r="AB26" s="264"/>
      <c r="AC26" s="264"/>
      <c r="AD26" s="264"/>
      <c r="AE26" s="264"/>
      <c r="AF26" s="264"/>
      <c r="AG26" s="264"/>
      <c r="AH26" s="264"/>
      <c r="AI26" s="264"/>
      <c r="AJ26" s="264"/>
      <c r="AK26" s="264"/>
      <c r="AL26" s="264"/>
    </row>
    <row r="27" spans="3:38" ht="13.5" customHeight="1" x14ac:dyDescent="0.2">
      <c r="C27" s="191" t="s">
        <v>537</v>
      </c>
      <c r="D27" s="265"/>
      <c r="E27" s="265"/>
      <c r="F27" s="265"/>
      <c r="G27" s="265"/>
      <c r="H27" s="265"/>
      <c r="I27" s="265"/>
      <c r="J27" s="265"/>
      <c r="K27" s="265"/>
      <c r="L27" s="265"/>
      <c r="M27" s="265"/>
      <c r="N27" s="265"/>
      <c r="O27" s="265"/>
      <c r="P27" s="265"/>
      <c r="Q27" s="265"/>
      <c r="R27" s="265"/>
      <c r="S27" s="265"/>
      <c r="T27" s="265"/>
      <c r="U27" s="265"/>
      <c r="V27" s="265"/>
      <c r="W27" s="265"/>
      <c r="Y27" s="266"/>
      <c r="Z27" s="2841"/>
      <c r="AA27" s="2841"/>
      <c r="AB27" s="2841"/>
      <c r="AC27" s="2841"/>
      <c r="AD27" s="2851"/>
      <c r="AE27" s="2851"/>
      <c r="AF27" s="2851"/>
      <c r="AG27" s="2851"/>
      <c r="AH27" s="2851"/>
      <c r="AI27" s="2851"/>
      <c r="AJ27" s="2851"/>
      <c r="AK27" s="267"/>
      <c r="AL27" s="264"/>
    </row>
    <row r="28" spans="3:38" ht="18" customHeight="1" x14ac:dyDescent="0.2">
      <c r="C28" s="2837" t="s">
        <v>538</v>
      </c>
      <c r="D28" s="2837"/>
      <c r="E28" s="2837"/>
      <c r="F28" s="2837"/>
      <c r="G28" s="2837"/>
      <c r="H28" s="2837"/>
      <c r="I28" s="2837"/>
      <c r="J28" s="2837"/>
      <c r="K28" s="2837"/>
      <c r="L28" s="2837"/>
      <c r="M28" s="2837"/>
      <c r="N28" s="2837"/>
      <c r="O28" s="2837"/>
      <c r="P28" s="2837"/>
      <c r="Q28" s="2837"/>
      <c r="R28" s="2837"/>
      <c r="S28" s="2837"/>
      <c r="T28" s="2837"/>
      <c r="U28" s="2837"/>
      <c r="V28" s="2837"/>
      <c r="W28" s="2837"/>
      <c r="X28" s="2837"/>
      <c r="Y28" s="2837"/>
      <c r="Z28" s="2837"/>
      <c r="AA28" s="2837"/>
      <c r="AB28" s="2837"/>
      <c r="AC28" s="2837"/>
      <c r="AD28" s="2837"/>
      <c r="AE28" s="2837"/>
      <c r="AF28" s="2837"/>
      <c r="AG28" s="2837"/>
      <c r="AH28" s="2837"/>
      <c r="AI28" s="2837"/>
      <c r="AJ28" s="2837"/>
      <c r="AK28" s="2837"/>
      <c r="AL28" s="2837"/>
    </row>
    <row r="29" spans="3:38" ht="18" customHeight="1" x14ac:dyDescent="0.2">
      <c r="C29" s="2836" t="s">
        <v>539</v>
      </c>
      <c r="D29" s="2836"/>
      <c r="E29" s="2836"/>
      <c r="F29" s="2836"/>
      <c r="G29" s="2836"/>
      <c r="H29" s="2836"/>
      <c r="I29" s="2836"/>
      <c r="J29" s="2836"/>
      <c r="K29" s="2836"/>
      <c r="L29" s="2836"/>
      <c r="M29" s="2836"/>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c r="AL29" s="2836"/>
    </row>
    <row r="30" spans="3:38" ht="18" customHeight="1" x14ac:dyDescent="0.2">
      <c r="C30" s="2837" t="s">
        <v>540</v>
      </c>
      <c r="D30" s="2837"/>
      <c r="E30" s="2837"/>
      <c r="F30" s="2837"/>
      <c r="G30" s="2837"/>
      <c r="H30" s="2837"/>
      <c r="I30" s="2837"/>
      <c r="J30" s="2837"/>
      <c r="K30" s="2837"/>
      <c r="L30" s="2837"/>
      <c r="M30" s="2837"/>
      <c r="N30" s="2837"/>
      <c r="O30" s="2837"/>
      <c r="P30" s="2837"/>
      <c r="Q30" s="2837"/>
      <c r="R30" s="2837"/>
      <c r="S30" s="2837"/>
      <c r="T30" s="2837"/>
      <c r="U30" s="2837"/>
      <c r="V30" s="2837"/>
      <c r="W30" s="2837"/>
      <c r="X30" s="2837"/>
      <c r="Y30" s="2837"/>
      <c r="Z30" s="2837"/>
      <c r="AA30" s="2837"/>
      <c r="AB30" s="2837"/>
      <c r="AC30" s="2837"/>
      <c r="AD30" s="2837"/>
      <c r="AE30" s="2837"/>
      <c r="AF30" s="2837"/>
      <c r="AG30" s="2837"/>
      <c r="AH30" s="2837"/>
      <c r="AI30" s="2837"/>
      <c r="AJ30" s="2837"/>
      <c r="AK30" s="2837"/>
      <c r="AL30" s="2837"/>
    </row>
    <row r="31" spans="3:38" ht="18" customHeight="1" x14ac:dyDescent="0.2">
      <c r="C31" s="191" t="s">
        <v>541</v>
      </c>
      <c r="D31" s="191"/>
      <c r="E31" s="191"/>
      <c r="F31" s="191"/>
      <c r="G31" s="191"/>
      <c r="H31" s="191"/>
      <c r="I31" s="191"/>
      <c r="J31" s="191"/>
      <c r="K31" s="191"/>
      <c r="L31" s="191"/>
      <c r="M31" s="191"/>
      <c r="N31" s="191"/>
      <c r="O31" s="191"/>
      <c r="P31" s="191"/>
      <c r="Q31" s="191"/>
      <c r="R31" s="191"/>
      <c r="S31" s="191"/>
      <c r="T31" s="191"/>
      <c r="U31" s="191"/>
      <c r="V31" s="191"/>
      <c r="W31" s="191"/>
      <c r="X31" s="268"/>
      <c r="Y31" s="268"/>
      <c r="Z31" s="268"/>
      <c r="AA31" s="268"/>
      <c r="AB31" s="268"/>
      <c r="AC31" s="268"/>
      <c r="AD31" s="268"/>
      <c r="AE31" s="268"/>
      <c r="AF31" s="268"/>
      <c r="AG31" s="268"/>
      <c r="AH31" s="268"/>
    </row>
    <row r="32" spans="3:38" ht="18" customHeight="1" x14ac:dyDescent="0.2">
      <c r="C32" s="268" t="s">
        <v>542</v>
      </c>
    </row>
    <row r="33" spans="3:38" ht="4.5" customHeight="1" x14ac:dyDescent="0.2"/>
    <row r="35" spans="3:38" ht="16.2" x14ac:dyDescent="0.2">
      <c r="C35" s="274" t="s">
        <v>525</v>
      </c>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row>
    <row r="36" spans="3:38" ht="16.2" x14ac:dyDescent="0.2">
      <c r="C36" s="275"/>
      <c r="D36" s="274"/>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row>
    <row r="37" spans="3:38" ht="16.2" x14ac:dyDescent="0.2">
      <c r="C37" s="183" t="s">
        <v>526</v>
      </c>
      <c r="D37" s="274"/>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row>
    <row r="38" spans="3:38" x14ac:dyDescent="0.2">
      <c r="C38" s="183" t="s">
        <v>472</v>
      </c>
      <c r="D38" s="2830" t="s">
        <v>545</v>
      </c>
      <c r="E38" s="2830"/>
      <c r="F38" s="2830"/>
      <c r="G38" s="2830"/>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row>
    <row r="39" spans="3:38" ht="16.2" x14ac:dyDescent="0.2">
      <c r="C39" s="183"/>
      <c r="D39" s="276"/>
      <c r="E39" s="277"/>
      <c r="F39" s="183"/>
      <c r="G39" s="2831" t="s">
        <v>527</v>
      </c>
      <c r="H39" s="2831"/>
      <c r="I39" s="2831"/>
      <c r="J39" s="2831"/>
      <c r="K39" s="2832" t="s">
        <v>546</v>
      </c>
      <c r="L39" s="2832"/>
      <c r="M39" s="2832"/>
      <c r="N39" s="2832"/>
      <c r="O39" s="2832"/>
      <c r="P39" s="2832"/>
      <c r="Q39" s="183"/>
      <c r="R39" s="183"/>
      <c r="S39" s="183"/>
      <c r="T39" s="183"/>
      <c r="U39" s="183"/>
      <c r="V39" s="183"/>
      <c r="W39" s="183"/>
      <c r="X39" s="2833">
        <v>43556</v>
      </c>
      <c r="Y39" s="2834"/>
      <c r="Z39" s="2834"/>
      <c r="AA39" s="2834"/>
      <c r="AB39" s="183"/>
      <c r="AC39" s="183"/>
      <c r="AD39" s="183"/>
      <c r="AE39" s="183"/>
      <c r="AF39" s="183"/>
      <c r="AG39" s="183"/>
      <c r="AH39" s="183"/>
      <c r="AI39" s="183"/>
      <c r="AJ39" s="183"/>
      <c r="AK39" s="183"/>
      <c r="AL39" s="183"/>
    </row>
    <row r="40" spans="3:38" x14ac:dyDescent="0.2">
      <c r="C40" s="2838" t="s">
        <v>528</v>
      </c>
      <c r="D40" s="2838" t="s">
        <v>529</v>
      </c>
      <c r="E40" s="278">
        <v>1</v>
      </c>
      <c r="F40" s="278">
        <v>2</v>
      </c>
      <c r="G40" s="278">
        <v>3</v>
      </c>
      <c r="H40" s="278">
        <v>4</v>
      </c>
      <c r="I40" s="278">
        <v>5</v>
      </c>
      <c r="J40" s="278">
        <v>6</v>
      </c>
      <c r="K40" s="278">
        <v>7</v>
      </c>
      <c r="L40" s="278">
        <v>8</v>
      </c>
      <c r="M40" s="278">
        <v>9</v>
      </c>
      <c r="N40" s="278">
        <v>10</v>
      </c>
      <c r="O40" s="278">
        <v>11</v>
      </c>
      <c r="P40" s="278">
        <v>12</v>
      </c>
      <c r="Q40" s="278">
        <v>13</v>
      </c>
      <c r="R40" s="278">
        <v>14</v>
      </c>
      <c r="S40" s="278">
        <v>15</v>
      </c>
      <c r="T40" s="278">
        <v>16</v>
      </c>
      <c r="U40" s="278">
        <v>17</v>
      </c>
      <c r="V40" s="278">
        <v>18</v>
      </c>
      <c r="W40" s="278">
        <v>19</v>
      </c>
      <c r="X40" s="278">
        <v>20</v>
      </c>
      <c r="Y40" s="278">
        <v>21</v>
      </c>
      <c r="Z40" s="278">
        <v>22</v>
      </c>
      <c r="AA40" s="278">
        <v>23</v>
      </c>
      <c r="AB40" s="278">
        <v>24</v>
      </c>
      <c r="AC40" s="278">
        <v>25</v>
      </c>
      <c r="AD40" s="278">
        <v>26</v>
      </c>
      <c r="AE40" s="278">
        <v>27</v>
      </c>
      <c r="AF40" s="278">
        <v>28</v>
      </c>
      <c r="AG40" s="278">
        <v>29</v>
      </c>
      <c r="AH40" s="278">
        <v>30</v>
      </c>
      <c r="AI40" s="278">
        <v>31</v>
      </c>
      <c r="AJ40" s="2847" t="s">
        <v>530</v>
      </c>
      <c r="AK40" s="2847"/>
      <c r="AL40" s="2847" t="s">
        <v>531</v>
      </c>
    </row>
    <row r="41" spans="3:38" x14ac:dyDescent="0.2">
      <c r="C41" s="2838"/>
      <c r="D41" s="2838"/>
      <c r="E41" s="279" t="s">
        <v>547</v>
      </c>
      <c r="F41" s="279" t="s">
        <v>548</v>
      </c>
      <c r="G41" s="279" t="s">
        <v>549</v>
      </c>
      <c r="H41" s="279" t="s">
        <v>550</v>
      </c>
      <c r="I41" s="279" t="s">
        <v>551</v>
      </c>
      <c r="J41" s="279" t="s">
        <v>552</v>
      </c>
      <c r="K41" s="279" t="s">
        <v>553</v>
      </c>
      <c r="L41" s="279" t="s">
        <v>547</v>
      </c>
      <c r="M41" s="279" t="s">
        <v>548</v>
      </c>
      <c r="N41" s="279" t="s">
        <v>549</v>
      </c>
      <c r="O41" s="279" t="s">
        <v>550</v>
      </c>
      <c r="P41" s="279" t="s">
        <v>551</v>
      </c>
      <c r="Q41" s="279" t="s">
        <v>552</v>
      </c>
      <c r="R41" s="279" t="s">
        <v>553</v>
      </c>
      <c r="S41" s="279" t="s">
        <v>547</v>
      </c>
      <c r="T41" s="279" t="s">
        <v>548</v>
      </c>
      <c r="U41" s="279" t="s">
        <v>549</v>
      </c>
      <c r="V41" s="279" t="s">
        <v>550</v>
      </c>
      <c r="W41" s="279" t="s">
        <v>551</v>
      </c>
      <c r="X41" s="279" t="s">
        <v>552</v>
      </c>
      <c r="Y41" s="279" t="s">
        <v>553</v>
      </c>
      <c r="Z41" s="279" t="s">
        <v>547</v>
      </c>
      <c r="AA41" s="279" t="s">
        <v>548</v>
      </c>
      <c r="AB41" s="279" t="s">
        <v>549</v>
      </c>
      <c r="AC41" s="279" t="s">
        <v>550</v>
      </c>
      <c r="AD41" s="279" t="s">
        <v>551</v>
      </c>
      <c r="AE41" s="279" t="s">
        <v>552</v>
      </c>
      <c r="AF41" s="279" t="s">
        <v>553</v>
      </c>
      <c r="AG41" s="279" t="s">
        <v>547</v>
      </c>
      <c r="AH41" s="279" t="s">
        <v>548</v>
      </c>
      <c r="AI41" s="279" t="s">
        <v>549</v>
      </c>
      <c r="AJ41" s="2847"/>
      <c r="AK41" s="2847"/>
      <c r="AL41" s="2847"/>
    </row>
    <row r="42" spans="3:38" ht="14.4" x14ac:dyDescent="0.2">
      <c r="C42" s="279" t="s">
        <v>554</v>
      </c>
      <c r="D42" s="194" t="s">
        <v>555</v>
      </c>
      <c r="E42" s="280" t="s">
        <v>556</v>
      </c>
      <c r="F42" s="280"/>
      <c r="G42" s="280"/>
      <c r="H42" s="281"/>
      <c r="I42" s="281"/>
      <c r="J42" s="282" t="s">
        <v>557</v>
      </c>
      <c r="K42" s="281"/>
      <c r="L42" s="281"/>
      <c r="M42" s="281"/>
      <c r="N42" s="281"/>
      <c r="O42" s="281"/>
      <c r="P42" s="281"/>
      <c r="Q42" s="281"/>
      <c r="R42" s="281"/>
      <c r="S42" s="280"/>
      <c r="T42" s="280"/>
      <c r="U42" s="280"/>
      <c r="V42" s="281"/>
      <c r="W42" s="281"/>
      <c r="X42" s="281"/>
      <c r="Y42" s="281"/>
      <c r="Z42" s="281"/>
      <c r="AA42" s="281"/>
      <c r="AB42" s="281"/>
      <c r="AC42" s="281"/>
      <c r="AD42" s="281"/>
      <c r="AE42" s="281"/>
      <c r="AF42" s="281"/>
      <c r="AG42" s="280"/>
      <c r="AH42" s="280"/>
      <c r="AI42" s="280"/>
      <c r="AJ42" s="291"/>
      <c r="AK42" s="283">
        <v>72</v>
      </c>
      <c r="AL42" s="289"/>
    </row>
    <row r="43" spans="3:38" ht="14.4" x14ac:dyDescent="0.2">
      <c r="C43" s="279" t="s">
        <v>558</v>
      </c>
      <c r="D43" s="194" t="s">
        <v>559</v>
      </c>
      <c r="E43" s="280"/>
      <c r="F43" s="280" t="s">
        <v>560</v>
      </c>
      <c r="G43" s="280"/>
      <c r="H43" s="280" t="s">
        <v>560</v>
      </c>
      <c r="I43" s="281"/>
      <c r="J43" s="282" t="s">
        <v>557</v>
      </c>
      <c r="K43" s="281"/>
      <c r="L43" s="281"/>
      <c r="M43" s="281"/>
      <c r="N43" s="281"/>
      <c r="O43" s="281"/>
      <c r="P43" s="281"/>
      <c r="Q43" s="281"/>
      <c r="R43" s="281"/>
      <c r="S43" s="280"/>
      <c r="T43" s="280"/>
      <c r="U43" s="280"/>
      <c r="V43" s="281"/>
      <c r="W43" s="281"/>
      <c r="X43" s="281"/>
      <c r="Y43" s="281"/>
      <c r="Z43" s="281"/>
      <c r="AA43" s="281"/>
      <c r="AB43" s="281"/>
      <c r="AC43" s="281"/>
      <c r="AD43" s="281"/>
      <c r="AE43" s="281"/>
      <c r="AF43" s="281"/>
      <c r="AG43" s="280"/>
      <c r="AH43" s="280"/>
      <c r="AI43" s="280"/>
      <c r="AJ43" s="291"/>
      <c r="AK43" s="283">
        <v>64</v>
      </c>
      <c r="AL43" s="289" t="s">
        <v>561</v>
      </c>
    </row>
    <row r="44" spans="3:38" ht="22.2" x14ac:dyDescent="0.2">
      <c r="C44" s="284" t="s">
        <v>562</v>
      </c>
      <c r="D44" s="194"/>
      <c r="E44" s="280"/>
      <c r="F44" s="280"/>
      <c r="G44" s="280"/>
      <c r="H44" s="281"/>
      <c r="I44" s="281"/>
      <c r="J44" s="282"/>
      <c r="K44" s="281"/>
      <c r="L44" s="281"/>
      <c r="M44" s="281"/>
      <c r="N44" s="281"/>
      <c r="O44" s="281"/>
      <c r="P44" s="281"/>
      <c r="Q44" s="281"/>
      <c r="R44" s="281"/>
      <c r="S44" s="280"/>
      <c r="T44" s="280"/>
      <c r="U44" s="280"/>
      <c r="V44" s="281"/>
      <c r="W44" s="281"/>
      <c r="X44" s="281"/>
      <c r="Y44" s="281"/>
      <c r="Z44" s="281"/>
      <c r="AA44" s="281"/>
      <c r="AB44" s="281"/>
      <c r="AC44" s="281"/>
      <c r="AD44" s="281"/>
      <c r="AE44" s="281"/>
      <c r="AF44" s="281"/>
      <c r="AG44" s="280"/>
      <c r="AH44" s="280"/>
      <c r="AI44" s="280"/>
      <c r="AJ44" s="291"/>
      <c r="AK44" s="283"/>
      <c r="AL44" s="289"/>
    </row>
    <row r="45" spans="3:38" ht="14.4" x14ac:dyDescent="0.2">
      <c r="C45" s="279" t="s">
        <v>563</v>
      </c>
      <c r="D45" s="194" t="s">
        <v>564</v>
      </c>
      <c r="E45" s="280"/>
      <c r="F45" s="280"/>
      <c r="G45" s="280" t="s">
        <v>556</v>
      </c>
      <c r="H45" s="281"/>
      <c r="I45" s="281"/>
      <c r="J45" s="282" t="s">
        <v>557</v>
      </c>
      <c r="K45" s="281"/>
      <c r="L45" s="281"/>
      <c r="M45" s="281"/>
      <c r="N45" s="281"/>
      <c r="O45" s="281"/>
      <c r="P45" s="281"/>
      <c r="Q45" s="281"/>
      <c r="R45" s="281"/>
      <c r="S45" s="280"/>
      <c r="T45" s="280"/>
      <c r="U45" s="280"/>
      <c r="V45" s="281"/>
      <c r="W45" s="281"/>
      <c r="X45" s="281"/>
      <c r="Y45" s="281"/>
      <c r="Z45" s="281"/>
      <c r="AA45" s="281"/>
      <c r="AB45" s="281"/>
      <c r="AC45" s="281"/>
      <c r="AD45" s="281"/>
      <c r="AE45" s="281"/>
      <c r="AF45" s="281"/>
      <c r="AG45" s="280"/>
      <c r="AH45" s="280"/>
      <c r="AI45" s="280"/>
      <c r="AJ45" s="291"/>
      <c r="AK45" s="283">
        <v>60</v>
      </c>
      <c r="AL45" s="289"/>
    </row>
    <row r="46" spans="3:38" ht="14.4" x14ac:dyDescent="0.2">
      <c r="C46" s="279" t="s">
        <v>565</v>
      </c>
      <c r="D46" s="194" t="s">
        <v>566</v>
      </c>
      <c r="E46" s="280" t="s">
        <v>556</v>
      </c>
      <c r="F46" s="280"/>
      <c r="G46" s="280"/>
      <c r="H46" s="281"/>
      <c r="I46" s="281"/>
      <c r="J46" s="282" t="s">
        <v>557</v>
      </c>
      <c r="K46" s="281"/>
      <c r="L46" s="281"/>
      <c r="M46" s="281"/>
      <c r="N46" s="281"/>
      <c r="O46" s="281"/>
      <c r="P46" s="281"/>
      <c r="Q46" s="281"/>
      <c r="R46" s="281"/>
      <c r="S46" s="280"/>
      <c r="T46" s="280"/>
      <c r="U46" s="280"/>
      <c r="V46" s="281"/>
      <c r="W46" s="281"/>
      <c r="X46" s="281"/>
      <c r="Y46" s="281"/>
      <c r="Z46" s="281"/>
      <c r="AA46" s="281"/>
      <c r="AB46" s="281"/>
      <c r="AC46" s="281"/>
      <c r="AD46" s="281"/>
      <c r="AE46" s="281"/>
      <c r="AF46" s="281"/>
      <c r="AG46" s="280"/>
      <c r="AH46" s="280"/>
      <c r="AI46" s="280"/>
      <c r="AJ46" s="291"/>
      <c r="AK46" s="283">
        <v>72</v>
      </c>
      <c r="AL46" s="289"/>
    </row>
    <row r="47" spans="3:38" x14ac:dyDescent="0.2">
      <c r="C47" s="279"/>
      <c r="D47" s="194"/>
      <c r="E47" s="280"/>
      <c r="F47" s="280"/>
      <c r="G47" s="280"/>
      <c r="H47" s="281"/>
      <c r="I47" s="281"/>
      <c r="J47" s="281"/>
      <c r="K47" s="281"/>
      <c r="L47" s="281"/>
      <c r="M47" s="281"/>
      <c r="N47" s="281"/>
      <c r="O47" s="281"/>
      <c r="P47" s="281"/>
      <c r="Q47" s="281"/>
      <c r="R47" s="281"/>
      <c r="S47" s="280"/>
      <c r="T47" s="280"/>
      <c r="U47" s="280"/>
      <c r="V47" s="281"/>
      <c r="W47" s="281"/>
      <c r="X47" s="281"/>
      <c r="Y47" s="281"/>
      <c r="Z47" s="281"/>
      <c r="AA47" s="281"/>
      <c r="AB47" s="281"/>
      <c r="AC47" s="281"/>
      <c r="AD47" s="281"/>
      <c r="AE47" s="281"/>
      <c r="AF47" s="281"/>
      <c r="AG47" s="280"/>
      <c r="AH47" s="280"/>
      <c r="AI47" s="280"/>
      <c r="AJ47" s="291"/>
      <c r="AK47" s="283"/>
      <c r="AL47" s="289"/>
    </row>
    <row r="48" spans="3:38" x14ac:dyDescent="0.2">
      <c r="C48" s="279"/>
      <c r="D48" s="194"/>
      <c r="E48" s="280"/>
      <c r="F48" s="280"/>
      <c r="G48" s="280"/>
      <c r="H48" s="281"/>
      <c r="I48" s="281"/>
      <c r="J48" s="281"/>
      <c r="K48" s="281"/>
      <c r="L48" s="281"/>
      <c r="M48" s="281"/>
      <c r="N48" s="281"/>
      <c r="O48" s="281"/>
      <c r="P48" s="281"/>
      <c r="Q48" s="281"/>
      <c r="R48" s="281"/>
      <c r="S48" s="280"/>
      <c r="T48" s="280"/>
      <c r="U48" s="280"/>
      <c r="V48" s="281"/>
      <c r="W48" s="281"/>
      <c r="X48" s="281"/>
      <c r="Y48" s="281"/>
      <c r="Z48" s="281"/>
      <c r="AA48" s="281"/>
      <c r="AB48" s="281"/>
      <c r="AC48" s="281"/>
      <c r="AD48" s="281"/>
      <c r="AE48" s="281"/>
      <c r="AF48" s="281"/>
      <c r="AG48" s="280"/>
      <c r="AH48" s="280"/>
      <c r="AI48" s="280"/>
      <c r="AJ48" s="291"/>
      <c r="AK48" s="283"/>
      <c r="AL48" s="289"/>
    </row>
    <row r="49" spans="3:38" x14ac:dyDescent="0.2">
      <c r="C49" s="279"/>
      <c r="D49" s="194"/>
      <c r="E49" s="280"/>
      <c r="F49" s="280"/>
      <c r="G49" s="280"/>
      <c r="H49" s="281"/>
      <c r="I49" s="281"/>
      <c r="J49" s="281"/>
      <c r="K49" s="281"/>
      <c r="L49" s="281"/>
      <c r="M49" s="281"/>
      <c r="N49" s="281"/>
      <c r="O49" s="281"/>
      <c r="P49" s="281"/>
      <c r="Q49" s="281"/>
      <c r="R49" s="281"/>
      <c r="S49" s="280"/>
      <c r="T49" s="280"/>
      <c r="U49" s="280"/>
      <c r="V49" s="281"/>
      <c r="W49" s="281"/>
      <c r="X49" s="281"/>
      <c r="Y49" s="281"/>
      <c r="Z49" s="281"/>
      <c r="AA49" s="281"/>
      <c r="AB49" s="281"/>
      <c r="AC49" s="281"/>
      <c r="AD49" s="281"/>
      <c r="AE49" s="281"/>
      <c r="AF49" s="281"/>
      <c r="AG49" s="280"/>
      <c r="AH49" s="280"/>
      <c r="AI49" s="280"/>
      <c r="AJ49" s="291"/>
      <c r="AK49" s="283"/>
      <c r="AL49" s="289"/>
    </row>
    <row r="50" spans="3:38" x14ac:dyDescent="0.2">
      <c r="C50" s="279"/>
      <c r="D50" s="194"/>
      <c r="E50" s="280"/>
      <c r="F50" s="280"/>
      <c r="G50" s="280"/>
      <c r="H50" s="281"/>
      <c r="I50" s="281"/>
      <c r="J50" s="281"/>
      <c r="K50" s="281"/>
      <c r="L50" s="281"/>
      <c r="M50" s="281"/>
      <c r="N50" s="281"/>
      <c r="O50" s="281"/>
      <c r="P50" s="281"/>
      <c r="Q50" s="281"/>
      <c r="R50" s="281"/>
      <c r="S50" s="280"/>
      <c r="T50" s="280"/>
      <c r="U50" s="280"/>
      <c r="V50" s="281"/>
      <c r="W50" s="281"/>
      <c r="X50" s="281"/>
      <c r="Y50" s="281"/>
      <c r="Z50" s="281"/>
      <c r="AA50" s="281"/>
      <c r="AB50" s="281"/>
      <c r="AC50" s="281"/>
      <c r="AD50" s="281"/>
      <c r="AE50" s="281"/>
      <c r="AF50" s="281"/>
      <c r="AG50" s="280"/>
      <c r="AH50" s="280"/>
      <c r="AI50" s="280"/>
      <c r="AJ50" s="291"/>
      <c r="AK50" s="283"/>
      <c r="AL50" s="289"/>
    </row>
    <row r="51" spans="3:38" x14ac:dyDescent="0.2">
      <c r="C51" s="279"/>
      <c r="D51" s="194"/>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91"/>
      <c r="AK51" s="283"/>
      <c r="AL51" s="290"/>
    </row>
    <row r="52" spans="3:38" x14ac:dyDescent="0.2">
      <c r="C52" s="279"/>
      <c r="D52" s="194"/>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91"/>
      <c r="AK52" s="283"/>
      <c r="AL52" s="289"/>
    </row>
    <row r="53" spans="3:38" x14ac:dyDescent="0.2">
      <c r="C53" s="279"/>
      <c r="D53" s="194"/>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91"/>
      <c r="AK53" s="283"/>
      <c r="AL53" s="289"/>
    </row>
    <row r="54" spans="3:38" x14ac:dyDescent="0.2">
      <c r="C54" s="279"/>
      <c r="D54" s="194"/>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91"/>
      <c r="AK54" s="283"/>
      <c r="AL54" s="289"/>
    </row>
    <row r="55" spans="3:38" x14ac:dyDescent="0.2">
      <c r="C55" s="2828" t="s">
        <v>532</v>
      </c>
      <c r="D55" s="285" t="s">
        <v>533</v>
      </c>
      <c r="E55" s="286">
        <v>22</v>
      </c>
      <c r="F55" s="286">
        <v>22</v>
      </c>
      <c r="G55" s="286">
        <v>19</v>
      </c>
      <c r="H55" s="286">
        <v>22</v>
      </c>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7"/>
      <c r="AJ55" s="297" t="s">
        <v>567</v>
      </c>
      <c r="AK55" s="298">
        <v>660</v>
      </c>
      <c r="AL55" s="288"/>
    </row>
    <row r="56" spans="3:38" x14ac:dyDescent="0.2">
      <c r="C56" s="2829"/>
      <c r="D56" s="292" t="s">
        <v>535</v>
      </c>
      <c r="E56" s="293">
        <v>20</v>
      </c>
      <c r="F56" s="293">
        <v>20</v>
      </c>
      <c r="G56" s="293">
        <v>19</v>
      </c>
      <c r="H56" s="293">
        <v>20</v>
      </c>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4"/>
      <c r="AJ56" s="299" t="s">
        <v>568</v>
      </c>
      <c r="AK56" s="295">
        <v>600</v>
      </c>
      <c r="AL56" s="296"/>
    </row>
  </sheetData>
  <mergeCells count="23">
    <mergeCell ref="D5:H5"/>
    <mergeCell ref="T5:U5"/>
    <mergeCell ref="K5:N5"/>
    <mergeCell ref="P5:Q5"/>
    <mergeCell ref="AD27:AJ27"/>
    <mergeCell ref="C7:C8"/>
    <mergeCell ref="D7:D8"/>
    <mergeCell ref="C29:AL29"/>
    <mergeCell ref="C30:AL30"/>
    <mergeCell ref="D40:D41"/>
    <mergeCell ref="C40:C41"/>
    <mergeCell ref="C28:AL28"/>
    <mergeCell ref="C24:C25"/>
    <mergeCell ref="Z27:AC27"/>
    <mergeCell ref="AJ7:AK8"/>
    <mergeCell ref="AL7:AL8"/>
    <mergeCell ref="AL40:AL41"/>
    <mergeCell ref="AJ40:AK41"/>
    <mergeCell ref="C55:C56"/>
    <mergeCell ref="D38:G38"/>
    <mergeCell ref="G39:J39"/>
    <mergeCell ref="K39:P39"/>
    <mergeCell ref="X39:AA39"/>
  </mergeCells>
  <phoneticPr fontId="2"/>
  <printOptions horizontalCentered="1"/>
  <pageMargins left="0.19685039370078741" right="0.19685039370078741" top="0.59055118110236227" bottom="0.19685039370078741" header="0.31496062992125984" footer="0.31496062992125984"/>
  <pageSetup paperSize="9" scale="81" orientation="landscape" r:id="rId1"/>
  <rowBreaks count="1" manualBreakCount="1">
    <brk id="33"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01A-16E8-4FAC-A175-79128B0A2C25}">
  <sheetPr>
    <tabColor rgb="FFFFFF00"/>
    <pageSetUpPr fitToPage="1"/>
  </sheetPr>
  <dimension ref="A2:AL1110"/>
  <sheetViews>
    <sheetView tabSelected="1" view="pageBreakPreview" zoomScale="70" zoomScaleNormal="75" zoomScaleSheetLayoutView="70" workbookViewId="0"/>
  </sheetViews>
  <sheetFormatPr defaultColWidth="9" defaultRowHeight="13.2" x14ac:dyDescent="0.2"/>
  <cols>
    <col min="1" max="2" width="4.21875" style="3121" customWidth="1"/>
    <col min="3" max="3" width="25" style="836" customWidth="1"/>
    <col min="4" max="4" width="4.88671875" style="836" customWidth="1"/>
    <col min="5" max="5" width="41.6640625" style="836" customWidth="1"/>
    <col min="6" max="6" width="4.88671875" style="836" customWidth="1"/>
    <col min="7" max="7" width="19.6640625" style="836" customWidth="1"/>
    <col min="8" max="8" width="33.88671875" style="836" customWidth="1"/>
    <col min="9" max="24" width="5.33203125" style="836" customWidth="1"/>
    <col min="25" max="32" width="4.88671875" style="836" customWidth="1"/>
    <col min="33" max="37" width="0" style="3120" hidden="1" customWidth="1"/>
    <col min="38" max="38" width="9" style="3120"/>
    <col min="39" max="16384" width="9" style="836"/>
  </cols>
  <sheetData>
    <row r="2" spans="1:37" ht="20.25" customHeight="1" x14ac:dyDescent="0.2">
      <c r="A2" s="3449" t="s">
        <v>2065</v>
      </c>
      <c r="B2" s="3448"/>
    </row>
    <row r="3" spans="1:37" ht="20.25" customHeight="1" x14ac:dyDescent="0.2">
      <c r="A3" s="3277" t="s">
        <v>1209</v>
      </c>
      <c r="B3" s="3277"/>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row>
    <row r="4" spans="1:37" ht="20.25" customHeight="1" x14ac:dyDescent="0.2"/>
    <row r="5" spans="1:37" ht="30" customHeight="1" x14ac:dyDescent="0.2">
      <c r="S5" s="3273" t="s">
        <v>1210</v>
      </c>
      <c r="T5" s="3272"/>
      <c r="U5" s="3272"/>
      <c r="V5" s="3271"/>
      <c r="W5" s="3447"/>
      <c r="X5" s="3446"/>
      <c r="Y5" s="3446"/>
      <c r="Z5" s="3446"/>
      <c r="AA5" s="3446"/>
      <c r="AB5" s="3446"/>
      <c r="AC5" s="3446"/>
      <c r="AD5" s="3446"/>
      <c r="AE5" s="3446"/>
      <c r="AF5" s="3445"/>
      <c r="AG5" s="3120" t="str">
        <f>"kaigo_num='" &amp;W5&amp;X5&amp;Y5&amp;Z5&amp;AA5&amp;AB5&amp;AC5&amp;AD5&amp;AE5&amp;AF5&amp; "'"</f>
        <v>kaigo_num=''</v>
      </c>
    </row>
    <row r="6" spans="1:37" ht="20.25" customHeight="1" x14ac:dyDescent="0.2"/>
    <row r="7" spans="1:37" ht="17.25" customHeight="1" x14ac:dyDescent="0.2">
      <c r="A7" s="3273" t="s">
        <v>1211</v>
      </c>
      <c r="B7" s="3272"/>
      <c r="C7" s="3271"/>
      <c r="D7" s="3273" t="s">
        <v>1</v>
      </c>
      <c r="E7" s="3271"/>
      <c r="F7" s="3273" t="s">
        <v>1212</v>
      </c>
      <c r="G7" s="3271"/>
      <c r="H7" s="3273" t="s">
        <v>1213</v>
      </c>
      <c r="I7" s="3272"/>
      <c r="J7" s="3272"/>
      <c r="K7" s="3272"/>
      <c r="L7" s="3272"/>
      <c r="M7" s="3272"/>
      <c r="N7" s="3272"/>
      <c r="O7" s="3272"/>
      <c r="P7" s="3272"/>
      <c r="Q7" s="3272"/>
      <c r="R7" s="3272"/>
      <c r="S7" s="3272"/>
      <c r="T7" s="3272"/>
      <c r="U7" s="3272"/>
      <c r="V7" s="3272"/>
      <c r="W7" s="3272"/>
      <c r="X7" s="3271"/>
      <c r="Y7" s="3273" t="s">
        <v>799</v>
      </c>
      <c r="Z7" s="3272"/>
      <c r="AA7" s="3272"/>
      <c r="AB7" s="3271"/>
      <c r="AC7" s="3273" t="s">
        <v>1214</v>
      </c>
      <c r="AD7" s="3272"/>
      <c r="AE7" s="3272"/>
      <c r="AF7" s="3271"/>
    </row>
    <row r="8" spans="1:37" ht="18.75" customHeight="1" x14ac:dyDescent="0.2">
      <c r="A8" s="3270" t="s">
        <v>1215</v>
      </c>
      <c r="B8" s="3269"/>
      <c r="C8" s="3268"/>
      <c r="D8" s="3270"/>
      <c r="E8" s="3268"/>
      <c r="F8" s="3270"/>
      <c r="G8" s="3268"/>
      <c r="H8" s="3265" t="s">
        <v>1216</v>
      </c>
      <c r="I8" s="3258" t="s">
        <v>116</v>
      </c>
      <c r="J8" s="3252" t="s">
        <v>1217</v>
      </c>
      <c r="K8" s="3264"/>
      <c r="L8" s="3264"/>
      <c r="M8" s="3258" t="s">
        <v>116</v>
      </c>
      <c r="N8" s="3252" t="s">
        <v>1218</v>
      </c>
      <c r="O8" s="3264"/>
      <c r="P8" s="3264"/>
      <c r="Q8" s="3258" t="s">
        <v>116</v>
      </c>
      <c r="R8" s="3252" t="s">
        <v>1219</v>
      </c>
      <c r="S8" s="3264"/>
      <c r="T8" s="3264"/>
      <c r="U8" s="3258" t="s">
        <v>116</v>
      </c>
      <c r="V8" s="3252" t="s">
        <v>1220</v>
      </c>
      <c r="W8" s="3264"/>
      <c r="X8" s="3185"/>
      <c r="Y8" s="3307"/>
      <c r="Z8" s="3306"/>
      <c r="AA8" s="3306"/>
      <c r="AB8" s="3305"/>
      <c r="AC8" s="3307"/>
      <c r="AD8" s="3306"/>
      <c r="AE8" s="3306"/>
      <c r="AF8" s="3305"/>
      <c r="AG8" s="3120" t="str">
        <f>"tiikikbn_code:"&amp; IF(I8="■",1,IF(M8="■",6,IF(Q8="■",7,IF(U8="■",2,IF(I9="■",3,IF(M9="■",4,IF(Q9="■",9,IF(U9="■",5,0))))))))</f>
        <v>tiikikbn_code:0</v>
      </c>
    </row>
    <row r="9" spans="1:37" ht="18.75" customHeight="1" x14ac:dyDescent="0.2">
      <c r="A9" s="3443"/>
      <c r="B9" s="3444"/>
      <c r="C9" s="3442"/>
      <c r="D9" s="3443"/>
      <c r="E9" s="3442"/>
      <c r="F9" s="3443"/>
      <c r="G9" s="3442"/>
      <c r="H9" s="3337"/>
      <c r="I9" s="3158" t="s">
        <v>116</v>
      </c>
      <c r="J9" s="1200" t="s">
        <v>1221</v>
      </c>
      <c r="K9" s="3441"/>
      <c r="L9" s="3441"/>
      <c r="M9" s="3258" t="s">
        <v>116</v>
      </c>
      <c r="N9" s="1200" t="s">
        <v>1222</v>
      </c>
      <c r="O9" s="3441"/>
      <c r="P9" s="3441"/>
      <c r="Q9" s="3258" t="s">
        <v>116</v>
      </c>
      <c r="R9" s="1200" t="s">
        <v>1223</v>
      </c>
      <c r="S9" s="3441"/>
      <c r="T9" s="3441"/>
      <c r="U9" s="3258" t="s">
        <v>116</v>
      </c>
      <c r="V9" s="1200" t="s">
        <v>1224</v>
      </c>
      <c r="W9" s="3441"/>
      <c r="X9" s="3145"/>
      <c r="Y9" s="3292"/>
      <c r="Z9" s="3291"/>
      <c r="AA9" s="3291"/>
      <c r="AB9" s="3290"/>
      <c r="AC9" s="3292"/>
      <c r="AD9" s="3291"/>
      <c r="AE9" s="3291"/>
      <c r="AF9" s="3290"/>
    </row>
    <row r="10" spans="1:37" ht="18.75" hidden="1" customHeight="1" x14ac:dyDescent="0.2">
      <c r="A10" s="3188"/>
      <c r="B10" s="3187"/>
      <c r="C10" s="3229"/>
      <c r="D10" s="3228"/>
      <c r="E10" s="3185"/>
      <c r="F10" s="3184"/>
      <c r="G10" s="3183"/>
      <c r="H10" s="3355" t="s">
        <v>2121</v>
      </c>
      <c r="I10" s="3310" t="s">
        <v>116</v>
      </c>
      <c r="J10" s="3252" t="s">
        <v>2120</v>
      </c>
      <c r="K10" s="3311"/>
      <c r="L10" s="3311"/>
      <c r="M10" s="3311"/>
      <c r="N10" s="3311"/>
      <c r="O10" s="3311"/>
      <c r="P10" s="3311"/>
      <c r="Q10" s="3311"/>
      <c r="R10" s="3311"/>
      <c r="S10" s="3311"/>
      <c r="T10" s="3311"/>
      <c r="U10" s="3311"/>
      <c r="V10" s="3311"/>
      <c r="W10" s="3311"/>
      <c r="X10" s="3351"/>
      <c r="Y10" s="3310" t="s">
        <v>116</v>
      </c>
      <c r="Z10" s="3252" t="s">
        <v>1225</v>
      </c>
      <c r="AA10" s="3252"/>
      <c r="AB10" s="3308"/>
      <c r="AC10" s="3253" t="s">
        <v>116</v>
      </c>
      <c r="AD10" s="3252" t="s">
        <v>1225</v>
      </c>
      <c r="AE10" s="3252"/>
      <c r="AF10" s="3308"/>
      <c r="AG10" s="3120" t="str">
        <f>"ser_code = '" &amp; IF(A22="■",11,"") &amp; "'"</f>
        <v>ser_code = ''</v>
      </c>
      <c r="AI10" s="3120" t="str">
        <f>"11:sintaikaigo_taisei_code:" &amp; IF(Y10="■",1,IF(Y11="■",2,IF(I12="■",3,0)))</f>
        <v>11:sintaikaigo_taisei_code:0</v>
      </c>
      <c r="AJ10" s="3120" t="str">
        <f>"11:field203:" &amp; IF(Y10="■",1,IF(Y11="■",2,0))</f>
        <v>11:field203:0</v>
      </c>
      <c r="AK10" s="3120" t="str">
        <f>"11:waribiki_code:" &amp; IF(AC10="■",1,IF(AC11="■",2,0))</f>
        <v>11:waribiki_code:0</v>
      </c>
    </row>
    <row r="11" spans="1:37" ht="18.75" hidden="1" customHeight="1" x14ac:dyDescent="0.2">
      <c r="A11" s="834"/>
      <c r="B11" s="3148"/>
      <c r="C11" s="3147"/>
      <c r="D11" s="3146"/>
      <c r="E11" s="3145"/>
      <c r="F11" s="3144"/>
      <c r="G11" s="3175"/>
      <c r="H11" s="3203"/>
      <c r="I11" s="3258" t="s">
        <v>116</v>
      </c>
      <c r="J11" s="836" t="s">
        <v>2119</v>
      </c>
      <c r="K11" s="3231"/>
      <c r="L11" s="3231"/>
      <c r="M11" s="3231"/>
      <c r="N11" s="3231"/>
      <c r="O11" s="3231"/>
      <c r="P11" s="3231"/>
      <c r="Q11" s="3231"/>
      <c r="R11" s="3231"/>
      <c r="S11" s="3231"/>
      <c r="T11" s="3231"/>
      <c r="U11" s="3231"/>
      <c r="V11" s="3231"/>
      <c r="W11" s="3231"/>
      <c r="X11" s="3230"/>
      <c r="Y11" s="3258" t="s">
        <v>116</v>
      </c>
      <c r="Z11" s="1200" t="s">
        <v>1226</v>
      </c>
      <c r="AA11" s="1201"/>
      <c r="AB11" s="1202"/>
      <c r="AC11" s="3158" t="s">
        <v>116</v>
      </c>
      <c r="AD11" s="1200" t="s">
        <v>1226</v>
      </c>
      <c r="AE11" s="1201"/>
      <c r="AF11" s="1202"/>
      <c r="AG11" s="3120" t="str">
        <f>"11:sisetukbn_code:" &amp; IF(AND(D21="■",D22="■",D23="■"),"1;2;3",IF(AND(D21="■",D22="■"),"1;2",0))</f>
        <v>11:sisetukbn_code:0</v>
      </c>
    </row>
    <row r="12" spans="1:37" ht="18.75" hidden="1" customHeight="1" x14ac:dyDescent="0.2">
      <c r="A12" s="834"/>
      <c r="B12" s="3148"/>
      <c r="C12" s="3147"/>
      <c r="D12" s="3146"/>
      <c r="E12" s="3145"/>
      <c r="F12" s="3144"/>
      <c r="G12" s="3175"/>
      <c r="H12" s="3165"/>
      <c r="I12" s="3141" t="s">
        <v>116</v>
      </c>
      <c r="J12" s="3162" t="s">
        <v>2118</v>
      </c>
      <c r="K12" s="3207"/>
      <c r="L12" s="3207"/>
      <c r="M12" s="3207"/>
      <c r="N12" s="3207"/>
      <c r="O12" s="3207"/>
      <c r="P12" s="3207"/>
      <c r="Q12" s="3207"/>
      <c r="R12" s="3207"/>
      <c r="S12" s="3207"/>
      <c r="T12" s="3207"/>
      <c r="U12" s="3207"/>
      <c r="V12" s="3207"/>
      <c r="W12" s="3207"/>
      <c r="X12" s="3206"/>
      <c r="Y12" s="3293"/>
      <c r="Z12" s="1201"/>
      <c r="AA12" s="1201"/>
      <c r="AB12" s="1202"/>
      <c r="AC12" s="3293"/>
      <c r="AD12" s="1201"/>
      <c r="AE12" s="1201"/>
      <c r="AF12" s="1202"/>
    </row>
    <row r="13" spans="1:37" s="3120" customFormat="1" ht="19.5" hidden="1" customHeight="1" x14ac:dyDescent="0.2">
      <c r="A13" s="834"/>
      <c r="B13" s="3148"/>
      <c r="C13" s="3147"/>
      <c r="D13" s="3146"/>
      <c r="E13" s="3145"/>
      <c r="F13" s="3144"/>
      <c r="G13" s="3175"/>
      <c r="H13" s="3174" t="s">
        <v>1227</v>
      </c>
      <c r="I13" s="3155" t="s">
        <v>116</v>
      </c>
      <c r="J13" s="3137" t="s">
        <v>1228</v>
      </c>
      <c r="K13" s="3171"/>
      <c r="L13" s="3173"/>
      <c r="M13" s="3154" t="s">
        <v>116</v>
      </c>
      <c r="N13" s="3137" t="s">
        <v>1229</v>
      </c>
      <c r="O13" s="3299"/>
      <c r="P13" s="3137"/>
      <c r="Q13" s="3150"/>
      <c r="R13" s="3150"/>
      <c r="S13" s="3150"/>
      <c r="T13" s="3150"/>
      <c r="U13" s="3150"/>
      <c r="V13" s="3150"/>
      <c r="W13" s="3150"/>
      <c r="X13" s="3149"/>
      <c r="Y13" s="1201"/>
      <c r="Z13" s="1201"/>
      <c r="AA13" s="1201"/>
      <c r="AB13" s="1202"/>
      <c r="AC13" s="3293"/>
      <c r="AD13" s="1201"/>
      <c r="AE13" s="1201"/>
      <c r="AF13" s="1202"/>
      <c r="AI13" s="3120" t="str">
        <f>"11:field223:" &amp; IF(I13="■",1,IF(M13="■",2,0))</f>
        <v>11:field223:0</v>
      </c>
    </row>
    <row r="14" spans="1:37" s="3120" customFormat="1" ht="19.5" hidden="1" customHeight="1" x14ac:dyDescent="0.2">
      <c r="A14" s="834"/>
      <c r="B14" s="3148"/>
      <c r="C14" s="3147"/>
      <c r="D14" s="3146"/>
      <c r="E14" s="3145"/>
      <c r="F14" s="3144"/>
      <c r="G14" s="3175"/>
      <c r="H14" s="3223" t="s">
        <v>1253</v>
      </c>
      <c r="I14" s="3222" t="s">
        <v>116</v>
      </c>
      <c r="J14" s="3217" t="s">
        <v>1228</v>
      </c>
      <c r="K14" s="3221"/>
      <c r="L14" s="3220"/>
      <c r="M14" s="3219" t="s">
        <v>116</v>
      </c>
      <c r="N14" s="3217" t="s">
        <v>1229</v>
      </c>
      <c r="O14" s="3437"/>
      <c r="P14" s="3436"/>
      <c r="Q14" s="3435"/>
      <c r="R14" s="3435"/>
      <c r="S14" s="3435"/>
      <c r="T14" s="3435"/>
      <c r="U14" s="3435"/>
      <c r="V14" s="3435"/>
      <c r="W14" s="3435"/>
      <c r="X14" s="3434"/>
      <c r="Y14" s="1201"/>
      <c r="Z14" s="1201"/>
      <c r="AA14" s="1201"/>
      <c r="AB14" s="1202"/>
      <c r="AC14" s="3440"/>
      <c r="AD14" s="2"/>
      <c r="AE14" s="584"/>
      <c r="AF14" s="585"/>
      <c r="AI14" s="3120" t="str">
        <f>"11:field232:" &amp; IF(I14="■",1,IF(M14="■",2,0))</f>
        <v>11:field232:0</v>
      </c>
    </row>
    <row r="15" spans="1:37" s="3120" customFormat="1" ht="18.75" hidden="1" customHeight="1" x14ac:dyDescent="0.2">
      <c r="A15" s="834"/>
      <c r="B15" s="3148"/>
      <c r="C15" s="3147"/>
      <c r="D15" s="3146"/>
      <c r="E15" s="3145"/>
      <c r="F15" s="3144"/>
      <c r="G15" s="3175"/>
      <c r="H15" s="3142" t="s">
        <v>2314</v>
      </c>
      <c r="I15" s="3155" t="s">
        <v>116</v>
      </c>
      <c r="J15" s="3137" t="s">
        <v>1230</v>
      </c>
      <c r="K15" s="3137"/>
      <c r="L15" s="3154" t="s">
        <v>116</v>
      </c>
      <c r="M15" s="3137" t="s">
        <v>1231</v>
      </c>
      <c r="N15" s="3137"/>
      <c r="O15" s="3154" t="s">
        <v>116</v>
      </c>
      <c r="P15" s="3137" t="s">
        <v>1232</v>
      </c>
      <c r="Q15" s="3137"/>
      <c r="R15" s="3154" t="s">
        <v>116</v>
      </c>
      <c r="S15" s="3137" t="s">
        <v>2191</v>
      </c>
      <c r="T15" s="3137"/>
      <c r="U15" s="3154" t="s">
        <v>116</v>
      </c>
      <c r="V15" s="3137" t="s">
        <v>2313</v>
      </c>
      <c r="W15" s="3137"/>
      <c r="X15" s="3136"/>
      <c r="Y15" s="3293"/>
      <c r="Z15" s="1201"/>
      <c r="AA15" s="1201"/>
      <c r="AB15" s="1202"/>
      <c r="AC15" s="3293"/>
      <c r="AD15" s="1201"/>
      <c r="AE15" s="1201"/>
      <c r="AF15" s="1202"/>
      <c r="AI15" s="3120" t="str">
        <f>"11:tokujigyou_code:" &amp; IF(I15="■",1,IF(L15="■",2,IF(O15="■",3,IF(R15="■",4,IF(U15="■",5,0)))))</f>
        <v>11:tokujigyou_code:0</v>
      </c>
    </row>
    <row r="16" spans="1:37" s="3120" customFormat="1" ht="18.75" hidden="1" customHeight="1" x14ac:dyDescent="0.2">
      <c r="A16" s="834"/>
      <c r="B16" s="3148"/>
      <c r="C16" s="3147"/>
      <c r="D16" s="3146"/>
      <c r="E16" s="3145"/>
      <c r="F16" s="3144"/>
      <c r="G16" s="3175"/>
      <c r="H16" s="3142" t="s">
        <v>2312</v>
      </c>
      <c r="I16" s="3155" t="s">
        <v>116</v>
      </c>
      <c r="J16" s="3137" t="s">
        <v>1230</v>
      </c>
      <c r="K16" s="3171"/>
      <c r="L16" s="3154" t="s">
        <v>116</v>
      </c>
      <c r="M16" s="3137" t="s">
        <v>1233</v>
      </c>
      <c r="N16" s="3171"/>
      <c r="O16" s="3171"/>
      <c r="P16" s="3171"/>
      <c r="Q16" s="3171"/>
      <c r="R16" s="3171"/>
      <c r="S16" s="3171"/>
      <c r="T16" s="3171"/>
      <c r="U16" s="3171"/>
      <c r="V16" s="3171"/>
      <c r="W16" s="3171"/>
      <c r="X16" s="3297"/>
      <c r="Y16" s="3293"/>
      <c r="Z16" s="1201"/>
      <c r="AA16" s="1201"/>
      <c r="AB16" s="1202"/>
      <c r="AC16" s="3293"/>
      <c r="AD16" s="1201"/>
      <c r="AE16" s="1201"/>
      <c r="AF16" s="1202"/>
      <c r="AI16" s="3120" t="str">
        <f>"11:field220:" &amp; IF(I16="■",1,IF(L16="■",2,0))</f>
        <v>11:field220:0</v>
      </c>
    </row>
    <row r="17" spans="1:35" s="3120" customFormat="1" ht="18.75" hidden="1" customHeight="1" x14ac:dyDescent="0.2">
      <c r="A17" s="834"/>
      <c r="B17" s="3148"/>
      <c r="C17" s="3147"/>
      <c r="D17" s="3146"/>
      <c r="E17" s="3145"/>
      <c r="F17" s="3144"/>
      <c r="G17" s="3175"/>
      <c r="H17" s="3170" t="s">
        <v>2117</v>
      </c>
      <c r="I17" s="3169" t="s">
        <v>116</v>
      </c>
      <c r="J17" s="3168" t="s">
        <v>1230</v>
      </c>
      <c r="K17" s="3168"/>
      <c r="L17" s="3169" t="s">
        <v>116</v>
      </c>
      <c r="M17" s="3168" t="s">
        <v>1233</v>
      </c>
      <c r="N17" s="3168"/>
      <c r="O17" s="1200"/>
      <c r="P17" s="1200"/>
      <c r="Q17" s="1200"/>
      <c r="R17" s="1200"/>
      <c r="S17" s="3302"/>
      <c r="T17" s="1200"/>
      <c r="U17" s="1200"/>
      <c r="V17" s="3302"/>
      <c r="W17" s="1200"/>
      <c r="X17" s="3175"/>
      <c r="Y17" s="3293"/>
      <c r="Z17" s="1201"/>
      <c r="AA17" s="1201"/>
      <c r="AB17" s="1202"/>
      <c r="AC17" s="3293"/>
      <c r="AD17" s="1201"/>
      <c r="AE17" s="1201"/>
      <c r="AF17" s="1202"/>
      <c r="AI17" s="3120" t="str">
        <f>"11:field179:" &amp; IF(I17="■",1,IF(L17="■",2,0))</f>
        <v>11:field179:0</v>
      </c>
    </row>
    <row r="18" spans="1:35" s="3120" customFormat="1" ht="18.75" hidden="1" customHeight="1" x14ac:dyDescent="0.2">
      <c r="A18" s="834"/>
      <c r="B18" s="3148"/>
      <c r="C18" s="3147"/>
      <c r="D18" s="3146"/>
      <c r="E18" s="3145"/>
      <c r="F18" s="3144"/>
      <c r="G18" s="3175"/>
      <c r="H18" s="3165"/>
      <c r="I18" s="3164"/>
      <c r="J18" s="3163"/>
      <c r="K18" s="3163"/>
      <c r="L18" s="3164"/>
      <c r="M18" s="3163"/>
      <c r="N18" s="3163"/>
      <c r="O18" s="3139"/>
      <c r="P18" s="3139"/>
      <c r="Q18" s="3139"/>
      <c r="R18" s="3139"/>
      <c r="S18" s="3139"/>
      <c r="T18" s="3139"/>
      <c r="U18" s="3139"/>
      <c r="V18" s="3139"/>
      <c r="W18" s="3139"/>
      <c r="X18" s="3195"/>
      <c r="Y18" s="3293"/>
      <c r="Z18" s="1201"/>
      <c r="AA18" s="1201"/>
      <c r="AB18" s="1202"/>
      <c r="AC18" s="3293"/>
      <c r="AD18" s="1201"/>
      <c r="AE18" s="1201"/>
      <c r="AF18" s="1202"/>
    </row>
    <row r="19" spans="1:35" s="3120" customFormat="1" ht="18.75" hidden="1" customHeight="1" x14ac:dyDescent="0.2">
      <c r="A19" s="834"/>
      <c r="B19" s="3148"/>
      <c r="C19" s="3147"/>
      <c r="D19" s="3197"/>
      <c r="E19" s="3145"/>
      <c r="F19" s="3144"/>
      <c r="G19" s="3175"/>
      <c r="H19" s="3170" t="s">
        <v>2116</v>
      </c>
      <c r="I19" s="3211" t="s">
        <v>116</v>
      </c>
      <c r="J19" s="3210" t="s">
        <v>1230</v>
      </c>
      <c r="K19" s="3210"/>
      <c r="L19" s="3211" t="s">
        <v>116</v>
      </c>
      <c r="M19" s="3210" t="s">
        <v>1233</v>
      </c>
      <c r="N19" s="3210"/>
      <c r="O19" s="3302"/>
      <c r="P19" s="3302"/>
      <c r="Q19" s="3302"/>
      <c r="R19" s="3302"/>
      <c r="S19" s="3302"/>
      <c r="T19" s="3302"/>
      <c r="U19" s="3302"/>
      <c r="V19" s="3302"/>
      <c r="W19" s="3302"/>
      <c r="X19" s="3335"/>
      <c r="Y19" s="3293"/>
      <c r="Z19" s="1201"/>
      <c r="AA19" s="1201"/>
      <c r="AB19" s="1202"/>
      <c r="AC19" s="3293"/>
      <c r="AD19" s="1201"/>
      <c r="AE19" s="1201"/>
      <c r="AF19" s="1202"/>
      <c r="AI19" s="3120" t="str">
        <f>"11:field180:" &amp; IF(I19="■",1,IF(L19="■",2,0))</f>
        <v>11:field180:0</v>
      </c>
    </row>
    <row r="20" spans="1:35" s="3120" customFormat="1" ht="18.75" hidden="1" customHeight="1" x14ac:dyDescent="0.2">
      <c r="A20" s="834"/>
      <c r="B20" s="3148"/>
      <c r="C20" s="3147"/>
      <c r="D20" s="3197"/>
      <c r="E20" s="3145"/>
      <c r="F20" s="3144"/>
      <c r="G20" s="3175"/>
      <c r="H20" s="3165"/>
      <c r="I20" s="3164"/>
      <c r="J20" s="3163"/>
      <c r="K20" s="3163"/>
      <c r="L20" s="3164"/>
      <c r="M20" s="3163"/>
      <c r="N20" s="3163"/>
      <c r="O20" s="3139"/>
      <c r="P20" s="3139"/>
      <c r="Q20" s="3139"/>
      <c r="R20" s="3139"/>
      <c r="S20" s="3139"/>
      <c r="T20" s="3139"/>
      <c r="U20" s="3139"/>
      <c r="V20" s="3139"/>
      <c r="W20" s="3139"/>
      <c r="X20" s="3195"/>
      <c r="Y20" s="3293"/>
      <c r="Z20" s="1201"/>
      <c r="AA20" s="1201"/>
      <c r="AB20" s="1202"/>
      <c r="AC20" s="3293"/>
      <c r="AD20" s="1201"/>
      <c r="AE20" s="1201"/>
      <c r="AF20" s="1202"/>
    </row>
    <row r="21" spans="1:35" s="3120" customFormat="1" ht="18.75" hidden="1" customHeight="1" x14ac:dyDescent="0.2">
      <c r="A21" s="1199"/>
      <c r="B21" s="3148"/>
      <c r="C21" s="3147"/>
      <c r="D21" s="3258" t="s">
        <v>116</v>
      </c>
      <c r="E21" s="3145" t="s">
        <v>2114</v>
      </c>
      <c r="F21" s="3144"/>
      <c r="G21" s="3175"/>
      <c r="H21" s="3170" t="s">
        <v>2115</v>
      </c>
      <c r="I21" s="3248" t="s">
        <v>116</v>
      </c>
      <c r="J21" s="3210" t="s">
        <v>1234</v>
      </c>
      <c r="K21" s="3210"/>
      <c r="L21" s="3210"/>
      <c r="M21" s="3211" t="s">
        <v>116</v>
      </c>
      <c r="N21" s="3210" t="s">
        <v>1235</v>
      </c>
      <c r="O21" s="3210"/>
      <c r="P21" s="3210"/>
      <c r="Q21" s="3247"/>
      <c r="R21" s="3247"/>
      <c r="S21" s="3247"/>
      <c r="T21" s="3247"/>
      <c r="U21" s="3247"/>
      <c r="V21" s="3247"/>
      <c r="W21" s="3247"/>
      <c r="X21" s="3247"/>
      <c r="Y21" s="3293"/>
      <c r="Z21" s="1201"/>
      <c r="AA21" s="1201"/>
      <c r="AB21" s="1202"/>
      <c r="AC21" s="3293"/>
      <c r="AD21" s="1201"/>
      <c r="AE21" s="1201"/>
      <c r="AF21" s="1202"/>
      <c r="AI21" s="3120" t="str">
        <f>"11:field233:" &amp; IF(I21="■",1,IF(M21="■",2,0))</f>
        <v>11:field233:0</v>
      </c>
    </row>
    <row r="22" spans="1:35" s="3120" customFormat="1" ht="19.5" hidden="1" customHeight="1" x14ac:dyDescent="0.2">
      <c r="A22" s="3158" t="s">
        <v>116</v>
      </c>
      <c r="B22" s="3148">
        <v>11</v>
      </c>
      <c r="C22" s="3147" t="s">
        <v>2</v>
      </c>
      <c r="D22" s="3258" t="s">
        <v>116</v>
      </c>
      <c r="E22" s="3145" t="s">
        <v>2113</v>
      </c>
      <c r="F22" s="3144"/>
      <c r="G22" s="3175"/>
      <c r="H22" s="3165"/>
      <c r="I22" s="3200"/>
      <c r="J22" s="3163"/>
      <c r="K22" s="3163"/>
      <c r="L22" s="3163"/>
      <c r="M22" s="3164"/>
      <c r="N22" s="3163"/>
      <c r="O22" s="3163"/>
      <c r="P22" s="3163"/>
      <c r="Q22" s="3245"/>
      <c r="R22" s="3245"/>
      <c r="S22" s="3245"/>
      <c r="T22" s="3245"/>
      <c r="U22" s="3245"/>
      <c r="V22" s="3245"/>
      <c r="W22" s="3245"/>
      <c r="X22" s="3245"/>
      <c r="Y22" s="3293"/>
      <c r="Z22" s="1201"/>
      <c r="AA22" s="1201"/>
      <c r="AB22" s="1202"/>
      <c r="AC22" s="3293"/>
      <c r="AD22" s="1201"/>
      <c r="AE22" s="1201"/>
      <c r="AF22" s="1202"/>
    </row>
    <row r="23" spans="1:35" s="3120" customFormat="1" ht="19.5" hidden="1" customHeight="1" x14ac:dyDescent="0.2">
      <c r="A23" s="834"/>
      <c r="B23" s="3148"/>
      <c r="C23" s="3147"/>
      <c r="D23" s="3258" t="s">
        <v>116</v>
      </c>
      <c r="E23" s="3145" t="s">
        <v>2311</v>
      </c>
      <c r="F23" s="3144"/>
      <c r="G23" s="3175"/>
      <c r="H23" s="3170" t="s">
        <v>2112</v>
      </c>
      <c r="I23" s="3248" t="s">
        <v>116</v>
      </c>
      <c r="J23" s="3210" t="s">
        <v>1234</v>
      </c>
      <c r="K23" s="3210"/>
      <c r="L23" s="3210"/>
      <c r="M23" s="3211" t="s">
        <v>116</v>
      </c>
      <c r="N23" s="3210" t="s">
        <v>1235</v>
      </c>
      <c r="O23" s="3210"/>
      <c r="P23" s="3210"/>
      <c r="Q23" s="3247"/>
      <c r="R23" s="3247"/>
      <c r="S23" s="3247"/>
      <c r="T23" s="3247"/>
      <c r="U23" s="3247"/>
      <c r="V23" s="3247"/>
      <c r="W23" s="3247"/>
      <c r="X23" s="3247"/>
      <c r="Y23" s="3293"/>
      <c r="Z23" s="1201"/>
      <c r="AA23" s="1201"/>
      <c r="AB23" s="1202"/>
      <c r="AC23" s="3293"/>
      <c r="AD23" s="1201"/>
      <c r="AE23" s="1201"/>
      <c r="AF23" s="1202"/>
      <c r="AI23" s="3120" t="str">
        <f>"11:field234:" &amp; IF(I23="■",1,IF(M23="■",2,0))</f>
        <v>11:field234:0</v>
      </c>
    </row>
    <row r="24" spans="1:35" s="3120" customFormat="1" ht="19.5" hidden="1" customHeight="1" x14ac:dyDescent="0.2">
      <c r="A24" s="834"/>
      <c r="B24" s="3148"/>
      <c r="C24" s="3147"/>
      <c r="D24" s="836"/>
      <c r="E24" s="3145"/>
      <c r="F24" s="3144"/>
      <c r="G24" s="3175"/>
      <c r="H24" s="3165"/>
      <c r="I24" s="3200"/>
      <c r="J24" s="3163"/>
      <c r="K24" s="3163"/>
      <c r="L24" s="3163"/>
      <c r="M24" s="3164"/>
      <c r="N24" s="3163"/>
      <c r="O24" s="3163"/>
      <c r="P24" s="3163"/>
      <c r="Q24" s="3245"/>
      <c r="R24" s="3245"/>
      <c r="S24" s="3245"/>
      <c r="T24" s="3245"/>
      <c r="U24" s="3245"/>
      <c r="V24" s="3245"/>
      <c r="W24" s="3245"/>
      <c r="X24" s="3245"/>
      <c r="Y24" s="3293"/>
      <c r="Z24" s="1201"/>
      <c r="AA24" s="1201"/>
      <c r="AB24" s="1202"/>
      <c r="AC24" s="3293"/>
      <c r="AD24" s="1201"/>
      <c r="AE24" s="1201"/>
      <c r="AF24" s="1202"/>
    </row>
    <row r="25" spans="1:35" s="3120" customFormat="1" ht="19.5" hidden="1" customHeight="1" x14ac:dyDescent="0.2">
      <c r="A25" s="834"/>
      <c r="B25" s="3148"/>
      <c r="C25" s="3147"/>
      <c r="D25" s="836"/>
      <c r="E25" s="3145"/>
      <c r="F25" s="3144"/>
      <c r="G25" s="3175"/>
      <c r="H25" s="3170" t="s">
        <v>2110</v>
      </c>
      <c r="I25" s="3248" t="s">
        <v>116</v>
      </c>
      <c r="J25" s="3210" t="s">
        <v>1234</v>
      </c>
      <c r="K25" s="3210"/>
      <c r="L25" s="3210"/>
      <c r="M25" s="3211" t="s">
        <v>116</v>
      </c>
      <c r="N25" s="3210" t="s">
        <v>1235</v>
      </c>
      <c r="O25" s="3210"/>
      <c r="P25" s="3210"/>
      <c r="Q25" s="3247"/>
      <c r="R25" s="3247"/>
      <c r="S25" s="3247"/>
      <c r="T25" s="3247"/>
      <c r="U25" s="3247"/>
      <c r="V25" s="3247"/>
      <c r="W25" s="3247"/>
      <c r="X25" s="3247"/>
      <c r="Y25" s="3293"/>
      <c r="Z25" s="1201"/>
      <c r="AA25" s="1201"/>
      <c r="AB25" s="1202"/>
      <c r="AC25" s="3293"/>
      <c r="AD25" s="1201"/>
      <c r="AE25" s="1201"/>
      <c r="AF25" s="1202"/>
      <c r="AI25" s="3120" t="str">
        <f>"11:field235:" &amp; IF(I25="■",1,IF(M25="■",2,0))</f>
        <v>11:field235:0</v>
      </c>
    </row>
    <row r="26" spans="1:35" s="3120" customFormat="1" ht="19.5" hidden="1" customHeight="1" x14ac:dyDescent="0.2">
      <c r="A26" s="834"/>
      <c r="B26" s="3148"/>
      <c r="C26" s="3147"/>
      <c r="D26" s="836"/>
      <c r="E26" s="3145"/>
      <c r="F26" s="3144"/>
      <c r="G26" s="3175"/>
      <c r="H26" s="3165"/>
      <c r="I26" s="3200"/>
      <c r="J26" s="3163"/>
      <c r="K26" s="3163"/>
      <c r="L26" s="3163"/>
      <c r="M26" s="3164"/>
      <c r="N26" s="3163"/>
      <c r="O26" s="3163"/>
      <c r="P26" s="3163"/>
      <c r="Q26" s="3245"/>
      <c r="R26" s="3245"/>
      <c r="S26" s="3245"/>
      <c r="T26" s="3245"/>
      <c r="U26" s="3245"/>
      <c r="V26" s="3245"/>
      <c r="W26" s="3245"/>
      <c r="X26" s="3245"/>
      <c r="Y26" s="3293"/>
      <c r="Z26" s="1201"/>
      <c r="AA26" s="1201"/>
      <c r="AB26" s="1202"/>
      <c r="AC26" s="3293"/>
      <c r="AD26" s="1201"/>
      <c r="AE26" s="1201"/>
      <c r="AF26" s="1202"/>
    </row>
    <row r="27" spans="1:35" s="3120" customFormat="1" ht="19.5" hidden="1" customHeight="1" x14ac:dyDescent="0.2">
      <c r="A27" s="834"/>
      <c r="B27" s="3148"/>
      <c r="C27" s="3175"/>
      <c r="D27" s="836"/>
      <c r="E27" s="3145"/>
      <c r="F27" s="3144"/>
      <c r="G27" s="3175"/>
      <c r="H27" s="3142" t="s">
        <v>2310</v>
      </c>
      <c r="I27" s="3258" t="s">
        <v>116</v>
      </c>
      <c r="J27" s="3137" t="s">
        <v>1230</v>
      </c>
      <c r="K27" s="3171"/>
      <c r="L27" s="3258" t="s">
        <v>116</v>
      </c>
      <c r="M27" s="3137" t="s">
        <v>1233</v>
      </c>
      <c r="N27" s="3137"/>
      <c r="O27" s="3137"/>
      <c r="P27" s="3137"/>
      <c r="Q27" s="3137"/>
      <c r="R27" s="3137"/>
      <c r="S27" s="3137"/>
      <c r="T27" s="3137"/>
      <c r="U27" s="3137"/>
      <c r="V27" s="3137"/>
      <c r="W27" s="3137"/>
      <c r="X27" s="3136"/>
      <c r="Y27" s="3293"/>
      <c r="Z27" s="1201"/>
      <c r="AA27" s="1201"/>
      <c r="AB27" s="1202"/>
      <c r="AC27" s="3293"/>
      <c r="AD27" s="1201"/>
      <c r="AE27" s="1201"/>
      <c r="AF27" s="1202"/>
      <c r="AI27" s="3120" t="str">
        <f>"11:tokutiiki_code:" &amp; IF(I27="■",1,IF(L27="■",2,0))</f>
        <v>11:tokutiiki_code:0</v>
      </c>
    </row>
    <row r="28" spans="1:35" s="3120" customFormat="1" ht="19.5" hidden="1" customHeight="1" x14ac:dyDescent="0.2">
      <c r="A28" s="834"/>
      <c r="B28" s="3336"/>
      <c r="C28" s="3336"/>
      <c r="D28" s="836"/>
      <c r="E28" s="836"/>
      <c r="F28" s="3144"/>
      <c r="G28" s="3175"/>
      <c r="H28" s="3170" t="s">
        <v>2306</v>
      </c>
      <c r="I28" s="3211" t="s">
        <v>116</v>
      </c>
      <c r="J28" s="3210" t="s">
        <v>1234</v>
      </c>
      <c r="K28" s="3210"/>
      <c r="L28" s="3210"/>
      <c r="M28" s="3211" t="s">
        <v>116</v>
      </c>
      <c r="N28" s="3210" t="s">
        <v>1235</v>
      </c>
      <c r="O28" s="3210"/>
      <c r="P28" s="3210"/>
      <c r="Q28" s="3302"/>
      <c r="R28" s="3302"/>
      <c r="S28" s="3302"/>
      <c r="T28" s="3302"/>
      <c r="U28" s="3302"/>
      <c r="V28" s="3302"/>
      <c r="W28" s="3302"/>
      <c r="X28" s="3335"/>
      <c r="Y28" s="3293"/>
      <c r="Z28" s="1201"/>
      <c r="AA28" s="1201"/>
      <c r="AB28" s="1202"/>
      <c r="AC28" s="3293"/>
      <c r="AD28" s="1201"/>
      <c r="AE28" s="1201"/>
      <c r="AF28" s="1202"/>
      <c r="AI28" s="3120" t="str">
        <f>"11:chuusankanti_tiiki_code:" &amp; IF(I28="■",1,IF(M28="■",2,0))</f>
        <v>11:chuusankanti_tiiki_code:0</v>
      </c>
    </row>
    <row r="29" spans="1:35" s="3120" customFormat="1" ht="18.75" hidden="1" customHeight="1" x14ac:dyDescent="0.2">
      <c r="A29" s="1199"/>
      <c r="B29" s="3336"/>
      <c r="C29" s="3336"/>
      <c r="D29" s="836"/>
      <c r="E29" s="836"/>
      <c r="F29" s="3144"/>
      <c r="G29" s="3175"/>
      <c r="H29" s="3165"/>
      <c r="I29" s="3164"/>
      <c r="J29" s="3163"/>
      <c r="K29" s="3163"/>
      <c r="L29" s="3163"/>
      <c r="M29" s="3164"/>
      <c r="N29" s="3163"/>
      <c r="O29" s="3163"/>
      <c r="P29" s="3163"/>
      <c r="Q29" s="3138"/>
      <c r="R29" s="3138"/>
      <c r="S29" s="3138"/>
      <c r="T29" s="3138"/>
      <c r="U29" s="3138"/>
      <c r="V29" s="3138"/>
      <c r="W29" s="3138"/>
      <c r="X29" s="3212"/>
      <c r="Y29" s="3293"/>
      <c r="Z29" s="1201"/>
      <c r="AA29" s="1201"/>
      <c r="AB29" s="1202"/>
      <c r="AC29" s="3293"/>
      <c r="AD29" s="1201"/>
      <c r="AE29" s="1201"/>
      <c r="AF29" s="1202"/>
    </row>
    <row r="30" spans="1:35" s="3120" customFormat="1" ht="18.75" hidden="1" customHeight="1" x14ac:dyDescent="0.2">
      <c r="A30" s="834"/>
      <c r="B30" s="3336"/>
      <c r="C30" s="3336"/>
      <c r="D30" s="836"/>
      <c r="E30" s="836"/>
      <c r="F30" s="3144"/>
      <c r="G30" s="3175"/>
      <c r="H30" s="3170" t="s">
        <v>2305</v>
      </c>
      <c r="I30" s="3211" t="s">
        <v>116</v>
      </c>
      <c r="J30" s="3210" t="s">
        <v>1234</v>
      </c>
      <c r="K30" s="3210"/>
      <c r="L30" s="3210"/>
      <c r="M30" s="3211" t="s">
        <v>116</v>
      </c>
      <c r="N30" s="3210" t="s">
        <v>1235</v>
      </c>
      <c r="O30" s="3210"/>
      <c r="P30" s="3210"/>
      <c r="Q30" s="3317"/>
      <c r="R30" s="3317"/>
      <c r="S30" s="3317"/>
      <c r="T30" s="3317"/>
      <c r="U30" s="3317"/>
      <c r="V30" s="3317"/>
      <c r="W30" s="3317"/>
      <c r="X30" s="3429"/>
      <c r="Y30" s="3293"/>
      <c r="Z30" s="1201"/>
      <c r="AA30" s="1201"/>
      <c r="AB30" s="1202"/>
      <c r="AC30" s="3293"/>
      <c r="AD30" s="1201"/>
      <c r="AE30" s="1201"/>
      <c r="AF30" s="1202"/>
      <c r="AI30" s="3120" t="str">
        <f>"11:chuusankanti_kibo_code:" &amp; IF(I30="■",1,IF(M30="■",2,0))</f>
        <v>11:chuusankanti_kibo_code:0</v>
      </c>
    </row>
    <row r="31" spans="1:35" s="3120" customFormat="1" ht="18.75" hidden="1" customHeight="1" x14ac:dyDescent="0.2">
      <c r="A31" s="834"/>
      <c r="B31" s="3148"/>
      <c r="C31" s="3147"/>
      <c r="D31" s="3146"/>
      <c r="E31" s="3145"/>
      <c r="F31" s="3144"/>
      <c r="G31" s="3175"/>
      <c r="H31" s="3165"/>
      <c r="I31" s="3164"/>
      <c r="J31" s="3163"/>
      <c r="K31" s="3163"/>
      <c r="L31" s="3163"/>
      <c r="M31" s="3164"/>
      <c r="N31" s="3163"/>
      <c r="O31" s="3163"/>
      <c r="P31" s="3163"/>
      <c r="Q31" s="3138"/>
      <c r="R31" s="3138"/>
      <c r="S31" s="3138"/>
      <c r="T31" s="3138"/>
      <c r="U31" s="3138"/>
      <c r="V31" s="3138"/>
      <c r="W31" s="3138"/>
      <c r="X31" s="3212"/>
      <c r="Y31" s="3293"/>
      <c r="Z31" s="1201"/>
      <c r="AA31" s="1201"/>
      <c r="AB31" s="1202"/>
      <c r="AC31" s="3293"/>
      <c r="AD31" s="1201"/>
      <c r="AE31" s="1201"/>
      <c r="AF31" s="1202"/>
    </row>
    <row r="32" spans="1:35" s="3120" customFormat="1" ht="19.5" hidden="1" customHeight="1" x14ac:dyDescent="0.2">
      <c r="A32" s="834"/>
      <c r="B32" s="3148"/>
      <c r="C32" s="3147"/>
      <c r="D32" s="3146"/>
      <c r="E32" s="3145"/>
      <c r="F32" s="3144"/>
      <c r="G32" s="3175"/>
      <c r="H32" s="3174" t="s">
        <v>1236</v>
      </c>
      <c r="I32" s="3155" t="s">
        <v>116</v>
      </c>
      <c r="J32" s="3137" t="s">
        <v>1230</v>
      </c>
      <c r="K32" s="3137"/>
      <c r="L32" s="3154" t="s">
        <v>116</v>
      </c>
      <c r="M32" s="3137" t="s">
        <v>1233</v>
      </c>
      <c r="N32" s="3137"/>
      <c r="O32" s="3150"/>
      <c r="P32" s="3137"/>
      <c r="Q32" s="3150"/>
      <c r="R32" s="3150"/>
      <c r="S32" s="3150"/>
      <c r="T32" s="3150"/>
      <c r="U32" s="3150"/>
      <c r="V32" s="3150"/>
      <c r="W32" s="3150"/>
      <c r="X32" s="3149"/>
      <c r="Y32" s="1201"/>
      <c r="Z32" s="1201"/>
      <c r="AA32" s="1201"/>
      <c r="AB32" s="1202"/>
      <c r="AC32" s="3293"/>
      <c r="AD32" s="1201"/>
      <c r="AE32" s="1201"/>
      <c r="AF32" s="1202"/>
      <c r="AI32" s="3120" t="str">
        <f>"11:field224:" &amp; IF(I32="■",1,IF(L32="■",2,0))</f>
        <v>11:field224:0</v>
      </c>
    </row>
    <row r="33" spans="1:37" s="3120" customFormat="1" ht="19.5" hidden="1" customHeight="1" x14ac:dyDescent="0.2">
      <c r="A33" s="834"/>
      <c r="B33" s="3148"/>
      <c r="C33" s="3147"/>
      <c r="D33" s="3146"/>
      <c r="E33" s="3145"/>
      <c r="F33" s="3144"/>
      <c r="G33" s="3175"/>
      <c r="H33" s="3174" t="s">
        <v>1237</v>
      </c>
      <c r="I33" s="3155" t="s">
        <v>116</v>
      </c>
      <c r="J33" s="3137" t="s">
        <v>1230</v>
      </c>
      <c r="K33" s="3137"/>
      <c r="L33" s="3154" t="s">
        <v>116</v>
      </c>
      <c r="M33" s="3137" t="s">
        <v>1231</v>
      </c>
      <c r="N33" s="3137"/>
      <c r="O33" s="3154" t="s">
        <v>116</v>
      </c>
      <c r="P33" s="3137" t="s">
        <v>1232</v>
      </c>
      <c r="Q33" s="3150"/>
      <c r="R33" s="3150"/>
      <c r="S33" s="3150"/>
      <c r="T33" s="3150"/>
      <c r="U33" s="3150"/>
      <c r="V33" s="3150"/>
      <c r="W33" s="3150"/>
      <c r="X33" s="3149"/>
      <c r="Y33" s="1201"/>
      <c r="Z33" s="1201"/>
      <c r="AA33" s="1201"/>
      <c r="AB33" s="1202"/>
      <c r="AC33" s="3293"/>
      <c r="AD33" s="1201"/>
      <c r="AE33" s="1201"/>
      <c r="AF33" s="1202"/>
      <c r="AI33" s="3120" t="str">
        <f>"11:ninti_senmoncare_code:" &amp; IF(I33="■",1,IF(O33="■",3,IF(L33="■",2,0)))</f>
        <v>11:ninti_senmoncare_code:0</v>
      </c>
    </row>
    <row r="34" spans="1:37" s="3120" customFormat="1" ht="18.75" hidden="1" customHeight="1" x14ac:dyDescent="0.2">
      <c r="A34" s="835"/>
      <c r="B34" s="3135"/>
      <c r="C34" s="3134"/>
      <c r="D34" s="3133"/>
      <c r="E34" s="3132"/>
      <c r="F34" s="3131"/>
      <c r="G34" s="3189"/>
      <c r="H34" s="3289" t="s">
        <v>2129</v>
      </c>
      <c r="I34" s="3128" t="s">
        <v>116</v>
      </c>
      <c r="J34" s="3285" t="s">
        <v>1230</v>
      </c>
      <c r="K34" s="3285"/>
      <c r="L34" s="3127" t="s">
        <v>116</v>
      </c>
      <c r="M34" s="3285" t="s">
        <v>2128</v>
      </c>
      <c r="N34" s="3288"/>
      <c r="O34" s="3127" t="s">
        <v>116</v>
      </c>
      <c r="P34" s="3287" t="s">
        <v>2127</v>
      </c>
      <c r="Q34" s="3286"/>
      <c r="R34" s="3127" t="s">
        <v>116</v>
      </c>
      <c r="S34" s="3285" t="s">
        <v>2126</v>
      </c>
      <c r="T34" s="3286"/>
      <c r="U34" s="3127" t="s">
        <v>116</v>
      </c>
      <c r="V34" s="3285" t="s">
        <v>2125</v>
      </c>
      <c r="W34" s="3284"/>
      <c r="X34" s="3283"/>
      <c r="Y34" s="3282"/>
      <c r="Z34" s="3282"/>
      <c r="AA34" s="3282"/>
      <c r="AB34" s="3281"/>
      <c r="AC34" s="3340"/>
      <c r="AD34" s="3282"/>
      <c r="AE34" s="3282"/>
      <c r="AF34" s="3281"/>
      <c r="AI34" s="3120" t="str">
        <f>"11:shoguukaizen_code:"&amp;IF(I34="■",1,IF(L34="■",7,IF(O34="■",8,IF(R34="■",9,IF(U34="■","A",0)))))</f>
        <v>11:shoguukaizen_code:0</v>
      </c>
    </row>
    <row r="35" spans="1:37" s="3120" customFormat="1" ht="19.5" hidden="1" customHeight="1" x14ac:dyDescent="0.2">
      <c r="A35" s="3188"/>
      <c r="B35" s="3187"/>
      <c r="C35" s="3229"/>
      <c r="D35" s="3228"/>
      <c r="E35" s="3185"/>
      <c r="F35" s="3184"/>
      <c r="G35" s="3183"/>
      <c r="H35" s="3227" t="s">
        <v>1227</v>
      </c>
      <c r="I35" s="3181" t="s">
        <v>116</v>
      </c>
      <c r="J35" s="3180" t="s">
        <v>1228</v>
      </c>
      <c r="K35" s="3226"/>
      <c r="L35" s="3225"/>
      <c r="M35" s="3179" t="s">
        <v>116</v>
      </c>
      <c r="N35" s="3180" t="s">
        <v>1229</v>
      </c>
      <c r="O35" s="3177"/>
      <c r="P35" s="3180"/>
      <c r="Q35" s="3177"/>
      <c r="R35" s="3177"/>
      <c r="S35" s="3177"/>
      <c r="T35" s="3177"/>
      <c r="U35" s="3177"/>
      <c r="V35" s="3177"/>
      <c r="W35" s="3177"/>
      <c r="X35" s="3176"/>
      <c r="Y35" s="3253" t="s">
        <v>116</v>
      </c>
      <c r="Z35" s="3252" t="s">
        <v>1225</v>
      </c>
      <c r="AA35" s="3252"/>
      <c r="AB35" s="3308"/>
      <c r="AC35" s="3253" t="s">
        <v>116</v>
      </c>
      <c r="AD35" s="3252" t="s">
        <v>1225</v>
      </c>
      <c r="AE35" s="3252"/>
      <c r="AF35" s="3308"/>
      <c r="AG35" s="3120" t="str">
        <f>"ser_code = '" &amp; IF(A40="■",12,"") &amp; "'"</f>
        <v>ser_code = ''</v>
      </c>
      <c r="AI35" s="3120" t="str">
        <f>"12:field223:" &amp; IF(I35="■",1,IF(M35="■",2,0))</f>
        <v>12:field223:0</v>
      </c>
      <c r="AJ35" s="3120" t="str">
        <f>"12:field203:" &amp; IF(Y35="■",1,IF(Y36="■",2,0))</f>
        <v>12:field203:0</v>
      </c>
      <c r="AK35" s="3120" t="str">
        <f>"12:waribiki_code:" &amp; IF(AC35="■",1,IF(AC36="■",2,0))</f>
        <v>12:waribiki_code:0</v>
      </c>
    </row>
    <row r="36" spans="1:37" s="3120" customFormat="1" ht="19.5" hidden="1" customHeight="1" x14ac:dyDescent="0.2">
      <c r="A36" s="834"/>
      <c r="B36" s="3148"/>
      <c r="C36" s="3147"/>
      <c r="D36" s="3146"/>
      <c r="E36" s="3145"/>
      <c r="F36" s="3144"/>
      <c r="G36" s="3175"/>
      <c r="H36" s="3223" t="s">
        <v>1253</v>
      </c>
      <c r="I36" s="3222" t="s">
        <v>116</v>
      </c>
      <c r="J36" s="3217" t="s">
        <v>1228</v>
      </c>
      <c r="K36" s="3221"/>
      <c r="L36" s="3220"/>
      <c r="M36" s="3219" t="s">
        <v>116</v>
      </c>
      <c r="N36" s="3217" t="s">
        <v>1229</v>
      </c>
      <c r="O36" s="3437"/>
      <c r="P36" s="3436"/>
      <c r="Q36" s="3435"/>
      <c r="R36" s="3435"/>
      <c r="S36" s="3435"/>
      <c r="T36" s="3435"/>
      <c r="U36" s="3435"/>
      <c r="V36" s="3435"/>
      <c r="W36" s="3435"/>
      <c r="X36" s="3434"/>
      <c r="Y36" s="3258" t="s">
        <v>116</v>
      </c>
      <c r="Z36" s="1200" t="s">
        <v>1226</v>
      </c>
      <c r="AA36" s="1201"/>
      <c r="AB36" s="1202"/>
      <c r="AC36" s="3158" t="s">
        <v>116</v>
      </c>
      <c r="AD36" s="1200" t="s">
        <v>1226</v>
      </c>
      <c r="AE36" s="584"/>
      <c r="AF36" s="585"/>
      <c r="AI36" s="3120" t="str">
        <f>"12:field232:" &amp; IF(I36="■",1,IF(M36="■",2,0))</f>
        <v>12:field232:0</v>
      </c>
    </row>
    <row r="37" spans="1:37" s="3120" customFormat="1" ht="19.5" hidden="1" customHeight="1" x14ac:dyDescent="0.2">
      <c r="A37" s="834"/>
      <c r="B37" s="3148"/>
      <c r="C37" s="3147"/>
      <c r="D37" s="3146"/>
      <c r="E37" s="3145"/>
      <c r="F37" s="3144"/>
      <c r="G37" s="3175"/>
      <c r="H37" s="3412" t="s">
        <v>2307</v>
      </c>
      <c r="I37" s="3141" t="s">
        <v>116</v>
      </c>
      <c r="J37" s="3139" t="s">
        <v>1230</v>
      </c>
      <c r="K37" s="3138"/>
      <c r="L37" s="3140" t="s">
        <v>116</v>
      </c>
      <c r="M37" s="3139" t="s">
        <v>1233</v>
      </c>
      <c r="N37" s="3139"/>
      <c r="O37" s="3139"/>
      <c r="P37" s="3139"/>
      <c r="Q37" s="3139"/>
      <c r="R37" s="3139"/>
      <c r="S37" s="3139"/>
      <c r="T37" s="3139"/>
      <c r="U37" s="3139"/>
      <c r="V37" s="3139"/>
      <c r="W37" s="3139"/>
      <c r="X37" s="3195"/>
      <c r="Y37" s="836"/>
      <c r="Z37" s="1200"/>
      <c r="AA37" s="1201"/>
      <c r="AB37" s="1202"/>
      <c r="AC37" s="3146"/>
      <c r="AD37" s="1200"/>
      <c r="AE37" s="1201"/>
      <c r="AF37" s="1202"/>
      <c r="AI37" s="3120" t="str">
        <f>"12:tokutiiki_code:" &amp; IF(I37="■",1,IF(L37="■",2,0))</f>
        <v>12:tokutiiki_code:0</v>
      </c>
    </row>
    <row r="38" spans="1:37" s="3120" customFormat="1" ht="18.75" hidden="1" customHeight="1" x14ac:dyDescent="0.2">
      <c r="A38" s="834"/>
      <c r="B38" s="3148"/>
      <c r="C38" s="3147"/>
      <c r="D38" s="3146"/>
      <c r="E38" s="3145"/>
      <c r="F38" s="3144"/>
      <c r="G38" s="3175"/>
      <c r="H38" s="3170" t="s">
        <v>2306</v>
      </c>
      <c r="I38" s="3211" t="s">
        <v>116</v>
      </c>
      <c r="J38" s="3210" t="s">
        <v>1234</v>
      </c>
      <c r="K38" s="3210"/>
      <c r="L38" s="3210"/>
      <c r="M38" s="3211" t="s">
        <v>116</v>
      </c>
      <c r="N38" s="3210" t="s">
        <v>1235</v>
      </c>
      <c r="O38" s="3210"/>
      <c r="P38" s="3210"/>
      <c r="Q38" s="3317"/>
      <c r="R38" s="3317"/>
      <c r="S38" s="3317"/>
      <c r="T38" s="3317"/>
      <c r="U38" s="3317"/>
      <c r="V38" s="3317"/>
      <c r="W38" s="3317"/>
      <c r="X38" s="3429"/>
      <c r="Y38" s="836"/>
      <c r="Z38" s="836"/>
      <c r="AA38" s="836"/>
      <c r="AB38" s="1202"/>
      <c r="AC38" s="3146"/>
      <c r="AD38" s="836"/>
      <c r="AE38" s="836"/>
      <c r="AF38" s="1202"/>
      <c r="AI38" s="3120" t="str">
        <f>"12:chuusankanti_tiiki_code:" &amp; IF(I38="■",1,IF(M38="■",2,0))</f>
        <v>12:chuusankanti_tiiki_code:0</v>
      </c>
    </row>
    <row r="39" spans="1:37" s="3120" customFormat="1" ht="18.75" hidden="1" customHeight="1" x14ac:dyDescent="0.2">
      <c r="A39" s="834"/>
      <c r="B39" s="3148"/>
      <c r="C39" s="3147"/>
      <c r="D39" s="3146"/>
      <c r="E39" s="3145"/>
      <c r="F39" s="3144"/>
      <c r="G39" s="3175"/>
      <c r="H39" s="3165"/>
      <c r="I39" s="3164"/>
      <c r="J39" s="3163"/>
      <c r="K39" s="3163"/>
      <c r="L39" s="3163"/>
      <c r="M39" s="3164"/>
      <c r="N39" s="3163"/>
      <c r="O39" s="3163"/>
      <c r="P39" s="3163"/>
      <c r="Q39" s="3207"/>
      <c r="R39" s="3207"/>
      <c r="S39" s="3207"/>
      <c r="T39" s="3207"/>
      <c r="U39" s="3207"/>
      <c r="V39" s="3207"/>
      <c r="W39" s="3207"/>
      <c r="X39" s="3206"/>
      <c r="Y39" s="3293"/>
      <c r="Z39" s="1201"/>
      <c r="AA39" s="1201"/>
      <c r="AB39" s="1202"/>
      <c r="AC39" s="3293"/>
      <c r="AD39" s="1201"/>
      <c r="AE39" s="1201"/>
      <c r="AF39" s="1202"/>
    </row>
    <row r="40" spans="1:37" s="3120" customFormat="1" ht="18.75" hidden="1" customHeight="1" x14ac:dyDescent="0.2">
      <c r="A40" s="3158" t="s">
        <v>116</v>
      </c>
      <c r="B40" s="3148">
        <v>12</v>
      </c>
      <c r="C40" s="3147" t="s">
        <v>582</v>
      </c>
      <c r="D40" s="3146"/>
      <c r="E40" s="3145"/>
      <c r="F40" s="3144"/>
      <c r="G40" s="3175"/>
      <c r="H40" s="3170" t="s">
        <v>2305</v>
      </c>
      <c r="I40" s="3211" t="s">
        <v>116</v>
      </c>
      <c r="J40" s="3210" t="s">
        <v>1234</v>
      </c>
      <c r="K40" s="3210"/>
      <c r="L40" s="3210"/>
      <c r="M40" s="3211" t="s">
        <v>116</v>
      </c>
      <c r="N40" s="3210" t="s">
        <v>1235</v>
      </c>
      <c r="O40" s="3210"/>
      <c r="P40" s="3210"/>
      <c r="Q40" s="3317"/>
      <c r="R40" s="3317"/>
      <c r="S40" s="3317"/>
      <c r="T40" s="3317"/>
      <c r="U40" s="3317"/>
      <c r="V40" s="3317"/>
      <c r="W40" s="3317"/>
      <c r="X40" s="3429"/>
      <c r="Y40" s="3293"/>
      <c r="Z40" s="1201"/>
      <c r="AA40" s="1201"/>
      <c r="AB40" s="1202"/>
      <c r="AC40" s="3293"/>
      <c r="AD40" s="1201"/>
      <c r="AE40" s="1201"/>
      <c r="AF40" s="1202"/>
      <c r="AI40" s="3120" t="str">
        <f>"12:chuusankanti_kibo_code:" &amp; IF(I40="■",1,IF(M40="■",2,0))</f>
        <v>12:chuusankanti_kibo_code:0</v>
      </c>
    </row>
    <row r="41" spans="1:37" s="3120" customFormat="1" ht="18.75" hidden="1" customHeight="1" x14ac:dyDescent="0.2">
      <c r="A41" s="834"/>
      <c r="B41" s="3148"/>
      <c r="C41" s="3147"/>
      <c r="D41" s="3146"/>
      <c r="E41" s="3145"/>
      <c r="F41" s="3144"/>
      <c r="G41" s="3175"/>
      <c r="H41" s="3165"/>
      <c r="I41" s="3169"/>
      <c r="J41" s="3168"/>
      <c r="K41" s="3168"/>
      <c r="L41" s="3168"/>
      <c r="M41" s="3169"/>
      <c r="N41" s="3163"/>
      <c r="O41" s="3163"/>
      <c r="P41" s="3163"/>
      <c r="Q41" s="3207"/>
      <c r="R41" s="3207"/>
      <c r="S41" s="3207"/>
      <c r="T41" s="3207"/>
      <c r="U41" s="3207"/>
      <c r="V41" s="3207"/>
      <c r="W41" s="3207"/>
      <c r="X41" s="3206"/>
      <c r="Y41" s="3293"/>
      <c r="Z41" s="1201"/>
      <c r="AA41" s="1201"/>
      <c r="AB41" s="1202"/>
      <c r="AC41" s="3293"/>
      <c r="AD41" s="1201"/>
      <c r="AE41" s="1201"/>
      <c r="AF41" s="1202"/>
    </row>
    <row r="42" spans="1:37" s="3120" customFormat="1" ht="19.5" hidden="1" customHeight="1" x14ac:dyDescent="0.2">
      <c r="A42" s="834"/>
      <c r="B42" s="3148"/>
      <c r="C42" s="3147"/>
      <c r="D42" s="3146"/>
      <c r="E42" s="3145"/>
      <c r="F42" s="3144"/>
      <c r="G42" s="3175"/>
      <c r="H42" s="3243" t="s">
        <v>1237</v>
      </c>
      <c r="I42" s="3154" t="s">
        <v>116</v>
      </c>
      <c r="J42" s="3137" t="s">
        <v>1230</v>
      </c>
      <c r="K42" s="3137"/>
      <c r="L42" s="3154" t="s">
        <v>116</v>
      </c>
      <c r="M42" s="3137" t="s">
        <v>1231</v>
      </c>
      <c r="N42" s="3137"/>
      <c r="O42" s="3154" t="s">
        <v>116</v>
      </c>
      <c r="P42" s="3137" t="s">
        <v>1232</v>
      </c>
      <c r="Q42" s="3150"/>
      <c r="R42" s="3171"/>
      <c r="S42" s="3171"/>
      <c r="T42" s="3171"/>
      <c r="U42" s="3171"/>
      <c r="V42" s="3171"/>
      <c r="W42" s="3171"/>
      <c r="X42" s="3297"/>
      <c r="Y42" s="3293"/>
      <c r="Z42" s="1201"/>
      <c r="AA42" s="1201"/>
      <c r="AB42" s="1202"/>
      <c r="AC42" s="3293"/>
      <c r="AD42" s="1201"/>
      <c r="AE42" s="1201"/>
      <c r="AF42" s="1202"/>
      <c r="AI42" s="3120" t="str">
        <f>"12:ninti_senmoncare_code:" &amp; IF(I42="■",1,IF(O42="■",3,IF(L42="■",2,0)))</f>
        <v>12:ninti_senmoncare_code:0</v>
      </c>
    </row>
    <row r="43" spans="1:37" s="3120" customFormat="1" ht="18.75" hidden="1" customHeight="1" x14ac:dyDescent="0.2">
      <c r="A43" s="1199"/>
      <c r="B43" s="3148"/>
      <c r="C43" s="3147"/>
      <c r="D43" s="3146"/>
      <c r="E43" s="3145"/>
      <c r="F43" s="3144"/>
      <c r="G43" s="3175"/>
      <c r="H43" s="3412" t="s">
        <v>2275</v>
      </c>
      <c r="I43" s="3155" t="s">
        <v>116</v>
      </c>
      <c r="J43" s="3137" t="s">
        <v>1230</v>
      </c>
      <c r="K43" s="3171"/>
      <c r="L43" s="3154" t="s">
        <v>116</v>
      </c>
      <c r="M43" s="3137" t="s">
        <v>1233</v>
      </c>
      <c r="N43" s="3162"/>
      <c r="O43" s="3162"/>
      <c r="P43" s="3162"/>
      <c r="Q43" s="3207"/>
      <c r="R43" s="3207"/>
      <c r="S43" s="3207"/>
      <c r="T43" s="3207"/>
      <c r="U43" s="3207"/>
      <c r="V43" s="3207"/>
      <c r="W43" s="3207"/>
      <c r="X43" s="3206"/>
      <c r="Y43" s="3293"/>
      <c r="Z43" s="1201"/>
      <c r="AA43" s="1201"/>
      <c r="AB43" s="1202"/>
      <c r="AC43" s="3293"/>
      <c r="AD43" s="1201"/>
      <c r="AE43" s="1201"/>
      <c r="AF43" s="1202"/>
      <c r="AI43" s="3120" t="str">
        <f>"12:field171:" &amp; IF(I43="■",1,IF(L43="■",2,0))</f>
        <v>12:field171:0</v>
      </c>
    </row>
    <row r="44" spans="1:37" s="3120" customFormat="1" ht="19.5" hidden="1" customHeight="1" x14ac:dyDescent="0.2">
      <c r="A44" s="834"/>
      <c r="B44" s="3148"/>
      <c r="C44" s="3147"/>
      <c r="D44" s="3146"/>
      <c r="E44" s="3145"/>
      <c r="F44" s="3144"/>
      <c r="G44" s="3175"/>
      <c r="H44" s="3142" t="s">
        <v>1238</v>
      </c>
      <c r="I44" s="3155" t="s">
        <v>116</v>
      </c>
      <c r="J44" s="3139" t="s">
        <v>1230</v>
      </c>
      <c r="K44" s="3139"/>
      <c r="L44" s="3154" t="s">
        <v>116</v>
      </c>
      <c r="M44" s="3137" t="s">
        <v>2309</v>
      </c>
      <c r="N44" s="3137"/>
      <c r="O44" s="3154" t="s">
        <v>116</v>
      </c>
      <c r="P44" s="3137" t="s">
        <v>1232</v>
      </c>
      <c r="Q44" s="3137"/>
      <c r="R44" s="3154" t="s">
        <v>116</v>
      </c>
      <c r="S44" s="3139" t="s">
        <v>2308</v>
      </c>
      <c r="T44" s="3139"/>
      <c r="U44" s="3137"/>
      <c r="V44" s="3137"/>
      <c r="W44" s="3137"/>
      <c r="X44" s="3136"/>
      <c r="Y44" s="3293"/>
      <c r="Z44" s="1201"/>
      <c r="AA44" s="1201"/>
      <c r="AB44" s="1202"/>
      <c r="AC44" s="3293"/>
      <c r="AD44" s="1201"/>
      <c r="AE44" s="1201"/>
      <c r="AF44" s="1202"/>
      <c r="AI44" s="3120" t="str">
        <f>"12:serteikyo_kyoka_code:" &amp; IF(I44="■",1,IF(L44="■",4,IF(O44="■",3,IF(R44="■",5,0))))</f>
        <v>12:serteikyo_kyoka_code:0</v>
      </c>
    </row>
    <row r="45" spans="1:37" s="3120" customFormat="1" ht="18.75" hidden="1" customHeight="1" x14ac:dyDescent="0.2">
      <c r="A45" s="835"/>
      <c r="B45" s="3135"/>
      <c r="C45" s="3134"/>
      <c r="D45" s="3133"/>
      <c r="E45" s="3132"/>
      <c r="F45" s="3131"/>
      <c r="G45" s="3189"/>
      <c r="H45" s="3289" t="s">
        <v>2129</v>
      </c>
      <c r="I45" s="3128" t="s">
        <v>116</v>
      </c>
      <c r="J45" s="3285" t="s">
        <v>1230</v>
      </c>
      <c r="K45" s="3285"/>
      <c r="L45" s="3127" t="s">
        <v>116</v>
      </c>
      <c r="M45" s="3285" t="s">
        <v>2128</v>
      </c>
      <c r="N45" s="3288"/>
      <c r="O45" s="3127" t="s">
        <v>116</v>
      </c>
      <c r="P45" s="3287" t="s">
        <v>2127</v>
      </c>
      <c r="Q45" s="3286"/>
      <c r="R45" s="3127" t="s">
        <v>116</v>
      </c>
      <c r="S45" s="3285" t="s">
        <v>2126</v>
      </c>
      <c r="T45" s="3286"/>
      <c r="U45" s="3127" t="s">
        <v>116</v>
      </c>
      <c r="V45" s="3285" t="s">
        <v>2125</v>
      </c>
      <c r="W45" s="3284"/>
      <c r="X45" s="3283"/>
      <c r="Y45" s="3282"/>
      <c r="Z45" s="3282"/>
      <c r="AA45" s="3282"/>
      <c r="AB45" s="3281"/>
      <c r="AC45" s="3340"/>
      <c r="AD45" s="3282"/>
      <c r="AE45" s="3282"/>
      <c r="AF45" s="3281"/>
      <c r="AI45" s="3120" t="str">
        <f>"12:shoguukaizen_code:"&amp;IF(I45="■",1,IF(L45="■",7,IF(O45="■",8,IF(R45="■",9,IF(U45="■","A",0)))))</f>
        <v>12:shoguukaizen_code:0</v>
      </c>
    </row>
    <row r="46" spans="1:37" s="3120" customFormat="1" ht="19.5" hidden="1" customHeight="1" x14ac:dyDescent="0.2">
      <c r="A46" s="3188"/>
      <c r="B46" s="3187"/>
      <c r="C46" s="3229"/>
      <c r="D46" s="3228"/>
      <c r="E46" s="3185"/>
      <c r="F46" s="3184"/>
      <c r="G46" s="3183"/>
      <c r="H46" s="3227" t="s">
        <v>1227</v>
      </c>
      <c r="I46" s="3181" t="s">
        <v>116</v>
      </c>
      <c r="J46" s="3180" t="s">
        <v>1228</v>
      </c>
      <c r="K46" s="3226"/>
      <c r="L46" s="3225"/>
      <c r="M46" s="3179" t="s">
        <v>116</v>
      </c>
      <c r="N46" s="3180" t="s">
        <v>1229</v>
      </c>
      <c r="O46" s="3438"/>
      <c r="P46" s="3180"/>
      <c r="Q46" s="3177"/>
      <c r="R46" s="3177"/>
      <c r="S46" s="3177"/>
      <c r="T46" s="3177"/>
      <c r="U46" s="3177"/>
      <c r="V46" s="3177"/>
      <c r="W46" s="3177"/>
      <c r="X46" s="3176"/>
      <c r="Y46" s="3253" t="s">
        <v>116</v>
      </c>
      <c r="Z46" s="3252" t="s">
        <v>1225</v>
      </c>
      <c r="AA46" s="3252"/>
      <c r="AB46" s="3308"/>
      <c r="AC46" s="3307"/>
      <c r="AD46" s="3306"/>
      <c r="AE46" s="3306"/>
      <c r="AF46" s="3305"/>
      <c r="AG46" s="3120" t="str">
        <f>"ser_code = '" &amp; IF(A54="■",13,"") &amp; "'"</f>
        <v>ser_code = ''</v>
      </c>
      <c r="AI46" s="3120" t="str">
        <f>"13:field223:" &amp; IF(I46="■",1,IF(M46="■",2,0))</f>
        <v>13:field223:0</v>
      </c>
      <c r="AJ46" s="3120" t="str">
        <f>"13:field203:" &amp; IF(Y46="■",1,IF(Y47="■",2,0))</f>
        <v>13:field203:0</v>
      </c>
    </row>
    <row r="47" spans="1:37" s="3120" customFormat="1" ht="19.5" hidden="1" customHeight="1" x14ac:dyDescent="0.2">
      <c r="A47" s="834"/>
      <c r="B47" s="3148"/>
      <c r="C47" s="3147"/>
      <c r="D47" s="3146"/>
      <c r="E47" s="3145"/>
      <c r="F47" s="3144"/>
      <c r="G47" s="3175"/>
      <c r="H47" s="3223" t="s">
        <v>1253</v>
      </c>
      <c r="I47" s="3222" t="s">
        <v>116</v>
      </c>
      <c r="J47" s="3217" t="s">
        <v>1228</v>
      </c>
      <c r="K47" s="3221"/>
      <c r="L47" s="3220"/>
      <c r="M47" s="3219" t="s">
        <v>116</v>
      </c>
      <c r="N47" s="3217" t="s">
        <v>1229</v>
      </c>
      <c r="O47" s="3437"/>
      <c r="P47" s="3436"/>
      <c r="Q47" s="3435"/>
      <c r="R47" s="3435"/>
      <c r="S47" s="3435"/>
      <c r="T47" s="3435"/>
      <c r="U47" s="3435"/>
      <c r="V47" s="3435"/>
      <c r="W47" s="3435"/>
      <c r="X47" s="3434"/>
      <c r="Y47" s="3258" t="s">
        <v>116</v>
      </c>
      <c r="Z47" s="1200" t="s">
        <v>1226</v>
      </c>
      <c r="AA47" s="1201"/>
      <c r="AB47" s="1202"/>
      <c r="AC47" s="3292"/>
      <c r="AD47" s="3291"/>
      <c r="AE47" s="3291"/>
      <c r="AF47" s="3290"/>
      <c r="AI47" s="3120" t="str">
        <f>"13:field232:" &amp; IF(I47="■",1,IF(M47="■",2,0))</f>
        <v>13:field232:0</v>
      </c>
    </row>
    <row r="48" spans="1:37" s="3120" customFormat="1" ht="18.75" hidden="1" customHeight="1" x14ac:dyDescent="0.2">
      <c r="A48" s="834"/>
      <c r="B48" s="3148"/>
      <c r="C48" s="3147"/>
      <c r="D48" s="3146"/>
      <c r="E48" s="3145"/>
      <c r="F48" s="3144"/>
      <c r="G48" s="3175"/>
      <c r="H48" s="3412" t="s">
        <v>2307</v>
      </c>
      <c r="I48" s="3141" t="s">
        <v>116</v>
      </c>
      <c r="J48" s="3139" t="s">
        <v>1230</v>
      </c>
      <c r="K48" s="3138"/>
      <c r="L48" s="3140" t="s">
        <v>116</v>
      </c>
      <c r="M48" s="3139" t="s">
        <v>1233</v>
      </c>
      <c r="N48" s="3139"/>
      <c r="O48" s="3139"/>
      <c r="P48" s="3139"/>
      <c r="Q48" s="3207"/>
      <c r="R48" s="3207"/>
      <c r="S48" s="3207"/>
      <c r="T48" s="3207"/>
      <c r="U48" s="3207"/>
      <c r="V48" s="3207"/>
      <c r="W48" s="3207"/>
      <c r="X48" s="3206"/>
      <c r="Y48" s="836"/>
      <c r="Z48" s="1200"/>
      <c r="AA48" s="1201"/>
      <c r="AB48" s="1202"/>
      <c r="AC48" s="3292"/>
      <c r="AD48" s="3291"/>
      <c r="AE48" s="3291"/>
      <c r="AF48" s="3290"/>
      <c r="AG48" s="3120" t="str">
        <f>"13:sisetukbn_code:" &amp; IF(D53="■",1,IF(D54="■",2,IF(D55="■",3,0)))</f>
        <v>13:sisetukbn_code:0</v>
      </c>
      <c r="AI48" s="3120" t="str">
        <f>"13:tokutiiki_code:" &amp; IF(I48="■",1,IF(L48="■",2,0))</f>
        <v>13:tokutiiki_code:0</v>
      </c>
    </row>
    <row r="49" spans="1:36" s="3120" customFormat="1" ht="18.75" hidden="1" customHeight="1" x14ac:dyDescent="0.2">
      <c r="A49" s="834"/>
      <c r="B49" s="3148"/>
      <c r="C49" s="3147"/>
      <c r="D49" s="3146"/>
      <c r="E49" s="3145"/>
      <c r="F49" s="3144"/>
      <c r="G49" s="3175"/>
      <c r="H49" s="3170" t="s">
        <v>2306</v>
      </c>
      <c r="I49" s="3211" t="s">
        <v>116</v>
      </c>
      <c r="J49" s="3210" t="s">
        <v>1234</v>
      </c>
      <c r="K49" s="3210"/>
      <c r="L49" s="3210"/>
      <c r="M49" s="3211" t="s">
        <v>116</v>
      </c>
      <c r="N49" s="3210" t="s">
        <v>1235</v>
      </c>
      <c r="O49" s="3210"/>
      <c r="P49" s="3210"/>
      <c r="Q49" s="3317"/>
      <c r="R49" s="3317"/>
      <c r="S49" s="3317"/>
      <c r="T49" s="3317"/>
      <c r="U49" s="3317"/>
      <c r="V49" s="3317"/>
      <c r="W49" s="3317"/>
      <c r="X49" s="3429"/>
      <c r="Y49" s="836"/>
      <c r="Z49" s="836"/>
      <c r="AA49" s="836"/>
      <c r="AB49" s="1202"/>
      <c r="AC49" s="3292"/>
      <c r="AD49" s="3291"/>
      <c r="AE49" s="3291"/>
      <c r="AF49" s="3290"/>
      <c r="AI49" s="3120" t="str">
        <f>"13:chuusankanti_tiiki_code:" &amp; IF(I49="■",1,IF(M49="■",2,0))</f>
        <v>13:chuusankanti_tiiki_code:0</v>
      </c>
    </row>
    <row r="50" spans="1:36" s="3120" customFormat="1" ht="18.75" hidden="1" customHeight="1" x14ac:dyDescent="0.2">
      <c r="A50" s="834"/>
      <c r="B50" s="3148"/>
      <c r="C50" s="3147"/>
      <c r="D50" s="3146"/>
      <c r="E50" s="3145"/>
      <c r="F50" s="3144"/>
      <c r="G50" s="3175"/>
      <c r="H50" s="3165"/>
      <c r="I50" s="3164"/>
      <c r="J50" s="3163"/>
      <c r="K50" s="3163"/>
      <c r="L50" s="3163"/>
      <c r="M50" s="3164"/>
      <c r="N50" s="3163"/>
      <c r="O50" s="3163"/>
      <c r="P50" s="3163"/>
      <c r="Q50" s="3207"/>
      <c r="R50" s="3207"/>
      <c r="S50" s="3207"/>
      <c r="T50" s="3207"/>
      <c r="U50" s="3207"/>
      <c r="V50" s="3207"/>
      <c r="W50" s="3207"/>
      <c r="X50" s="3206"/>
      <c r="Y50" s="3293"/>
      <c r="Z50" s="1201"/>
      <c r="AA50" s="1201"/>
      <c r="AB50" s="1202"/>
      <c r="AC50" s="3292"/>
      <c r="AD50" s="3291"/>
      <c r="AE50" s="3291"/>
      <c r="AF50" s="3290"/>
    </row>
    <row r="51" spans="1:36" s="3120" customFormat="1" ht="18.75" hidden="1" customHeight="1" x14ac:dyDescent="0.2">
      <c r="A51" s="834"/>
      <c r="B51" s="3148"/>
      <c r="C51" s="3147"/>
      <c r="D51" s="3146"/>
      <c r="E51" s="3145"/>
      <c r="F51" s="3144"/>
      <c r="G51" s="3175"/>
      <c r="H51" s="3170" t="s">
        <v>2305</v>
      </c>
      <c r="I51" s="3211" t="s">
        <v>116</v>
      </c>
      <c r="J51" s="3210" t="s">
        <v>1234</v>
      </c>
      <c r="K51" s="3210"/>
      <c r="L51" s="3210"/>
      <c r="M51" s="3211" t="s">
        <v>116</v>
      </c>
      <c r="N51" s="3210" t="s">
        <v>1235</v>
      </c>
      <c r="O51" s="3210"/>
      <c r="P51" s="3210"/>
      <c r="Q51" s="3317"/>
      <c r="R51" s="3317"/>
      <c r="S51" s="3317"/>
      <c r="T51" s="3317"/>
      <c r="U51" s="3317"/>
      <c r="V51" s="3317"/>
      <c r="W51" s="3317"/>
      <c r="X51" s="3429"/>
      <c r="Y51" s="3293"/>
      <c r="Z51" s="1201"/>
      <c r="AA51" s="1201"/>
      <c r="AB51" s="1202"/>
      <c r="AC51" s="3292"/>
      <c r="AD51" s="3291"/>
      <c r="AE51" s="3291"/>
      <c r="AF51" s="3290"/>
      <c r="AI51" s="3120" t="str">
        <f>"13:chuusankanti_kibo_code:" &amp; IF(I51="■",1,IF(M51="■",2,0))</f>
        <v>13:chuusankanti_kibo_code:0</v>
      </c>
    </row>
    <row r="52" spans="1:36" s="3120" customFormat="1" ht="18.75" hidden="1" customHeight="1" x14ac:dyDescent="0.2">
      <c r="A52" s="834"/>
      <c r="B52" s="3148"/>
      <c r="C52" s="3147"/>
      <c r="D52" s="3146"/>
      <c r="E52" s="3145"/>
      <c r="F52" s="3144"/>
      <c r="G52" s="3175"/>
      <c r="H52" s="3165"/>
      <c r="I52" s="3164"/>
      <c r="J52" s="3163"/>
      <c r="K52" s="3163"/>
      <c r="L52" s="3163"/>
      <c r="M52" s="3164"/>
      <c r="N52" s="3163"/>
      <c r="O52" s="3163"/>
      <c r="P52" s="3163"/>
      <c r="Q52" s="3207"/>
      <c r="R52" s="3207"/>
      <c r="S52" s="3207"/>
      <c r="T52" s="3207"/>
      <c r="U52" s="3207"/>
      <c r="V52" s="3207"/>
      <c r="W52" s="3207"/>
      <c r="X52" s="3206"/>
      <c r="Y52" s="3293"/>
      <c r="Z52" s="1201"/>
      <c r="AA52" s="1201"/>
      <c r="AB52" s="1202"/>
      <c r="AC52" s="3292"/>
      <c r="AD52" s="3291"/>
      <c r="AE52" s="3291"/>
      <c r="AF52" s="3290"/>
    </row>
    <row r="53" spans="1:36" s="3120" customFormat="1" ht="18.75" hidden="1" customHeight="1" x14ac:dyDescent="0.2">
      <c r="A53" s="834"/>
      <c r="B53" s="3148"/>
      <c r="C53" s="3147"/>
      <c r="D53" s="3258" t="s">
        <v>116</v>
      </c>
      <c r="E53" s="3145" t="s">
        <v>2109</v>
      </c>
      <c r="F53" s="3144"/>
      <c r="G53" s="3175"/>
      <c r="H53" s="3142" t="s">
        <v>2304</v>
      </c>
      <c r="I53" s="3303" t="s">
        <v>116</v>
      </c>
      <c r="J53" s="3137" t="s">
        <v>1230</v>
      </c>
      <c r="K53" s="3171"/>
      <c r="L53" s="3154" t="s">
        <v>116</v>
      </c>
      <c r="M53" s="3137" t="s">
        <v>1239</v>
      </c>
      <c r="N53" s="3137"/>
      <c r="O53" s="3301" t="s">
        <v>116</v>
      </c>
      <c r="P53" s="3302" t="s">
        <v>2090</v>
      </c>
      <c r="Q53" s="3153"/>
      <c r="R53" s="3153"/>
      <c r="S53" s="3153"/>
      <c r="T53" s="3153"/>
      <c r="U53" s="3153"/>
      <c r="V53" s="3153"/>
      <c r="W53" s="3153"/>
      <c r="X53" s="3152"/>
      <c r="Y53" s="3293"/>
      <c r="Z53" s="1201"/>
      <c r="AA53" s="1201"/>
      <c r="AB53" s="1202"/>
      <c r="AC53" s="3292"/>
      <c r="AD53" s="3291"/>
      <c r="AE53" s="3291"/>
      <c r="AF53" s="3290"/>
      <c r="AI53" s="3120" t="str">
        <f>"13:kinkyu_code:"&amp;IF(I53="■",1,IF(O53="■",3,IF(L53="■",2,0)))</f>
        <v>13:kinkyu_code:0</v>
      </c>
    </row>
    <row r="54" spans="1:36" s="3120" customFormat="1" ht="18.75" hidden="1" customHeight="1" x14ac:dyDescent="0.2">
      <c r="A54" s="3158" t="s">
        <v>116</v>
      </c>
      <c r="B54" s="3148">
        <v>13</v>
      </c>
      <c r="C54" s="3147" t="s">
        <v>634</v>
      </c>
      <c r="D54" s="3258" t="s">
        <v>116</v>
      </c>
      <c r="E54" s="3145" t="s">
        <v>2108</v>
      </c>
      <c r="F54" s="3144"/>
      <c r="G54" s="3175"/>
      <c r="H54" s="3142" t="s">
        <v>2303</v>
      </c>
      <c r="I54" s="3303" t="s">
        <v>116</v>
      </c>
      <c r="J54" s="3137" t="s">
        <v>1240</v>
      </c>
      <c r="K54" s="3171"/>
      <c r="L54" s="3173"/>
      <c r="M54" s="3258" t="s">
        <v>116</v>
      </c>
      <c r="N54" s="3137" t="s">
        <v>1241</v>
      </c>
      <c r="O54" s="3150"/>
      <c r="P54" s="3150"/>
      <c r="Q54" s="3150"/>
      <c r="R54" s="3150"/>
      <c r="S54" s="3150"/>
      <c r="T54" s="3150"/>
      <c r="U54" s="3150"/>
      <c r="V54" s="3150"/>
      <c r="W54" s="3150"/>
      <c r="X54" s="3149"/>
      <c r="Y54" s="3293"/>
      <c r="Z54" s="1201"/>
      <c r="AA54" s="1201"/>
      <c r="AB54" s="1202"/>
      <c r="AC54" s="3292"/>
      <c r="AD54" s="3291"/>
      <c r="AE54" s="3291"/>
      <c r="AF54" s="3290"/>
      <c r="AI54" s="3120" t="str">
        <f>"13:tokukanri_code:" &amp; IF(I54="■",1,IF(M54="■",2,0))</f>
        <v>13:tokukanri_code:0</v>
      </c>
    </row>
    <row r="55" spans="1:36" s="3120" customFormat="1" ht="18.75" hidden="1" customHeight="1" x14ac:dyDescent="0.2">
      <c r="A55" s="834"/>
      <c r="B55" s="3148"/>
      <c r="C55" s="3147"/>
      <c r="D55" s="3258" t="s">
        <v>116</v>
      </c>
      <c r="E55" s="3145" t="s">
        <v>2301</v>
      </c>
      <c r="F55" s="3144"/>
      <c r="G55" s="3175"/>
      <c r="H55" s="3142" t="s">
        <v>2300</v>
      </c>
      <c r="I55" s="3303" t="s">
        <v>116</v>
      </c>
      <c r="J55" s="3137" t="s">
        <v>1230</v>
      </c>
      <c r="K55" s="3171"/>
      <c r="L55" s="3154" t="s">
        <v>116</v>
      </c>
      <c r="M55" s="3137" t="s">
        <v>1233</v>
      </c>
      <c r="N55" s="3137"/>
      <c r="O55" s="3153"/>
      <c r="P55" s="3153"/>
      <c r="Q55" s="3153"/>
      <c r="R55" s="3153"/>
      <c r="S55" s="3153"/>
      <c r="T55" s="3153"/>
      <c r="U55" s="3153"/>
      <c r="V55" s="3153"/>
      <c r="W55" s="3153"/>
      <c r="X55" s="3152"/>
      <c r="Y55" s="3293"/>
      <c r="Z55" s="1201"/>
      <c r="AA55" s="1201"/>
      <c r="AB55" s="1202"/>
      <c r="AC55" s="3292"/>
      <c r="AD55" s="3291"/>
      <c r="AE55" s="3291"/>
      <c r="AF55" s="3290"/>
      <c r="AI55" s="3120" t="str">
        <f>"13:field230:" &amp; IF(I55="■",1,IF(L55="■",2,0))</f>
        <v>13:field230:0</v>
      </c>
    </row>
    <row r="56" spans="1:36" s="3120" customFormat="1" ht="18.75" hidden="1" customHeight="1" x14ac:dyDescent="0.2">
      <c r="A56" s="834"/>
      <c r="B56" s="3148"/>
      <c r="C56" s="3147"/>
      <c r="D56" s="3146"/>
      <c r="E56" s="3145"/>
      <c r="F56" s="3144"/>
      <c r="G56" s="3175"/>
      <c r="H56" s="3142" t="s">
        <v>2299</v>
      </c>
      <c r="I56" s="3303" t="s">
        <v>116</v>
      </c>
      <c r="J56" s="3137" t="s">
        <v>1230</v>
      </c>
      <c r="K56" s="3171"/>
      <c r="L56" s="3154" t="s">
        <v>116</v>
      </c>
      <c r="M56" s="3137" t="s">
        <v>1233</v>
      </c>
      <c r="N56" s="3137"/>
      <c r="O56" s="3153"/>
      <c r="P56" s="3153"/>
      <c r="Q56" s="3153"/>
      <c r="R56" s="3153"/>
      <c r="S56" s="3153"/>
      <c r="T56" s="3153"/>
      <c r="U56" s="3153"/>
      <c r="V56" s="3153"/>
      <c r="W56" s="3153"/>
      <c r="X56" s="3152"/>
      <c r="Y56" s="3293"/>
      <c r="Z56" s="1201"/>
      <c r="AA56" s="1201"/>
      <c r="AB56" s="1202"/>
      <c r="AC56" s="3292"/>
      <c r="AD56" s="3291"/>
      <c r="AE56" s="3291"/>
      <c r="AF56" s="3290"/>
      <c r="AI56" s="3120" t="str">
        <f>"13:terminal_code:" &amp; IF(I56="■",1,IF(L56="■",2,0))</f>
        <v>13:terminal_code:0</v>
      </c>
    </row>
    <row r="57" spans="1:36" s="3120" customFormat="1" ht="18.75" hidden="1" customHeight="1" x14ac:dyDescent="0.2">
      <c r="A57" s="834"/>
      <c r="B57" s="3148"/>
      <c r="C57" s="3147"/>
      <c r="D57" s="3146"/>
      <c r="E57" s="3145"/>
      <c r="F57" s="3144"/>
      <c r="G57" s="3175"/>
      <c r="H57" s="3142" t="s">
        <v>2298</v>
      </c>
      <c r="I57" s="3303" t="s">
        <v>116</v>
      </c>
      <c r="J57" s="3137" t="s">
        <v>1230</v>
      </c>
      <c r="K57" s="3171"/>
      <c r="L57" s="3154" t="s">
        <v>116</v>
      </c>
      <c r="M57" s="3137" t="s">
        <v>1233</v>
      </c>
      <c r="N57" s="3137"/>
      <c r="O57" s="3153"/>
      <c r="P57" s="3153"/>
      <c r="Q57" s="3153"/>
      <c r="R57" s="3153"/>
      <c r="S57" s="3153"/>
      <c r="T57" s="3153"/>
      <c r="U57" s="3153"/>
      <c r="V57" s="3153"/>
      <c r="W57" s="3153"/>
      <c r="X57" s="3152"/>
      <c r="Y57" s="3293"/>
      <c r="Z57" s="1201"/>
      <c r="AA57" s="1201"/>
      <c r="AB57" s="1202"/>
      <c r="AC57" s="3292"/>
      <c r="AD57" s="3291"/>
      <c r="AE57" s="3291"/>
      <c r="AF57" s="3290"/>
      <c r="AI57" s="3120" t="str">
        <f>"13:field231:" &amp; IF(I57="■",1,IF(L57="■",2,0))</f>
        <v>13:field231:0</v>
      </c>
    </row>
    <row r="58" spans="1:36" s="3120" customFormat="1" ht="18.75" hidden="1" customHeight="1" x14ac:dyDescent="0.2">
      <c r="A58" s="834"/>
      <c r="B58" s="3148"/>
      <c r="C58" s="3147"/>
      <c r="D58" s="3146"/>
      <c r="E58" s="3145"/>
      <c r="F58" s="3144"/>
      <c r="G58" s="3175"/>
      <c r="H58" s="3142" t="s">
        <v>2297</v>
      </c>
      <c r="I58" s="3303" t="s">
        <v>116</v>
      </c>
      <c r="J58" s="3137" t="s">
        <v>1230</v>
      </c>
      <c r="K58" s="3137"/>
      <c r="L58" s="3154" t="s">
        <v>116</v>
      </c>
      <c r="M58" s="3137" t="s">
        <v>1239</v>
      </c>
      <c r="N58" s="3137"/>
      <c r="O58" s="3258" t="s">
        <v>116</v>
      </c>
      <c r="P58" s="3137" t="s">
        <v>2090</v>
      </c>
      <c r="Q58" s="3153"/>
      <c r="R58" s="3153"/>
      <c r="S58" s="3153"/>
      <c r="T58" s="3153"/>
      <c r="U58" s="3153"/>
      <c r="V58" s="3153"/>
      <c r="W58" s="3153"/>
      <c r="X58" s="3152"/>
      <c r="Y58" s="3293"/>
      <c r="Z58" s="1201"/>
      <c r="AA58" s="1201"/>
      <c r="AB58" s="1202"/>
      <c r="AC58" s="3292"/>
      <c r="AD58" s="3291"/>
      <c r="AE58" s="3291"/>
      <c r="AF58" s="3290"/>
      <c r="AI58" s="3120" t="str">
        <f>"13:field169:" &amp; IF(I58="■",1,IF(L58="■",3,IF(O58="■",2,0)))</f>
        <v>13:field169:0</v>
      </c>
    </row>
    <row r="59" spans="1:36" s="3120" customFormat="1" ht="19.5" hidden="1" customHeight="1" x14ac:dyDescent="0.2">
      <c r="A59" s="834"/>
      <c r="B59" s="3148"/>
      <c r="C59" s="3147"/>
      <c r="D59" s="3146"/>
      <c r="E59" s="3145"/>
      <c r="F59" s="3144"/>
      <c r="G59" s="3175"/>
      <c r="H59" s="3174" t="s">
        <v>1236</v>
      </c>
      <c r="I59" s="3155" t="s">
        <v>116</v>
      </c>
      <c r="J59" s="3137" t="s">
        <v>1230</v>
      </c>
      <c r="K59" s="3137"/>
      <c r="L59" s="3154" t="s">
        <v>116</v>
      </c>
      <c r="M59" s="3137" t="s">
        <v>1233</v>
      </c>
      <c r="N59" s="3137"/>
      <c r="O59" s="3150"/>
      <c r="P59" s="3137"/>
      <c r="Q59" s="3150"/>
      <c r="R59" s="3150"/>
      <c r="S59" s="3150"/>
      <c r="T59" s="3150"/>
      <c r="U59" s="3150"/>
      <c r="V59" s="3150"/>
      <c r="W59" s="3150"/>
      <c r="X59" s="3149"/>
      <c r="Y59" s="1201"/>
      <c r="Z59" s="1201"/>
      <c r="AA59" s="1201"/>
      <c r="AB59" s="1202"/>
      <c r="AC59" s="3292"/>
      <c r="AD59" s="3291"/>
      <c r="AE59" s="3291"/>
      <c r="AF59" s="3290"/>
      <c r="AI59" s="3120" t="str">
        <f>"13:field224:" &amp; IF(I59="■",1,IF(L59="■",2,0))</f>
        <v>13:field224:0</v>
      </c>
    </row>
    <row r="60" spans="1:36" s="3120" customFormat="1" ht="18.75" hidden="1" customHeight="1" x14ac:dyDescent="0.2">
      <c r="A60" s="834"/>
      <c r="B60" s="3148"/>
      <c r="C60" s="3147"/>
      <c r="D60" s="3146"/>
      <c r="E60" s="3145"/>
      <c r="F60" s="3144"/>
      <c r="G60" s="3175"/>
      <c r="H60" s="3170" t="s">
        <v>1238</v>
      </c>
      <c r="I60" s="3303" t="s">
        <v>116</v>
      </c>
      <c r="J60" s="3302" t="s">
        <v>1230</v>
      </c>
      <c r="K60" s="3167"/>
      <c r="L60" s="836"/>
      <c r="M60" s="836"/>
      <c r="N60" s="3167"/>
      <c r="O60" s="3167"/>
      <c r="P60" s="3167"/>
      <c r="Q60" s="3301" t="s">
        <v>116</v>
      </c>
      <c r="R60" s="3302" t="s">
        <v>2295</v>
      </c>
      <c r="S60" s="3197"/>
      <c r="T60" s="1200"/>
      <c r="U60" s="3167"/>
      <c r="V60" s="3167"/>
      <c r="W60" s="3167"/>
      <c r="X60" s="3166"/>
      <c r="Y60" s="3293"/>
      <c r="Z60" s="1201"/>
      <c r="AA60" s="1201"/>
      <c r="AB60" s="1202"/>
      <c r="AC60" s="3292"/>
      <c r="AD60" s="3291"/>
      <c r="AE60" s="3291"/>
      <c r="AF60" s="3290"/>
      <c r="AI60" s="3120" t="str">
        <f>"13:serteikyo_kyoka_code:"&amp;IF(I60="■",1,IF(I61="■",2,IF(I62="■",3,IF(Q60="■",4,IF(Q61="■",5,0)))))</f>
        <v>13:serteikyo_kyoka_code:0</v>
      </c>
    </row>
    <row r="61" spans="1:36" s="3120" customFormat="1" ht="18.75" hidden="1" customHeight="1" x14ac:dyDescent="0.2">
      <c r="A61" s="834"/>
      <c r="B61" s="3148"/>
      <c r="C61" s="3147"/>
      <c r="D61" s="3146"/>
      <c r="E61" s="3145"/>
      <c r="F61" s="3144"/>
      <c r="G61" s="3175"/>
      <c r="H61" s="3203"/>
      <c r="I61" s="3158" t="s">
        <v>116</v>
      </c>
      <c r="J61" s="1200" t="s">
        <v>2294</v>
      </c>
      <c r="K61" s="836"/>
      <c r="L61" s="836"/>
      <c r="M61" s="1200"/>
      <c r="N61" s="836"/>
      <c r="O61" s="836"/>
      <c r="P61" s="836"/>
      <c r="Q61" s="3258" t="s">
        <v>116</v>
      </c>
      <c r="R61" s="836" t="s">
        <v>2293</v>
      </c>
      <c r="S61" s="3197"/>
      <c r="T61" s="1200"/>
      <c r="U61" s="836"/>
      <c r="V61" s="836"/>
      <c r="W61" s="836"/>
      <c r="X61" s="3336"/>
      <c r="Y61" s="3293"/>
      <c r="Z61" s="1201"/>
      <c r="AA61" s="1201"/>
      <c r="AB61" s="1202"/>
      <c r="AC61" s="3292"/>
      <c r="AD61" s="3291"/>
      <c r="AE61" s="3291"/>
      <c r="AF61" s="3290"/>
    </row>
    <row r="62" spans="1:36" s="3120" customFormat="1" ht="18.75" hidden="1" customHeight="1" x14ac:dyDescent="0.2">
      <c r="A62" s="835"/>
      <c r="B62" s="3135"/>
      <c r="C62" s="3134"/>
      <c r="D62" s="3133"/>
      <c r="E62" s="3132"/>
      <c r="F62" s="3131"/>
      <c r="G62" s="3189"/>
      <c r="H62" s="3362"/>
      <c r="I62" s="3192" t="s">
        <v>116</v>
      </c>
      <c r="J62" s="3439" t="s">
        <v>2292</v>
      </c>
      <c r="K62" s="3240"/>
      <c r="L62" s="3240"/>
      <c r="M62" s="3240"/>
      <c r="N62" s="3240"/>
      <c r="O62" s="3439"/>
      <c r="P62" s="3439"/>
      <c r="Q62" s="3240"/>
      <c r="R62" s="3240"/>
      <c r="S62" s="3240"/>
      <c r="T62" s="3240"/>
      <c r="U62" s="3240"/>
      <c r="V62" s="3240"/>
      <c r="W62" s="3240"/>
      <c r="X62" s="3239"/>
      <c r="Y62" s="3340"/>
      <c r="Z62" s="3282"/>
      <c r="AA62" s="3282"/>
      <c r="AB62" s="3281"/>
      <c r="AC62" s="3280"/>
      <c r="AD62" s="3279"/>
      <c r="AE62" s="3279"/>
      <c r="AF62" s="3278"/>
    </row>
    <row r="63" spans="1:36" s="3120" customFormat="1" ht="19.5" customHeight="1" x14ac:dyDescent="0.2">
      <c r="A63" s="3188"/>
      <c r="B63" s="3187"/>
      <c r="C63" s="3229"/>
      <c r="D63" s="3228"/>
      <c r="E63" s="3185"/>
      <c r="F63" s="3184"/>
      <c r="G63" s="3183"/>
      <c r="H63" s="3227" t="s">
        <v>1227</v>
      </c>
      <c r="I63" s="3181" t="s">
        <v>116</v>
      </c>
      <c r="J63" s="3180" t="s">
        <v>1228</v>
      </c>
      <c r="K63" s="3226"/>
      <c r="L63" s="3225"/>
      <c r="M63" s="3179" t="s">
        <v>116</v>
      </c>
      <c r="N63" s="3180" t="s">
        <v>1229</v>
      </c>
      <c r="O63" s="3438"/>
      <c r="P63" s="3180"/>
      <c r="Q63" s="3177"/>
      <c r="R63" s="3177"/>
      <c r="S63" s="3177"/>
      <c r="T63" s="3177"/>
      <c r="U63" s="3177"/>
      <c r="V63" s="3177"/>
      <c r="W63" s="3177"/>
      <c r="X63" s="3176"/>
      <c r="Y63" s="3310" t="s">
        <v>116</v>
      </c>
      <c r="Z63" s="3252" t="s">
        <v>1225</v>
      </c>
      <c r="AA63" s="3252"/>
      <c r="AB63" s="3308"/>
      <c r="AC63" s="3307"/>
      <c r="AD63" s="3306"/>
      <c r="AE63" s="3306"/>
      <c r="AF63" s="3305"/>
      <c r="AG63" s="3120" t="str">
        <f>"ser_code = '" &amp; IF(A69="■",14,"") &amp; "'"</f>
        <v>ser_code = ''</v>
      </c>
      <c r="AI63" s="3120" t="str">
        <f>"14:field223:" &amp; IF(I63="■",1,IF(M63="■",2,0))</f>
        <v>14:field223:0</v>
      </c>
      <c r="AJ63" s="3120" t="str">
        <f>"14:field203:" &amp; IF(Y63="■",1,IF(Y64="■",2,0))</f>
        <v>14:field203:0</v>
      </c>
    </row>
    <row r="64" spans="1:36" s="3120" customFormat="1" ht="19.5" customHeight="1" x14ac:dyDescent="0.2">
      <c r="A64" s="834"/>
      <c r="B64" s="3148"/>
      <c r="C64" s="3147"/>
      <c r="D64" s="3146"/>
      <c r="E64" s="3145"/>
      <c r="F64" s="3144"/>
      <c r="G64" s="3175"/>
      <c r="H64" s="3223" t="s">
        <v>1253</v>
      </c>
      <c r="I64" s="3222" t="s">
        <v>116</v>
      </c>
      <c r="J64" s="3217" t="s">
        <v>1228</v>
      </c>
      <c r="K64" s="3221"/>
      <c r="L64" s="3220"/>
      <c r="M64" s="3219" t="s">
        <v>116</v>
      </c>
      <c r="N64" s="3217" t="s">
        <v>1229</v>
      </c>
      <c r="O64" s="3437"/>
      <c r="P64" s="3436"/>
      <c r="Q64" s="3435"/>
      <c r="R64" s="3435"/>
      <c r="S64" s="3435"/>
      <c r="T64" s="3435"/>
      <c r="U64" s="3435"/>
      <c r="V64" s="3435"/>
      <c r="W64" s="3435"/>
      <c r="X64" s="3434"/>
      <c r="Y64" s="3258" t="s">
        <v>116</v>
      </c>
      <c r="Z64" s="1200" t="s">
        <v>1226</v>
      </c>
      <c r="AA64" s="1201"/>
      <c r="AB64" s="1202"/>
      <c r="AC64" s="3292"/>
      <c r="AD64" s="3291"/>
      <c r="AE64" s="3291"/>
      <c r="AF64" s="3290"/>
      <c r="AG64" s="3120" t="str">
        <f>"14:sisetukbn_code:" &amp; IF(D68="■",1,IF(D69="■",2,IF(D70="■",3,0)))</f>
        <v>14:sisetukbn_code:0</v>
      </c>
      <c r="AI64" s="3120" t="str">
        <f>"14:field232:" &amp; IF(I64="■",1,IF(M64="■",2,0))</f>
        <v>14:field232:0</v>
      </c>
    </row>
    <row r="65" spans="1:36" s="3120" customFormat="1" ht="19.5" customHeight="1" x14ac:dyDescent="0.2">
      <c r="A65" s="834"/>
      <c r="B65" s="3148"/>
      <c r="C65" s="3147"/>
      <c r="D65" s="3146"/>
      <c r="E65" s="3145"/>
      <c r="F65" s="3144"/>
      <c r="G65" s="3175"/>
      <c r="H65" s="3412" t="s">
        <v>1242</v>
      </c>
      <c r="I65" s="3158" t="s">
        <v>116</v>
      </c>
      <c r="J65" s="3139" t="s">
        <v>1230</v>
      </c>
      <c r="K65" s="3138"/>
      <c r="L65" s="3258" t="s">
        <v>116</v>
      </c>
      <c r="M65" s="3139" t="s">
        <v>1233</v>
      </c>
      <c r="N65" s="3139"/>
      <c r="O65" s="3139"/>
      <c r="P65" s="3139"/>
      <c r="Q65" s="3207"/>
      <c r="R65" s="3207"/>
      <c r="S65" s="3207"/>
      <c r="T65" s="3207"/>
      <c r="U65" s="3207"/>
      <c r="V65" s="3207"/>
      <c r="W65" s="3207"/>
      <c r="X65" s="3206"/>
      <c r="Y65" s="836"/>
      <c r="Z65" s="1200"/>
      <c r="AA65" s="1201"/>
      <c r="AB65" s="1202"/>
      <c r="AC65" s="3292"/>
      <c r="AD65" s="3291"/>
      <c r="AE65" s="3291"/>
      <c r="AF65" s="3290"/>
      <c r="AI65" s="3120" t="str">
        <f>"14:tokutiiki_code:" &amp; IF(I65="■",1,IF(L65="■",2,0))</f>
        <v>14:tokutiiki_code:0</v>
      </c>
    </row>
    <row r="66" spans="1:36" s="3120" customFormat="1" ht="18.75" customHeight="1" x14ac:dyDescent="0.2">
      <c r="A66" s="834"/>
      <c r="B66" s="3148"/>
      <c r="C66" s="3147"/>
      <c r="D66" s="3146"/>
      <c r="E66" s="3145"/>
      <c r="F66" s="3144"/>
      <c r="G66" s="3175"/>
      <c r="H66" s="3170" t="s">
        <v>1243</v>
      </c>
      <c r="I66" s="3366" t="s">
        <v>116</v>
      </c>
      <c r="J66" s="3210" t="s">
        <v>1234</v>
      </c>
      <c r="K66" s="3210"/>
      <c r="L66" s="3210"/>
      <c r="M66" s="3211" t="s">
        <v>116</v>
      </c>
      <c r="N66" s="3210" t="s">
        <v>1235</v>
      </c>
      <c r="O66" s="3210"/>
      <c r="P66" s="3210"/>
      <c r="Q66" s="3317"/>
      <c r="R66" s="3317"/>
      <c r="S66" s="3317"/>
      <c r="T66" s="3317"/>
      <c r="U66" s="3317"/>
      <c r="V66" s="3317"/>
      <c r="W66" s="3317"/>
      <c r="X66" s="3429"/>
      <c r="Y66" s="836"/>
      <c r="Z66" s="836"/>
      <c r="AA66" s="836"/>
      <c r="AB66" s="1202"/>
      <c r="AC66" s="3292"/>
      <c r="AD66" s="3291"/>
      <c r="AE66" s="3291"/>
      <c r="AF66" s="3290"/>
      <c r="AI66" s="3120" t="str">
        <f>"14:chuusankanti_tiiki_code:" &amp; IF(I66="■",1,IF(M66="■",2,0))</f>
        <v>14:chuusankanti_tiiki_code:0</v>
      </c>
    </row>
    <row r="67" spans="1:36" s="3120" customFormat="1" ht="18.75" customHeight="1" x14ac:dyDescent="0.2">
      <c r="A67" s="834"/>
      <c r="B67" s="3148"/>
      <c r="C67" s="3147"/>
      <c r="D67" s="3146"/>
      <c r="E67" s="3145"/>
      <c r="F67" s="3144"/>
      <c r="G67" s="3175"/>
      <c r="H67" s="3165"/>
      <c r="I67" s="3428"/>
      <c r="J67" s="3163"/>
      <c r="K67" s="3163"/>
      <c r="L67" s="3163"/>
      <c r="M67" s="3164"/>
      <c r="N67" s="3163"/>
      <c r="O67" s="3163"/>
      <c r="P67" s="3163"/>
      <c r="Q67" s="3207"/>
      <c r="R67" s="3207"/>
      <c r="S67" s="3207"/>
      <c r="T67" s="3207"/>
      <c r="U67" s="3207"/>
      <c r="V67" s="3207"/>
      <c r="W67" s="3207"/>
      <c r="X67" s="3206"/>
      <c r="Y67" s="3293"/>
      <c r="Z67" s="1201"/>
      <c r="AA67" s="1201"/>
      <c r="AB67" s="1202"/>
      <c r="AC67" s="3292"/>
      <c r="AD67" s="3291"/>
      <c r="AE67" s="3291"/>
      <c r="AF67" s="3290"/>
    </row>
    <row r="68" spans="1:36" s="3120" customFormat="1" ht="18.75" customHeight="1" x14ac:dyDescent="0.2">
      <c r="A68" s="834"/>
      <c r="B68" s="3148"/>
      <c r="C68" s="3147"/>
      <c r="D68" s="3258" t="s">
        <v>116</v>
      </c>
      <c r="E68" s="3145" t="s">
        <v>1245</v>
      </c>
      <c r="F68" s="3144"/>
      <c r="G68" s="3175"/>
      <c r="H68" s="3170" t="s">
        <v>1244</v>
      </c>
      <c r="I68" s="3366" t="s">
        <v>116</v>
      </c>
      <c r="J68" s="3210" t="s">
        <v>1234</v>
      </c>
      <c r="K68" s="3210"/>
      <c r="L68" s="3210"/>
      <c r="M68" s="3211" t="s">
        <v>116</v>
      </c>
      <c r="N68" s="3210" t="s">
        <v>1235</v>
      </c>
      <c r="O68" s="3210"/>
      <c r="P68" s="3210"/>
      <c r="Q68" s="3317"/>
      <c r="R68" s="3317"/>
      <c r="S68" s="3317"/>
      <c r="T68" s="3317"/>
      <c r="U68" s="3317"/>
      <c r="V68" s="3317"/>
      <c r="W68" s="3317"/>
      <c r="X68" s="3429"/>
      <c r="Y68" s="3293"/>
      <c r="Z68" s="1201"/>
      <c r="AA68" s="1201"/>
      <c r="AB68" s="1202"/>
      <c r="AC68" s="3292"/>
      <c r="AD68" s="3291"/>
      <c r="AE68" s="3291"/>
      <c r="AF68" s="3290"/>
      <c r="AI68" s="3120" t="str">
        <f>"14:chuusankanti_kibo_code:" &amp; IF(I68="■",1,IF(M68="■",2,0))</f>
        <v>14:chuusankanti_kibo_code:0</v>
      </c>
    </row>
    <row r="69" spans="1:36" s="3120" customFormat="1" ht="18.75" customHeight="1" x14ac:dyDescent="0.2">
      <c r="A69" s="3158" t="s">
        <v>116</v>
      </c>
      <c r="B69" s="3148">
        <v>14</v>
      </c>
      <c r="C69" s="3147" t="s">
        <v>1246</v>
      </c>
      <c r="D69" s="3258" t="s">
        <v>116</v>
      </c>
      <c r="E69" s="3145" t="s">
        <v>1247</v>
      </c>
      <c r="F69" s="3144"/>
      <c r="G69" s="3175"/>
      <c r="H69" s="3165"/>
      <c r="I69" s="3428"/>
      <c r="J69" s="3163"/>
      <c r="K69" s="3163"/>
      <c r="L69" s="3163"/>
      <c r="M69" s="3164"/>
      <c r="N69" s="3163"/>
      <c r="O69" s="3163"/>
      <c r="P69" s="3163"/>
      <c r="Q69" s="3207"/>
      <c r="R69" s="3207"/>
      <c r="S69" s="3207"/>
      <c r="T69" s="3207"/>
      <c r="U69" s="3207"/>
      <c r="V69" s="3207"/>
      <c r="W69" s="3207"/>
      <c r="X69" s="3206"/>
      <c r="Y69" s="3293"/>
      <c r="Z69" s="1201"/>
      <c r="AA69" s="1201"/>
      <c r="AB69" s="1202"/>
      <c r="AC69" s="3292"/>
      <c r="AD69" s="3291"/>
      <c r="AE69" s="3291"/>
      <c r="AF69" s="3290"/>
    </row>
    <row r="70" spans="1:36" s="3120" customFormat="1" ht="19.5" customHeight="1" x14ac:dyDescent="0.2">
      <c r="A70" s="834"/>
      <c r="B70" s="3148"/>
      <c r="C70" s="3147"/>
      <c r="D70" s="3258" t="s">
        <v>116</v>
      </c>
      <c r="E70" s="3145" t="s">
        <v>1249</v>
      </c>
      <c r="F70" s="3144"/>
      <c r="G70" s="3175"/>
      <c r="H70" s="3433" t="s">
        <v>1248</v>
      </c>
      <c r="I70" s="3303" t="s">
        <v>116</v>
      </c>
      <c r="J70" s="3302" t="s">
        <v>1230</v>
      </c>
      <c r="K70" s="3302"/>
      <c r="L70" s="3316"/>
      <c r="M70" s="3301" t="s">
        <v>116</v>
      </c>
      <c r="N70" s="3302" t="s">
        <v>2053</v>
      </c>
      <c r="O70" s="3419"/>
      <c r="P70" s="3418"/>
      <c r="Q70" s="3417" t="s">
        <v>116</v>
      </c>
      <c r="R70" s="3416" t="s">
        <v>2054</v>
      </c>
      <c r="S70" s="3416"/>
      <c r="T70" s="3416"/>
      <c r="U70" s="3432"/>
      <c r="V70" s="3416"/>
      <c r="W70" s="3416"/>
      <c r="X70" s="3415"/>
      <c r="Y70" s="3293"/>
      <c r="Z70" s="1201"/>
      <c r="AA70" s="1201"/>
      <c r="AB70" s="1202"/>
      <c r="AC70" s="3292"/>
      <c r="AD70" s="3291"/>
      <c r="AE70" s="3291"/>
      <c r="AF70" s="3290"/>
      <c r="AI70" s="3120" t="str">
        <f>"14:field149:" &amp; IF(I70="■",1,IF(Q70="■",6,IF(M70="■",3,0)))</f>
        <v>14:field149:0</v>
      </c>
    </row>
    <row r="71" spans="1:36" s="3120" customFormat="1" ht="19.5" customHeight="1" x14ac:dyDescent="0.2">
      <c r="A71" s="834"/>
      <c r="B71" s="3148"/>
      <c r="C71" s="3147"/>
      <c r="D71" s="3197"/>
      <c r="E71" s="3145"/>
      <c r="F71" s="3144"/>
      <c r="G71" s="3175"/>
      <c r="H71" s="3170" t="s">
        <v>1250</v>
      </c>
      <c r="I71" s="3248" t="s">
        <v>116</v>
      </c>
      <c r="J71" s="3210" t="s">
        <v>1230</v>
      </c>
      <c r="K71" s="3210"/>
      <c r="L71" s="3298" t="s">
        <v>116</v>
      </c>
      <c r="M71" s="3210" t="s">
        <v>1233</v>
      </c>
      <c r="N71" s="3210"/>
      <c r="O71" s="1200"/>
      <c r="P71" s="3198"/>
      <c r="Q71" s="3198"/>
      <c r="R71" s="3198"/>
      <c r="S71" s="836"/>
      <c r="T71" s="836"/>
      <c r="U71" s="3198"/>
      <c r="V71" s="3198"/>
      <c r="W71" s="836"/>
      <c r="X71" s="3336"/>
      <c r="Y71" s="3293"/>
      <c r="Z71" s="1201"/>
      <c r="AA71" s="1201"/>
      <c r="AB71" s="1202"/>
      <c r="AC71" s="3292"/>
      <c r="AD71" s="3291"/>
      <c r="AE71" s="3291"/>
      <c r="AF71" s="3290"/>
      <c r="AI71" s="3120" t="str">
        <f>"14:field239:" &amp; IF(I71="■",1,IF(L71="■",2,0))</f>
        <v>14:field239:0</v>
      </c>
    </row>
    <row r="72" spans="1:36" s="3120" customFormat="1" ht="19.5" customHeight="1" x14ac:dyDescent="0.2">
      <c r="A72" s="834"/>
      <c r="B72" s="3148"/>
      <c r="C72" s="3147"/>
      <c r="D72" s="3197"/>
      <c r="E72" s="3145"/>
      <c r="F72" s="3144"/>
      <c r="G72" s="3175"/>
      <c r="H72" s="3165"/>
      <c r="I72" s="3200"/>
      <c r="J72" s="3163"/>
      <c r="K72" s="3163"/>
      <c r="L72" s="3199"/>
      <c r="M72" s="3163"/>
      <c r="N72" s="3163"/>
      <c r="O72" s="1200"/>
      <c r="P72" s="3198"/>
      <c r="Q72" s="3162"/>
      <c r="R72" s="3162"/>
      <c r="S72" s="836"/>
      <c r="T72" s="836"/>
      <c r="U72" s="3162"/>
      <c r="V72" s="3162"/>
      <c r="W72" s="836"/>
      <c r="X72" s="3336"/>
      <c r="Y72" s="3293"/>
      <c r="Z72" s="1201"/>
      <c r="AA72" s="1201"/>
      <c r="AB72" s="1202"/>
      <c r="AC72" s="3292"/>
      <c r="AD72" s="3291"/>
      <c r="AE72" s="3291"/>
      <c r="AF72" s="3290"/>
    </row>
    <row r="73" spans="1:36" s="3120" customFormat="1" ht="19.5" customHeight="1" x14ac:dyDescent="0.2">
      <c r="A73" s="834"/>
      <c r="B73" s="3148"/>
      <c r="C73" s="3147"/>
      <c r="D73" s="3146"/>
      <c r="E73" s="3145"/>
      <c r="F73" s="3144"/>
      <c r="G73" s="3175"/>
      <c r="H73" s="3174" t="s">
        <v>1236</v>
      </c>
      <c r="I73" s="3155" t="s">
        <v>116</v>
      </c>
      <c r="J73" s="3137" t="s">
        <v>1230</v>
      </c>
      <c r="K73" s="3137"/>
      <c r="L73" s="3154" t="s">
        <v>116</v>
      </c>
      <c r="M73" s="3137" t="s">
        <v>1233</v>
      </c>
      <c r="N73" s="3137"/>
      <c r="O73" s="3150"/>
      <c r="P73" s="3137"/>
      <c r="Q73" s="3150"/>
      <c r="R73" s="3150"/>
      <c r="S73" s="3150"/>
      <c r="T73" s="3150"/>
      <c r="U73" s="3150"/>
      <c r="V73" s="3150"/>
      <c r="W73" s="3150"/>
      <c r="X73" s="3149"/>
      <c r="Y73" s="1201"/>
      <c r="Z73" s="1201"/>
      <c r="AA73" s="1201"/>
      <c r="AB73" s="1202"/>
      <c r="AC73" s="3292"/>
      <c r="AD73" s="3291"/>
      <c r="AE73" s="3291"/>
      <c r="AF73" s="3290"/>
      <c r="AI73" s="3120" t="str">
        <f>"14:field224:" &amp; IF(I73="■",1,IF(L73="■",2,0))</f>
        <v>14:field224:0</v>
      </c>
    </row>
    <row r="74" spans="1:36" s="3120" customFormat="1" ht="19.5" customHeight="1" x14ac:dyDescent="0.2">
      <c r="A74" s="834"/>
      <c r="B74" s="3148"/>
      <c r="C74" s="3147"/>
      <c r="D74" s="3146"/>
      <c r="E74" s="3145"/>
      <c r="F74" s="3144"/>
      <c r="G74" s="3175"/>
      <c r="H74" s="3142" t="s">
        <v>1251</v>
      </c>
      <c r="I74" s="3303" t="s">
        <v>116</v>
      </c>
      <c r="J74" s="3137" t="s">
        <v>1230</v>
      </c>
      <c r="K74" s="3171"/>
      <c r="L74" s="3154" t="s">
        <v>116</v>
      </c>
      <c r="M74" s="3137" t="s">
        <v>1233</v>
      </c>
      <c r="N74" s="3137"/>
      <c r="O74" s="3150"/>
      <c r="P74" s="3150"/>
      <c r="Q74" s="3150"/>
      <c r="R74" s="3150"/>
      <c r="S74" s="3150"/>
      <c r="T74" s="3150"/>
      <c r="U74" s="3150"/>
      <c r="V74" s="3150"/>
      <c r="W74" s="3150"/>
      <c r="X74" s="3149"/>
      <c r="Y74" s="3293"/>
      <c r="Z74" s="1201"/>
      <c r="AA74" s="1201"/>
      <c r="AB74" s="1202"/>
      <c r="AC74" s="3292"/>
      <c r="AD74" s="3291"/>
      <c r="AE74" s="3291"/>
      <c r="AF74" s="3290"/>
      <c r="AI74" s="3120" t="str">
        <f>"14:field150:" &amp; IF(I74="■",1,IF(L74="■",2,0))</f>
        <v>14:field150:0</v>
      </c>
    </row>
    <row r="75" spans="1:36" s="3120" customFormat="1" ht="19.5" customHeight="1" x14ac:dyDescent="0.2">
      <c r="A75" s="835"/>
      <c r="B75" s="3135"/>
      <c r="C75" s="3134"/>
      <c r="D75" s="3133"/>
      <c r="E75" s="3132"/>
      <c r="F75" s="3131"/>
      <c r="G75" s="3189"/>
      <c r="H75" s="3129" t="s">
        <v>1238</v>
      </c>
      <c r="I75" s="3128" t="s">
        <v>116</v>
      </c>
      <c r="J75" s="3125" t="s">
        <v>1230</v>
      </c>
      <c r="K75" s="3125"/>
      <c r="L75" s="3127" t="s">
        <v>116</v>
      </c>
      <c r="M75" s="3125" t="s">
        <v>1239</v>
      </c>
      <c r="N75" s="3125"/>
      <c r="O75" s="3127" t="s">
        <v>116</v>
      </c>
      <c r="P75" s="3125" t="s">
        <v>1252</v>
      </c>
      <c r="Q75" s="3431"/>
      <c r="R75" s="3431"/>
      <c r="S75" s="3431"/>
      <c r="T75" s="3431"/>
      <c r="U75" s="3431"/>
      <c r="V75" s="3431"/>
      <c r="W75" s="3431"/>
      <c r="X75" s="3430"/>
      <c r="Y75" s="3340"/>
      <c r="Z75" s="3282"/>
      <c r="AA75" s="3282"/>
      <c r="AB75" s="3281"/>
      <c r="AC75" s="3280"/>
      <c r="AD75" s="3279"/>
      <c r="AE75" s="3279"/>
      <c r="AF75" s="3278"/>
      <c r="AI75" s="3120" t="str">
        <f>"14:serteikyo_kyoka_code:" &amp; IF(I75="■",1,IF(L75="■",3,IF(O75="■",4,0)))</f>
        <v>14:serteikyo_kyoka_code:0</v>
      </c>
    </row>
    <row r="76" spans="1:36" s="3120" customFormat="1" ht="18.75" hidden="1" customHeight="1" x14ac:dyDescent="0.2">
      <c r="A76" s="3188"/>
      <c r="B76" s="3187"/>
      <c r="C76" s="3229"/>
      <c r="D76" s="3228"/>
      <c r="E76" s="3266"/>
      <c r="F76" s="3228"/>
      <c r="G76" s="3187"/>
      <c r="H76" s="3182" t="s">
        <v>1242</v>
      </c>
      <c r="I76" s="3181" t="s">
        <v>116</v>
      </c>
      <c r="J76" s="3180" t="s">
        <v>1230</v>
      </c>
      <c r="K76" s="3226"/>
      <c r="L76" s="3179" t="s">
        <v>116</v>
      </c>
      <c r="M76" s="3180" t="s">
        <v>1233</v>
      </c>
      <c r="N76" s="3180"/>
      <c r="O76" s="3180"/>
      <c r="P76" s="3180"/>
      <c r="Q76" s="3177"/>
      <c r="R76" s="3177"/>
      <c r="S76" s="3177"/>
      <c r="T76" s="3177"/>
      <c r="U76" s="3177"/>
      <c r="V76" s="3177"/>
      <c r="W76" s="3177"/>
      <c r="X76" s="3176"/>
      <c r="Y76" s="3310" t="s">
        <v>116</v>
      </c>
      <c r="Z76" s="3252" t="s">
        <v>1225</v>
      </c>
      <c r="AA76" s="3252"/>
      <c r="AB76" s="3308"/>
      <c r="AC76" s="3307"/>
      <c r="AD76" s="3306"/>
      <c r="AE76" s="3306"/>
      <c r="AF76" s="3305"/>
      <c r="AG76" s="3120" t="str">
        <f>"ser_code = '" &amp; IF(A79="■",31,"") &amp; "'"</f>
        <v>ser_code = ''</v>
      </c>
      <c r="AI76" s="3120" t="str">
        <f>"31:tokutiiki_code:" &amp; IF(I76="■",1,IF(L76="■",2,0))</f>
        <v>31:tokutiiki_code:0</v>
      </c>
      <c r="AJ76" s="3120" t="str">
        <f>"31:field203:" &amp; IF(Y76="■",1,IF(Y77="■",2,0))</f>
        <v>31:field203:0</v>
      </c>
    </row>
    <row r="77" spans="1:36" s="3120" customFormat="1" ht="18.75" hidden="1" customHeight="1" x14ac:dyDescent="0.2">
      <c r="A77" s="1199"/>
      <c r="B77" s="3148"/>
      <c r="C77" s="3147"/>
      <c r="D77" s="3146"/>
      <c r="E77" s="3336"/>
      <c r="F77" s="3146"/>
      <c r="G77" s="3148"/>
      <c r="H77" s="3170" t="s">
        <v>1243</v>
      </c>
      <c r="I77" s="3211" t="s">
        <v>116</v>
      </c>
      <c r="J77" s="3210" t="s">
        <v>1234</v>
      </c>
      <c r="K77" s="3210"/>
      <c r="L77" s="3210"/>
      <c r="M77" s="3211" t="s">
        <v>116</v>
      </c>
      <c r="N77" s="3210" t="s">
        <v>1235</v>
      </c>
      <c r="O77" s="3210"/>
      <c r="P77" s="3210"/>
      <c r="Q77" s="3317"/>
      <c r="R77" s="3317"/>
      <c r="S77" s="3317"/>
      <c r="T77" s="3317"/>
      <c r="U77" s="3317"/>
      <c r="V77" s="3317"/>
      <c r="W77" s="3317"/>
      <c r="X77" s="3429"/>
      <c r="Y77" s="3258" t="s">
        <v>116</v>
      </c>
      <c r="Z77" s="1200" t="s">
        <v>1226</v>
      </c>
      <c r="AA77" s="1200"/>
      <c r="AB77" s="1202"/>
      <c r="AC77" s="3292"/>
      <c r="AD77" s="3291"/>
      <c r="AE77" s="3291"/>
      <c r="AF77" s="3290"/>
      <c r="AI77" s="3120" t="str">
        <f>"31:chuusankanti_tiiki_code:" &amp; IF(I77="■",1,IF(M77="■",2,0))</f>
        <v>31:chuusankanti_tiiki_code:0</v>
      </c>
    </row>
    <row r="78" spans="1:36" s="3120" customFormat="1" ht="18.75" hidden="1" customHeight="1" x14ac:dyDescent="0.2">
      <c r="A78" s="1199"/>
      <c r="B78" s="3148"/>
      <c r="C78" s="3147"/>
      <c r="D78" s="3146"/>
      <c r="E78" s="3336"/>
      <c r="F78" s="3146"/>
      <c r="G78" s="3148"/>
      <c r="H78" s="3165"/>
      <c r="I78" s="3164"/>
      <c r="J78" s="3163"/>
      <c r="K78" s="3163"/>
      <c r="L78" s="3163"/>
      <c r="M78" s="3164"/>
      <c r="N78" s="3163"/>
      <c r="O78" s="3163"/>
      <c r="P78" s="3163"/>
      <c r="Q78" s="3207"/>
      <c r="R78" s="3207"/>
      <c r="S78" s="3207"/>
      <c r="T78" s="3207"/>
      <c r="U78" s="3207"/>
      <c r="V78" s="3207"/>
      <c r="W78" s="3207"/>
      <c r="X78" s="3206"/>
      <c r="Y78" s="3293"/>
      <c r="Z78" s="1201"/>
      <c r="AA78" s="1201"/>
      <c r="AB78" s="1202"/>
      <c r="AC78" s="3292"/>
      <c r="AD78" s="3291"/>
      <c r="AE78" s="3291"/>
      <c r="AF78" s="3290"/>
    </row>
    <row r="79" spans="1:36" s="3120" customFormat="1" ht="18.75" hidden="1" customHeight="1" x14ac:dyDescent="0.2">
      <c r="A79" s="3158" t="s">
        <v>116</v>
      </c>
      <c r="B79" s="3148">
        <v>31</v>
      </c>
      <c r="C79" s="3147" t="s">
        <v>2291</v>
      </c>
      <c r="D79" s="3146"/>
      <c r="E79" s="3336"/>
      <c r="F79" s="3146"/>
      <c r="G79" s="3148"/>
      <c r="H79" s="3170" t="s">
        <v>1244</v>
      </c>
      <c r="I79" s="3366" t="s">
        <v>116</v>
      </c>
      <c r="J79" s="3210" t="s">
        <v>1234</v>
      </c>
      <c r="K79" s="3210"/>
      <c r="L79" s="3210"/>
      <c r="M79" s="3211" t="s">
        <v>116</v>
      </c>
      <c r="N79" s="3210" t="s">
        <v>1235</v>
      </c>
      <c r="O79" s="3210"/>
      <c r="P79" s="3210"/>
      <c r="Q79" s="3317"/>
      <c r="R79" s="3317"/>
      <c r="S79" s="3317"/>
      <c r="T79" s="3317"/>
      <c r="U79" s="3317"/>
      <c r="V79" s="3317"/>
      <c r="W79" s="3317"/>
      <c r="X79" s="3429"/>
      <c r="Y79" s="3293"/>
      <c r="Z79" s="1201"/>
      <c r="AA79" s="1201"/>
      <c r="AB79" s="1202"/>
      <c r="AC79" s="3292"/>
      <c r="AD79" s="3291"/>
      <c r="AE79" s="3291"/>
      <c r="AF79" s="3290"/>
      <c r="AI79" s="3120" t="str">
        <f>"31:chuusankanti_kibo_code:" &amp; IF(I79="■",1,IF(M79="■",2,0))</f>
        <v>31:chuusankanti_kibo_code:0</v>
      </c>
    </row>
    <row r="80" spans="1:36" s="3120" customFormat="1" ht="18.75" hidden="1" customHeight="1" x14ac:dyDescent="0.2">
      <c r="A80" s="834"/>
      <c r="B80" s="3148"/>
      <c r="C80" s="3147"/>
      <c r="D80" s="3146"/>
      <c r="E80" s="3336"/>
      <c r="F80" s="3146"/>
      <c r="G80" s="3148"/>
      <c r="H80" s="3165"/>
      <c r="I80" s="3428"/>
      <c r="J80" s="3163"/>
      <c r="K80" s="3163"/>
      <c r="L80" s="3163"/>
      <c r="M80" s="3164"/>
      <c r="N80" s="3163"/>
      <c r="O80" s="3163"/>
      <c r="P80" s="3163"/>
      <c r="Q80" s="3207"/>
      <c r="R80" s="3207"/>
      <c r="S80" s="3207"/>
      <c r="T80" s="3207"/>
      <c r="U80" s="3207"/>
      <c r="V80" s="3207"/>
      <c r="W80" s="3207"/>
      <c r="X80" s="3206"/>
      <c r="Y80" s="3293"/>
      <c r="Z80" s="1201"/>
      <c r="AA80" s="1201"/>
      <c r="AB80" s="1202"/>
      <c r="AC80" s="3292"/>
      <c r="AD80" s="3291"/>
      <c r="AE80" s="3291"/>
      <c r="AF80" s="3290"/>
    </row>
    <row r="81" spans="1:37" s="3120" customFormat="1" ht="18.75" hidden="1" customHeight="1" x14ac:dyDescent="0.2">
      <c r="A81" s="834"/>
      <c r="B81" s="3148"/>
      <c r="C81" s="3147"/>
      <c r="D81" s="3146"/>
      <c r="E81" s="3336"/>
      <c r="F81" s="3146"/>
      <c r="G81" s="3148"/>
      <c r="H81" s="3213" t="s">
        <v>2290</v>
      </c>
      <c r="I81" s="3158" t="s">
        <v>116</v>
      </c>
      <c r="J81" s="3139" t="s">
        <v>1230</v>
      </c>
      <c r="K81" s="3138"/>
      <c r="L81" s="3140" t="s">
        <v>116</v>
      </c>
      <c r="M81" s="3139" t="s">
        <v>1233</v>
      </c>
      <c r="N81" s="3139"/>
      <c r="O81" s="3139"/>
      <c r="P81" s="3139"/>
      <c r="Q81" s="3207"/>
      <c r="R81" s="3207"/>
      <c r="S81" s="3207"/>
      <c r="T81" s="3207"/>
      <c r="U81" s="3207"/>
      <c r="V81" s="3207"/>
      <c r="W81" s="3207"/>
      <c r="X81" s="3206"/>
      <c r="Y81" s="3293"/>
      <c r="Z81" s="1201"/>
      <c r="AA81" s="1201"/>
      <c r="AB81" s="1202"/>
      <c r="AC81" s="3292"/>
      <c r="AD81" s="3291"/>
      <c r="AE81" s="3291"/>
      <c r="AF81" s="3290"/>
      <c r="AI81" s="3120" t="str">
        <f>"31:field240:" &amp; IF(I81="■",1,IF(L81="■",2,0))</f>
        <v>31:field240:0</v>
      </c>
    </row>
    <row r="82" spans="1:37" s="3120" customFormat="1" ht="18.75" hidden="1" customHeight="1" x14ac:dyDescent="0.2">
      <c r="A82" s="835"/>
      <c r="B82" s="3135"/>
      <c r="C82" s="3134"/>
      <c r="D82" s="3133"/>
      <c r="E82" s="3255"/>
      <c r="F82" s="3133"/>
      <c r="G82" s="3135"/>
      <c r="H82" s="3427" t="s">
        <v>2289</v>
      </c>
      <c r="I82" s="3128" t="s">
        <v>116</v>
      </c>
      <c r="J82" s="3125" t="s">
        <v>1230</v>
      </c>
      <c r="K82" s="3126"/>
      <c r="L82" s="3127" t="s">
        <v>116</v>
      </c>
      <c r="M82" s="3125" t="s">
        <v>1233</v>
      </c>
      <c r="N82" s="3190"/>
      <c r="O82" s="3190"/>
      <c r="P82" s="3190"/>
      <c r="Q82" s="3240"/>
      <c r="R82" s="3240"/>
      <c r="S82" s="3240"/>
      <c r="T82" s="3240"/>
      <c r="U82" s="3240"/>
      <c r="V82" s="3240"/>
      <c r="W82" s="3240"/>
      <c r="X82" s="3239"/>
      <c r="Y82" s="3426"/>
      <c r="Z82" s="3190"/>
      <c r="AA82" s="3190"/>
      <c r="AB82" s="3281"/>
      <c r="AC82" s="3280"/>
      <c r="AD82" s="3279"/>
      <c r="AE82" s="3279"/>
      <c r="AF82" s="3278"/>
      <c r="AI82" s="3120" t="str">
        <f>"31:field241:" &amp; IF(I82="■",1,IF(L82="■",2,0))</f>
        <v>31:field241:0</v>
      </c>
    </row>
    <row r="83" spans="1:37" s="3120" customFormat="1" ht="18.75" hidden="1" customHeight="1" x14ac:dyDescent="0.2">
      <c r="A83" s="3188"/>
      <c r="B83" s="3187"/>
      <c r="C83" s="3186"/>
      <c r="D83" s="3184"/>
      <c r="E83" s="3185"/>
      <c r="F83" s="3184"/>
      <c r="G83" s="3183"/>
      <c r="H83" s="3425" t="s">
        <v>90</v>
      </c>
      <c r="I83" s="3181" t="s">
        <v>116</v>
      </c>
      <c r="J83" s="3180" t="s">
        <v>1230</v>
      </c>
      <c r="K83" s="3180"/>
      <c r="L83" s="3225"/>
      <c r="M83" s="3179" t="s">
        <v>116</v>
      </c>
      <c r="N83" s="3180" t="s">
        <v>2103</v>
      </c>
      <c r="O83" s="3180"/>
      <c r="P83" s="3225"/>
      <c r="Q83" s="3179" t="s">
        <v>116</v>
      </c>
      <c r="R83" s="3178" t="s">
        <v>2102</v>
      </c>
      <c r="S83" s="3178"/>
      <c r="T83" s="3178"/>
      <c r="U83" s="3178"/>
      <c r="V83" s="3178"/>
      <c r="W83" s="3178"/>
      <c r="X83" s="3413"/>
      <c r="Y83" s="3253" t="s">
        <v>116</v>
      </c>
      <c r="Z83" s="3252" t="s">
        <v>1225</v>
      </c>
      <c r="AA83" s="3252"/>
      <c r="AB83" s="3308"/>
      <c r="AC83" s="3253" t="s">
        <v>116</v>
      </c>
      <c r="AD83" s="3252" t="s">
        <v>1225</v>
      </c>
      <c r="AE83" s="3252"/>
      <c r="AF83" s="3308"/>
      <c r="AG83" s="3120" t="str">
        <f>"ser_code = '" &amp; IF(A97="■",15,"") &amp; "'"</f>
        <v>ser_code = ''</v>
      </c>
      <c r="AI83" s="3120" t="str">
        <f>"15:"&amp;IF(AND(I83="□",M83="□",Q83="□"),"ketu_kangos_code:0",IF(I83="■","ketu_kangos_code:1:ketu_kshoku_code:1",IF(M83="■","ketu_kangos_code:2","ketu_kangos_code:1")&amp;IF(Q83="■",":ketu_kshoku_code:2",":ketu_kshoku_code:1")))</f>
        <v>15:ketu_kangos_code:0</v>
      </c>
      <c r="AJ83" s="3120" t="str">
        <f>"15:field203:" &amp; IF(Y83="■",1,IF(Y84="■",2,0))</f>
        <v>15:field203:0</v>
      </c>
      <c r="AK83" s="3120" t="str">
        <f>"15:waribiki_code:" &amp; IF(AC83="■",1,IF(AC84="■",2,0))</f>
        <v>15:waribiki_code:0</v>
      </c>
    </row>
    <row r="84" spans="1:37" s="3120" customFormat="1" ht="19.5" hidden="1" customHeight="1" x14ac:dyDescent="0.2">
      <c r="A84" s="834"/>
      <c r="B84" s="3148"/>
      <c r="C84" s="3147"/>
      <c r="D84" s="3146"/>
      <c r="E84" s="3145"/>
      <c r="F84" s="3144"/>
      <c r="G84" s="3175"/>
      <c r="H84" s="3174" t="s">
        <v>1227</v>
      </c>
      <c r="I84" s="3155" t="s">
        <v>116</v>
      </c>
      <c r="J84" s="3137" t="s">
        <v>1228</v>
      </c>
      <c r="K84" s="3171"/>
      <c r="L84" s="3173"/>
      <c r="M84" s="3154" t="s">
        <v>116</v>
      </c>
      <c r="N84" s="3137" t="s">
        <v>1229</v>
      </c>
      <c r="O84" s="3299"/>
      <c r="P84" s="3137"/>
      <c r="Q84" s="3150"/>
      <c r="R84" s="3150"/>
      <c r="S84" s="3150"/>
      <c r="T84" s="3150"/>
      <c r="U84" s="3150"/>
      <c r="V84" s="3150"/>
      <c r="W84" s="3150"/>
      <c r="X84" s="3149"/>
      <c r="Y84" s="3258" t="s">
        <v>116</v>
      </c>
      <c r="Z84" s="1200" t="s">
        <v>1226</v>
      </c>
      <c r="AA84" s="1201"/>
      <c r="AB84" s="1202"/>
      <c r="AC84" s="3158" t="s">
        <v>116</v>
      </c>
      <c r="AD84" s="1200" t="s">
        <v>1226</v>
      </c>
      <c r="AE84" s="1201"/>
      <c r="AF84" s="1202"/>
      <c r="AG84" s="3120" t="str">
        <f>"15:sisetukbn_code:" &amp; IF(D96="■",4,IF(D97="■",6,IF(D98="■",7,0)))</f>
        <v>15:sisetukbn_code:0</v>
      </c>
      <c r="AI84" s="3120" t="str">
        <f>"15:field223:" &amp; IF(I84="■",1,IF(M84="■",2,0))</f>
        <v>15:field223:0</v>
      </c>
    </row>
    <row r="85" spans="1:37" s="3120" customFormat="1" ht="19.5" hidden="1" customHeight="1" x14ac:dyDescent="0.2">
      <c r="A85" s="834"/>
      <c r="B85" s="3148"/>
      <c r="C85" s="3147"/>
      <c r="D85" s="3146"/>
      <c r="E85" s="3145"/>
      <c r="F85" s="3144"/>
      <c r="G85" s="3175"/>
      <c r="H85" s="3174" t="s">
        <v>1253</v>
      </c>
      <c r="I85" s="3155" t="s">
        <v>116</v>
      </c>
      <c r="J85" s="3137" t="s">
        <v>1228</v>
      </c>
      <c r="K85" s="3171"/>
      <c r="L85" s="3173"/>
      <c r="M85" s="3154" t="s">
        <v>116</v>
      </c>
      <c r="N85" s="3137" t="s">
        <v>1229</v>
      </c>
      <c r="O85" s="3137"/>
      <c r="P85" s="3137"/>
      <c r="Q85" s="3150"/>
      <c r="R85" s="3150"/>
      <c r="S85" s="3150"/>
      <c r="T85" s="3150"/>
      <c r="U85" s="3150"/>
      <c r="V85" s="3150"/>
      <c r="W85" s="3150"/>
      <c r="X85" s="3149"/>
      <c r="Y85" s="3197"/>
      <c r="Z85" s="1200"/>
      <c r="AA85" s="1201"/>
      <c r="AB85" s="1202"/>
      <c r="AC85" s="1199"/>
      <c r="AD85" s="1200"/>
      <c r="AE85" s="1201"/>
      <c r="AF85" s="1202"/>
      <c r="AI85" s="3120" t="str">
        <f>"15:field232:" &amp; IF(I85="■",1,IF(M85="■",2,0))</f>
        <v>15:field232:0</v>
      </c>
    </row>
    <row r="86" spans="1:37" s="3120" customFormat="1" ht="18.75" hidden="1" customHeight="1" x14ac:dyDescent="0.2">
      <c r="A86" s="834"/>
      <c r="B86" s="3148"/>
      <c r="C86" s="3160"/>
      <c r="D86" s="3144"/>
      <c r="E86" s="3145"/>
      <c r="F86" s="3144"/>
      <c r="G86" s="3175"/>
      <c r="H86" s="3170" t="s">
        <v>1254</v>
      </c>
      <c r="I86" s="3248" t="s">
        <v>116</v>
      </c>
      <c r="J86" s="3210" t="s">
        <v>1230</v>
      </c>
      <c r="K86" s="3210"/>
      <c r="L86" s="3298" t="s">
        <v>116</v>
      </c>
      <c r="M86" s="3210" t="s">
        <v>1233</v>
      </c>
      <c r="N86" s="3210"/>
      <c r="O86" s="3167"/>
      <c r="P86" s="3167"/>
      <c r="Q86" s="3167"/>
      <c r="R86" s="3167"/>
      <c r="S86" s="3167"/>
      <c r="T86" s="3167"/>
      <c r="U86" s="3167"/>
      <c r="V86" s="3167"/>
      <c r="W86" s="3167"/>
      <c r="X86" s="3166"/>
      <c r="Y86" s="836"/>
      <c r="Z86" s="836"/>
      <c r="AA86" s="836"/>
      <c r="AB86" s="1202"/>
      <c r="AC86" s="3146"/>
      <c r="AD86" s="836"/>
      <c r="AE86" s="1201"/>
      <c r="AF86" s="1202"/>
      <c r="AI86" s="3120" t="str">
        <f>"15:field204:" &amp; IF(I86="■",1,IF(L86="■",2,0))</f>
        <v>15:field204:0</v>
      </c>
    </row>
    <row r="87" spans="1:37" s="3120" customFormat="1" ht="18.75" hidden="1" customHeight="1" x14ac:dyDescent="0.2">
      <c r="A87" s="834"/>
      <c r="B87" s="3148"/>
      <c r="C87" s="3160"/>
      <c r="D87" s="3144"/>
      <c r="E87" s="3145"/>
      <c r="F87" s="3144"/>
      <c r="G87" s="3175"/>
      <c r="H87" s="3203"/>
      <c r="I87" s="3202"/>
      <c r="J87" s="3168"/>
      <c r="K87" s="3168"/>
      <c r="L87" s="3201"/>
      <c r="M87" s="3168"/>
      <c r="N87" s="3168"/>
      <c r="O87" s="836"/>
      <c r="P87" s="836"/>
      <c r="Q87" s="836"/>
      <c r="R87" s="836"/>
      <c r="S87" s="836"/>
      <c r="T87" s="836"/>
      <c r="U87" s="836"/>
      <c r="V87" s="836"/>
      <c r="W87" s="836"/>
      <c r="X87" s="3336"/>
      <c r="Y87" s="3293"/>
      <c r="Z87" s="1201"/>
      <c r="AA87" s="1201"/>
      <c r="AB87" s="1202"/>
      <c r="AC87" s="3293"/>
      <c r="AD87" s="1201"/>
      <c r="AE87" s="1201"/>
      <c r="AF87" s="1202"/>
    </row>
    <row r="88" spans="1:37" s="3120" customFormat="1" ht="18.75" hidden="1" customHeight="1" x14ac:dyDescent="0.2">
      <c r="A88" s="834"/>
      <c r="B88" s="3148"/>
      <c r="C88" s="3160"/>
      <c r="D88" s="3144"/>
      <c r="E88" s="3145"/>
      <c r="F88" s="3144"/>
      <c r="G88" s="3175"/>
      <c r="H88" s="3165"/>
      <c r="I88" s="3200"/>
      <c r="J88" s="3163"/>
      <c r="K88" s="3163"/>
      <c r="L88" s="3199"/>
      <c r="M88" s="3163"/>
      <c r="N88" s="3163"/>
      <c r="O88" s="3162"/>
      <c r="P88" s="3162"/>
      <c r="Q88" s="3162"/>
      <c r="R88" s="3162"/>
      <c r="S88" s="3162"/>
      <c r="T88" s="3162"/>
      <c r="U88" s="3162"/>
      <c r="V88" s="3162"/>
      <c r="W88" s="3162"/>
      <c r="X88" s="3161"/>
      <c r="Y88" s="3293"/>
      <c r="Z88" s="1201"/>
      <c r="AA88" s="1201"/>
      <c r="AB88" s="1202"/>
      <c r="AC88" s="3293"/>
      <c r="AD88" s="1201"/>
      <c r="AE88" s="1201"/>
      <c r="AF88" s="1202"/>
    </row>
    <row r="89" spans="1:37" s="3120" customFormat="1" ht="18.75" hidden="1" customHeight="1" x14ac:dyDescent="0.2">
      <c r="A89" s="834"/>
      <c r="B89" s="3148"/>
      <c r="C89" s="3160"/>
      <c r="D89" s="3144"/>
      <c r="E89" s="3145"/>
      <c r="F89" s="3144"/>
      <c r="G89" s="3175"/>
      <c r="H89" s="3142" t="s">
        <v>2101</v>
      </c>
      <c r="I89" s="3258" t="s">
        <v>116</v>
      </c>
      <c r="J89" s="3137" t="s">
        <v>1240</v>
      </c>
      <c r="K89" s="3171"/>
      <c r="L89" s="3173"/>
      <c r="M89" s="3258" t="s">
        <v>116</v>
      </c>
      <c r="N89" s="3137" t="s">
        <v>1241</v>
      </c>
      <c r="O89" s="3150"/>
      <c r="P89" s="3150"/>
      <c r="Q89" s="3150"/>
      <c r="R89" s="3150"/>
      <c r="S89" s="3150"/>
      <c r="T89" s="3150"/>
      <c r="U89" s="3150"/>
      <c r="V89" s="3150"/>
      <c r="W89" s="3150"/>
      <c r="X89" s="3149"/>
      <c r="Y89" s="3293"/>
      <c r="Z89" s="1201"/>
      <c r="AA89" s="1201"/>
      <c r="AB89" s="1202"/>
      <c r="AC89" s="3293"/>
      <c r="AD89" s="1201"/>
      <c r="AE89" s="1201"/>
      <c r="AF89" s="1202"/>
      <c r="AI89" s="3120" t="str">
        <f>"15:timeser_code:" &amp; IF(I89="■",1,IF(M89="■",2,0))</f>
        <v>15:timeser_code:0</v>
      </c>
    </row>
    <row r="90" spans="1:37" s="3120" customFormat="1" ht="18.75" hidden="1" customHeight="1" x14ac:dyDescent="0.2">
      <c r="A90" s="834"/>
      <c r="B90" s="3148"/>
      <c r="C90" s="3160"/>
      <c r="D90" s="3144"/>
      <c r="E90" s="3145"/>
      <c r="F90" s="3144"/>
      <c r="G90" s="3175"/>
      <c r="H90" s="3170" t="s">
        <v>2100</v>
      </c>
      <c r="I90" s="3211" t="s">
        <v>116</v>
      </c>
      <c r="J90" s="3210" t="s">
        <v>1230</v>
      </c>
      <c r="K90" s="3210"/>
      <c r="L90" s="3211" t="s">
        <v>116</v>
      </c>
      <c r="M90" s="3210" t="s">
        <v>1233</v>
      </c>
      <c r="N90" s="3210"/>
      <c r="O90" s="3302"/>
      <c r="P90" s="3302"/>
      <c r="Q90" s="3302"/>
      <c r="R90" s="3302"/>
      <c r="S90" s="3302"/>
      <c r="T90" s="3302"/>
      <c r="U90" s="3302"/>
      <c r="V90" s="3302"/>
      <c r="W90" s="3302"/>
      <c r="X90" s="3335"/>
      <c r="Y90" s="3293"/>
      <c r="Z90" s="1201"/>
      <c r="AA90" s="1201"/>
      <c r="AB90" s="1202"/>
      <c r="AC90" s="3293"/>
      <c r="AD90" s="1201"/>
      <c r="AE90" s="1201"/>
      <c r="AF90" s="1202"/>
      <c r="AI90" s="3120" t="str">
        <f>"15:field181:" &amp; IF(I90="■",1,IF(L90="■",2,0))</f>
        <v>15:field181:0</v>
      </c>
    </row>
    <row r="91" spans="1:37" s="3120" customFormat="1" ht="18.75" hidden="1" customHeight="1" x14ac:dyDescent="0.2">
      <c r="A91" s="834"/>
      <c r="B91" s="3148"/>
      <c r="C91" s="3160"/>
      <c r="D91" s="3144"/>
      <c r="E91" s="3145"/>
      <c r="F91" s="3144"/>
      <c r="G91" s="3175"/>
      <c r="H91" s="3165"/>
      <c r="I91" s="3164"/>
      <c r="J91" s="3163"/>
      <c r="K91" s="3163"/>
      <c r="L91" s="3164"/>
      <c r="M91" s="3163"/>
      <c r="N91" s="3163"/>
      <c r="O91" s="3139"/>
      <c r="P91" s="3139"/>
      <c r="Q91" s="3139"/>
      <c r="R91" s="3139"/>
      <c r="S91" s="3139"/>
      <c r="T91" s="3139"/>
      <c r="U91" s="3139"/>
      <c r="V91" s="3139"/>
      <c r="W91" s="3139"/>
      <c r="X91" s="3195"/>
      <c r="Y91" s="3293"/>
      <c r="Z91" s="1201"/>
      <c r="AA91" s="1201"/>
      <c r="AB91" s="1202"/>
      <c r="AC91" s="3293"/>
      <c r="AD91" s="1201"/>
      <c r="AE91" s="1201"/>
      <c r="AF91" s="1202"/>
    </row>
    <row r="92" spans="1:37" s="3120" customFormat="1" ht="18.75" hidden="1" customHeight="1" x14ac:dyDescent="0.2">
      <c r="A92" s="834"/>
      <c r="B92" s="3148"/>
      <c r="C92" s="3160"/>
      <c r="D92" s="3144"/>
      <c r="E92" s="3145"/>
      <c r="F92" s="3144"/>
      <c r="G92" s="3175"/>
      <c r="H92" s="3170" t="s">
        <v>2099</v>
      </c>
      <c r="I92" s="3211" t="s">
        <v>116</v>
      </c>
      <c r="J92" s="3210" t="s">
        <v>1230</v>
      </c>
      <c r="K92" s="3210"/>
      <c r="L92" s="3211" t="s">
        <v>116</v>
      </c>
      <c r="M92" s="3210" t="s">
        <v>1233</v>
      </c>
      <c r="N92" s="3210"/>
      <c r="O92" s="3302"/>
      <c r="P92" s="3302"/>
      <c r="Q92" s="3302"/>
      <c r="R92" s="3302"/>
      <c r="S92" s="3302"/>
      <c r="T92" s="3302"/>
      <c r="U92" s="3302"/>
      <c r="V92" s="3302"/>
      <c r="W92" s="3302"/>
      <c r="X92" s="3335"/>
      <c r="Y92" s="3293"/>
      <c r="Z92" s="1201"/>
      <c r="AA92" s="1201"/>
      <c r="AB92" s="1202"/>
      <c r="AC92" s="3293"/>
      <c r="AD92" s="1201"/>
      <c r="AE92" s="1201"/>
      <c r="AF92" s="1202"/>
      <c r="AI92" s="3120" t="str">
        <f>"15:field182:" &amp; IF(I92="■",1,IF(L92="■",2,0))</f>
        <v>15:field182:0</v>
      </c>
    </row>
    <row r="93" spans="1:37" s="3120" customFormat="1" ht="18.75" hidden="1" customHeight="1" x14ac:dyDescent="0.2">
      <c r="A93" s="834"/>
      <c r="B93" s="3148"/>
      <c r="C93" s="3160"/>
      <c r="D93" s="3144"/>
      <c r="E93" s="3145"/>
      <c r="F93" s="3144"/>
      <c r="G93" s="3175"/>
      <c r="H93" s="3165"/>
      <c r="I93" s="3164"/>
      <c r="J93" s="3163"/>
      <c r="K93" s="3163"/>
      <c r="L93" s="3164"/>
      <c r="M93" s="3163"/>
      <c r="N93" s="3163"/>
      <c r="O93" s="3139"/>
      <c r="P93" s="3139"/>
      <c r="Q93" s="3139"/>
      <c r="R93" s="3139"/>
      <c r="S93" s="3139"/>
      <c r="T93" s="3139"/>
      <c r="U93" s="3139"/>
      <c r="V93" s="3139"/>
      <c r="W93" s="3139"/>
      <c r="X93" s="3195"/>
      <c r="Y93" s="3293"/>
      <c r="Z93" s="1201"/>
      <c r="AA93" s="1201"/>
      <c r="AB93" s="1202"/>
      <c r="AC93" s="3293"/>
      <c r="AD93" s="1201"/>
      <c r="AE93" s="1201"/>
      <c r="AF93" s="1202"/>
    </row>
    <row r="94" spans="1:37" s="3120" customFormat="1" ht="18.75" hidden="1" customHeight="1" x14ac:dyDescent="0.2">
      <c r="A94" s="834"/>
      <c r="B94" s="3148"/>
      <c r="C94" s="3160"/>
      <c r="D94" s="3144"/>
      <c r="E94" s="3145"/>
      <c r="F94" s="3144"/>
      <c r="G94" s="3175"/>
      <c r="H94" s="3170" t="s">
        <v>2098</v>
      </c>
      <c r="I94" s="3211" t="s">
        <v>116</v>
      </c>
      <c r="J94" s="3210" t="s">
        <v>1230</v>
      </c>
      <c r="K94" s="3210"/>
      <c r="L94" s="3211" t="s">
        <v>116</v>
      </c>
      <c r="M94" s="3210" t="s">
        <v>1233</v>
      </c>
      <c r="N94" s="3210"/>
      <c r="O94" s="3302"/>
      <c r="P94" s="3302"/>
      <c r="Q94" s="3302"/>
      <c r="R94" s="3302"/>
      <c r="S94" s="3302"/>
      <c r="T94" s="3302"/>
      <c r="U94" s="3302"/>
      <c r="V94" s="3302"/>
      <c r="W94" s="3302"/>
      <c r="X94" s="3335"/>
      <c r="Y94" s="3293"/>
      <c r="Z94" s="1201"/>
      <c r="AA94" s="1201"/>
      <c r="AB94" s="1202"/>
      <c r="AC94" s="3293"/>
      <c r="AD94" s="1201"/>
      <c r="AE94" s="1201"/>
      <c r="AF94" s="1202"/>
      <c r="AI94" s="3120" t="str">
        <f>"15:field183:" &amp; IF(I94="■",1,IF(L94="■",2,0))</f>
        <v>15:field183:0</v>
      </c>
    </row>
    <row r="95" spans="1:37" s="3120" customFormat="1" ht="18.75" hidden="1" customHeight="1" x14ac:dyDescent="0.2">
      <c r="A95" s="834"/>
      <c r="B95" s="3148"/>
      <c r="C95" s="3160"/>
      <c r="D95" s="3144"/>
      <c r="E95" s="3145"/>
      <c r="F95" s="3144"/>
      <c r="G95" s="3175"/>
      <c r="H95" s="3165"/>
      <c r="I95" s="3164"/>
      <c r="J95" s="3163"/>
      <c r="K95" s="3163"/>
      <c r="L95" s="3164"/>
      <c r="M95" s="3163"/>
      <c r="N95" s="3163"/>
      <c r="O95" s="3139"/>
      <c r="P95" s="3139"/>
      <c r="Q95" s="3139"/>
      <c r="R95" s="3139"/>
      <c r="S95" s="3139"/>
      <c r="T95" s="3139"/>
      <c r="U95" s="3139"/>
      <c r="V95" s="3139"/>
      <c r="W95" s="3139"/>
      <c r="X95" s="3195"/>
      <c r="Y95" s="3293"/>
      <c r="Z95" s="1201"/>
      <c r="AA95" s="1201"/>
      <c r="AB95" s="1202"/>
      <c r="AC95" s="3293"/>
      <c r="AD95" s="1201"/>
      <c r="AE95" s="1201"/>
      <c r="AF95" s="1202"/>
    </row>
    <row r="96" spans="1:37" s="3120" customFormat="1" ht="18.75" hidden="1" customHeight="1" x14ac:dyDescent="0.2">
      <c r="A96" s="834"/>
      <c r="B96" s="3148"/>
      <c r="C96" s="3160"/>
      <c r="D96" s="3258" t="s">
        <v>116</v>
      </c>
      <c r="E96" s="3145" t="s">
        <v>2096</v>
      </c>
      <c r="F96" s="3144"/>
      <c r="G96" s="3175"/>
      <c r="H96" s="3170" t="s">
        <v>2097</v>
      </c>
      <c r="I96" s="3211" t="s">
        <v>116</v>
      </c>
      <c r="J96" s="3210" t="s">
        <v>1230</v>
      </c>
      <c r="K96" s="3210"/>
      <c r="L96" s="3211" t="s">
        <v>116</v>
      </c>
      <c r="M96" s="3210" t="s">
        <v>1233</v>
      </c>
      <c r="N96" s="3210"/>
      <c r="O96" s="3302"/>
      <c r="P96" s="3302"/>
      <c r="Q96" s="3302"/>
      <c r="R96" s="3302"/>
      <c r="S96" s="3302"/>
      <c r="T96" s="3302"/>
      <c r="U96" s="3302"/>
      <c r="V96" s="3302"/>
      <c r="W96" s="3302"/>
      <c r="X96" s="3335"/>
      <c r="Y96" s="3293"/>
      <c r="Z96" s="1201"/>
      <c r="AA96" s="1201"/>
      <c r="AB96" s="1202"/>
      <c r="AC96" s="3293"/>
      <c r="AD96" s="1201"/>
      <c r="AE96" s="1201"/>
      <c r="AF96" s="1202"/>
      <c r="AI96" s="3120" t="str">
        <f>"15:field184:" &amp; IF(I96="■",1,IF(L96="■",2,0))</f>
        <v>15:field184:0</v>
      </c>
    </row>
    <row r="97" spans="1:36" s="3120" customFormat="1" ht="18.75" hidden="1" customHeight="1" x14ac:dyDescent="0.2">
      <c r="A97" s="3158" t="s">
        <v>116</v>
      </c>
      <c r="B97" s="3148">
        <v>15</v>
      </c>
      <c r="C97" s="3160" t="s">
        <v>4</v>
      </c>
      <c r="D97" s="3258" t="s">
        <v>116</v>
      </c>
      <c r="E97" s="3145" t="s">
        <v>2095</v>
      </c>
      <c r="F97" s="3144"/>
      <c r="G97" s="3175"/>
      <c r="H97" s="3165"/>
      <c r="I97" s="3164"/>
      <c r="J97" s="3163"/>
      <c r="K97" s="3163"/>
      <c r="L97" s="3164"/>
      <c r="M97" s="3163"/>
      <c r="N97" s="3163"/>
      <c r="O97" s="3139"/>
      <c r="P97" s="3139"/>
      <c r="Q97" s="3139"/>
      <c r="R97" s="3139"/>
      <c r="S97" s="3139"/>
      <c r="T97" s="3139"/>
      <c r="U97" s="3139"/>
      <c r="V97" s="3139"/>
      <c r="W97" s="3139"/>
      <c r="X97" s="3195"/>
      <c r="Y97" s="3293"/>
      <c r="Z97" s="1201"/>
      <c r="AA97" s="1201"/>
      <c r="AB97" s="1202"/>
      <c r="AC97" s="3293"/>
      <c r="AD97" s="1201"/>
      <c r="AE97" s="1201"/>
      <c r="AF97" s="1202"/>
    </row>
    <row r="98" spans="1:36" s="3120" customFormat="1" ht="18.75" hidden="1" customHeight="1" x14ac:dyDescent="0.2">
      <c r="A98" s="834"/>
      <c r="B98" s="3148"/>
      <c r="C98" s="3160"/>
      <c r="D98" s="3258" t="s">
        <v>116</v>
      </c>
      <c r="E98" s="3145" t="s">
        <v>2093</v>
      </c>
      <c r="F98" s="3144"/>
      <c r="G98" s="3175"/>
      <c r="H98" s="3159" t="s">
        <v>2094</v>
      </c>
      <c r="I98" s="3155" t="s">
        <v>116</v>
      </c>
      <c r="J98" s="3137" t="s">
        <v>1230</v>
      </c>
      <c r="K98" s="3171"/>
      <c r="L98" s="3154" t="s">
        <v>116</v>
      </c>
      <c r="M98" s="3137" t="s">
        <v>1233</v>
      </c>
      <c r="N98" s="3153"/>
      <c r="O98" s="3153"/>
      <c r="P98" s="3153"/>
      <c r="Q98" s="3153"/>
      <c r="R98" s="3153"/>
      <c r="S98" s="3153"/>
      <c r="T98" s="3153"/>
      <c r="U98" s="3153"/>
      <c r="V98" s="3153"/>
      <c r="W98" s="3153"/>
      <c r="X98" s="3152"/>
      <c r="Y98" s="3293"/>
      <c r="Z98" s="1201"/>
      <c r="AA98" s="1201"/>
      <c r="AB98" s="1202"/>
      <c r="AC98" s="3293"/>
      <c r="AD98" s="1201"/>
      <c r="AE98" s="1201"/>
      <c r="AF98" s="1202"/>
      <c r="AI98" s="3120" t="str">
        <f>"15:field151:" &amp; IF(I98="■",1,IF(L98="■",2,0))</f>
        <v>15:field151:0</v>
      </c>
    </row>
    <row r="99" spans="1:36" s="3120" customFormat="1" ht="18.75" hidden="1" customHeight="1" x14ac:dyDescent="0.2">
      <c r="A99" s="834"/>
      <c r="B99" s="3148"/>
      <c r="C99" s="3160"/>
      <c r="D99" s="3144"/>
      <c r="E99" s="3145"/>
      <c r="F99" s="3144"/>
      <c r="G99" s="3175"/>
      <c r="H99" s="3142" t="s">
        <v>1255</v>
      </c>
      <c r="I99" s="3258" t="s">
        <v>116</v>
      </c>
      <c r="J99" s="3139" t="s">
        <v>1230</v>
      </c>
      <c r="K99" s="3139"/>
      <c r="L99" s="3154" t="s">
        <v>116</v>
      </c>
      <c r="M99" s="3139" t="s">
        <v>1231</v>
      </c>
      <c r="N99" s="3137"/>
      <c r="O99" s="3258" t="s">
        <v>116</v>
      </c>
      <c r="P99" s="3137" t="s">
        <v>1232</v>
      </c>
      <c r="Q99" s="3153"/>
      <c r="R99" s="3153"/>
      <c r="S99" s="3153"/>
      <c r="T99" s="3153"/>
      <c r="U99" s="3153"/>
      <c r="V99" s="3153"/>
      <c r="W99" s="3153"/>
      <c r="X99" s="3152"/>
      <c r="Y99" s="3293"/>
      <c r="Z99" s="1201"/>
      <c r="AA99" s="1201"/>
      <c r="AB99" s="1202"/>
      <c r="AC99" s="3293"/>
      <c r="AD99" s="1201"/>
      <c r="AE99" s="1201"/>
      <c r="AF99" s="1202"/>
      <c r="AI99" s="3120" t="str">
        <f>"15:nyukai_code:"&amp;IF(I99="■",1,IF(O99="■",3,IF(L99="■",2,0)))</f>
        <v>15:nyukai_code:0</v>
      </c>
    </row>
    <row r="100" spans="1:36" s="3120" customFormat="1" ht="18.75" hidden="1" customHeight="1" x14ac:dyDescent="0.2">
      <c r="A100" s="834"/>
      <c r="B100" s="3148"/>
      <c r="C100" s="3160"/>
      <c r="D100" s="3144"/>
      <c r="E100" s="3145"/>
      <c r="F100" s="3144"/>
      <c r="G100" s="3175"/>
      <c r="H100" s="3142" t="s">
        <v>2092</v>
      </c>
      <c r="I100" s="3303" t="s">
        <v>116</v>
      </c>
      <c r="J100" s="3137" t="s">
        <v>1230</v>
      </c>
      <c r="K100" s="3171"/>
      <c r="L100" s="3258" t="s">
        <v>116</v>
      </c>
      <c r="M100" s="3137" t="s">
        <v>1233</v>
      </c>
      <c r="N100" s="3153"/>
      <c r="O100" s="3153"/>
      <c r="P100" s="3153"/>
      <c r="Q100" s="3153"/>
      <c r="R100" s="3153"/>
      <c r="S100" s="3153"/>
      <c r="T100" s="3153"/>
      <c r="U100" s="3153"/>
      <c r="V100" s="3153"/>
      <c r="W100" s="3153"/>
      <c r="X100" s="3152"/>
      <c r="Y100" s="3293"/>
      <c r="Z100" s="1201"/>
      <c r="AA100" s="1201"/>
      <c r="AB100" s="1202"/>
      <c r="AC100" s="3293"/>
      <c r="AD100" s="1201"/>
      <c r="AE100" s="1201"/>
      <c r="AF100" s="1202"/>
      <c r="AI100" s="3120" t="str">
        <f>"15:field153:" &amp; IF(I100="■",1,IF(L100="■",2,0))</f>
        <v>15:field153:0</v>
      </c>
    </row>
    <row r="101" spans="1:36" s="3120" customFormat="1" ht="18.75" hidden="1" customHeight="1" x14ac:dyDescent="0.2">
      <c r="A101" s="834"/>
      <c r="B101" s="3148"/>
      <c r="C101" s="3160"/>
      <c r="D101" s="3144"/>
      <c r="E101" s="3145"/>
      <c r="F101" s="3144"/>
      <c r="G101" s="3175"/>
      <c r="H101" s="3142" t="s">
        <v>2091</v>
      </c>
      <c r="I101" s="3303" t="s">
        <v>116</v>
      </c>
      <c r="J101" s="3137" t="s">
        <v>1230</v>
      </c>
      <c r="K101" s="3137"/>
      <c r="L101" s="3301" t="s">
        <v>116</v>
      </c>
      <c r="M101" s="3137" t="s">
        <v>1239</v>
      </c>
      <c r="N101" s="3137"/>
      <c r="O101" s="3258" t="s">
        <v>116</v>
      </c>
      <c r="P101" s="3137" t="s">
        <v>2090</v>
      </c>
      <c r="Q101" s="3153"/>
      <c r="R101" s="3153"/>
      <c r="S101" s="3153"/>
      <c r="T101" s="3153"/>
      <c r="U101" s="3153"/>
      <c r="V101" s="3153"/>
      <c r="W101" s="3153"/>
      <c r="X101" s="3152"/>
      <c r="Y101" s="3293"/>
      <c r="Z101" s="1201"/>
      <c r="AA101" s="1201"/>
      <c r="AB101" s="1202"/>
      <c r="AC101" s="3293"/>
      <c r="AD101" s="1201"/>
      <c r="AE101" s="1201"/>
      <c r="AF101" s="1202"/>
      <c r="AI101" s="3120" t="str">
        <f>"15:field185:" &amp; IF(I101="■",1,IF(L101="■",3,IF(O101="■",2,0)))</f>
        <v>15:field185:0</v>
      </c>
    </row>
    <row r="102" spans="1:36" s="3120" customFormat="1" ht="18.75" hidden="1" customHeight="1" x14ac:dyDescent="0.2">
      <c r="A102" s="834"/>
      <c r="B102" s="3148"/>
      <c r="C102" s="3160"/>
      <c r="D102" s="3144"/>
      <c r="E102" s="3145"/>
      <c r="F102" s="3144"/>
      <c r="G102" s="3175"/>
      <c r="H102" s="3142" t="s">
        <v>2288</v>
      </c>
      <c r="I102" s="3303" t="s">
        <v>116</v>
      </c>
      <c r="J102" s="3137" t="s">
        <v>1230</v>
      </c>
      <c r="K102" s="3137"/>
      <c r="L102" s="3301" t="s">
        <v>116</v>
      </c>
      <c r="M102" s="3137" t="s">
        <v>2088</v>
      </c>
      <c r="N102" s="3157"/>
      <c r="O102" s="3157"/>
      <c r="P102" s="3258" t="s">
        <v>116</v>
      </c>
      <c r="Q102" s="3137" t="s">
        <v>2087</v>
      </c>
      <c r="R102" s="3157"/>
      <c r="S102" s="3157"/>
      <c r="T102" s="3157"/>
      <c r="U102" s="3157"/>
      <c r="V102" s="3157"/>
      <c r="W102" s="3157"/>
      <c r="X102" s="3156"/>
      <c r="Y102" s="3293"/>
      <c r="Z102" s="1201"/>
      <c r="AA102" s="1201"/>
      <c r="AB102" s="1202"/>
      <c r="AC102" s="3293"/>
      <c r="AD102" s="1201"/>
      <c r="AE102" s="1201"/>
      <c r="AF102" s="1202"/>
      <c r="AI102" s="3120" t="str">
        <f>"15:field205:" &amp; IF(I102="■",1,IF(P102="■",3,IF(L102="■",2,0)))</f>
        <v>15:field205:0</v>
      </c>
    </row>
    <row r="103" spans="1:36" s="3120" customFormat="1" ht="18.75" hidden="1" customHeight="1" x14ac:dyDescent="0.2">
      <c r="A103" s="834"/>
      <c r="B103" s="3148"/>
      <c r="C103" s="3160"/>
      <c r="D103" s="3144"/>
      <c r="E103" s="3145"/>
      <c r="F103" s="3144"/>
      <c r="G103" s="3175"/>
      <c r="H103" s="3142" t="s">
        <v>2169</v>
      </c>
      <c r="I103" s="3303" t="s">
        <v>116</v>
      </c>
      <c r="J103" s="3137" t="s">
        <v>1230</v>
      </c>
      <c r="K103" s="3171"/>
      <c r="L103" s="3154" t="s">
        <v>116</v>
      </c>
      <c r="M103" s="3137" t="s">
        <v>1233</v>
      </c>
      <c r="N103" s="3153"/>
      <c r="O103" s="3153"/>
      <c r="P103" s="3153"/>
      <c r="Q103" s="3153"/>
      <c r="R103" s="3153"/>
      <c r="S103" s="3153"/>
      <c r="T103" s="3153"/>
      <c r="U103" s="3153"/>
      <c r="V103" s="3153"/>
      <c r="W103" s="3153"/>
      <c r="X103" s="3152"/>
      <c r="Y103" s="3293"/>
      <c r="Z103" s="1201"/>
      <c r="AA103" s="1201"/>
      <c r="AB103" s="1202"/>
      <c r="AC103" s="3293"/>
      <c r="AD103" s="1201"/>
      <c r="AE103" s="1201"/>
      <c r="AF103" s="1202"/>
      <c r="AI103" s="3120" t="str">
        <f>"15:field186:" &amp; IF(I103="■",1,IF(L103="■",2,0))</f>
        <v>15:field186:0</v>
      </c>
    </row>
    <row r="104" spans="1:36" s="3120" customFormat="1" ht="18.75" hidden="1" customHeight="1" x14ac:dyDescent="0.2">
      <c r="A104" s="834"/>
      <c r="B104" s="3148"/>
      <c r="C104" s="3160"/>
      <c r="D104" s="3144"/>
      <c r="E104" s="3145"/>
      <c r="F104" s="3144"/>
      <c r="G104" s="3175"/>
      <c r="H104" s="3151" t="s">
        <v>2085</v>
      </c>
      <c r="I104" s="3303" t="s">
        <v>116</v>
      </c>
      <c r="J104" s="3137" t="s">
        <v>1230</v>
      </c>
      <c r="K104" s="3171"/>
      <c r="L104" s="3258" t="s">
        <v>116</v>
      </c>
      <c r="M104" s="3137" t="s">
        <v>1233</v>
      </c>
      <c r="N104" s="3153"/>
      <c r="O104" s="3153"/>
      <c r="P104" s="3153"/>
      <c r="Q104" s="3153"/>
      <c r="R104" s="3153"/>
      <c r="S104" s="3153"/>
      <c r="T104" s="3153"/>
      <c r="U104" s="3153"/>
      <c r="V104" s="3153"/>
      <c r="W104" s="3153"/>
      <c r="X104" s="3152"/>
      <c r="Y104" s="3293"/>
      <c r="Z104" s="1201"/>
      <c r="AA104" s="1201"/>
      <c r="AB104" s="1202"/>
      <c r="AC104" s="3293"/>
      <c r="AD104" s="1201"/>
      <c r="AE104" s="1201"/>
      <c r="AF104" s="1202"/>
      <c r="AI104" s="3120" t="str">
        <f>"15:field167:" &amp; IF(I104="■",1,IF(L104="■",2,0))</f>
        <v>15:field167:0</v>
      </c>
    </row>
    <row r="105" spans="1:36" s="3120" customFormat="1" ht="18.75" hidden="1" customHeight="1" x14ac:dyDescent="0.2">
      <c r="A105" s="834"/>
      <c r="B105" s="3148"/>
      <c r="C105" s="3160"/>
      <c r="D105" s="3144"/>
      <c r="E105" s="3145"/>
      <c r="F105" s="3144"/>
      <c r="G105" s="3175"/>
      <c r="H105" s="3151" t="s">
        <v>1256</v>
      </c>
      <c r="I105" s="3155" t="s">
        <v>116</v>
      </c>
      <c r="J105" s="3137" t="s">
        <v>1230</v>
      </c>
      <c r="K105" s="3171"/>
      <c r="L105" s="3154" t="s">
        <v>116</v>
      </c>
      <c r="M105" s="3137" t="s">
        <v>1233</v>
      </c>
      <c r="N105" s="3153"/>
      <c r="O105" s="3153"/>
      <c r="P105" s="3153"/>
      <c r="Q105" s="3153"/>
      <c r="R105" s="3153"/>
      <c r="S105" s="3153"/>
      <c r="T105" s="3153"/>
      <c r="U105" s="3153"/>
      <c r="V105" s="3153"/>
      <c r="W105" s="3153"/>
      <c r="X105" s="3152"/>
      <c r="Y105" s="3293"/>
      <c r="Z105" s="1201"/>
      <c r="AA105" s="1201"/>
      <c r="AB105" s="1202"/>
      <c r="AC105" s="3293"/>
      <c r="AD105" s="1201"/>
      <c r="AE105" s="1201"/>
      <c r="AF105" s="1202"/>
      <c r="AI105" s="3120" t="str">
        <f>"15:jyakuninti_uke_code:" &amp; IF(I105="■",1,IF(L105="■",2,0))</f>
        <v>15:jyakuninti_uke_code:0</v>
      </c>
    </row>
    <row r="106" spans="1:36" s="3120" customFormat="1" ht="18.75" hidden="1" customHeight="1" x14ac:dyDescent="0.2">
      <c r="A106" s="834"/>
      <c r="B106" s="3148"/>
      <c r="C106" s="3160"/>
      <c r="D106" s="3144"/>
      <c r="E106" s="3145"/>
      <c r="F106" s="3144"/>
      <c r="G106" s="3175"/>
      <c r="H106" s="3243" t="s">
        <v>1257</v>
      </c>
      <c r="I106" s="3154" t="s">
        <v>116</v>
      </c>
      <c r="J106" s="3137" t="s">
        <v>1230</v>
      </c>
      <c r="K106" s="3171"/>
      <c r="L106" s="3140" t="s">
        <v>116</v>
      </c>
      <c r="M106" s="3137" t="s">
        <v>1233</v>
      </c>
      <c r="N106" s="3153"/>
      <c r="O106" s="3153"/>
      <c r="P106" s="3153"/>
      <c r="Q106" s="3153"/>
      <c r="R106" s="3153"/>
      <c r="S106" s="3153"/>
      <c r="T106" s="3153"/>
      <c r="U106" s="3153"/>
      <c r="V106" s="3153"/>
      <c r="W106" s="3153"/>
      <c r="X106" s="3152"/>
      <c r="Y106" s="3293"/>
      <c r="Z106" s="1201"/>
      <c r="AA106" s="1201"/>
      <c r="AB106" s="1202"/>
      <c r="AC106" s="3293"/>
      <c r="AD106" s="1201"/>
      <c r="AE106" s="1201"/>
      <c r="AF106" s="1202"/>
      <c r="AI106" s="3120" t="str">
        <f>"15:eiyomana_code:" &amp; IF(I106="■",1,IF(L106="■",2,0))</f>
        <v>15:eiyomana_code:0</v>
      </c>
    </row>
    <row r="107" spans="1:36" s="3120" customFormat="1" ht="18.75" hidden="1" customHeight="1" x14ac:dyDescent="0.2">
      <c r="A107" s="834"/>
      <c r="B107" s="3148"/>
      <c r="C107" s="3160"/>
      <c r="D107" s="3144"/>
      <c r="E107" s="3145"/>
      <c r="F107" s="3144"/>
      <c r="G107" s="3175"/>
      <c r="H107" s="3142" t="s">
        <v>1258</v>
      </c>
      <c r="I107" s="3155" t="s">
        <v>116</v>
      </c>
      <c r="J107" s="3137" t="s">
        <v>1230</v>
      </c>
      <c r="K107" s="3171"/>
      <c r="L107" s="3140" t="s">
        <v>116</v>
      </c>
      <c r="M107" s="3137" t="s">
        <v>1233</v>
      </c>
      <c r="N107" s="3153"/>
      <c r="O107" s="3153"/>
      <c r="P107" s="3153"/>
      <c r="Q107" s="3153"/>
      <c r="R107" s="3153"/>
      <c r="S107" s="3153"/>
      <c r="T107" s="3153"/>
      <c r="U107" s="3153"/>
      <c r="V107" s="3153"/>
      <c r="W107" s="3153"/>
      <c r="X107" s="3152"/>
      <c r="Y107" s="3293"/>
      <c r="Z107" s="1201"/>
      <c r="AA107" s="1201"/>
      <c r="AB107" s="1202"/>
      <c r="AC107" s="3293"/>
      <c r="AD107" s="1201"/>
      <c r="AE107" s="1201"/>
      <c r="AF107" s="1202"/>
      <c r="AI107" s="3120" t="str">
        <f>"15:koukoukino_code:" &amp; IF(I107="■",1,IF(L107="■",2,0))</f>
        <v>15:koukoukino_code:0</v>
      </c>
    </row>
    <row r="108" spans="1:36" s="3120" customFormat="1" ht="18.75" hidden="1" customHeight="1" x14ac:dyDescent="0.2">
      <c r="A108" s="834"/>
      <c r="B108" s="3148"/>
      <c r="C108" s="3160"/>
      <c r="D108" s="3144"/>
      <c r="E108" s="3145"/>
      <c r="F108" s="3144"/>
      <c r="G108" s="3175"/>
      <c r="H108" s="3142" t="s">
        <v>797</v>
      </c>
      <c r="I108" s="3258" t="s">
        <v>116</v>
      </c>
      <c r="J108" s="3137" t="s">
        <v>1230</v>
      </c>
      <c r="K108" s="3171"/>
      <c r="L108" s="3140" t="s">
        <v>116</v>
      </c>
      <c r="M108" s="3137" t="s">
        <v>1233</v>
      </c>
      <c r="N108" s="3153"/>
      <c r="O108" s="3153"/>
      <c r="P108" s="3153"/>
      <c r="Q108" s="3153"/>
      <c r="R108" s="3153"/>
      <c r="S108" s="3153"/>
      <c r="T108" s="3153"/>
      <c r="U108" s="3153"/>
      <c r="V108" s="3153"/>
      <c r="W108" s="3153"/>
      <c r="X108" s="3152"/>
      <c r="Y108" s="3293"/>
      <c r="Z108" s="1201"/>
      <c r="AA108" s="1201"/>
      <c r="AB108" s="1202"/>
      <c r="AC108" s="3293"/>
      <c r="AD108" s="1201"/>
      <c r="AE108" s="1201"/>
      <c r="AF108" s="1202"/>
      <c r="AI108" s="3120" t="str">
        <f>"15:field212:" &amp; IF(I108="■",1,IF(L108="■",2,0))</f>
        <v>15:field212:0</v>
      </c>
    </row>
    <row r="109" spans="1:36" s="3120" customFormat="1" ht="18.75" hidden="1" customHeight="1" x14ac:dyDescent="0.2">
      <c r="A109" s="834"/>
      <c r="B109" s="3148"/>
      <c r="C109" s="3160"/>
      <c r="D109" s="3144"/>
      <c r="E109" s="3145"/>
      <c r="F109" s="3144"/>
      <c r="G109" s="3175"/>
      <c r="H109" s="3151" t="s">
        <v>238</v>
      </c>
      <c r="I109" s="3155" t="s">
        <v>116</v>
      </c>
      <c r="J109" s="3137" t="s">
        <v>1230</v>
      </c>
      <c r="K109" s="3137"/>
      <c r="L109" s="3258" t="s">
        <v>116</v>
      </c>
      <c r="M109" s="3137" t="s">
        <v>1259</v>
      </c>
      <c r="N109" s="3137"/>
      <c r="O109" s="3258" t="s">
        <v>116</v>
      </c>
      <c r="P109" s="3137" t="s">
        <v>1260</v>
      </c>
      <c r="Q109" s="3137"/>
      <c r="R109" s="3258" t="s">
        <v>116</v>
      </c>
      <c r="S109" s="3137" t="s">
        <v>1261</v>
      </c>
      <c r="T109" s="3137"/>
      <c r="U109" s="3153"/>
      <c r="V109" s="3153"/>
      <c r="W109" s="3153"/>
      <c r="X109" s="3152"/>
      <c r="Y109" s="3293"/>
      <c r="Z109" s="1201"/>
      <c r="AA109" s="1201"/>
      <c r="AB109" s="1202"/>
      <c r="AC109" s="3293"/>
      <c r="AD109" s="1201"/>
      <c r="AE109" s="1201"/>
      <c r="AF109" s="1202"/>
      <c r="AI109" s="3120" t="str">
        <f>"15:serteikyo_kyoka_code:" &amp; IF(I109="■",1,IF(L109="■",6,IF(O109="■",5,IF(R109="■",7,0))))</f>
        <v>15:serteikyo_kyoka_code:0</v>
      </c>
    </row>
    <row r="110" spans="1:36" s="3120" customFormat="1" ht="18.75" hidden="1" customHeight="1" x14ac:dyDescent="0.2">
      <c r="A110" s="835"/>
      <c r="B110" s="3135"/>
      <c r="C110" s="3134"/>
      <c r="D110" s="3133"/>
      <c r="E110" s="3132"/>
      <c r="F110" s="3131"/>
      <c r="G110" s="3189"/>
      <c r="H110" s="3289" t="s">
        <v>2129</v>
      </c>
      <c r="I110" s="3128" t="s">
        <v>116</v>
      </c>
      <c r="J110" s="3285" t="s">
        <v>1230</v>
      </c>
      <c r="K110" s="3285"/>
      <c r="L110" s="3127" t="s">
        <v>116</v>
      </c>
      <c r="M110" s="3285" t="s">
        <v>2128</v>
      </c>
      <c r="N110" s="3288"/>
      <c r="O110" s="3127" t="s">
        <v>116</v>
      </c>
      <c r="P110" s="3287" t="s">
        <v>2127</v>
      </c>
      <c r="Q110" s="3286"/>
      <c r="R110" s="3127" t="s">
        <v>116</v>
      </c>
      <c r="S110" s="3285" t="s">
        <v>2126</v>
      </c>
      <c r="T110" s="3286"/>
      <c r="U110" s="3127" t="s">
        <v>116</v>
      </c>
      <c r="V110" s="3285" t="s">
        <v>2125</v>
      </c>
      <c r="W110" s="3284"/>
      <c r="X110" s="3283"/>
      <c r="Y110" s="3282"/>
      <c r="Z110" s="3282"/>
      <c r="AA110" s="3282"/>
      <c r="AB110" s="3281"/>
      <c r="AC110" s="3340"/>
      <c r="AD110" s="3282"/>
      <c r="AE110" s="3282"/>
      <c r="AF110" s="3281"/>
      <c r="AI110" s="3120" t="str">
        <f>"15:shoguukaizen_code:"&amp;IF(I110="■",1,IF(L110="■",7,IF(O110="■",8,IF(R110="■",9,IF(U110="■","A",0)))))</f>
        <v>15:shoguukaizen_code:0</v>
      </c>
    </row>
    <row r="111" spans="1:36" s="3120" customFormat="1" ht="18.75" customHeight="1" x14ac:dyDescent="0.2">
      <c r="A111" s="3188"/>
      <c r="B111" s="3187"/>
      <c r="C111" s="3229"/>
      <c r="D111" s="3228"/>
      <c r="E111" s="3185"/>
      <c r="F111" s="3228"/>
      <c r="G111" s="3266"/>
      <c r="H111" s="3424" t="s">
        <v>235</v>
      </c>
      <c r="I111" s="3253" t="s">
        <v>116</v>
      </c>
      <c r="J111" s="3252" t="s">
        <v>1230</v>
      </c>
      <c r="K111" s="3252"/>
      <c r="L111" s="3386"/>
      <c r="M111" s="3310" t="s">
        <v>116</v>
      </c>
      <c r="N111" s="3252" t="s">
        <v>1262</v>
      </c>
      <c r="O111" s="3252"/>
      <c r="P111" s="3386"/>
      <c r="Q111" s="3310" t="s">
        <v>116</v>
      </c>
      <c r="R111" s="3309" t="s">
        <v>1263</v>
      </c>
      <c r="S111" s="3309"/>
      <c r="T111" s="3309"/>
      <c r="U111" s="3310" t="s">
        <v>116</v>
      </c>
      <c r="V111" s="3309" t="s">
        <v>1264</v>
      </c>
      <c r="W111" s="3309"/>
      <c r="X111" s="3266"/>
      <c r="Y111" s="3253" t="s">
        <v>116</v>
      </c>
      <c r="Z111" s="3252" t="s">
        <v>1225</v>
      </c>
      <c r="AA111" s="3252"/>
      <c r="AB111" s="3308"/>
      <c r="AC111" s="3338"/>
      <c r="AD111" s="3338"/>
      <c r="AE111" s="3338"/>
      <c r="AF111" s="3338"/>
      <c r="AG111" s="3120" t="str">
        <f>"ser_code = '" &amp; IF(A122="■",16,"") &amp; "'"</f>
        <v>ser_code = ''</v>
      </c>
      <c r="AI111" s="3120" t="str">
        <f>"16:"&amp;IF(AND(I111="□",M111="□",Q111="□",U111="□",I112="□",M112="□",Q112="□"),"ketu_doctor_code:0",IF(I111="■","ketu_doctor_code:1:ketu_kangos_code:1:ketu_kshoku_code:1:ketu_rryoho_code:1:ketu_sryoho_code:1:ketu_gengo_code:1",
IF(M111="■","ketu_doctor_code:2","ketu_doctor_code:1")
&amp;IF(Q111="■",":ketu_kangos_code:2",":ketu_kangos_code:1")
&amp;IF(U111="■",":ketu_kshoku_code:2",":ketu_kshoku_code:1")
&amp;IF(I112="■",":ketu_rryoho_code:2",":ketu_rryoho_code:1")
&amp;IF(M112="■",":ketu_sryoho_code:2",":ketu_sryoho_code:1")
&amp;IF(Q112="■",":ketu_gengo_code:2",":ketu_gengo_code:1")))</f>
        <v>16:ketu_doctor_code:0</v>
      </c>
      <c r="AJ111" s="3120" t="str">
        <f>"16:field203:" &amp; IF(Y111="■",1,IF(Y112="■",2,0))</f>
        <v>16:field203:0</v>
      </c>
    </row>
    <row r="112" spans="1:36" s="3120" customFormat="1" ht="18.75" customHeight="1" x14ac:dyDescent="0.2">
      <c r="A112" s="834"/>
      <c r="B112" s="3148"/>
      <c r="C112" s="3147"/>
      <c r="D112" s="3146"/>
      <c r="E112" s="3145"/>
      <c r="F112" s="3146"/>
      <c r="G112" s="3336"/>
      <c r="H112" s="3423"/>
      <c r="I112" s="3258" t="s">
        <v>116</v>
      </c>
      <c r="J112" s="3139" t="s">
        <v>1265</v>
      </c>
      <c r="K112" s="3162"/>
      <c r="L112" s="3162"/>
      <c r="M112" s="3258" t="s">
        <v>116</v>
      </c>
      <c r="N112" s="3139" t="s">
        <v>1266</v>
      </c>
      <c r="O112" s="3162"/>
      <c r="P112" s="3162"/>
      <c r="Q112" s="3258" t="s">
        <v>116</v>
      </c>
      <c r="R112" s="3139" t="s">
        <v>1267</v>
      </c>
      <c r="S112" s="3162"/>
      <c r="T112" s="3162"/>
      <c r="U112" s="3162"/>
      <c r="V112" s="3162"/>
      <c r="W112" s="3162"/>
      <c r="X112" s="3161"/>
      <c r="Y112" s="3258" t="s">
        <v>116</v>
      </c>
      <c r="Z112" s="1200" t="s">
        <v>1226</v>
      </c>
      <c r="AA112" s="1201"/>
      <c r="AB112" s="1202"/>
      <c r="AC112" s="3349"/>
      <c r="AD112" s="3349"/>
      <c r="AE112" s="3349"/>
      <c r="AF112" s="3349"/>
      <c r="AG112" s="3120" t="str">
        <f>"16:sisetukbn_code:" &amp; IF(D118="■",4,IF(D119="■",7,IF(D120="■","A",IF(D121="■","D",IF(D122="■","E",IF(D123="■","F",IF(D124="■","G",IF(D125="■","H",IF(D126="■","J",0)))))))))</f>
        <v>16:sisetukbn_code:0</v>
      </c>
    </row>
    <row r="113" spans="1:35" s="3120" customFormat="1" ht="19.5" customHeight="1" x14ac:dyDescent="0.2">
      <c r="A113" s="834"/>
      <c r="B113" s="3148"/>
      <c r="C113" s="3147"/>
      <c r="D113" s="3146"/>
      <c r="E113" s="3145"/>
      <c r="F113" s="3144"/>
      <c r="G113" s="3175"/>
      <c r="H113" s="3174" t="s">
        <v>1227</v>
      </c>
      <c r="I113" s="3155" t="s">
        <v>116</v>
      </c>
      <c r="J113" s="3137" t="s">
        <v>1228</v>
      </c>
      <c r="K113" s="3171"/>
      <c r="L113" s="3173"/>
      <c r="M113" s="3154" t="s">
        <v>116</v>
      </c>
      <c r="N113" s="3137" t="s">
        <v>1229</v>
      </c>
      <c r="O113" s="3299"/>
      <c r="P113" s="3137"/>
      <c r="Q113" s="3150"/>
      <c r="R113" s="3150"/>
      <c r="S113" s="3150"/>
      <c r="T113" s="3150"/>
      <c r="U113" s="3150"/>
      <c r="V113" s="3150"/>
      <c r="W113" s="3150"/>
      <c r="X113" s="3149"/>
      <c r="Y113" s="1201"/>
      <c r="Z113" s="1201"/>
      <c r="AA113" s="1201"/>
      <c r="AB113" s="1202"/>
      <c r="AC113" s="3349"/>
      <c r="AD113" s="3349"/>
      <c r="AE113" s="3349"/>
      <c r="AF113" s="3349"/>
      <c r="AI113" s="3120" t="str">
        <f>"16:field223:" &amp; IF(I113="■",1,IF(M113="■",2,0))</f>
        <v>16:field223:0</v>
      </c>
    </row>
    <row r="114" spans="1:35" s="3120" customFormat="1" ht="19.5" customHeight="1" x14ac:dyDescent="0.2">
      <c r="A114" s="834"/>
      <c r="B114" s="3148"/>
      <c r="C114" s="3147"/>
      <c r="D114" s="3146"/>
      <c r="E114" s="3145"/>
      <c r="F114" s="3144"/>
      <c r="G114" s="3175"/>
      <c r="H114" s="3174" t="s">
        <v>1253</v>
      </c>
      <c r="I114" s="3155" t="s">
        <v>116</v>
      </c>
      <c r="J114" s="3137" t="s">
        <v>1228</v>
      </c>
      <c r="K114" s="3171"/>
      <c r="L114" s="3173"/>
      <c r="M114" s="3154" t="s">
        <v>116</v>
      </c>
      <c r="N114" s="3137" t="s">
        <v>1229</v>
      </c>
      <c r="O114" s="3299"/>
      <c r="P114" s="3137"/>
      <c r="Q114" s="3150"/>
      <c r="R114" s="3150"/>
      <c r="S114" s="3150"/>
      <c r="T114" s="3150"/>
      <c r="U114" s="3150"/>
      <c r="V114" s="3150"/>
      <c r="W114" s="3150"/>
      <c r="X114" s="3149"/>
      <c r="Y114" s="1201"/>
      <c r="Z114" s="1201"/>
      <c r="AA114" s="1201"/>
      <c r="AB114" s="1202"/>
      <c r="AC114" s="3349"/>
      <c r="AD114" s="3349"/>
      <c r="AE114" s="3349"/>
      <c r="AF114" s="3349"/>
      <c r="AI114" s="3120" t="str">
        <f>"16:field232:" &amp; IF(I114="■",1,IF(M114="■",2,0))</f>
        <v>16:field232:0</v>
      </c>
    </row>
    <row r="115" spans="1:35" s="3120" customFormat="1" ht="18.75" customHeight="1" x14ac:dyDescent="0.2">
      <c r="A115" s="834"/>
      <c r="B115" s="3148"/>
      <c r="C115" s="3147"/>
      <c r="D115" s="3146"/>
      <c r="E115" s="3145"/>
      <c r="F115" s="3146"/>
      <c r="G115" s="3336"/>
      <c r="H115" s="3422" t="s">
        <v>1254</v>
      </c>
      <c r="I115" s="3248" t="s">
        <v>116</v>
      </c>
      <c r="J115" s="3210" t="s">
        <v>1230</v>
      </c>
      <c r="K115" s="3210"/>
      <c r="L115" s="3298" t="s">
        <v>116</v>
      </c>
      <c r="M115" s="3210" t="s">
        <v>1233</v>
      </c>
      <c r="N115" s="3210"/>
      <c r="O115" s="3167"/>
      <c r="P115" s="3167"/>
      <c r="Q115" s="3167"/>
      <c r="R115" s="3167"/>
      <c r="S115" s="3167"/>
      <c r="T115" s="3167"/>
      <c r="U115" s="3167"/>
      <c r="V115" s="3167"/>
      <c r="W115" s="3167"/>
      <c r="X115" s="3166"/>
      <c r="Y115" s="3293"/>
      <c r="Z115" s="1201"/>
      <c r="AA115" s="1201"/>
      <c r="AB115" s="1202"/>
      <c r="AC115" s="3333"/>
      <c r="AD115" s="3333"/>
      <c r="AE115" s="3333"/>
      <c r="AF115" s="3333"/>
      <c r="AI115" s="3120" t="str">
        <f>"16:field204:" &amp; IF(I115="■",1,IF(L115="■",2,0))</f>
        <v>16:field204:0</v>
      </c>
    </row>
    <row r="116" spans="1:35" s="3120" customFormat="1" ht="18.75" customHeight="1" x14ac:dyDescent="0.2">
      <c r="A116" s="834"/>
      <c r="B116" s="3148"/>
      <c r="C116" s="3147"/>
      <c r="D116" s="3146"/>
      <c r="E116" s="3145"/>
      <c r="F116" s="3146"/>
      <c r="G116" s="3336"/>
      <c r="H116" s="3422"/>
      <c r="I116" s="3202"/>
      <c r="J116" s="3168"/>
      <c r="K116" s="3168"/>
      <c r="L116" s="3201"/>
      <c r="M116" s="3168"/>
      <c r="N116" s="3168"/>
      <c r="O116" s="836"/>
      <c r="P116" s="836"/>
      <c r="Q116" s="836"/>
      <c r="R116" s="836"/>
      <c r="S116" s="836"/>
      <c r="T116" s="836"/>
      <c r="U116" s="836"/>
      <c r="V116" s="836"/>
      <c r="W116" s="836"/>
      <c r="X116" s="3336"/>
      <c r="Y116" s="3293"/>
      <c r="Z116" s="1201"/>
      <c r="AA116" s="1201"/>
      <c r="AB116" s="1202"/>
      <c r="AC116" s="3333"/>
      <c r="AD116" s="3333"/>
      <c r="AE116" s="3333"/>
      <c r="AF116" s="3333"/>
    </row>
    <row r="117" spans="1:35" s="3120" customFormat="1" ht="18.75" customHeight="1" x14ac:dyDescent="0.2">
      <c r="A117" s="834"/>
      <c r="B117" s="3148"/>
      <c r="C117" s="3147"/>
      <c r="D117" s="3146"/>
      <c r="E117" s="3145"/>
      <c r="F117" s="3146"/>
      <c r="G117" s="3336"/>
      <c r="H117" s="3422"/>
      <c r="I117" s="3200"/>
      <c r="J117" s="3163"/>
      <c r="K117" s="3163"/>
      <c r="L117" s="3199"/>
      <c r="M117" s="3163"/>
      <c r="N117" s="3163"/>
      <c r="O117" s="3162"/>
      <c r="P117" s="3162"/>
      <c r="Q117" s="3162"/>
      <c r="R117" s="3162"/>
      <c r="S117" s="3162"/>
      <c r="T117" s="3162"/>
      <c r="U117" s="3162"/>
      <c r="V117" s="3162"/>
      <c r="W117" s="3162"/>
      <c r="X117" s="3161"/>
      <c r="Y117" s="3293"/>
      <c r="Z117" s="1201"/>
      <c r="AA117" s="1201"/>
      <c r="AB117" s="1202"/>
      <c r="AC117" s="3333"/>
      <c r="AD117" s="3333"/>
      <c r="AE117" s="3333"/>
      <c r="AF117" s="3333"/>
    </row>
    <row r="118" spans="1:35" s="3120" customFormat="1" ht="18.75" customHeight="1" x14ac:dyDescent="0.2">
      <c r="A118" s="834"/>
      <c r="B118" s="3148"/>
      <c r="C118" s="3147"/>
      <c r="D118" s="3258" t="s">
        <v>116</v>
      </c>
      <c r="E118" s="3145" t="s">
        <v>1270</v>
      </c>
      <c r="F118" s="3146"/>
      <c r="G118" s="3336"/>
      <c r="H118" s="3151" t="s">
        <v>143</v>
      </c>
      <c r="I118" s="3155" t="s">
        <v>116</v>
      </c>
      <c r="J118" s="3137" t="s">
        <v>1240</v>
      </c>
      <c r="K118" s="3171"/>
      <c r="L118" s="3173"/>
      <c r="M118" s="3154" t="s">
        <v>116</v>
      </c>
      <c r="N118" s="3137" t="s">
        <v>1241</v>
      </c>
      <c r="O118" s="3150"/>
      <c r="P118" s="3150"/>
      <c r="Q118" s="3150"/>
      <c r="R118" s="3150"/>
      <c r="S118" s="3150"/>
      <c r="T118" s="3150"/>
      <c r="U118" s="3150"/>
      <c r="V118" s="3150"/>
      <c r="W118" s="3150"/>
      <c r="X118" s="3149"/>
      <c r="Y118" s="3293"/>
      <c r="Z118" s="1201"/>
      <c r="AA118" s="1201"/>
      <c r="AB118" s="1202"/>
      <c r="AC118" s="3333"/>
      <c r="AD118" s="3333"/>
      <c r="AE118" s="3333"/>
      <c r="AF118" s="3333"/>
      <c r="AI118" s="3120" t="str">
        <f>"16:timeser_code:" &amp; IF(I118="■",1,IF(M118="■",2,0))</f>
        <v>16:timeser_code:0</v>
      </c>
    </row>
    <row r="119" spans="1:35" s="3120" customFormat="1" ht="18.75" customHeight="1" x14ac:dyDescent="0.2">
      <c r="A119" s="834"/>
      <c r="B119" s="3148"/>
      <c r="C119" s="3147"/>
      <c r="D119" s="3258" t="s">
        <v>116</v>
      </c>
      <c r="E119" s="3145" t="s">
        <v>1271</v>
      </c>
      <c r="F119" s="3146"/>
      <c r="G119" s="3336"/>
      <c r="H119" s="3334" t="s">
        <v>1268</v>
      </c>
      <c r="I119" s="3155" t="s">
        <v>116</v>
      </c>
      <c r="J119" s="3137" t="s">
        <v>1230</v>
      </c>
      <c r="K119" s="3171"/>
      <c r="L119" s="3154" t="s">
        <v>116</v>
      </c>
      <c r="M119" s="3137" t="s">
        <v>1233</v>
      </c>
      <c r="N119" s="3153"/>
      <c r="O119" s="3153"/>
      <c r="P119" s="3153"/>
      <c r="Q119" s="3153"/>
      <c r="R119" s="3153"/>
      <c r="S119" s="3153"/>
      <c r="T119" s="3153"/>
      <c r="U119" s="3153"/>
      <c r="V119" s="3153"/>
      <c r="W119" s="3153"/>
      <c r="X119" s="3152"/>
      <c r="Y119" s="3293"/>
      <c r="Z119" s="1201"/>
      <c r="AA119" s="1201"/>
      <c r="AB119" s="1202"/>
      <c r="AC119" s="3333"/>
      <c r="AD119" s="3333"/>
      <c r="AE119" s="3333"/>
      <c r="AF119" s="3333"/>
      <c r="AI119" s="3120" t="str">
        <f>"16:field188:" &amp; IF(I119="■",1,IF(L119="■",2,0))</f>
        <v>16:field188:0</v>
      </c>
    </row>
    <row r="120" spans="1:35" s="3120" customFormat="1" ht="18.75" customHeight="1" x14ac:dyDescent="0.2">
      <c r="A120" s="834"/>
      <c r="B120" s="3148"/>
      <c r="C120" s="3147"/>
      <c r="D120" s="3258" t="s">
        <v>116</v>
      </c>
      <c r="E120" s="3145" t="s">
        <v>1272</v>
      </c>
      <c r="F120" s="3146"/>
      <c r="G120" s="3336"/>
      <c r="H120" s="3142" t="s">
        <v>1255</v>
      </c>
      <c r="I120" s="3155" t="s">
        <v>116</v>
      </c>
      <c r="J120" s="3137" t="s">
        <v>1230</v>
      </c>
      <c r="K120" s="3137"/>
      <c r="L120" s="3154" t="s">
        <v>116</v>
      </c>
      <c r="M120" s="3137" t="s">
        <v>1231</v>
      </c>
      <c r="N120" s="3137"/>
      <c r="O120" s="3154" t="s">
        <v>116</v>
      </c>
      <c r="P120" s="3137" t="s">
        <v>1232</v>
      </c>
      <c r="Q120" s="3153"/>
      <c r="R120" s="3153"/>
      <c r="S120" s="3153"/>
      <c r="T120" s="3153"/>
      <c r="U120" s="3153"/>
      <c r="V120" s="3153"/>
      <c r="W120" s="3153"/>
      <c r="X120" s="3152"/>
      <c r="Y120" s="3293"/>
      <c r="Z120" s="1201"/>
      <c r="AA120" s="1201"/>
      <c r="AB120" s="1202"/>
      <c r="AC120" s="3333"/>
      <c r="AD120" s="3333"/>
      <c r="AE120" s="3333"/>
      <c r="AF120" s="3333"/>
      <c r="AI120" s="3120" t="str">
        <f>"16:nyukai_code:" &amp; IF(I120="■",1,IF(O120="■",3,IF(L120="■",2,0)))</f>
        <v>16:nyukai_code:0</v>
      </c>
    </row>
    <row r="121" spans="1:35" s="3120" customFormat="1" ht="18.75" customHeight="1" x14ac:dyDescent="0.2">
      <c r="A121" s="834"/>
      <c r="B121" s="3148"/>
      <c r="C121" s="3147"/>
      <c r="D121" s="3258" t="s">
        <v>116</v>
      </c>
      <c r="E121" s="3145" t="s">
        <v>2055</v>
      </c>
      <c r="F121" s="3146"/>
      <c r="G121" s="3336"/>
      <c r="H121" s="3421" t="s">
        <v>1248</v>
      </c>
      <c r="I121" s="3420" t="s">
        <v>116</v>
      </c>
      <c r="J121" s="3419" t="s">
        <v>1230</v>
      </c>
      <c r="K121" s="3419"/>
      <c r="L121" s="3418"/>
      <c r="M121" s="3417" t="s">
        <v>116</v>
      </c>
      <c r="N121" s="3419" t="s">
        <v>2053</v>
      </c>
      <c r="O121" s="3419"/>
      <c r="P121" s="3418"/>
      <c r="Q121" s="3417" t="s">
        <v>116</v>
      </c>
      <c r="R121" s="3416" t="s">
        <v>2054</v>
      </c>
      <c r="S121" s="3416"/>
      <c r="T121" s="3416"/>
      <c r="U121" s="3417" t="s">
        <v>116</v>
      </c>
      <c r="V121" s="3416" t="s">
        <v>1269</v>
      </c>
      <c r="W121" s="3416"/>
      <c r="X121" s="3415"/>
      <c r="Y121" s="3293"/>
      <c r="Z121" s="1201"/>
      <c r="AA121" s="1201"/>
      <c r="AB121" s="1202"/>
      <c r="AC121" s="3333"/>
      <c r="AD121" s="3333"/>
      <c r="AE121" s="3333"/>
      <c r="AF121" s="3333"/>
      <c r="AI121" s="3120" t="str">
        <f>"16:field149:" &amp; IF(I121="■",1,IF(U121="■",8,IF(Q121="■",6,IF(M121="■",3,0))))</f>
        <v>16:field149:0</v>
      </c>
    </row>
    <row r="122" spans="1:35" s="3120" customFormat="1" ht="19.5" customHeight="1" x14ac:dyDescent="0.2">
      <c r="A122" s="3158" t="s">
        <v>116</v>
      </c>
      <c r="B122" s="3148">
        <v>16</v>
      </c>
      <c r="C122" s="3147" t="s">
        <v>395</v>
      </c>
      <c r="D122" s="3258" t="s">
        <v>116</v>
      </c>
      <c r="E122" s="3145" t="s">
        <v>2056</v>
      </c>
      <c r="F122" s="3144"/>
      <c r="G122" s="3175"/>
      <c r="H122" s="3203" t="s">
        <v>1250</v>
      </c>
      <c r="I122" s="3202" t="s">
        <v>116</v>
      </c>
      <c r="J122" s="3168" t="s">
        <v>1230</v>
      </c>
      <c r="K122" s="3168"/>
      <c r="L122" s="3201" t="s">
        <v>116</v>
      </c>
      <c r="M122" s="3168" t="s">
        <v>1233</v>
      </c>
      <c r="N122" s="3168"/>
      <c r="O122" s="1200"/>
      <c r="P122" s="3198"/>
      <c r="Q122" s="3198"/>
      <c r="R122" s="3198"/>
      <c r="S122" s="836"/>
      <c r="T122" s="836"/>
      <c r="U122" s="3198"/>
      <c r="V122" s="3198"/>
      <c r="W122" s="836"/>
      <c r="X122" s="3336"/>
      <c r="Y122" s="3293"/>
      <c r="Z122" s="1201"/>
      <c r="AA122" s="1201"/>
      <c r="AB122" s="1202"/>
      <c r="AC122" s="3333"/>
      <c r="AD122" s="3333"/>
      <c r="AE122" s="3333"/>
      <c r="AF122" s="3333"/>
      <c r="AI122" s="3120" t="str">
        <f>"16:field239:" &amp; IF(I122="■",1,IF(L122="■",2,0))</f>
        <v>16:field239:0</v>
      </c>
    </row>
    <row r="123" spans="1:35" s="3120" customFormat="1" ht="19.5" customHeight="1" x14ac:dyDescent="0.2">
      <c r="A123" s="834"/>
      <c r="B123" s="3148"/>
      <c r="C123" s="3147"/>
      <c r="D123" s="3258" t="s">
        <v>116</v>
      </c>
      <c r="E123" s="3145" t="s">
        <v>2057</v>
      </c>
      <c r="F123" s="3144"/>
      <c r="G123" s="3175"/>
      <c r="H123" s="3165"/>
      <c r="I123" s="3200"/>
      <c r="J123" s="3163"/>
      <c r="K123" s="3163"/>
      <c r="L123" s="3199"/>
      <c r="M123" s="3163"/>
      <c r="N123" s="3163"/>
      <c r="O123" s="1200"/>
      <c r="P123" s="3198"/>
      <c r="Q123" s="3162"/>
      <c r="R123" s="3162"/>
      <c r="S123" s="836"/>
      <c r="T123" s="836"/>
      <c r="U123" s="3196"/>
      <c r="V123" s="3162"/>
      <c r="W123" s="836"/>
      <c r="X123" s="3336"/>
      <c r="Y123" s="3293"/>
      <c r="Z123" s="1201"/>
      <c r="AA123" s="1201"/>
      <c r="AB123" s="1202"/>
      <c r="AC123" s="3333"/>
      <c r="AD123" s="3333"/>
      <c r="AE123" s="3333"/>
      <c r="AF123" s="3333"/>
    </row>
    <row r="124" spans="1:35" s="3120" customFormat="1" ht="18.75" customHeight="1" x14ac:dyDescent="0.2">
      <c r="A124" s="834"/>
      <c r="B124" s="3148"/>
      <c r="C124" s="3147"/>
      <c r="D124" s="3258" t="s">
        <v>116</v>
      </c>
      <c r="E124" s="3145" t="s">
        <v>1275</v>
      </c>
      <c r="F124" s="3146"/>
      <c r="G124" s="3336"/>
      <c r="H124" s="3142" t="s">
        <v>1273</v>
      </c>
      <c r="I124" s="3154" t="s">
        <v>116</v>
      </c>
      <c r="J124" s="3137" t="s">
        <v>1230</v>
      </c>
      <c r="K124" s="3137"/>
      <c r="L124" s="3154" t="s">
        <v>116</v>
      </c>
      <c r="M124" s="3137" t="s">
        <v>1231</v>
      </c>
      <c r="N124" s="3137"/>
      <c r="O124" s="3154" t="s">
        <v>116</v>
      </c>
      <c r="P124" s="3137" t="s">
        <v>1232</v>
      </c>
      <c r="Q124" s="3153"/>
      <c r="R124" s="3153"/>
      <c r="S124" s="3153"/>
      <c r="T124" s="3153"/>
      <c r="U124" s="3153"/>
      <c r="V124" s="3153"/>
      <c r="W124" s="3153"/>
      <c r="X124" s="3152"/>
      <c r="Y124" s="3293"/>
      <c r="Z124" s="1201"/>
      <c r="AA124" s="1201"/>
      <c r="AB124" s="1202"/>
      <c r="AC124" s="3333"/>
      <c r="AD124" s="3333"/>
      <c r="AE124" s="3333"/>
      <c r="AF124" s="3333"/>
      <c r="AI124" s="3120" t="str">
        <f>"16:ninti_riha_code:" &amp; IF(I124="■",1,IF(L124="■",2,IF(O124="■",3,0)))</f>
        <v>16:ninti_riha_code:0</v>
      </c>
    </row>
    <row r="125" spans="1:35" s="3120" customFormat="1" ht="18.75" customHeight="1" x14ac:dyDescent="0.2">
      <c r="A125" s="834"/>
      <c r="B125" s="3148"/>
      <c r="C125" s="3147"/>
      <c r="D125" s="3258" t="s">
        <v>116</v>
      </c>
      <c r="E125" s="3145" t="s">
        <v>1276</v>
      </c>
      <c r="F125" s="3146"/>
      <c r="G125" s="3336"/>
      <c r="H125" s="3142" t="s">
        <v>1274</v>
      </c>
      <c r="I125" s="3155" t="s">
        <v>116</v>
      </c>
      <c r="J125" s="3137" t="s">
        <v>1230</v>
      </c>
      <c r="K125" s="3171"/>
      <c r="L125" s="3154" t="s">
        <v>116</v>
      </c>
      <c r="M125" s="3137" t="s">
        <v>1233</v>
      </c>
      <c r="N125" s="3153"/>
      <c r="O125" s="3153"/>
      <c r="P125" s="3153"/>
      <c r="Q125" s="3153"/>
      <c r="R125" s="3153"/>
      <c r="S125" s="3153"/>
      <c r="T125" s="3153"/>
      <c r="U125" s="3153"/>
      <c r="V125" s="3153"/>
      <c r="W125" s="3153"/>
      <c r="X125" s="3152"/>
      <c r="Y125" s="3293"/>
      <c r="Z125" s="1201"/>
      <c r="AA125" s="1201"/>
      <c r="AB125" s="1202"/>
      <c r="AC125" s="3333"/>
      <c r="AD125" s="3333"/>
      <c r="AE125" s="3333"/>
      <c r="AF125" s="3333"/>
      <c r="AI125" s="3120" t="str">
        <f>"16:field157:" &amp; IF(I125="■",1,IF(L125="■",2,0))</f>
        <v>16:field157:0</v>
      </c>
    </row>
    <row r="126" spans="1:35" s="3120" customFormat="1" ht="18.75" customHeight="1" x14ac:dyDescent="0.2">
      <c r="A126" s="834"/>
      <c r="B126" s="3148"/>
      <c r="C126" s="3147"/>
      <c r="D126" s="3258" t="s">
        <v>116</v>
      </c>
      <c r="E126" s="3145" t="s">
        <v>1278</v>
      </c>
      <c r="F126" s="3146"/>
      <c r="G126" s="3336"/>
      <c r="H126" s="3151" t="s">
        <v>1256</v>
      </c>
      <c r="I126" s="3154" t="s">
        <v>116</v>
      </c>
      <c r="J126" s="3137" t="s">
        <v>1230</v>
      </c>
      <c r="K126" s="3171"/>
      <c r="L126" s="3154" t="s">
        <v>116</v>
      </c>
      <c r="M126" s="3137" t="s">
        <v>1233</v>
      </c>
      <c r="N126" s="3153"/>
      <c r="O126" s="3153"/>
      <c r="P126" s="3153"/>
      <c r="Q126" s="3153"/>
      <c r="R126" s="3153"/>
      <c r="S126" s="3153"/>
      <c r="T126" s="3153"/>
      <c r="U126" s="3153"/>
      <c r="V126" s="3153"/>
      <c r="W126" s="3153"/>
      <c r="X126" s="3152"/>
      <c r="Y126" s="3293"/>
      <c r="Z126" s="1201"/>
      <c r="AA126" s="1201"/>
      <c r="AB126" s="1202"/>
      <c r="AC126" s="3333"/>
      <c r="AD126" s="3333"/>
      <c r="AE126" s="3333"/>
      <c r="AF126" s="3333"/>
      <c r="AI126" s="3120" t="str">
        <f>"16:jyakuninti_uke_code:" &amp; IF(I126="■",1,IF(L126="■",2,0))</f>
        <v>16:jyakuninti_uke_code:0</v>
      </c>
    </row>
    <row r="127" spans="1:35" s="3120" customFormat="1" ht="18.75" customHeight="1" x14ac:dyDescent="0.2">
      <c r="A127" s="834"/>
      <c r="B127" s="3148"/>
      <c r="C127" s="3147"/>
      <c r="D127" s="3146"/>
      <c r="E127" s="3145"/>
      <c r="F127" s="3146"/>
      <c r="G127" s="3336"/>
      <c r="H127" s="3414" t="s">
        <v>1257</v>
      </c>
      <c r="I127" s="3154" t="s">
        <v>116</v>
      </c>
      <c r="J127" s="3137" t="s">
        <v>1230</v>
      </c>
      <c r="K127" s="3171"/>
      <c r="L127" s="3154" t="s">
        <v>116</v>
      </c>
      <c r="M127" s="3137" t="s">
        <v>1233</v>
      </c>
      <c r="N127" s="3153"/>
      <c r="O127" s="3153"/>
      <c r="P127" s="3153"/>
      <c r="Q127" s="3153"/>
      <c r="R127" s="3153"/>
      <c r="S127" s="3153"/>
      <c r="T127" s="3153"/>
      <c r="U127" s="3153"/>
      <c r="V127" s="3153"/>
      <c r="W127" s="3153"/>
      <c r="X127" s="3152"/>
      <c r="Y127" s="3293"/>
      <c r="Z127" s="1201"/>
      <c r="AA127" s="1201"/>
      <c r="AB127" s="1202"/>
      <c r="AC127" s="3333"/>
      <c r="AD127" s="3333"/>
      <c r="AE127" s="3333"/>
      <c r="AF127" s="3333"/>
      <c r="AI127" s="3120" t="str">
        <f>"16:eiyomana_code:" &amp; IF(I127="■",1,IF(L127="■",2,0))</f>
        <v>16:eiyomana_code:0</v>
      </c>
    </row>
    <row r="128" spans="1:35" s="3120" customFormat="1" ht="18.75" customHeight="1" x14ac:dyDescent="0.2">
      <c r="A128" s="834"/>
      <c r="B128" s="3148"/>
      <c r="C128" s="3147"/>
      <c r="D128" s="3146"/>
      <c r="E128" s="3145"/>
      <c r="F128" s="3146"/>
      <c r="G128" s="3336"/>
      <c r="H128" s="3142" t="s">
        <v>1258</v>
      </c>
      <c r="I128" s="3154" t="s">
        <v>116</v>
      </c>
      <c r="J128" s="3137" t="s">
        <v>1230</v>
      </c>
      <c r="K128" s="3171"/>
      <c r="L128" s="3154" t="s">
        <v>116</v>
      </c>
      <c r="M128" s="3137" t="s">
        <v>1233</v>
      </c>
      <c r="N128" s="3153"/>
      <c r="O128" s="3153"/>
      <c r="P128" s="3153"/>
      <c r="Q128" s="3153"/>
      <c r="R128" s="3153"/>
      <c r="S128" s="3153"/>
      <c r="T128" s="3153"/>
      <c r="U128" s="3153"/>
      <c r="V128" s="3153"/>
      <c r="W128" s="3153"/>
      <c r="X128" s="3152"/>
      <c r="Y128" s="3293"/>
      <c r="Z128" s="1201"/>
      <c r="AA128" s="1201"/>
      <c r="AB128" s="1202"/>
      <c r="AC128" s="3333"/>
      <c r="AD128" s="3333"/>
      <c r="AE128" s="3333"/>
      <c r="AF128" s="3333"/>
      <c r="AI128" s="3120" t="str">
        <f>"16:koukoukino_code:" &amp; IF(I128="■",1,IF(L128="■",2,0))</f>
        <v>16:koukoukino_code:0</v>
      </c>
    </row>
    <row r="129" spans="1:37" s="3120" customFormat="1" ht="18.75" customHeight="1" x14ac:dyDescent="0.2">
      <c r="A129" s="834"/>
      <c r="B129" s="3148"/>
      <c r="C129" s="3147"/>
      <c r="D129" s="3146"/>
      <c r="E129" s="3145"/>
      <c r="F129" s="3146"/>
      <c r="G129" s="3336"/>
      <c r="H129" s="3151" t="s">
        <v>1277</v>
      </c>
      <c r="I129" s="3154" t="s">
        <v>116</v>
      </c>
      <c r="J129" s="3137" t="s">
        <v>1230</v>
      </c>
      <c r="K129" s="3171"/>
      <c r="L129" s="3154" t="s">
        <v>116</v>
      </c>
      <c r="M129" s="3137" t="s">
        <v>1233</v>
      </c>
      <c r="N129" s="3153"/>
      <c r="O129" s="3153"/>
      <c r="P129" s="3153"/>
      <c r="Q129" s="3153"/>
      <c r="R129" s="3153"/>
      <c r="S129" s="3153"/>
      <c r="T129" s="3153"/>
      <c r="U129" s="3153"/>
      <c r="V129" s="3153"/>
      <c r="W129" s="3153"/>
      <c r="X129" s="3152"/>
      <c r="Y129" s="3293"/>
      <c r="Z129" s="1201"/>
      <c r="AA129" s="1201"/>
      <c r="AB129" s="1202"/>
      <c r="AC129" s="3333"/>
      <c r="AD129" s="3333"/>
      <c r="AE129" s="3333"/>
      <c r="AF129" s="3333"/>
      <c r="AI129" s="3120" t="str">
        <f>"16:field153:" &amp; IF(I129="■",1,IF(L129="■",2,0))</f>
        <v>16:field153:0</v>
      </c>
    </row>
    <row r="130" spans="1:37" s="3120" customFormat="1" ht="18.75" customHeight="1" x14ac:dyDescent="0.2">
      <c r="A130" s="834"/>
      <c r="B130" s="3148"/>
      <c r="C130" s="3147"/>
      <c r="D130" s="3146"/>
      <c r="E130" s="3145"/>
      <c r="F130" s="3146"/>
      <c r="G130" s="3336"/>
      <c r="H130" s="3142" t="s">
        <v>797</v>
      </c>
      <c r="I130" s="3154" t="s">
        <v>116</v>
      </c>
      <c r="J130" s="3137" t="s">
        <v>1230</v>
      </c>
      <c r="K130" s="3171"/>
      <c r="L130" s="3154" t="s">
        <v>116</v>
      </c>
      <c r="M130" s="3137" t="s">
        <v>1233</v>
      </c>
      <c r="N130" s="3153"/>
      <c r="O130" s="3153"/>
      <c r="P130" s="3153"/>
      <c r="Q130" s="3153"/>
      <c r="R130" s="3153"/>
      <c r="S130" s="3153"/>
      <c r="T130" s="3153"/>
      <c r="U130" s="3153"/>
      <c r="V130" s="3153"/>
      <c r="W130" s="3153"/>
      <c r="X130" s="3152"/>
      <c r="Y130" s="3293"/>
      <c r="Z130" s="1201"/>
      <c r="AA130" s="1201"/>
      <c r="AB130" s="1202"/>
      <c r="AC130" s="3333"/>
      <c r="AD130" s="3333"/>
      <c r="AE130" s="3333"/>
      <c r="AF130" s="3333"/>
      <c r="AI130" s="3120" t="str">
        <f>"16:field212:" &amp; IF(I130="■",1,IF(L130="■",2,0))</f>
        <v>16:field212:0</v>
      </c>
    </row>
    <row r="131" spans="1:37" s="3120" customFormat="1" ht="18.75" customHeight="1" x14ac:dyDescent="0.2">
      <c r="A131" s="834"/>
      <c r="B131" s="3148"/>
      <c r="C131" s="3147"/>
      <c r="D131" s="3146"/>
      <c r="E131" s="3145"/>
      <c r="F131" s="3146"/>
      <c r="G131" s="3336"/>
      <c r="H131" s="3142" t="s">
        <v>1251</v>
      </c>
      <c r="I131" s="3154" t="s">
        <v>116</v>
      </c>
      <c r="J131" s="3137" t="s">
        <v>1230</v>
      </c>
      <c r="K131" s="3171"/>
      <c r="L131" s="3154" t="s">
        <v>116</v>
      </c>
      <c r="M131" s="3137" t="s">
        <v>1233</v>
      </c>
      <c r="N131" s="3153"/>
      <c r="O131" s="3153"/>
      <c r="P131" s="3153"/>
      <c r="Q131" s="3153"/>
      <c r="R131" s="3153"/>
      <c r="S131" s="3153"/>
      <c r="T131" s="3153"/>
      <c r="U131" s="3153"/>
      <c r="V131" s="3153"/>
      <c r="W131" s="3153"/>
      <c r="X131" s="3152"/>
      <c r="Y131" s="3293"/>
      <c r="Z131" s="1201"/>
      <c r="AA131" s="1201"/>
      <c r="AB131" s="1202"/>
      <c r="AC131" s="3333"/>
      <c r="AD131" s="3333"/>
      <c r="AE131" s="3333"/>
      <c r="AF131" s="3333"/>
      <c r="AI131" s="3120" t="str">
        <f>"16:field150:" &amp; IF(I131="■",1,IF(L131="■",2,0))</f>
        <v>16:field150:0</v>
      </c>
    </row>
    <row r="132" spans="1:37" s="3120" customFormat="1" ht="18.75" customHeight="1" x14ac:dyDescent="0.2">
      <c r="A132" s="834"/>
      <c r="B132" s="3148"/>
      <c r="C132" s="3147"/>
      <c r="D132" s="3146"/>
      <c r="E132" s="3145"/>
      <c r="F132" s="3146"/>
      <c r="G132" s="3336"/>
      <c r="H132" s="3151" t="s">
        <v>238</v>
      </c>
      <c r="I132" s="3154" t="s">
        <v>116</v>
      </c>
      <c r="J132" s="3137" t="s">
        <v>1230</v>
      </c>
      <c r="K132" s="3137"/>
      <c r="L132" s="3154" t="s">
        <v>116</v>
      </c>
      <c r="M132" s="3137" t="s">
        <v>1279</v>
      </c>
      <c r="N132" s="3137"/>
      <c r="O132" s="3154" t="s">
        <v>116</v>
      </c>
      <c r="P132" s="3137" t="s">
        <v>1252</v>
      </c>
      <c r="Q132" s="3137"/>
      <c r="R132" s="3154" t="s">
        <v>116</v>
      </c>
      <c r="S132" s="3137" t="s">
        <v>1280</v>
      </c>
      <c r="T132" s="3153"/>
      <c r="U132" s="3153"/>
      <c r="V132" s="3153"/>
      <c r="W132" s="3153"/>
      <c r="X132" s="3152"/>
      <c r="Y132" s="3293"/>
      <c r="Z132" s="1201"/>
      <c r="AA132" s="1201"/>
      <c r="AB132" s="1202"/>
      <c r="AC132" s="3333"/>
      <c r="AD132" s="3333"/>
      <c r="AE132" s="3333"/>
      <c r="AF132" s="3333"/>
      <c r="AI132" s="3120" t="str">
        <f>"16:serteikyo_kyoka_code:" &amp; IF(I132="■",1,IF(L132="■",5,IF(O132="■",4,IF(R132="■",6,0))))</f>
        <v>16:serteikyo_kyoka_code:0</v>
      </c>
    </row>
    <row r="133" spans="1:37" s="3120" customFormat="1" ht="18.75" customHeight="1" x14ac:dyDescent="0.2">
      <c r="A133" s="835"/>
      <c r="B133" s="3135"/>
      <c r="C133" s="3134"/>
      <c r="D133" s="3133"/>
      <c r="E133" s="3132"/>
      <c r="F133" s="3131"/>
      <c r="G133" s="3189"/>
      <c r="H133" s="3289" t="s">
        <v>2129</v>
      </c>
      <c r="I133" s="3128" t="s">
        <v>116</v>
      </c>
      <c r="J133" s="3285" t="s">
        <v>1230</v>
      </c>
      <c r="K133" s="3285"/>
      <c r="L133" s="3127" t="s">
        <v>116</v>
      </c>
      <c r="M133" s="3285" t="s">
        <v>2128</v>
      </c>
      <c r="N133" s="3288"/>
      <c r="O133" s="3127" t="s">
        <v>116</v>
      </c>
      <c r="P133" s="3287" t="s">
        <v>2127</v>
      </c>
      <c r="Q133" s="3286"/>
      <c r="R133" s="3127" t="s">
        <v>116</v>
      </c>
      <c r="S133" s="3285" t="s">
        <v>2126</v>
      </c>
      <c r="T133" s="3286"/>
      <c r="U133" s="3127" t="s">
        <v>116</v>
      </c>
      <c r="V133" s="3285" t="s">
        <v>2125</v>
      </c>
      <c r="W133" s="3284"/>
      <c r="X133" s="3283"/>
      <c r="Y133" s="3282"/>
      <c r="Z133" s="3282"/>
      <c r="AA133" s="3282"/>
      <c r="AB133" s="3281"/>
      <c r="AC133" s="3332"/>
      <c r="AD133" s="3332"/>
      <c r="AE133" s="3332"/>
      <c r="AF133" s="3332"/>
      <c r="AI133" s="3120" t="str">
        <f>"16:shoguukaizen_code:"&amp;IF(I133="■",1,IF(L133="■",7,IF(O133="■",8,IF(R133="■",9,IF(U133="■","A",0)))))</f>
        <v>16:shoguukaizen_code:0</v>
      </c>
    </row>
    <row r="134" spans="1:37" s="3120" customFormat="1" ht="18.75" hidden="1" customHeight="1" x14ac:dyDescent="0.2">
      <c r="A134" s="3188"/>
      <c r="B134" s="3187"/>
      <c r="C134" s="3229"/>
      <c r="D134" s="3228"/>
      <c r="E134" s="3185"/>
      <c r="F134" s="3184"/>
      <c r="G134" s="3183"/>
      <c r="H134" s="3182" t="s">
        <v>1281</v>
      </c>
      <c r="I134" s="3181" t="s">
        <v>116</v>
      </c>
      <c r="J134" s="3180" t="s">
        <v>1282</v>
      </c>
      <c r="K134" s="3226"/>
      <c r="L134" s="3225"/>
      <c r="M134" s="3179" t="s">
        <v>116</v>
      </c>
      <c r="N134" s="3180" t="s">
        <v>1283</v>
      </c>
      <c r="O134" s="3178"/>
      <c r="P134" s="3178"/>
      <c r="Q134" s="3178"/>
      <c r="R134" s="3178"/>
      <c r="S134" s="3178"/>
      <c r="T134" s="3178"/>
      <c r="U134" s="3178"/>
      <c r="V134" s="3178"/>
      <c r="W134" s="3178"/>
      <c r="X134" s="3413"/>
      <c r="Y134" s="3253" t="s">
        <v>116</v>
      </c>
      <c r="Z134" s="3252" t="s">
        <v>1225</v>
      </c>
      <c r="AA134" s="3252"/>
      <c r="AB134" s="3308"/>
      <c r="AC134" s="3253" t="s">
        <v>116</v>
      </c>
      <c r="AD134" s="3252" t="s">
        <v>1225</v>
      </c>
      <c r="AE134" s="3252"/>
      <c r="AF134" s="3308"/>
      <c r="AG134" s="3120" t="str">
        <f>"ser_code = '" &amp; IF(A149="■",21,"") &amp; "'"</f>
        <v>ser_code = ''</v>
      </c>
      <c r="AI134" s="3120" t="str">
        <f>"21:yakan_kinmu_code:" &amp; IF(I134="■",1,IF(M134="■",6,0))</f>
        <v>21:yakan_kinmu_code:0</v>
      </c>
      <c r="AJ134" s="3120" t="str">
        <f>"21:field203:" &amp; IF(Y134="■",1,IF(Y135="■",2,0))</f>
        <v>21:field203:0</v>
      </c>
      <c r="AK134" s="3120" t="str">
        <f>"21:waribiki_code:" &amp; IF(AC134="■",1,IF(AC135="■",2,0))</f>
        <v>21:waribiki_code:0</v>
      </c>
    </row>
    <row r="135" spans="1:37" s="3120" customFormat="1" ht="18.75" hidden="1" customHeight="1" x14ac:dyDescent="0.2">
      <c r="A135" s="834"/>
      <c r="B135" s="3148"/>
      <c r="C135" s="3147"/>
      <c r="D135" s="3146"/>
      <c r="E135" s="3145"/>
      <c r="F135" s="3144"/>
      <c r="G135" s="3175"/>
      <c r="H135" s="3151" t="s">
        <v>235</v>
      </c>
      <c r="I135" s="3155" t="s">
        <v>116</v>
      </c>
      <c r="J135" s="3137" t="s">
        <v>1230</v>
      </c>
      <c r="K135" s="3137"/>
      <c r="L135" s="3173"/>
      <c r="M135" s="3154" t="s">
        <v>116</v>
      </c>
      <c r="N135" s="3137" t="s">
        <v>2103</v>
      </c>
      <c r="O135" s="3137"/>
      <c r="P135" s="3173"/>
      <c r="Q135" s="3154" t="s">
        <v>116</v>
      </c>
      <c r="R135" s="3153" t="s">
        <v>2102</v>
      </c>
      <c r="S135" s="3153"/>
      <c r="T135" s="3153"/>
      <c r="U135" s="3153"/>
      <c r="V135" s="3153"/>
      <c r="W135" s="3153"/>
      <c r="X135" s="3152"/>
      <c r="Y135" s="3258" t="s">
        <v>116</v>
      </c>
      <c r="Z135" s="1200" t="s">
        <v>1226</v>
      </c>
      <c r="AA135" s="1201"/>
      <c r="AB135" s="1202"/>
      <c r="AC135" s="3158" t="s">
        <v>116</v>
      </c>
      <c r="AD135" s="1200" t="s">
        <v>1226</v>
      </c>
      <c r="AE135" s="1201"/>
      <c r="AF135" s="1202"/>
      <c r="AG135" s="3120" t="str">
        <f>"21:sisetukbn_code:" &amp; IF(D148="■",1,IF(D149="■",2,IF(D150="■",3,IF(D151="■",4,0))))</f>
        <v>21:sisetukbn_code:0</v>
      </c>
      <c r="AI135" s="3120" t="str">
        <f>"21:"&amp;IF(AND(I135="□",M135="□",Q135="□"),"ketu_kangos_code:0",IF(I135="■","ketu_kangos_code:1:ketu_kshoku_code:1",IF(M135="■","ketu_kangos_code:2","ketu_kangos_code:1")&amp;IF(Q135="■",":ketu_kshoku_code:2",":ketu_kshoku_code:1")))</f>
        <v>21:ketu_kangos_code:0</v>
      </c>
    </row>
    <row r="136" spans="1:37" s="3120" customFormat="1" ht="18.75" hidden="1" customHeight="1" x14ac:dyDescent="0.2">
      <c r="A136" s="834"/>
      <c r="B136" s="3148"/>
      <c r="C136" s="3147"/>
      <c r="D136" s="3146"/>
      <c r="E136" s="3145"/>
      <c r="F136" s="3144"/>
      <c r="G136" s="3175"/>
      <c r="H136" s="3151" t="s">
        <v>91</v>
      </c>
      <c r="I136" s="3155" t="s">
        <v>116</v>
      </c>
      <c r="J136" s="3137" t="s">
        <v>1240</v>
      </c>
      <c r="K136" s="3171"/>
      <c r="L136" s="3173"/>
      <c r="M136" s="3154" t="s">
        <v>116</v>
      </c>
      <c r="N136" s="3137" t="s">
        <v>1241</v>
      </c>
      <c r="O136" s="3150"/>
      <c r="P136" s="3153"/>
      <c r="Q136" s="3153"/>
      <c r="R136" s="3153"/>
      <c r="S136" s="3153"/>
      <c r="T136" s="3153"/>
      <c r="U136" s="3153"/>
      <c r="V136" s="3153"/>
      <c r="W136" s="3153"/>
      <c r="X136" s="3152"/>
      <c r="Y136" s="3293"/>
      <c r="Z136" s="1201"/>
      <c r="AA136" s="1201"/>
      <c r="AB136" s="1202"/>
      <c r="AC136" s="3293"/>
      <c r="AD136" s="1201"/>
      <c r="AE136" s="1201"/>
      <c r="AF136" s="1202"/>
      <c r="AI136" s="3120" t="str">
        <f>"21:unitcare_code:" &amp; IF(I136="■",1,IF(M136="■",2,0))</f>
        <v>21:unitcare_code:0</v>
      </c>
    </row>
    <row r="137" spans="1:37" s="3120" customFormat="1" ht="18.75" hidden="1" customHeight="1" x14ac:dyDescent="0.2">
      <c r="A137" s="834"/>
      <c r="B137" s="3148"/>
      <c r="C137" s="3295"/>
      <c r="D137" s="3294"/>
      <c r="E137" s="3145"/>
      <c r="F137" s="3144"/>
      <c r="G137" s="3175"/>
      <c r="H137" s="3381" t="s">
        <v>1325</v>
      </c>
      <c r="I137" s="3222" t="s">
        <v>116</v>
      </c>
      <c r="J137" s="3217" t="s">
        <v>1228</v>
      </c>
      <c r="K137" s="3221"/>
      <c r="L137" s="3220"/>
      <c r="M137" s="3219" t="s">
        <v>116</v>
      </c>
      <c r="N137" s="3217" t="s">
        <v>1322</v>
      </c>
      <c r="O137" s="3221"/>
      <c r="P137" s="3380"/>
      <c r="Q137" s="3380"/>
      <c r="R137" s="3380"/>
      <c r="S137" s="3380"/>
      <c r="T137" s="3380"/>
      <c r="U137" s="3380"/>
      <c r="V137" s="3380"/>
      <c r="W137" s="3380"/>
      <c r="X137" s="3379"/>
      <c r="Y137" s="3293"/>
      <c r="Z137" s="1201"/>
      <c r="AA137" s="1201"/>
      <c r="AB137" s="1202"/>
      <c r="AC137" s="3293"/>
      <c r="AD137" s="1201"/>
      <c r="AE137" s="1201"/>
      <c r="AF137" s="1202"/>
      <c r="AI137" s="3120" t="str">
        <f>"21:sintaikousoku_code:" &amp; IF(I137="■",1,IF(M137="■",2,0))</f>
        <v>21:sintaikousoku_code:0</v>
      </c>
    </row>
    <row r="138" spans="1:37" s="3120" customFormat="1" ht="19.5" hidden="1" customHeight="1" x14ac:dyDescent="0.2">
      <c r="A138" s="834"/>
      <c r="B138" s="3148"/>
      <c r="C138" s="3147"/>
      <c r="D138" s="3146"/>
      <c r="E138" s="3145"/>
      <c r="F138" s="3144"/>
      <c r="G138" s="3175"/>
      <c r="H138" s="3174" t="s">
        <v>1227</v>
      </c>
      <c r="I138" s="3155" t="s">
        <v>116</v>
      </c>
      <c r="J138" s="3137" t="s">
        <v>1228</v>
      </c>
      <c r="K138" s="3171"/>
      <c r="L138" s="3173"/>
      <c r="M138" s="3154" t="s">
        <v>116</v>
      </c>
      <c r="N138" s="3137" t="s">
        <v>1229</v>
      </c>
      <c r="O138" s="3299"/>
      <c r="P138" s="3137"/>
      <c r="Q138" s="3150"/>
      <c r="R138" s="3150"/>
      <c r="S138" s="3150"/>
      <c r="T138" s="3150"/>
      <c r="U138" s="3150"/>
      <c r="V138" s="3150"/>
      <c r="W138" s="3150"/>
      <c r="X138" s="3149"/>
      <c r="Y138" s="1201"/>
      <c r="Z138" s="1201"/>
      <c r="AA138" s="1201"/>
      <c r="AB138" s="1202"/>
      <c r="AC138" s="3293"/>
      <c r="AD138" s="1201"/>
      <c r="AE138" s="1201"/>
      <c r="AF138" s="1202"/>
      <c r="AI138" s="3120" t="str">
        <f>"21:field223:" &amp; IF(I138="■",1,IF(M138="■",2,0))</f>
        <v>21:field223:0</v>
      </c>
    </row>
    <row r="139" spans="1:37" s="3120" customFormat="1" ht="19.5" hidden="1" customHeight="1" x14ac:dyDescent="0.2">
      <c r="A139" s="834"/>
      <c r="B139" s="3148"/>
      <c r="C139" s="3147"/>
      <c r="D139" s="3146"/>
      <c r="E139" s="3145"/>
      <c r="F139" s="3144"/>
      <c r="G139" s="3175"/>
      <c r="H139" s="3174" t="s">
        <v>1253</v>
      </c>
      <c r="I139" s="3155" t="s">
        <v>116</v>
      </c>
      <c r="J139" s="3137" t="s">
        <v>1228</v>
      </c>
      <c r="K139" s="3171"/>
      <c r="L139" s="3173"/>
      <c r="M139" s="3154" t="s">
        <v>116</v>
      </c>
      <c r="N139" s="3137" t="s">
        <v>1229</v>
      </c>
      <c r="O139" s="3299"/>
      <c r="P139" s="3137"/>
      <c r="Q139" s="3150"/>
      <c r="R139" s="3150"/>
      <c r="S139" s="3150"/>
      <c r="T139" s="3150"/>
      <c r="U139" s="3150"/>
      <c r="V139" s="3150"/>
      <c r="W139" s="3150"/>
      <c r="X139" s="3149"/>
      <c r="Y139" s="1201"/>
      <c r="Z139" s="1201"/>
      <c r="AA139" s="1201"/>
      <c r="AB139" s="1202"/>
      <c r="AC139" s="3293"/>
      <c r="AD139" s="1201"/>
      <c r="AE139" s="1201"/>
      <c r="AF139" s="1202"/>
      <c r="AI139" s="3120" t="str">
        <f>"21:field232:" &amp; IF(I139="■",1,IF(M139="■",2,0))</f>
        <v>21:field232:0</v>
      </c>
    </row>
    <row r="140" spans="1:37" s="3120" customFormat="1" ht="18.75" hidden="1" customHeight="1" x14ac:dyDescent="0.2">
      <c r="A140" s="834"/>
      <c r="B140" s="3148"/>
      <c r="C140" s="3147"/>
      <c r="D140" s="3146"/>
      <c r="E140" s="3145"/>
      <c r="F140" s="3144"/>
      <c r="G140" s="3175"/>
      <c r="H140" s="3170" t="s">
        <v>2287</v>
      </c>
      <c r="I140" s="3348" t="s">
        <v>116</v>
      </c>
      <c r="J140" s="3347" t="s">
        <v>1230</v>
      </c>
      <c r="K140" s="3347"/>
      <c r="L140" s="3346" t="s">
        <v>116</v>
      </c>
      <c r="M140" s="3347" t="s">
        <v>1233</v>
      </c>
      <c r="N140" s="3347"/>
      <c r="O140" s="3302"/>
      <c r="P140" s="3302"/>
      <c r="Q140" s="3302"/>
      <c r="R140" s="3302"/>
      <c r="S140" s="3302"/>
      <c r="T140" s="3302"/>
      <c r="U140" s="3302"/>
      <c r="V140" s="3302"/>
      <c r="W140" s="3302"/>
      <c r="X140" s="3335"/>
      <c r="Y140" s="3293"/>
      <c r="Z140" s="1201"/>
      <c r="AA140" s="1201"/>
      <c r="AB140" s="1202"/>
      <c r="AC140" s="3293"/>
      <c r="AD140" s="1201"/>
      <c r="AE140" s="1201"/>
      <c r="AF140" s="1202"/>
      <c r="AI140" s="3120" t="str">
        <f>"21:field189:" &amp; IF(I140="■",1,IF(L140="■",2,0))</f>
        <v>21:field189:0</v>
      </c>
    </row>
    <row r="141" spans="1:37" s="3120" customFormat="1" ht="18.75" hidden="1" customHeight="1" x14ac:dyDescent="0.2">
      <c r="A141" s="834"/>
      <c r="B141" s="3148"/>
      <c r="C141" s="3147"/>
      <c r="D141" s="3146"/>
      <c r="E141" s="3145"/>
      <c r="F141" s="3144"/>
      <c r="G141" s="3175"/>
      <c r="H141" s="3165"/>
      <c r="I141" s="3348"/>
      <c r="J141" s="3347"/>
      <c r="K141" s="3347"/>
      <c r="L141" s="3346"/>
      <c r="M141" s="3347"/>
      <c r="N141" s="3347"/>
      <c r="O141" s="3139"/>
      <c r="P141" s="3139"/>
      <c r="Q141" s="3139"/>
      <c r="R141" s="3139"/>
      <c r="S141" s="3139"/>
      <c r="T141" s="3139"/>
      <c r="U141" s="3139"/>
      <c r="V141" s="3139"/>
      <c r="W141" s="3139"/>
      <c r="X141" s="3195"/>
      <c r="Y141" s="3293"/>
      <c r="Z141" s="1201"/>
      <c r="AA141" s="1201"/>
      <c r="AB141" s="1202"/>
      <c r="AC141" s="3293"/>
      <c r="AD141" s="1201"/>
      <c r="AE141" s="1201"/>
      <c r="AF141" s="1202"/>
    </row>
    <row r="142" spans="1:37" s="3120" customFormat="1" ht="18.75" hidden="1" customHeight="1" x14ac:dyDescent="0.2">
      <c r="A142" s="834"/>
      <c r="B142" s="3148"/>
      <c r="C142" s="3147"/>
      <c r="D142" s="3146"/>
      <c r="E142" s="3145"/>
      <c r="F142" s="3144"/>
      <c r="G142" s="3175"/>
      <c r="H142" s="3151" t="s">
        <v>2286</v>
      </c>
      <c r="I142" s="3155" t="s">
        <v>116</v>
      </c>
      <c r="J142" s="3137" t="s">
        <v>1230</v>
      </c>
      <c r="K142" s="3171"/>
      <c r="L142" s="3154" t="s">
        <v>116</v>
      </c>
      <c r="M142" s="3137" t="s">
        <v>1233</v>
      </c>
      <c r="N142" s="3153"/>
      <c r="O142" s="3150"/>
      <c r="P142" s="3150"/>
      <c r="Q142" s="3150"/>
      <c r="R142" s="3150"/>
      <c r="S142" s="3150"/>
      <c r="T142" s="3150"/>
      <c r="U142" s="3150"/>
      <c r="V142" s="3150"/>
      <c r="W142" s="3150"/>
      <c r="X142" s="3149"/>
      <c r="Y142" s="3293"/>
      <c r="Z142" s="1201"/>
      <c r="AA142" s="1201"/>
      <c r="AB142" s="1202"/>
      <c r="AC142" s="3293"/>
      <c r="AD142" s="1201"/>
      <c r="AE142" s="1201"/>
      <c r="AF142" s="1202"/>
      <c r="AI142" s="3120" t="str">
        <f>"21:field151:" &amp; IF(I142="■",1,IF(L142="■",2,0))</f>
        <v>21:field151:0</v>
      </c>
    </row>
    <row r="143" spans="1:37" s="3120" customFormat="1" ht="18.75" hidden="1" customHeight="1" x14ac:dyDescent="0.2">
      <c r="A143" s="834"/>
      <c r="B143" s="3148"/>
      <c r="C143" s="3147"/>
      <c r="D143" s="3146"/>
      <c r="E143" s="3145"/>
      <c r="F143" s="3144"/>
      <c r="G143" s="3175"/>
      <c r="H143" s="3142" t="s">
        <v>2177</v>
      </c>
      <c r="I143" s="3155" t="s">
        <v>116</v>
      </c>
      <c r="J143" s="3137" t="s">
        <v>1230</v>
      </c>
      <c r="K143" s="3137"/>
      <c r="L143" s="3154" t="s">
        <v>116</v>
      </c>
      <c r="M143" s="3137" t="s">
        <v>1239</v>
      </c>
      <c r="N143" s="3137"/>
      <c r="O143" s="3154" t="s">
        <v>116</v>
      </c>
      <c r="P143" s="3137" t="s">
        <v>2090</v>
      </c>
      <c r="Q143" s="3153"/>
      <c r="R143" s="3153"/>
      <c r="S143" s="3153"/>
      <c r="T143" s="3153"/>
      <c r="U143" s="3153"/>
      <c r="V143" s="3153"/>
      <c r="W143" s="3153"/>
      <c r="X143" s="3152"/>
      <c r="Y143" s="3293"/>
      <c r="Z143" s="1201"/>
      <c r="AA143" s="1201"/>
      <c r="AB143" s="1202"/>
      <c r="AC143" s="3293"/>
      <c r="AD143" s="1201"/>
      <c r="AE143" s="1201"/>
      <c r="AF143" s="1202"/>
      <c r="AI143" s="3120" t="str">
        <f>"21:field185:" &amp; IF(I143="■",1,IF(L143="■",3,IF(O143="■",2,0)))</f>
        <v>21:field185:0</v>
      </c>
    </row>
    <row r="144" spans="1:37" s="3120" customFormat="1" ht="18.75" hidden="1" customHeight="1" x14ac:dyDescent="0.2">
      <c r="A144" s="834"/>
      <c r="B144" s="3148"/>
      <c r="C144" s="3147"/>
      <c r="D144" s="3146"/>
      <c r="E144" s="3145"/>
      <c r="F144" s="3144"/>
      <c r="G144" s="3175"/>
      <c r="H144" s="3151" t="s">
        <v>2285</v>
      </c>
      <c r="I144" s="3155" t="s">
        <v>116</v>
      </c>
      <c r="J144" s="3137" t="s">
        <v>1230</v>
      </c>
      <c r="K144" s="3171"/>
      <c r="L144" s="3154" t="s">
        <v>116</v>
      </c>
      <c r="M144" s="3137" t="s">
        <v>1233</v>
      </c>
      <c r="N144" s="3153"/>
      <c r="O144" s="3150"/>
      <c r="P144" s="3150"/>
      <c r="Q144" s="3150"/>
      <c r="R144" s="3150"/>
      <c r="S144" s="3150"/>
      <c r="T144" s="3150"/>
      <c r="U144" s="3150"/>
      <c r="V144" s="3150"/>
      <c r="W144" s="3150"/>
      <c r="X144" s="3149"/>
      <c r="Y144" s="3293"/>
      <c r="Z144" s="1201"/>
      <c r="AA144" s="1201"/>
      <c r="AB144" s="1202"/>
      <c r="AC144" s="3293"/>
      <c r="AD144" s="1201"/>
      <c r="AE144" s="1201"/>
      <c r="AF144" s="1202"/>
      <c r="AI144" s="3120" t="str">
        <f>"21:kunren_code:" &amp; IF(I144="■",1,IF(L144="■",2,0))</f>
        <v>21:kunren_code:0</v>
      </c>
    </row>
    <row r="145" spans="1:35" s="3120" customFormat="1" ht="18.75" hidden="1" customHeight="1" x14ac:dyDescent="0.2">
      <c r="A145" s="834"/>
      <c r="B145" s="3148"/>
      <c r="C145" s="3147"/>
      <c r="D145" s="3146"/>
      <c r="E145" s="3145"/>
      <c r="F145" s="3144"/>
      <c r="G145" s="3175"/>
      <c r="H145" s="3142" t="s">
        <v>2284</v>
      </c>
      <c r="I145" s="3155" t="s">
        <v>116</v>
      </c>
      <c r="J145" s="3137" t="s">
        <v>1230</v>
      </c>
      <c r="K145" s="3171"/>
      <c r="L145" s="3154" t="s">
        <v>116</v>
      </c>
      <c r="M145" s="3137" t="s">
        <v>1233</v>
      </c>
      <c r="N145" s="3153"/>
      <c r="O145" s="3150"/>
      <c r="P145" s="3150"/>
      <c r="Q145" s="3150"/>
      <c r="R145" s="3150"/>
      <c r="S145" s="3150"/>
      <c r="T145" s="3150"/>
      <c r="U145" s="3150"/>
      <c r="V145" s="3150"/>
      <c r="W145" s="3150"/>
      <c r="X145" s="3149"/>
      <c r="Y145" s="3293"/>
      <c r="Z145" s="1201"/>
      <c r="AA145" s="1201"/>
      <c r="AB145" s="1202"/>
      <c r="AC145" s="3293"/>
      <c r="AD145" s="1201"/>
      <c r="AE145" s="1201"/>
      <c r="AF145" s="1202"/>
      <c r="AI145" s="3120" t="str">
        <f>"21:kobetu_kunren_code:" &amp; IF(I145="■",1,IF(L145="■",2,0))</f>
        <v>21:kobetu_kunren_code:0</v>
      </c>
    </row>
    <row r="146" spans="1:35" s="3120" customFormat="1" ht="18.75" hidden="1" customHeight="1" x14ac:dyDescent="0.2">
      <c r="A146" s="834"/>
      <c r="B146" s="3148"/>
      <c r="C146" s="3147"/>
      <c r="D146" s="3146"/>
      <c r="E146" s="3145"/>
      <c r="F146" s="3144"/>
      <c r="G146" s="3175"/>
      <c r="H146" s="3151" t="s">
        <v>2283</v>
      </c>
      <c r="I146" s="3155" t="s">
        <v>116</v>
      </c>
      <c r="J146" s="3137" t="s">
        <v>1230</v>
      </c>
      <c r="K146" s="3137"/>
      <c r="L146" s="3154" t="s">
        <v>116</v>
      </c>
      <c r="M146" s="3137" t="s">
        <v>1231</v>
      </c>
      <c r="N146" s="3137"/>
      <c r="O146" s="3154" t="s">
        <v>116</v>
      </c>
      <c r="P146" s="3137" t="s">
        <v>2282</v>
      </c>
      <c r="Q146" s="3153"/>
      <c r="R146" s="3153"/>
      <c r="S146" s="3153"/>
      <c r="T146" s="3153"/>
      <c r="U146" s="3153"/>
      <c r="V146" s="3153"/>
      <c r="W146" s="3153"/>
      <c r="X146" s="3152"/>
      <c r="Y146" s="3293"/>
      <c r="Z146" s="1201"/>
      <c r="AA146" s="1201"/>
      <c r="AB146" s="1202"/>
      <c r="AC146" s="3293"/>
      <c r="AD146" s="1201"/>
      <c r="AE146" s="1201"/>
      <c r="AF146" s="1202"/>
      <c r="AI146" s="3120" t="str">
        <f>"21:field158:" &amp; IF(I146="■",1,IF(O146="■",3,IF(L146="■",2,0)))</f>
        <v>21:field158:0</v>
      </c>
    </row>
    <row r="147" spans="1:35" s="3120" customFormat="1" ht="18.75" hidden="1" customHeight="1" x14ac:dyDescent="0.2">
      <c r="A147" s="834"/>
      <c r="B147" s="3148"/>
      <c r="C147" s="3147"/>
      <c r="D147" s="3146"/>
      <c r="E147" s="3145"/>
      <c r="F147" s="3144"/>
      <c r="G147" s="3175"/>
      <c r="H147" s="3151" t="s">
        <v>2281</v>
      </c>
      <c r="I147" s="3155" t="s">
        <v>116</v>
      </c>
      <c r="J147" s="3137" t="s">
        <v>1230</v>
      </c>
      <c r="K147" s="3137"/>
      <c r="L147" s="3154" t="s">
        <v>116</v>
      </c>
      <c r="M147" s="3137" t="s">
        <v>2090</v>
      </c>
      <c r="N147" s="3137"/>
      <c r="O147" s="3154" t="s">
        <v>116</v>
      </c>
      <c r="P147" s="3137" t="s">
        <v>2280</v>
      </c>
      <c r="Q147" s="3153"/>
      <c r="R147" s="3153"/>
      <c r="S147" s="3153"/>
      <c r="T147" s="3153"/>
      <c r="U147" s="3153"/>
      <c r="V147" s="3153"/>
      <c r="W147" s="3153"/>
      <c r="X147" s="3152"/>
      <c r="Y147" s="3293"/>
      <c r="Z147" s="1201"/>
      <c r="AA147" s="1201"/>
      <c r="AB147" s="1202"/>
      <c r="AC147" s="3293"/>
      <c r="AD147" s="1201"/>
      <c r="AE147" s="1201"/>
      <c r="AF147" s="1202"/>
      <c r="AI147" s="3120" t="str">
        <f>"21:field159:" &amp; IF(I147="■",1,IF(O147="■",3,IF(L147="■",2,0)))</f>
        <v>21:field159:0</v>
      </c>
    </row>
    <row r="148" spans="1:35" s="3120" customFormat="1" ht="18.75" hidden="1" customHeight="1" x14ac:dyDescent="0.2">
      <c r="A148" s="834"/>
      <c r="B148" s="3148"/>
      <c r="C148" s="3147"/>
      <c r="D148" s="3258" t="s">
        <v>116</v>
      </c>
      <c r="E148" s="3145" t="s">
        <v>2279</v>
      </c>
      <c r="F148" s="3144"/>
      <c r="G148" s="3175"/>
      <c r="H148" s="3151" t="s">
        <v>2278</v>
      </c>
      <c r="I148" s="3155" t="s">
        <v>116</v>
      </c>
      <c r="J148" s="3137" t="s">
        <v>1230</v>
      </c>
      <c r="K148" s="3171"/>
      <c r="L148" s="3154" t="s">
        <v>116</v>
      </c>
      <c r="M148" s="3137" t="s">
        <v>1233</v>
      </c>
      <c r="N148" s="3153"/>
      <c r="O148" s="3150"/>
      <c r="P148" s="3150"/>
      <c r="Q148" s="3150"/>
      <c r="R148" s="3150"/>
      <c r="S148" s="3150"/>
      <c r="T148" s="3150"/>
      <c r="U148" s="3150"/>
      <c r="V148" s="3150"/>
      <c r="W148" s="3150"/>
      <c r="X148" s="3149"/>
      <c r="Y148" s="3293"/>
      <c r="Z148" s="1201"/>
      <c r="AA148" s="1201"/>
      <c r="AB148" s="1202"/>
      <c r="AC148" s="3293"/>
      <c r="AD148" s="1201"/>
      <c r="AE148" s="1201"/>
      <c r="AF148" s="1202"/>
      <c r="AI148" s="3120" t="str">
        <f>"21:field160:" &amp; IF(I148="■",1,IF(L148="■",2,0))</f>
        <v>21:field160:0</v>
      </c>
    </row>
    <row r="149" spans="1:35" s="3120" customFormat="1" ht="18.75" hidden="1" customHeight="1" x14ac:dyDescent="0.2">
      <c r="A149" s="3158" t="s">
        <v>116</v>
      </c>
      <c r="B149" s="3148">
        <v>21</v>
      </c>
      <c r="C149" s="3147" t="s">
        <v>2277</v>
      </c>
      <c r="D149" s="3258" t="s">
        <v>116</v>
      </c>
      <c r="E149" s="3145" t="s">
        <v>2276</v>
      </c>
      <c r="F149" s="3144"/>
      <c r="G149" s="3175"/>
      <c r="H149" s="3412" t="s">
        <v>2275</v>
      </c>
      <c r="I149" s="3141" t="s">
        <v>116</v>
      </c>
      <c r="J149" s="3139" t="s">
        <v>1230</v>
      </c>
      <c r="K149" s="3138"/>
      <c r="L149" s="3140" t="s">
        <v>116</v>
      </c>
      <c r="M149" s="3139" t="s">
        <v>1233</v>
      </c>
      <c r="N149" s="3162"/>
      <c r="O149" s="3162"/>
      <c r="P149" s="3162"/>
      <c r="Q149" s="3207"/>
      <c r="R149" s="3207"/>
      <c r="S149" s="3207"/>
      <c r="T149" s="3207"/>
      <c r="U149" s="3207"/>
      <c r="V149" s="3207"/>
      <c r="W149" s="3207"/>
      <c r="X149" s="3206"/>
      <c r="Y149" s="3293"/>
      <c r="Z149" s="1201"/>
      <c r="AA149" s="1201"/>
      <c r="AB149" s="1202"/>
      <c r="AC149" s="3293"/>
      <c r="AD149" s="1201"/>
      <c r="AE149" s="1201"/>
      <c r="AF149" s="1202"/>
      <c r="AI149" s="3120" t="str">
        <f>"21:field171:" &amp; IF(I149="■",1,IF(L149="■",2,0))</f>
        <v>21:field171:0</v>
      </c>
    </row>
    <row r="150" spans="1:35" s="3120" customFormat="1" ht="18.75" hidden="1" customHeight="1" x14ac:dyDescent="0.2">
      <c r="A150" s="834"/>
      <c r="B150" s="3148"/>
      <c r="C150" s="3147"/>
      <c r="D150" s="3258" t="s">
        <v>116</v>
      </c>
      <c r="E150" s="3145" t="s">
        <v>2274</v>
      </c>
      <c r="F150" s="3144"/>
      <c r="G150" s="3175"/>
      <c r="H150" s="3151" t="s">
        <v>2137</v>
      </c>
      <c r="I150" s="3155" t="s">
        <v>116</v>
      </c>
      <c r="J150" s="3137" t="s">
        <v>1230</v>
      </c>
      <c r="K150" s="3150"/>
      <c r="L150" s="3154" t="s">
        <v>116</v>
      </c>
      <c r="M150" s="3137" t="s">
        <v>2182</v>
      </c>
      <c r="N150" s="3150"/>
      <c r="O150" s="3150"/>
      <c r="P150" s="3150"/>
      <c r="Q150" s="3154" t="s">
        <v>116</v>
      </c>
      <c r="R150" s="3153" t="s">
        <v>2273</v>
      </c>
      <c r="S150" s="3150"/>
      <c r="T150" s="3150"/>
      <c r="U150" s="3150"/>
      <c r="V150" s="3150"/>
      <c r="W150" s="3150"/>
      <c r="X150" s="3149"/>
      <c r="Y150" s="3293"/>
      <c r="Z150" s="1201"/>
      <c r="AA150" s="1201"/>
      <c r="AB150" s="1202"/>
      <c r="AC150" s="3293"/>
      <c r="AD150" s="1201"/>
      <c r="AE150" s="1201"/>
      <c r="AF150" s="1202"/>
      <c r="AI150" s="3120" t="str">
        <f>"21:yakinhaiti_code:" &amp; IF(I150="■",1,IF(Q150="■",3,IF(L150="■",2,0)))</f>
        <v>21:yakinhaiti_code:0</v>
      </c>
    </row>
    <row r="151" spans="1:35" s="3120" customFormat="1" ht="18.75" hidden="1" customHeight="1" x14ac:dyDescent="0.2">
      <c r="A151" s="834"/>
      <c r="B151" s="3148"/>
      <c r="C151" s="3147"/>
      <c r="D151" s="3258" t="s">
        <v>116</v>
      </c>
      <c r="E151" s="3145" t="s">
        <v>2272</v>
      </c>
      <c r="F151" s="3144"/>
      <c r="G151" s="3175"/>
      <c r="H151" s="3170" t="s">
        <v>2180</v>
      </c>
      <c r="I151" s="3348" t="s">
        <v>116</v>
      </c>
      <c r="J151" s="3347" t="s">
        <v>1230</v>
      </c>
      <c r="K151" s="3347"/>
      <c r="L151" s="3346" t="s">
        <v>116</v>
      </c>
      <c r="M151" s="3347" t="s">
        <v>1233</v>
      </c>
      <c r="N151" s="3347"/>
      <c r="O151" s="3302"/>
      <c r="P151" s="3302"/>
      <c r="Q151" s="3302"/>
      <c r="R151" s="3302"/>
      <c r="S151" s="3302"/>
      <c r="T151" s="3302"/>
      <c r="U151" s="3302"/>
      <c r="V151" s="3302"/>
      <c r="W151" s="3302"/>
      <c r="X151" s="3335"/>
      <c r="Y151" s="3293"/>
      <c r="Z151" s="1201"/>
      <c r="AA151" s="1201"/>
      <c r="AB151" s="1202"/>
      <c r="AC151" s="3293"/>
      <c r="AD151" s="1201"/>
      <c r="AE151" s="1201"/>
      <c r="AF151" s="1202"/>
      <c r="AI151" s="3120" t="str">
        <f>"21:field161:" &amp; IF(I151="■",1,IF(L151="■",2,0))</f>
        <v>21:field161:0</v>
      </c>
    </row>
    <row r="152" spans="1:35" s="3120" customFormat="1" ht="18.75" hidden="1" customHeight="1" x14ac:dyDescent="0.2">
      <c r="A152" s="834"/>
      <c r="B152" s="3148"/>
      <c r="C152" s="3147"/>
      <c r="D152" s="3146"/>
      <c r="E152" s="3145"/>
      <c r="F152" s="3144"/>
      <c r="G152" s="3175"/>
      <c r="H152" s="3165"/>
      <c r="I152" s="3348"/>
      <c r="J152" s="3347"/>
      <c r="K152" s="3347"/>
      <c r="L152" s="3346"/>
      <c r="M152" s="3347"/>
      <c r="N152" s="3347"/>
      <c r="O152" s="3139"/>
      <c r="P152" s="3139"/>
      <c r="Q152" s="3139"/>
      <c r="R152" s="3139"/>
      <c r="S152" s="3139"/>
      <c r="T152" s="3139"/>
      <c r="U152" s="3139"/>
      <c r="V152" s="3139"/>
      <c r="W152" s="3139"/>
      <c r="X152" s="3195"/>
      <c r="Y152" s="3293"/>
      <c r="Z152" s="1201"/>
      <c r="AA152" s="1201"/>
      <c r="AB152" s="1202"/>
      <c r="AC152" s="3293"/>
      <c r="AD152" s="1201"/>
      <c r="AE152" s="1201"/>
      <c r="AF152" s="1202"/>
    </row>
    <row r="153" spans="1:35" s="3120" customFormat="1" ht="18.75" hidden="1" customHeight="1" x14ac:dyDescent="0.2">
      <c r="A153" s="834"/>
      <c r="B153" s="3148"/>
      <c r="C153" s="3147"/>
      <c r="D153" s="3146"/>
      <c r="E153" s="3145"/>
      <c r="F153" s="3144"/>
      <c r="G153" s="3175"/>
      <c r="H153" s="3151" t="s">
        <v>1256</v>
      </c>
      <c r="I153" s="3155" t="s">
        <v>116</v>
      </c>
      <c r="J153" s="3137" t="s">
        <v>1230</v>
      </c>
      <c r="K153" s="3171"/>
      <c r="L153" s="3154" t="s">
        <v>116</v>
      </c>
      <c r="M153" s="3137" t="s">
        <v>1233</v>
      </c>
      <c r="N153" s="3153"/>
      <c r="O153" s="3150"/>
      <c r="P153" s="3150"/>
      <c r="Q153" s="3150"/>
      <c r="R153" s="3150"/>
      <c r="S153" s="3150"/>
      <c r="T153" s="3150"/>
      <c r="U153" s="3150"/>
      <c r="V153" s="3150"/>
      <c r="W153" s="3150"/>
      <c r="X153" s="3149"/>
      <c r="Y153" s="3293"/>
      <c r="Z153" s="1201"/>
      <c r="AA153" s="1201"/>
      <c r="AB153" s="1202"/>
      <c r="AC153" s="3293"/>
      <c r="AD153" s="1201"/>
      <c r="AE153" s="1201"/>
      <c r="AF153" s="1202"/>
      <c r="AI153" s="3120" t="str">
        <f>"21:jyakuninti_uke_code:" &amp; IF(I153="■",1,IF(L153="■",2,0))</f>
        <v>21:jyakuninti_uke_code:0</v>
      </c>
    </row>
    <row r="154" spans="1:35" s="3120" customFormat="1" ht="18.75" hidden="1" customHeight="1" x14ac:dyDescent="0.2">
      <c r="A154" s="834"/>
      <c r="B154" s="3148"/>
      <c r="C154" s="3147"/>
      <c r="D154" s="3146"/>
      <c r="E154" s="3145"/>
      <c r="F154" s="3144"/>
      <c r="G154" s="3175"/>
      <c r="H154" s="3151" t="s">
        <v>1284</v>
      </c>
      <c r="I154" s="3155" t="s">
        <v>116</v>
      </c>
      <c r="J154" s="3137" t="s">
        <v>1240</v>
      </c>
      <c r="K154" s="3171"/>
      <c r="L154" s="3150"/>
      <c r="M154" s="3154" t="s">
        <v>116</v>
      </c>
      <c r="N154" s="3137" t="s">
        <v>1241</v>
      </c>
      <c r="O154" s="3150"/>
      <c r="P154" s="3150"/>
      <c r="Q154" s="3150"/>
      <c r="R154" s="3150"/>
      <c r="S154" s="3150"/>
      <c r="T154" s="3150"/>
      <c r="U154" s="3150"/>
      <c r="V154" s="3150"/>
      <c r="W154" s="3150"/>
      <c r="X154" s="3149"/>
      <c r="Y154" s="3293"/>
      <c r="Z154" s="1201"/>
      <c r="AA154" s="1201"/>
      <c r="AB154" s="1202"/>
      <c r="AC154" s="3293"/>
      <c r="AD154" s="1201"/>
      <c r="AE154" s="1201"/>
      <c r="AF154" s="1202"/>
      <c r="AI154" s="3120" t="str">
        <f>"21:sougei_code:" &amp; IF(I154="■",1,IF(M154="■",2,0))</f>
        <v>21:sougei_code:0</v>
      </c>
    </row>
    <row r="155" spans="1:35" s="3120" customFormat="1" ht="19.5" hidden="1" customHeight="1" x14ac:dyDescent="0.2">
      <c r="A155" s="834"/>
      <c r="B155" s="3148"/>
      <c r="C155" s="3147"/>
      <c r="D155" s="3146"/>
      <c r="E155" s="3145"/>
      <c r="F155" s="3144"/>
      <c r="G155" s="3175"/>
      <c r="H155" s="3174" t="s">
        <v>1236</v>
      </c>
      <c r="I155" s="3155" t="s">
        <v>116</v>
      </c>
      <c r="J155" s="3137" t="s">
        <v>1230</v>
      </c>
      <c r="K155" s="3137"/>
      <c r="L155" s="3154" t="s">
        <v>116</v>
      </c>
      <c r="M155" s="3137" t="s">
        <v>1233</v>
      </c>
      <c r="N155" s="3137"/>
      <c r="O155" s="3150"/>
      <c r="P155" s="3137"/>
      <c r="Q155" s="3150"/>
      <c r="R155" s="3150"/>
      <c r="S155" s="3150"/>
      <c r="T155" s="3150"/>
      <c r="U155" s="3150"/>
      <c r="V155" s="3150"/>
      <c r="W155" s="3150"/>
      <c r="X155" s="3149"/>
      <c r="Y155" s="1201"/>
      <c r="Z155" s="1201"/>
      <c r="AA155" s="1201"/>
      <c r="AB155" s="1202"/>
      <c r="AC155" s="3293"/>
      <c r="AD155" s="1201"/>
      <c r="AE155" s="1201"/>
      <c r="AF155" s="1202"/>
      <c r="AI155" s="3120" t="str">
        <f>"21:field224:" &amp; IF(I155="■",1,IF(L155="■",2,0))</f>
        <v>21:field224:0</v>
      </c>
    </row>
    <row r="156" spans="1:35" s="3120" customFormat="1" ht="18.75" hidden="1" customHeight="1" x14ac:dyDescent="0.2">
      <c r="A156" s="834"/>
      <c r="B156" s="3148"/>
      <c r="C156" s="3147"/>
      <c r="D156" s="3146"/>
      <c r="E156" s="3145"/>
      <c r="F156" s="3144"/>
      <c r="G156" s="3175"/>
      <c r="H156" s="3151" t="s">
        <v>140</v>
      </c>
      <c r="I156" s="3155" t="s">
        <v>116</v>
      </c>
      <c r="J156" s="3137" t="s">
        <v>1230</v>
      </c>
      <c r="K156" s="3171"/>
      <c r="L156" s="3154" t="s">
        <v>116</v>
      </c>
      <c r="M156" s="3137" t="s">
        <v>1233</v>
      </c>
      <c r="N156" s="3153"/>
      <c r="O156" s="3150"/>
      <c r="P156" s="3150"/>
      <c r="Q156" s="3150"/>
      <c r="R156" s="3150"/>
      <c r="S156" s="3150"/>
      <c r="T156" s="3150"/>
      <c r="U156" s="3150"/>
      <c r="V156" s="3150"/>
      <c r="W156" s="3150"/>
      <c r="X156" s="3149"/>
      <c r="Y156" s="3293"/>
      <c r="Z156" s="1201"/>
      <c r="AA156" s="1201"/>
      <c r="AB156" s="1202"/>
      <c r="AC156" s="3293"/>
      <c r="AD156" s="1201"/>
      <c r="AE156" s="1201"/>
      <c r="AF156" s="1202"/>
      <c r="AI156" s="3120" t="str">
        <f>"21:ryouyoushoku_code:" &amp; IF(I156="■",1,IF(L156="■",2,0))</f>
        <v>21:ryouyoushoku_code:0</v>
      </c>
    </row>
    <row r="157" spans="1:35" s="3120" customFormat="1" ht="18.75" hidden="1" customHeight="1" x14ac:dyDescent="0.2">
      <c r="A157" s="834"/>
      <c r="B157" s="3148"/>
      <c r="C157" s="3147"/>
      <c r="D157" s="3146"/>
      <c r="E157" s="3145"/>
      <c r="F157" s="3144"/>
      <c r="G157" s="3175"/>
      <c r="H157" s="3243" t="s">
        <v>1237</v>
      </c>
      <c r="I157" s="3155" t="s">
        <v>116</v>
      </c>
      <c r="J157" s="3137" t="s">
        <v>1230</v>
      </c>
      <c r="K157" s="3137"/>
      <c r="L157" s="3154" t="s">
        <v>116</v>
      </c>
      <c r="M157" s="3137" t="s">
        <v>1231</v>
      </c>
      <c r="N157" s="3137"/>
      <c r="O157" s="3154" t="s">
        <v>116</v>
      </c>
      <c r="P157" s="3137" t="s">
        <v>1232</v>
      </c>
      <c r="Q157" s="3150"/>
      <c r="R157" s="3150"/>
      <c r="S157" s="3150"/>
      <c r="T157" s="3150"/>
      <c r="U157" s="3150"/>
      <c r="V157" s="3150"/>
      <c r="W157" s="3150"/>
      <c r="X157" s="3149"/>
      <c r="Y157" s="3293"/>
      <c r="Z157" s="1201"/>
      <c r="AA157" s="1201"/>
      <c r="AB157" s="1202"/>
      <c r="AC157" s="3293"/>
      <c r="AD157" s="1201"/>
      <c r="AE157" s="1201"/>
      <c r="AF157" s="1202"/>
      <c r="AI157" s="3120" t="str">
        <f>"21:ninti_senmoncare_code:" &amp; IF(I157="■",1,IF(O157="■",3,IF(L157="■",2,0)))</f>
        <v>21:ninti_senmoncare_code:0</v>
      </c>
    </row>
    <row r="158" spans="1:35" s="3120" customFormat="1" ht="18.75" hidden="1" customHeight="1" x14ac:dyDescent="0.2">
      <c r="A158" s="834"/>
      <c r="B158" s="3148"/>
      <c r="C158" s="3147"/>
      <c r="D158" s="3146"/>
      <c r="E158" s="3145"/>
      <c r="F158" s="3144"/>
      <c r="G158" s="3175"/>
      <c r="H158" s="3296" t="s">
        <v>1285</v>
      </c>
      <c r="I158" s="3155" t="s">
        <v>116</v>
      </c>
      <c r="J158" s="3137" t="s">
        <v>1230</v>
      </c>
      <c r="K158" s="3137"/>
      <c r="L158" s="3154" t="s">
        <v>116</v>
      </c>
      <c r="M158" s="3137" t="s">
        <v>1231</v>
      </c>
      <c r="N158" s="3137"/>
      <c r="O158" s="3154" t="s">
        <v>116</v>
      </c>
      <c r="P158" s="3137" t="s">
        <v>1232</v>
      </c>
      <c r="Q158" s="3150"/>
      <c r="R158" s="3150"/>
      <c r="S158" s="3150"/>
      <c r="T158" s="3150"/>
      <c r="U158" s="3209"/>
      <c r="V158" s="3209"/>
      <c r="W158" s="3209"/>
      <c r="X158" s="3208"/>
      <c r="Y158" s="3293"/>
      <c r="Z158" s="1201"/>
      <c r="AA158" s="1201"/>
      <c r="AB158" s="1202"/>
      <c r="AC158" s="3293"/>
      <c r="AD158" s="1201"/>
      <c r="AE158" s="1201"/>
      <c r="AF158" s="1202"/>
      <c r="AI158" s="3120" t="str">
        <f>"21:field225:" &amp; IF(I158="■",1,IF(L158="■",2,IF(O158="■",3,0)))</f>
        <v>21:field225:0</v>
      </c>
    </row>
    <row r="159" spans="1:35" s="3120" customFormat="1" ht="18.75" hidden="1" customHeight="1" x14ac:dyDescent="0.2">
      <c r="A159" s="834"/>
      <c r="B159" s="3148"/>
      <c r="C159" s="3147"/>
      <c r="D159" s="3146"/>
      <c r="E159" s="3145"/>
      <c r="F159" s="3144"/>
      <c r="G159" s="3175"/>
      <c r="H159" s="3170" t="s">
        <v>2271</v>
      </c>
      <c r="I159" s="3348" t="s">
        <v>116</v>
      </c>
      <c r="J159" s="3347" t="s">
        <v>1230</v>
      </c>
      <c r="K159" s="3347"/>
      <c r="L159" s="3346" t="s">
        <v>116</v>
      </c>
      <c r="M159" s="3347" t="s">
        <v>2269</v>
      </c>
      <c r="N159" s="3347"/>
      <c r="O159" s="3346" t="s">
        <v>116</v>
      </c>
      <c r="P159" s="3347" t="s">
        <v>2268</v>
      </c>
      <c r="Q159" s="3347"/>
      <c r="R159" s="3346" t="s">
        <v>116</v>
      </c>
      <c r="S159" s="3347" t="s">
        <v>2267</v>
      </c>
      <c r="T159" s="3347"/>
      <c r="U159" s="3302"/>
      <c r="V159" s="3302"/>
      <c r="W159" s="3302"/>
      <c r="X159" s="3335"/>
      <c r="Y159" s="3293"/>
      <c r="Z159" s="1201"/>
      <c r="AA159" s="1201"/>
      <c r="AB159" s="1202"/>
      <c r="AC159" s="3293"/>
      <c r="AD159" s="1201"/>
      <c r="AE159" s="1201"/>
      <c r="AF159" s="1202"/>
      <c r="AI159" s="3120" t="str">
        <f>"21:serteikyo_kyoka_code:" &amp; IF(I159="■",1,IF(L159="■",6,IF(O159="■",5,IF(R159="■",7,0))))</f>
        <v>21:serteikyo_kyoka_code:0</v>
      </c>
    </row>
    <row r="160" spans="1:35" s="3120" customFormat="1" ht="18.75" hidden="1" customHeight="1" x14ac:dyDescent="0.2">
      <c r="A160" s="834"/>
      <c r="B160" s="3148"/>
      <c r="C160" s="3147"/>
      <c r="D160" s="3146"/>
      <c r="E160" s="3145"/>
      <c r="F160" s="3144"/>
      <c r="G160" s="3175"/>
      <c r="H160" s="3165"/>
      <c r="I160" s="3348"/>
      <c r="J160" s="3347"/>
      <c r="K160" s="3347"/>
      <c r="L160" s="3346"/>
      <c r="M160" s="3347"/>
      <c r="N160" s="3347"/>
      <c r="O160" s="3346"/>
      <c r="P160" s="3347"/>
      <c r="Q160" s="3347"/>
      <c r="R160" s="3346"/>
      <c r="S160" s="3347"/>
      <c r="T160" s="3347"/>
      <c r="U160" s="3139"/>
      <c r="V160" s="3139"/>
      <c r="W160" s="3139"/>
      <c r="X160" s="3195"/>
      <c r="Y160" s="3293"/>
      <c r="Z160" s="1201"/>
      <c r="AA160" s="1201"/>
      <c r="AB160" s="1202"/>
      <c r="AC160" s="3293"/>
      <c r="AD160" s="1201"/>
      <c r="AE160" s="1201"/>
      <c r="AF160" s="1202"/>
    </row>
    <row r="161" spans="1:36" s="3120" customFormat="1" ht="18.75" hidden="1" customHeight="1" x14ac:dyDescent="0.2">
      <c r="A161" s="834"/>
      <c r="B161" s="3148"/>
      <c r="C161" s="3147"/>
      <c r="D161" s="3146"/>
      <c r="E161" s="3145"/>
      <c r="F161" s="3144"/>
      <c r="G161" s="3175"/>
      <c r="H161" s="3170" t="s">
        <v>2270</v>
      </c>
      <c r="I161" s="3348" t="s">
        <v>116</v>
      </c>
      <c r="J161" s="3347" t="s">
        <v>1230</v>
      </c>
      <c r="K161" s="3347"/>
      <c r="L161" s="3346" t="s">
        <v>116</v>
      </c>
      <c r="M161" s="3347" t="s">
        <v>2269</v>
      </c>
      <c r="N161" s="3347"/>
      <c r="O161" s="3346" t="s">
        <v>116</v>
      </c>
      <c r="P161" s="3347" t="s">
        <v>2268</v>
      </c>
      <c r="Q161" s="3347"/>
      <c r="R161" s="3346" t="s">
        <v>116</v>
      </c>
      <c r="S161" s="3347" t="s">
        <v>2267</v>
      </c>
      <c r="T161" s="3347"/>
      <c r="U161" s="3302"/>
      <c r="V161" s="3302"/>
      <c r="W161" s="3302"/>
      <c r="X161" s="3335"/>
      <c r="Y161" s="3293"/>
      <c r="Z161" s="1201"/>
      <c r="AA161" s="1201"/>
      <c r="AB161" s="1202"/>
      <c r="AC161" s="3293"/>
      <c r="AD161" s="1201"/>
      <c r="AE161" s="1201"/>
      <c r="AF161" s="1202"/>
      <c r="AI161" s="3120" t="str">
        <f>"21:serteikyo_kyoka_kuushou_code:" &amp; IF(I161="■",1,IF(L161="■",6,IF(O161="■",5,IF(R161="■",7,0))))</f>
        <v>21:serteikyo_kyoka_kuushou_code:0</v>
      </c>
    </row>
    <row r="162" spans="1:36" s="3120" customFormat="1" ht="18.75" hidden="1" customHeight="1" x14ac:dyDescent="0.2">
      <c r="A162" s="834"/>
      <c r="B162" s="3148"/>
      <c r="C162" s="3147"/>
      <c r="D162" s="3146"/>
      <c r="E162" s="3145"/>
      <c r="F162" s="3144"/>
      <c r="G162" s="3175"/>
      <c r="H162" s="3165"/>
      <c r="I162" s="3348"/>
      <c r="J162" s="3347"/>
      <c r="K162" s="3347"/>
      <c r="L162" s="3346"/>
      <c r="M162" s="3347"/>
      <c r="N162" s="3347"/>
      <c r="O162" s="3346"/>
      <c r="P162" s="3347"/>
      <c r="Q162" s="3347"/>
      <c r="R162" s="3346"/>
      <c r="S162" s="3347"/>
      <c r="T162" s="3347"/>
      <c r="U162" s="3139"/>
      <c r="V162" s="3139"/>
      <c r="W162" s="3139"/>
      <c r="X162" s="3195"/>
      <c r="Y162" s="3293"/>
      <c r="Z162" s="1201"/>
      <c r="AA162" s="1201"/>
      <c r="AB162" s="1202"/>
      <c r="AC162" s="3293"/>
      <c r="AD162" s="1201"/>
      <c r="AE162" s="1201"/>
      <c r="AF162" s="1202"/>
    </row>
    <row r="163" spans="1:36" s="3120" customFormat="1" ht="18.75" hidden="1" customHeight="1" x14ac:dyDescent="0.2">
      <c r="A163" s="834"/>
      <c r="B163" s="3148"/>
      <c r="C163" s="3147"/>
      <c r="D163" s="3146"/>
      <c r="E163" s="3145"/>
      <c r="F163" s="3144"/>
      <c r="G163" s="3175"/>
      <c r="H163" s="3170" t="s">
        <v>2058</v>
      </c>
      <c r="I163" s="3348" t="s">
        <v>116</v>
      </c>
      <c r="J163" s="3347" t="s">
        <v>1230</v>
      </c>
      <c r="K163" s="3347"/>
      <c r="L163" s="3346" t="s">
        <v>116</v>
      </c>
      <c r="M163" s="3347" t="s">
        <v>1233</v>
      </c>
      <c r="N163" s="3347"/>
      <c r="O163" s="3302"/>
      <c r="P163" s="3302"/>
      <c r="Q163" s="3302"/>
      <c r="R163" s="3302"/>
      <c r="S163" s="3302"/>
      <c r="T163" s="3302"/>
      <c r="U163" s="3302"/>
      <c r="V163" s="3302"/>
      <c r="W163" s="3302"/>
      <c r="X163" s="3335"/>
      <c r="Y163" s="3293"/>
      <c r="Z163" s="1201"/>
      <c r="AA163" s="1201"/>
      <c r="AB163" s="1202"/>
      <c r="AC163" s="3293"/>
      <c r="AD163" s="1201"/>
      <c r="AE163" s="1201"/>
      <c r="AF163" s="1202"/>
      <c r="AI163" s="3120" t="str">
        <f>"21:field221:" &amp; IF(I163="■",1,IF(L163="■",2,0))</f>
        <v>21:field221:0</v>
      </c>
    </row>
    <row r="164" spans="1:36" s="3120" customFormat="1" ht="18.75" hidden="1" customHeight="1" x14ac:dyDescent="0.2">
      <c r="A164" s="834"/>
      <c r="B164" s="3148"/>
      <c r="C164" s="3147"/>
      <c r="D164" s="3146"/>
      <c r="E164" s="3145"/>
      <c r="F164" s="3144"/>
      <c r="G164" s="3175"/>
      <c r="H164" s="3165"/>
      <c r="I164" s="3348"/>
      <c r="J164" s="3347"/>
      <c r="K164" s="3347"/>
      <c r="L164" s="3346"/>
      <c r="M164" s="3347"/>
      <c r="N164" s="3347"/>
      <c r="O164" s="3139"/>
      <c r="P164" s="3139"/>
      <c r="Q164" s="3139"/>
      <c r="R164" s="3139"/>
      <c r="S164" s="3139"/>
      <c r="T164" s="3139"/>
      <c r="U164" s="3139"/>
      <c r="V164" s="3139"/>
      <c r="W164" s="3139"/>
      <c r="X164" s="3195"/>
      <c r="Y164" s="3293"/>
      <c r="Z164" s="1201"/>
      <c r="AA164" s="1201"/>
      <c r="AB164" s="1202"/>
      <c r="AC164" s="3293"/>
      <c r="AD164" s="1201"/>
      <c r="AE164" s="1201"/>
      <c r="AF164" s="1202"/>
    </row>
    <row r="165" spans="1:36" s="3120" customFormat="1" ht="18.75" hidden="1" customHeight="1" x14ac:dyDescent="0.2">
      <c r="A165" s="835"/>
      <c r="B165" s="3135"/>
      <c r="C165" s="3134"/>
      <c r="D165" s="3133"/>
      <c r="E165" s="3132"/>
      <c r="F165" s="3131"/>
      <c r="G165" s="3189"/>
      <c r="H165" s="3289" t="s">
        <v>2129</v>
      </c>
      <c r="I165" s="3128" t="s">
        <v>116</v>
      </c>
      <c r="J165" s="3285" t="s">
        <v>1230</v>
      </c>
      <c r="K165" s="3285"/>
      <c r="L165" s="3127" t="s">
        <v>116</v>
      </c>
      <c r="M165" s="3285" t="s">
        <v>2128</v>
      </c>
      <c r="N165" s="3288"/>
      <c r="O165" s="3127" t="s">
        <v>116</v>
      </c>
      <c r="P165" s="3287" t="s">
        <v>2127</v>
      </c>
      <c r="Q165" s="3286"/>
      <c r="R165" s="3127" t="s">
        <v>116</v>
      </c>
      <c r="S165" s="3285" t="s">
        <v>2126</v>
      </c>
      <c r="T165" s="3286"/>
      <c r="U165" s="3127" t="s">
        <v>116</v>
      </c>
      <c r="V165" s="3285" t="s">
        <v>2125</v>
      </c>
      <c r="W165" s="3284"/>
      <c r="X165" s="3283"/>
      <c r="Y165" s="3282"/>
      <c r="Z165" s="3282"/>
      <c r="AA165" s="3282"/>
      <c r="AB165" s="3281"/>
      <c r="AC165" s="3340"/>
      <c r="AD165" s="3282"/>
      <c r="AE165" s="3282"/>
      <c r="AF165" s="3281"/>
      <c r="AI165" s="3120" t="str">
        <f>"21:shoguukaizen_code:"&amp;IF(I165="■",1,IF(L165="■",7,IF(O165="■",8,IF(R165="■",9,IF(U165="■","A",0)))))</f>
        <v>21:shoguukaizen_code:0</v>
      </c>
    </row>
    <row r="166" spans="1:36" s="3120" customFormat="1" ht="18.75" hidden="1" customHeight="1" x14ac:dyDescent="0.2">
      <c r="A166" s="3188"/>
      <c r="B166" s="3187"/>
      <c r="C166" s="3229"/>
      <c r="D166" s="3228"/>
      <c r="E166" s="3185"/>
      <c r="F166" s="3184"/>
      <c r="G166" s="3185"/>
      <c r="H166" s="3411" t="s">
        <v>1286</v>
      </c>
      <c r="I166" s="3181" t="s">
        <v>116</v>
      </c>
      <c r="J166" s="3180" t="s">
        <v>1282</v>
      </c>
      <c r="K166" s="3226"/>
      <c r="L166" s="3225"/>
      <c r="M166" s="3179" t="s">
        <v>116</v>
      </c>
      <c r="N166" s="3180" t="s">
        <v>1283</v>
      </c>
      <c r="O166" s="3177"/>
      <c r="P166" s="3177"/>
      <c r="Q166" s="3177"/>
      <c r="R166" s="3177"/>
      <c r="S166" s="3177"/>
      <c r="T166" s="3177"/>
      <c r="U166" s="3177"/>
      <c r="V166" s="3177"/>
      <c r="W166" s="3177"/>
      <c r="X166" s="3176"/>
      <c r="Y166" s="3253" t="s">
        <v>116</v>
      </c>
      <c r="Z166" s="3252" t="s">
        <v>1225</v>
      </c>
      <c r="AA166" s="3252"/>
      <c r="AB166" s="3308"/>
      <c r="AC166" s="3338"/>
      <c r="AD166" s="3338"/>
      <c r="AE166" s="3338"/>
      <c r="AF166" s="3338"/>
      <c r="AG166" s="3120" t="str">
        <f>"ser_code = '" &amp; IF(A176="■",22,"") &amp; "'"</f>
        <v>ser_code = ''</v>
      </c>
      <c r="AH166" s="3120" t="str">
        <f>"22:jininkbn_code:" &amp; IF(F176="■",1,IF(F177="■",2,0))</f>
        <v>22:jininkbn_code:0</v>
      </c>
      <c r="AI166" s="3120" t="str">
        <f>"22:yakan_kinmu_code:" &amp; IF(I166="■",1,IF(M166="■",6,0))</f>
        <v>22:yakan_kinmu_code:0</v>
      </c>
      <c r="AJ166" s="3120" t="str">
        <f>"22:field203:" &amp; IF(Y166="■",1,IF(Y167="■",2,0))</f>
        <v>22:field203:0</v>
      </c>
    </row>
    <row r="167" spans="1:36" s="3120" customFormat="1" ht="18.75" hidden="1" customHeight="1" x14ac:dyDescent="0.2">
      <c r="A167" s="834"/>
      <c r="B167" s="3148"/>
      <c r="C167" s="3147"/>
      <c r="D167" s="3146"/>
      <c r="E167" s="3145"/>
      <c r="F167" s="3144"/>
      <c r="G167" s="3145"/>
      <c r="H167" s="3410" t="s">
        <v>90</v>
      </c>
      <c r="I167" s="3303" t="s">
        <v>116</v>
      </c>
      <c r="J167" s="3302" t="s">
        <v>1230</v>
      </c>
      <c r="K167" s="3302"/>
      <c r="L167" s="3316"/>
      <c r="M167" s="3301" t="s">
        <v>116</v>
      </c>
      <c r="N167" s="3302" t="s">
        <v>1262</v>
      </c>
      <c r="O167" s="3302"/>
      <c r="P167" s="3316"/>
      <c r="Q167" s="3301" t="s">
        <v>116</v>
      </c>
      <c r="R167" s="3167" t="s">
        <v>1263</v>
      </c>
      <c r="S167" s="3167"/>
      <c r="T167" s="3167"/>
      <c r="U167" s="3301" t="s">
        <v>116</v>
      </c>
      <c r="V167" s="3167" t="s">
        <v>1264</v>
      </c>
      <c r="W167" s="3167"/>
      <c r="X167" s="3166"/>
      <c r="Y167" s="3258" t="s">
        <v>116</v>
      </c>
      <c r="Z167" s="1200" t="s">
        <v>1226</v>
      </c>
      <c r="AA167" s="1201"/>
      <c r="AB167" s="1202"/>
      <c r="AC167" s="3333"/>
      <c r="AD167" s="3333"/>
      <c r="AE167" s="3333"/>
      <c r="AF167" s="3333"/>
      <c r="AG167" s="3120" t="str">
        <f>"22:sisetukbn_code:" &amp; IF(D176="■",1,0)</f>
        <v>22:sisetukbn_code:0</v>
      </c>
      <c r="AI167" s="3120" t="str">
        <f>"22:"&amp;IF(AND(I167="□",M167="□",Q167="□",U167="□",I168="□",M168="□",Q168="□"),"ketu_doctor_code:0",IF(I167="■","ketu_doctor_code:1:ketu_kangos_code:1:ketu_kshoku_code:1:ketu_rryoho_code:1:ketu_sryoho_code:1:ketu_gengo_code:1",
IF(M167="■","ketu_doctor_code:2","ketu_doctor_code:1")
&amp;IF(Q167="■",":ketu_kangos_code:2",":ketu_kangos_code:1")
&amp;IF(U167="■",":ketu_kshoku_code:2",":ketu_kshoku_code:1")
&amp;IF(I168="■",":ketu_rryoho_code:2",":ketu_rryoho_code:1")
&amp;IF(M168="■",":ketu_sryoho_code:2",":ketu_sryoho_code:1")
&amp;IF(Q168="■",":ketu_gengo_code:2",":ketu_gengo_code:1")))</f>
        <v>22:ketu_doctor_code:0</v>
      </c>
    </row>
    <row r="168" spans="1:36" s="3120" customFormat="1" ht="18.75" hidden="1" customHeight="1" x14ac:dyDescent="0.2">
      <c r="A168" s="834"/>
      <c r="B168" s="3148"/>
      <c r="C168" s="3147"/>
      <c r="D168" s="3146"/>
      <c r="E168" s="3145"/>
      <c r="F168" s="3144"/>
      <c r="G168" s="3145"/>
      <c r="H168" s="3409"/>
      <c r="I168" s="3141" t="s">
        <v>116</v>
      </c>
      <c r="J168" s="3139" t="s">
        <v>1265</v>
      </c>
      <c r="K168" s="3139"/>
      <c r="L168" s="3385"/>
      <c r="M168" s="3140" t="s">
        <v>116</v>
      </c>
      <c r="N168" s="3139" t="s">
        <v>1266</v>
      </c>
      <c r="O168" s="3139"/>
      <c r="P168" s="3385"/>
      <c r="Q168" s="3140" t="s">
        <v>116</v>
      </c>
      <c r="R168" s="3162" t="s">
        <v>1267</v>
      </c>
      <c r="S168" s="3162"/>
      <c r="T168" s="3162"/>
      <c r="U168" s="3162"/>
      <c r="V168" s="3162"/>
      <c r="W168" s="3162"/>
      <c r="X168" s="3161"/>
      <c r="Y168" s="1201"/>
      <c r="Z168" s="1201"/>
      <c r="AA168" s="1201"/>
      <c r="AB168" s="1202"/>
      <c r="AC168" s="3333"/>
      <c r="AD168" s="3333"/>
      <c r="AE168" s="3333"/>
      <c r="AF168" s="3333"/>
    </row>
    <row r="169" spans="1:36" s="3120" customFormat="1" ht="18.75" hidden="1" customHeight="1" x14ac:dyDescent="0.2">
      <c r="A169" s="834"/>
      <c r="B169" s="3148"/>
      <c r="C169" s="3147"/>
      <c r="D169" s="3146"/>
      <c r="E169" s="3145"/>
      <c r="F169" s="3144"/>
      <c r="G169" s="3145"/>
      <c r="H169" s="3408" t="s">
        <v>91</v>
      </c>
      <c r="I169" s="3155" t="s">
        <v>116</v>
      </c>
      <c r="J169" s="3137" t="s">
        <v>1240</v>
      </c>
      <c r="K169" s="3171"/>
      <c r="L169" s="3173"/>
      <c r="M169" s="3154" t="s">
        <v>116</v>
      </c>
      <c r="N169" s="3137" t="s">
        <v>1241</v>
      </c>
      <c r="O169" s="3150"/>
      <c r="P169" s="3150"/>
      <c r="Q169" s="3150"/>
      <c r="R169" s="3150"/>
      <c r="S169" s="3150"/>
      <c r="T169" s="3150"/>
      <c r="U169" s="3150"/>
      <c r="V169" s="3150"/>
      <c r="W169" s="3150"/>
      <c r="X169" s="3149"/>
      <c r="Y169" s="1201"/>
      <c r="Z169" s="1201"/>
      <c r="AA169" s="1201"/>
      <c r="AB169" s="1202"/>
      <c r="AC169" s="3333"/>
      <c r="AD169" s="3333"/>
      <c r="AE169" s="3333"/>
      <c r="AF169" s="3333"/>
      <c r="AI169" s="3120" t="str">
        <f>"22:unitcare_code:" &amp; IF(I169="■",1,IF(M169="■",2,0))</f>
        <v>22:unitcare_code:0</v>
      </c>
    </row>
    <row r="170" spans="1:36" s="3120" customFormat="1" ht="18.75" hidden="1" customHeight="1" x14ac:dyDescent="0.2">
      <c r="A170" s="834"/>
      <c r="B170" s="3148"/>
      <c r="C170" s="3295"/>
      <c r="D170" s="3294"/>
      <c r="E170" s="3145"/>
      <c r="F170" s="3144"/>
      <c r="G170" s="3175"/>
      <c r="H170" s="3381" t="s">
        <v>1325</v>
      </c>
      <c r="I170" s="3222" t="s">
        <v>116</v>
      </c>
      <c r="J170" s="3217" t="s">
        <v>1228</v>
      </c>
      <c r="K170" s="3221"/>
      <c r="L170" s="3220"/>
      <c r="M170" s="3219" t="s">
        <v>116</v>
      </c>
      <c r="N170" s="3217" t="s">
        <v>1322</v>
      </c>
      <c r="O170" s="3221"/>
      <c r="P170" s="3380"/>
      <c r="Q170" s="3380"/>
      <c r="R170" s="3380"/>
      <c r="S170" s="3380"/>
      <c r="T170" s="3380"/>
      <c r="U170" s="3380"/>
      <c r="V170" s="3380"/>
      <c r="W170" s="3380"/>
      <c r="X170" s="3379"/>
      <c r="Y170" s="3293"/>
      <c r="Z170" s="1201"/>
      <c r="AA170" s="1201"/>
      <c r="AB170" s="1202"/>
      <c r="AC170" s="3333"/>
      <c r="AD170" s="3333"/>
      <c r="AE170" s="3333"/>
      <c r="AF170" s="3333"/>
      <c r="AI170" s="3120" t="str">
        <f>"22:sintaikousoku_code:" &amp; IF(I170="■",1,IF(M170="■",2,0))</f>
        <v>22:sintaikousoku_code:0</v>
      </c>
    </row>
    <row r="171" spans="1:36" s="3120" customFormat="1" ht="19.5" hidden="1" customHeight="1" x14ac:dyDescent="0.2">
      <c r="A171" s="834"/>
      <c r="B171" s="3148"/>
      <c r="C171" s="3147"/>
      <c r="D171" s="3146"/>
      <c r="E171" s="3145"/>
      <c r="F171" s="3144"/>
      <c r="G171" s="3175"/>
      <c r="H171" s="3174" t="s">
        <v>1227</v>
      </c>
      <c r="I171" s="3155" t="s">
        <v>116</v>
      </c>
      <c r="J171" s="3137" t="s">
        <v>1228</v>
      </c>
      <c r="K171" s="3171"/>
      <c r="L171" s="3173"/>
      <c r="M171" s="3154" t="s">
        <v>116</v>
      </c>
      <c r="N171" s="3137" t="s">
        <v>1229</v>
      </c>
      <c r="O171" s="3299"/>
      <c r="P171" s="3137"/>
      <c r="Q171" s="3150"/>
      <c r="R171" s="3150"/>
      <c r="S171" s="3150"/>
      <c r="T171" s="3150"/>
      <c r="U171" s="3150"/>
      <c r="V171" s="3150"/>
      <c r="W171" s="3150"/>
      <c r="X171" s="3149"/>
      <c r="Y171" s="1201"/>
      <c r="Z171" s="1201"/>
      <c r="AA171" s="1201"/>
      <c r="AB171" s="1202"/>
      <c r="AC171" s="3333"/>
      <c r="AD171" s="3333"/>
      <c r="AE171" s="3333"/>
      <c r="AF171" s="3333"/>
      <c r="AI171" s="3120" t="str">
        <f>"22:field223:" &amp; IF(I171="■",1,IF(M171="■",2,0))</f>
        <v>22:field223:0</v>
      </c>
    </row>
    <row r="172" spans="1:36" s="3120" customFormat="1" ht="19.5" hidden="1" customHeight="1" x14ac:dyDescent="0.2">
      <c r="A172" s="834"/>
      <c r="B172" s="3148"/>
      <c r="C172" s="3147"/>
      <c r="D172" s="3146"/>
      <c r="E172" s="3145"/>
      <c r="F172" s="3144"/>
      <c r="G172" s="3175"/>
      <c r="H172" s="3174" t="s">
        <v>1253</v>
      </c>
      <c r="I172" s="3155" t="s">
        <v>116</v>
      </c>
      <c r="J172" s="3137" t="s">
        <v>1228</v>
      </c>
      <c r="K172" s="3171"/>
      <c r="L172" s="3173"/>
      <c r="M172" s="3154" t="s">
        <v>116</v>
      </c>
      <c r="N172" s="3137" t="s">
        <v>1229</v>
      </c>
      <c r="O172" s="3299"/>
      <c r="P172" s="3137"/>
      <c r="Q172" s="3150"/>
      <c r="R172" s="3150"/>
      <c r="S172" s="3150"/>
      <c r="T172" s="3150"/>
      <c r="U172" s="3150"/>
      <c r="V172" s="3150"/>
      <c r="W172" s="3150"/>
      <c r="X172" s="3149"/>
      <c r="Y172" s="1201"/>
      <c r="Z172" s="1201"/>
      <c r="AA172" s="1201"/>
      <c r="AB172" s="1202"/>
      <c r="AC172" s="3333"/>
      <c r="AD172" s="3333"/>
      <c r="AE172" s="3333"/>
      <c r="AF172" s="3333"/>
      <c r="AI172" s="3120" t="str">
        <f>"22:field232:" &amp; IF(I172="■",1,IF(M172="■",2,0))</f>
        <v>22:field232:0</v>
      </c>
    </row>
    <row r="173" spans="1:36" s="1247" customFormat="1" ht="19.5" hidden="1" customHeight="1" x14ac:dyDescent="0.2">
      <c r="A173" s="579"/>
      <c r="B173" s="1250"/>
      <c r="C173" s="581"/>
      <c r="D173" s="1251"/>
      <c r="E173" s="1253"/>
      <c r="F173" s="1249"/>
      <c r="G173" s="583"/>
      <c r="H173" s="3324" t="s">
        <v>2133</v>
      </c>
      <c r="I173" s="3155" t="s">
        <v>116</v>
      </c>
      <c r="J173" s="3320" t="s">
        <v>2131</v>
      </c>
      <c r="K173" s="3323"/>
      <c r="L173" s="3322"/>
      <c r="M173" s="3154" t="s">
        <v>116</v>
      </c>
      <c r="N173" s="3320" t="s">
        <v>2130</v>
      </c>
      <c r="O173" s="3321"/>
      <c r="P173" s="3320"/>
      <c r="Q173" s="3319"/>
      <c r="R173" s="3319"/>
      <c r="S173" s="3319"/>
      <c r="T173" s="3319"/>
      <c r="U173" s="3319"/>
      <c r="V173" s="3319"/>
      <c r="W173" s="3319"/>
      <c r="X173" s="3318"/>
      <c r="Y173" s="1248"/>
      <c r="Z173" s="2"/>
      <c r="AA173" s="584"/>
      <c r="AB173" s="585"/>
      <c r="AC173" s="3333"/>
      <c r="AD173" s="3333"/>
      <c r="AE173" s="3333"/>
      <c r="AF173" s="3333"/>
      <c r="AI173" s="3120" t="str">
        <f>"22:field242:" &amp; IF(I173="■",1,IF(M173="■",2,0))</f>
        <v>22:field242:0</v>
      </c>
    </row>
    <row r="174" spans="1:36" s="3120" customFormat="1" ht="18.75" hidden="1" customHeight="1" x14ac:dyDescent="0.2">
      <c r="A174" s="834"/>
      <c r="B174" s="3148"/>
      <c r="C174" s="3147"/>
      <c r="D174" s="3146"/>
      <c r="E174" s="3145"/>
      <c r="F174" s="3144"/>
      <c r="G174" s="3145"/>
      <c r="H174" s="3408" t="s">
        <v>2137</v>
      </c>
      <c r="I174" s="3155" t="s">
        <v>116</v>
      </c>
      <c r="J174" s="3137" t="s">
        <v>1230</v>
      </c>
      <c r="K174" s="3171"/>
      <c r="L174" s="3154" t="s">
        <v>116</v>
      </c>
      <c r="M174" s="3137" t="s">
        <v>1233</v>
      </c>
      <c r="N174" s="3150"/>
      <c r="O174" s="3150"/>
      <c r="P174" s="3150"/>
      <c r="Q174" s="3150"/>
      <c r="R174" s="3150"/>
      <c r="S174" s="3150"/>
      <c r="T174" s="3150"/>
      <c r="U174" s="3150"/>
      <c r="V174" s="3150"/>
      <c r="W174" s="3150"/>
      <c r="X174" s="3149"/>
      <c r="Y174" s="1201"/>
      <c r="Z174" s="1201"/>
      <c r="AA174" s="1201"/>
      <c r="AB174" s="1202"/>
      <c r="AC174" s="3333"/>
      <c r="AD174" s="3333"/>
      <c r="AE174" s="3333"/>
      <c r="AF174" s="3333"/>
      <c r="AI174" s="3120" t="str">
        <f>"22:yakinhaiti_code:" &amp; IF(I174="■",1,IF(L174="■",2,0))</f>
        <v>22:yakinhaiti_code:0</v>
      </c>
    </row>
    <row r="175" spans="1:36" s="3120" customFormat="1" ht="18.75" hidden="1" customHeight="1" x14ac:dyDescent="0.2">
      <c r="A175" s="834"/>
      <c r="B175" s="3148"/>
      <c r="C175" s="3147"/>
      <c r="D175" s="3146"/>
      <c r="E175" s="3145"/>
      <c r="F175" s="3144"/>
      <c r="G175" s="3145"/>
      <c r="H175" s="3408" t="s">
        <v>2136</v>
      </c>
      <c r="I175" s="3155" t="s">
        <v>116</v>
      </c>
      <c r="J175" s="3137" t="s">
        <v>1230</v>
      </c>
      <c r="K175" s="3171"/>
      <c r="L175" s="3154" t="s">
        <v>116</v>
      </c>
      <c r="M175" s="3137" t="s">
        <v>1233</v>
      </c>
      <c r="N175" s="3150"/>
      <c r="O175" s="3150"/>
      <c r="P175" s="3150"/>
      <c r="Q175" s="3150"/>
      <c r="R175" s="3150"/>
      <c r="S175" s="3150"/>
      <c r="T175" s="3150"/>
      <c r="U175" s="3150"/>
      <c r="V175" s="3150"/>
      <c r="W175" s="3150"/>
      <c r="X175" s="3149"/>
      <c r="Y175" s="1201"/>
      <c r="Z175" s="1201"/>
      <c r="AA175" s="1201"/>
      <c r="AB175" s="1202"/>
      <c r="AC175" s="3333"/>
      <c r="AD175" s="3333"/>
      <c r="AE175" s="3333"/>
      <c r="AF175" s="3333"/>
      <c r="AI175" s="3120" t="str">
        <f>"22:ninticare_code:" &amp; IF(I175="■",1,IF(L175="■",2,0))</f>
        <v>22:ninticare_code:0</v>
      </c>
    </row>
    <row r="176" spans="1:36" s="3120" customFormat="1" ht="18.75" hidden="1" customHeight="1" x14ac:dyDescent="0.2">
      <c r="A176" s="3158" t="s">
        <v>116</v>
      </c>
      <c r="B176" s="3148">
        <v>22</v>
      </c>
      <c r="C176" s="3147" t="s">
        <v>924</v>
      </c>
      <c r="D176" s="3258" t="s">
        <v>116</v>
      </c>
      <c r="E176" s="3145" t="s">
        <v>2266</v>
      </c>
      <c r="F176" s="3258" t="s">
        <v>116</v>
      </c>
      <c r="G176" s="3145" t="s">
        <v>2158</v>
      </c>
      <c r="H176" s="3408" t="s">
        <v>1256</v>
      </c>
      <c r="I176" s="3155" t="s">
        <v>116</v>
      </c>
      <c r="J176" s="3137" t="s">
        <v>1230</v>
      </c>
      <c r="K176" s="3171"/>
      <c r="L176" s="3154" t="s">
        <v>116</v>
      </c>
      <c r="M176" s="3137" t="s">
        <v>1233</v>
      </c>
      <c r="N176" s="3150"/>
      <c r="O176" s="3150"/>
      <c r="P176" s="3150"/>
      <c r="Q176" s="3150"/>
      <c r="R176" s="3150"/>
      <c r="S176" s="3150"/>
      <c r="T176" s="3150"/>
      <c r="U176" s="3150"/>
      <c r="V176" s="3150"/>
      <c r="W176" s="3150"/>
      <c r="X176" s="3149"/>
      <c r="Y176" s="1201"/>
      <c r="Z176" s="1201"/>
      <c r="AA176" s="1201"/>
      <c r="AB176" s="1202"/>
      <c r="AC176" s="3333"/>
      <c r="AD176" s="3333"/>
      <c r="AE176" s="3333"/>
      <c r="AF176" s="3333"/>
      <c r="AI176" s="3120" t="str">
        <f>"22:jyakuninti_uke_code:" &amp; IF(I176="■",1,IF(L176="■",2,0))</f>
        <v>22:jyakuninti_uke_code:0</v>
      </c>
    </row>
    <row r="177" spans="1:36" s="3120" customFormat="1" ht="18.75" hidden="1" customHeight="1" x14ac:dyDescent="0.2">
      <c r="A177" s="834"/>
      <c r="B177" s="3148"/>
      <c r="C177" s="3147"/>
      <c r="D177" s="3144"/>
      <c r="E177" s="3145"/>
      <c r="F177" s="3258" t="s">
        <v>116</v>
      </c>
      <c r="G177" s="3145" t="s">
        <v>2156</v>
      </c>
      <c r="H177" s="3408" t="s">
        <v>2157</v>
      </c>
      <c r="I177" s="3155" t="s">
        <v>116</v>
      </c>
      <c r="J177" s="3137" t="s">
        <v>1230</v>
      </c>
      <c r="K177" s="3137"/>
      <c r="L177" s="3154" t="s">
        <v>116</v>
      </c>
      <c r="M177" s="3137" t="s">
        <v>1231</v>
      </c>
      <c r="N177" s="3137"/>
      <c r="O177" s="3154" t="s">
        <v>116</v>
      </c>
      <c r="P177" s="3137" t="s">
        <v>1232</v>
      </c>
      <c r="Q177" s="3150"/>
      <c r="R177" s="3150"/>
      <c r="S177" s="3150"/>
      <c r="T177" s="3150"/>
      <c r="U177" s="3150"/>
      <c r="V177" s="3150"/>
      <c r="W177" s="3150"/>
      <c r="X177" s="3149"/>
      <c r="Y177" s="1201"/>
      <c r="Z177" s="1201"/>
      <c r="AA177" s="1201"/>
      <c r="AB177" s="1202"/>
      <c r="AC177" s="3333"/>
      <c r="AD177" s="3333"/>
      <c r="AE177" s="3333"/>
      <c r="AF177" s="3333"/>
      <c r="AI177" s="3120" t="str">
        <f>"22:zaitaku_hukki_code:" &amp; IF(I177="■",1,IF(L177="■",2,IF(O177="■",3,0)))</f>
        <v>22:zaitaku_hukki_code:0</v>
      </c>
    </row>
    <row r="178" spans="1:36" s="3120" customFormat="1" ht="18.75" hidden="1" customHeight="1" x14ac:dyDescent="0.2">
      <c r="A178" s="834"/>
      <c r="B178" s="3148"/>
      <c r="C178" s="3147"/>
      <c r="D178" s="3146"/>
      <c r="E178" s="3145"/>
      <c r="F178" s="3144"/>
      <c r="G178" s="3145"/>
      <c r="H178" s="3408" t="s">
        <v>1284</v>
      </c>
      <c r="I178" s="3155" t="s">
        <v>116</v>
      </c>
      <c r="J178" s="3137" t="s">
        <v>1240</v>
      </c>
      <c r="K178" s="3171"/>
      <c r="L178" s="3173"/>
      <c r="M178" s="3154" t="s">
        <v>116</v>
      </c>
      <c r="N178" s="3137" t="s">
        <v>1241</v>
      </c>
      <c r="O178" s="3150"/>
      <c r="P178" s="3150"/>
      <c r="Q178" s="3150"/>
      <c r="R178" s="3150"/>
      <c r="S178" s="3150"/>
      <c r="T178" s="3150"/>
      <c r="U178" s="3150"/>
      <c r="V178" s="3150"/>
      <c r="W178" s="3150"/>
      <c r="X178" s="3149"/>
      <c r="Y178" s="1201"/>
      <c r="Z178" s="1201"/>
      <c r="AA178" s="1201"/>
      <c r="AB178" s="1202"/>
      <c r="AC178" s="3333"/>
      <c r="AD178" s="3333"/>
      <c r="AE178" s="3333"/>
      <c r="AF178" s="3333"/>
      <c r="AI178" s="3120" t="str">
        <f>"22:sougei_code:" &amp; IF(I178="■",1,IF(M178="■",2,0))</f>
        <v>22:sougei_code:0</v>
      </c>
    </row>
    <row r="179" spans="1:36" s="3120" customFormat="1" ht="19.5" hidden="1" customHeight="1" x14ac:dyDescent="0.2">
      <c r="A179" s="834"/>
      <c r="B179" s="3148"/>
      <c r="C179" s="3147"/>
      <c r="D179" s="3146"/>
      <c r="E179" s="3145"/>
      <c r="F179" s="3144"/>
      <c r="G179" s="3145"/>
      <c r="H179" s="3174" t="s">
        <v>1236</v>
      </c>
      <c r="I179" s="3155" t="s">
        <v>116</v>
      </c>
      <c r="J179" s="3137" t="s">
        <v>1230</v>
      </c>
      <c r="K179" s="3137"/>
      <c r="L179" s="3154" t="s">
        <v>116</v>
      </c>
      <c r="M179" s="3137" t="s">
        <v>1233</v>
      </c>
      <c r="N179" s="3137"/>
      <c r="O179" s="3150"/>
      <c r="P179" s="3137"/>
      <c r="Q179" s="3150"/>
      <c r="R179" s="3150"/>
      <c r="S179" s="3150"/>
      <c r="T179" s="3150"/>
      <c r="U179" s="3150"/>
      <c r="V179" s="3150"/>
      <c r="W179" s="3150"/>
      <c r="X179" s="3149"/>
      <c r="Y179" s="1201"/>
      <c r="Z179" s="1201"/>
      <c r="AA179" s="1201"/>
      <c r="AB179" s="1202"/>
      <c r="AC179" s="3333"/>
      <c r="AD179" s="3333"/>
      <c r="AE179" s="3333"/>
      <c r="AF179" s="3333"/>
      <c r="AI179" s="3120" t="str">
        <f>"22:field224:" &amp; IF(I179="■",1,IF(L179="■",2,0))</f>
        <v>22:field224:0</v>
      </c>
    </row>
    <row r="180" spans="1:36" s="3120" customFormat="1" ht="18.75" hidden="1" customHeight="1" x14ac:dyDescent="0.2">
      <c r="A180" s="834"/>
      <c r="B180" s="3148"/>
      <c r="C180" s="3147"/>
      <c r="D180" s="3146"/>
      <c r="E180" s="3145"/>
      <c r="F180" s="3144"/>
      <c r="G180" s="3145"/>
      <c r="H180" s="3408" t="s">
        <v>140</v>
      </c>
      <c r="I180" s="3155" t="s">
        <v>116</v>
      </c>
      <c r="J180" s="3137" t="s">
        <v>1230</v>
      </c>
      <c r="K180" s="3171"/>
      <c r="L180" s="3154" t="s">
        <v>116</v>
      </c>
      <c r="M180" s="3137" t="s">
        <v>1233</v>
      </c>
      <c r="N180" s="3150"/>
      <c r="O180" s="3150"/>
      <c r="P180" s="3150"/>
      <c r="Q180" s="3150"/>
      <c r="R180" s="3150"/>
      <c r="S180" s="3150"/>
      <c r="T180" s="3150"/>
      <c r="U180" s="3150"/>
      <c r="V180" s="3150"/>
      <c r="W180" s="3150"/>
      <c r="X180" s="3149"/>
      <c r="Y180" s="1201"/>
      <c r="Z180" s="1201"/>
      <c r="AA180" s="1201"/>
      <c r="AB180" s="1202"/>
      <c r="AC180" s="3333"/>
      <c r="AD180" s="3333"/>
      <c r="AE180" s="3333"/>
      <c r="AF180" s="3333"/>
      <c r="AI180" s="3120" t="str">
        <f>"22:ryouyoushoku_code:" &amp; IF(I180="■",1,IF(L180="■",2,0))</f>
        <v>22:ryouyoushoku_code:0</v>
      </c>
    </row>
    <row r="181" spans="1:36" s="3120" customFormat="1" ht="18.75" hidden="1" customHeight="1" x14ac:dyDescent="0.2">
      <c r="A181" s="834"/>
      <c r="B181" s="3148"/>
      <c r="C181" s="3147"/>
      <c r="D181" s="3146"/>
      <c r="E181" s="3145"/>
      <c r="F181" s="3144"/>
      <c r="G181" s="3145"/>
      <c r="H181" s="3408" t="s">
        <v>2219</v>
      </c>
      <c r="I181" s="3155" t="s">
        <v>116</v>
      </c>
      <c r="J181" s="3137" t="s">
        <v>1230</v>
      </c>
      <c r="K181" s="3137"/>
      <c r="L181" s="3154" t="s">
        <v>116</v>
      </c>
      <c r="M181" s="3137" t="s">
        <v>1231</v>
      </c>
      <c r="N181" s="3137"/>
      <c r="O181" s="3154" t="s">
        <v>116</v>
      </c>
      <c r="P181" s="3137" t="s">
        <v>1232</v>
      </c>
      <c r="Q181" s="3150"/>
      <c r="R181" s="3150"/>
      <c r="S181" s="3150"/>
      <c r="T181" s="3150"/>
      <c r="U181" s="3150"/>
      <c r="V181" s="3150"/>
      <c r="W181" s="3150"/>
      <c r="X181" s="3149"/>
      <c r="Y181" s="1201"/>
      <c r="Z181" s="1201"/>
      <c r="AA181" s="1201"/>
      <c r="AB181" s="1202"/>
      <c r="AC181" s="3333"/>
      <c r="AD181" s="3333"/>
      <c r="AE181" s="3333"/>
      <c r="AF181" s="3333"/>
      <c r="AI181" s="3120" t="str">
        <f>"22:ninti_senmoncare_code:" &amp; IF(I181="■",1,IF(O181="■",3,IF(L181="■",2,0)))</f>
        <v>22:ninti_senmoncare_code:0</v>
      </c>
    </row>
    <row r="182" spans="1:36" s="3120" customFormat="1" ht="18.75" hidden="1" customHeight="1" x14ac:dyDescent="0.2">
      <c r="A182" s="834"/>
      <c r="B182" s="3148"/>
      <c r="C182" s="3147"/>
      <c r="D182" s="3146"/>
      <c r="E182" s="3145"/>
      <c r="F182" s="3144"/>
      <c r="G182" s="3145"/>
      <c r="H182" s="3296" t="s">
        <v>1285</v>
      </c>
      <c r="I182" s="3155" t="s">
        <v>116</v>
      </c>
      <c r="J182" s="3137" t="s">
        <v>1230</v>
      </c>
      <c r="K182" s="3137"/>
      <c r="L182" s="3154" t="s">
        <v>116</v>
      </c>
      <c r="M182" s="3137" t="s">
        <v>1231</v>
      </c>
      <c r="N182" s="3137"/>
      <c r="O182" s="3154" t="s">
        <v>116</v>
      </c>
      <c r="P182" s="3137" t="s">
        <v>1232</v>
      </c>
      <c r="Q182" s="3150"/>
      <c r="R182" s="3150"/>
      <c r="S182" s="3150"/>
      <c r="T182" s="3150"/>
      <c r="U182" s="3209"/>
      <c r="V182" s="3209"/>
      <c r="W182" s="3209"/>
      <c r="X182" s="3208"/>
      <c r="Y182" s="1201"/>
      <c r="Z182" s="1201"/>
      <c r="AA182" s="1201"/>
      <c r="AB182" s="1202"/>
      <c r="AC182" s="3333"/>
      <c r="AD182" s="3333"/>
      <c r="AE182" s="3333"/>
      <c r="AF182" s="3333"/>
      <c r="AI182" s="3120" t="str">
        <f>"22:field225:" &amp; IF(I182="■",1,IF(L182="■",2,IF(O182="■",3,0)))</f>
        <v>22:field225:0</v>
      </c>
    </row>
    <row r="183" spans="1:36" s="3120" customFormat="1" ht="18.75" hidden="1" customHeight="1" x14ac:dyDescent="0.2">
      <c r="A183" s="834"/>
      <c r="B183" s="3148"/>
      <c r="C183" s="3147"/>
      <c r="D183" s="3146"/>
      <c r="E183" s="3145"/>
      <c r="F183" s="3144"/>
      <c r="G183" s="3145"/>
      <c r="H183" s="3407" t="s">
        <v>238</v>
      </c>
      <c r="I183" s="3155" t="s">
        <v>116</v>
      </c>
      <c r="J183" s="3137" t="s">
        <v>1230</v>
      </c>
      <c r="K183" s="3137"/>
      <c r="L183" s="3154" t="s">
        <v>116</v>
      </c>
      <c r="M183" s="3137" t="s">
        <v>1259</v>
      </c>
      <c r="N183" s="3137"/>
      <c r="O183" s="3154" t="s">
        <v>116</v>
      </c>
      <c r="P183" s="3137" t="s">
        <v>1260</v>
      </c>
      <c r="Q183" s="3153"/>
      <c r="R183" s="3154" t="s">
        <v>116</v>
      </c>
      <c r="S183" s="3137" t="s">
        <v>1261</v>
      </c>
      <c r="T183" s="3153"/>
      <c r="U183" s="3153"/>
      <c r="V183" s="3153"/>
      <c r="W183" s="3153"/>
      <c r="X183" s="3152"/>
      <c r="Y183" s="1201"/>
      <c r="Z183" s="1201"/>
      <c r="AA183" s="1201"/>
      <c r="AB183" s="1202"/>
      <c r="AC183" s="3333"/>
      <c r="AD183" s="3333"/>
      <c r="AE183" s="3333"/>
      <c r="AF183" s="3333"/>
      <c r="AI183" s="3120" t="str">
        <f>"22:serteikyo_kyoka_code:" &amp; IF(I183="■",1,IF(L183="■",6,IF(O183="■",5,IF(R183="■",7,0))))</f>
        <v>22:serteikyo_kyoka_code:0</v>
      </c>
    </row>
    <row r="184" spans="1:36" s="3120" customFormat="1" ht="18.75" hidden="1" customHeight="1" x14ac:dyDescent="0.2">
      <c r="A184" s="834"/>
      <c r="B184" s="3148"/>
      <c r="C184" s="3147"/>
      <c r="D184" s="3146"/>
      <c r="E184" s="3145"/>
      <c r="F184" s="3144"/>
      <c r="G184" s="3145"/>
      <c r="H184" s="3170" t="s">
        <v>2058</v>
      </c>
      <c r="I184" s="3348" t="s">
        <v>116</v>
      </c>
      <c r="J184" s="3347" t="s">
        <v>1230</v>
      </c>
      <c r="K184" s="3347"/>
      <c r="L184" s="3346" t="s">
        <v>116</v>
      </c>
      <c r="M184" s="3347" t="s">
        <v>1233</v>
      </c>
      <c r="N184" s="3347"/>
      <c r="O184" s="3302"/>
      <c r="P184" s="3302"/>
      <c r="Q184" s="3302"/>
      <c r="R184" s="3302"/>
      <c r="S184" s="3302"/>
      <c r="T184" s="3302"/>
      <c r="U184" s="3302"/>
      <c r="V184" s="3302"/>
      <c r="W184" s="3302"/>
      <c r="X184" s="3335"/>
      <c r="Y184" s="1201"/>
      <c r="Z184" s="1201"/>
      <c r="AA184" s="1201"/>
      <c r="AB184" s="1202"/>
      <c r="AC184" s="3333"/>
      <c r="AD184" s="3333"/>
      <c r="AE184" s="3333"/>
      <c r="AF184" s="3333"/>
      <c r="AI184" s="3120" t="str">
        <f>"22:field221:" &amp; IF(I184="■",1,IF(L184="■",2,0))</f>
        <v>22:field221:0</v>
      </c>
    </row>
    <row r="185" spans="1:36" s="3120" customFormat="1" ht="18.75" hidden="1" customHeight="1" x14ac:dyDescent="0.2">
      <c r="A185" s="834"/>
      <c r="B185" s="3148"/>
      <c r="C185" s="3147"/>
      <c r="D185" s="3146"/>
      <c r="E185" s="3145"/>
      <c r="F185" s="3144"/>
      <c r="G185" s="3145"/>
      <c r="H185" s="3165"/>
      <c r="I185" s="3348"/>
      <c r="J185" s="3347"/>
      <c r="K185" s="3347"/>
      <c r="L185" s="3346"/>
      <c r="M185" s="3347"/>
      <c r="N185" s="3347"/>
      <c r="O185" s="3139"/>
      <c r="P185" s="3139"/>
      <c r="Q185" s="3139"/>
      <c r="R185" s="3139"/>
      <c r="S185" s="3139"/>
      <c r="T185" s="3139"/>
      <c r="U185" s="3139"/>
      <c r="V185" s="3139"/>
      <c r="W185" s="3139"/>
      <c r="X185" s="3195"/>
      <c r="Y185" s="1201"/>
      <c r="Z185" s="1201"/>
      <c r="AA185" s="1201"/>
      <c r="AB185" s="1202"/>
      <c r="AC185" s="3333"/>
      <c r="AD185" s="3333"/>
      <c r="AE185" s="3333"/>
      <c r="AF185" s="3333"/>
    </row>
    <row r="186" spans="1:36" s="3120" customFormat="1" ht="18.75" hidden="1" customHeight="1" x14ac:dyDescent="0.2">
      <c r="A186" s="835"/>
      <c r="B186" s="3135"/>
      <c r="C186" s="3134"/>
      <c r="D186" s="3133"/>
      <c r="E186" s="3132"/>
      <c r="F186" s="3131"/>
      <c r="G186" s="3189"/>
      <c r="H186" s="3289" t="s">
        <v>2129</v>
      </c>
      <c r="I186" s="3128" t="s">
        <v>116</v>
      </c>
      <c r="J186" s="3285" t="s">
        <v>1230</v>
      </c>
      <c r="K186" s="3285"/>
      <c r="L186" s="3127" t="s">
        <v>116</v>
      </c>
      <c r="M186" s="3285" t="s">
        <v>2128</v>
      </c>
      <c r="N186" s="3288"/>
      <c r="O186" s="3127" t="s">
        <v>116</v>
      </c>
      <c r="P186" s="3287" t="s">
        <v>2127</v>
      </c>
      <c r="Q186" s="3286"/>
      <c r="R186" s="3127" t="s">
        <v>116</v>
      </c>
      <c r="S186" s="3285" t="s">
        <v>2126</v>
      </c>
      <c r="T186" s="3286"/>
      <c r="U186" s="3127" t="s">
        <v>116</v>
      </c>
      <c r="V186" s="3285" t="s">
        <v>2125</v>
      </c>
      <c r="W186" s="3284"/>
      <c r="X186" s="3283"/>
      <c r="Y186" s="3282"/>
      <c r="Z186" s="3282"/>
      <c r="AA186" s="3282"/>
      <c r="AB186" s="3281"/>
      <c r="AC186" s="3332"/>
      <c r="AD186" s="3332"/>
      <c r="AE186" s="3332"/>
      <c r="AF186" s="3332"/>
      <c r="AI186" s="3120" t="str">
        <f>"22:shoguukaizen_code:"&amp;IF(I186="■",1,IF(L186="■",7,IF(O186="■",8,IF(R186="■",9,IF(U186="■","A",0)))))</f>
        <v>22:shoguukaizen_code:0</v>
      </c>
    </row>
    <row r="187" spans="1:36" s="3120" customFormat="1" ht="18.75" hidden="1" customHeight="1" x14ac:dyDescent="0.2">
      <c r="A187" s="3188"/>
      <c r="B187" s="3187"/>
      <c r="C187" s="3229"/>
      <c r="D187" s="3228"/>
      <c r="E187" s="3185"/>
      <c r="F187" s="3184"/>
      <c r="G187" s="3185"/>
      <c r="H187" s="3411" t="s">
        <v>1286</v>
      </c>
      <c r="I187" s="3181" t="s">
        <v>116</v>
      </c>
      <c r="J187" s="3180" t="s">
        <v>1282</v>
      </c>
      <c r="K187" s="3226"/>
      <c r="L187" s="3225"/>
      <c r="M187" s="3179" t="s">
        <v>116</v>
      </c>
      <c r="N187" s="3180" t="s">
        <v>1283</v>
      </c>
      <c r="O187" s="3177"/>
      <c r="P187" s="3177"/>
      <c r="Q187" s="3177"/>
      <c r="R187" s="3177"/>
      <c r="S187" s="3177"/>
      <c r="T187" s="3177"/>
      <c r="U187" s="3177"/>
      <c r="V187" s="3177"/>
      <c r="W187" s="3177"/>
      <c r="X187" s="3176"/>
      <c r="Y187" s="3253" t="s">
        <v>116</v>
      </c>
      <c r="Z187" s="3252" t="s">
        <v>1225</v>
      </c>
      <c r="AA187" s="3252"/>
      <c r="AB187" s="3308"/>
      <c r="AC187" s="3338"/>
      <c r="AD187" s="3338"/>
      <c r="AE187" s="3338"/>
      <c r="AF187" s="3338"/>
      <c r="AG187" s="3120" t="str">
        <f>"ser_code = '" &amp; IF(A196="■",22,"") &amp; "'"</f>
        <v>ser_code = ''</v>
      </c>
      <c r="AH187" s="3120" t="str">
        <f>"22:jininkbn_code:" &amp; IF(F196="■",1,IF(F197="■",2,0))</f>
        <v>22:jininkbn_code:0</v>
      </c>
      <c r="AI187" s="3120" t="str">
        <f>"22:yakan_kinmu_code:" &amp; IF(I187="■",1,IF(M187="■",6,0))</f>
        <v>22:yakan_kinmu_code:0</v>
      </c>
      <c r="AJ187" s="3120" t="str">
        <f>"22:field203:" &amp; IF(Y187="■",1,IF(Y188="■",2,0))</f>
        <v>22:field203:0</v>
      </c>
    </row>
    <row r="188" spans="1:36" s="3120" customFormat="1" ht="18.75" hidden="1" customHeight="1" x14ac:dyDescent="0.2">
      <c r="A188" s="834"/>
      <c r="B188" s="3148"/>
      <c r="C188" s="3147"/>
      <c r="D188" s="3146"/>
      <c r="E188" s="3145"/>
      <c r="F188" s="3144"/>
      <c r="G188" s="3145"/>
      <c r="H188" s="3410" t="s">
        <v>90</v>
      </c>
      <c r="I188" s="3303" t="s">
        <v>116</v>
      </c>
      <c r="J188" s="3302" t="s">
        <v>1230</v>
      </c>
      <c r="K188" s="3302"/>
      <c r="L188" s="3316"/>
      <c r="M188" s="3301" t="s">
        <v>116</v>
      </c>
      <c r="N188" s="3302" t="s">
        <v>1262</v>
      </c>
      <c r="O188" s="3302"/>
      <c r="P188" s="3316"/>
      <c r="Q188" s="3301" t="s">
        <v>116</v>
      </c>
      <c r="R188" s="3167" t="s">
        <v>1263</v>
      </c>
      <c r="S188" s="3167"/>
      <c r="T188" s="3167"/>
      <c r="U188" s="3301" t="s">
        <v>116</v>
      </c>
      <c r="V188" s="3167" t="s">
        <v>1264</v>
      </c>
      <c r="W188" s="3167"/>
      <c r="X188" s="3166"/>
      <c r="Y188" s="3258" t="s">
        <v>116</v>
      </c>
      <c r="Z188" s="1200" t="s">
        <v>1226</v>
      </c>
      <c r="AA188" s="1201"/>
      <c r="AB188" s="1202"/>
      <c r="AC188" s="3333"/>
      <c r="AD188" s="3333"/>
      <c r="AE188" s="3333"/>
      <c r="AF188" s="3333"/>
      <c r="AG188" s="3120" t="str">
        <f>"22:sisetukbn_code:" &amp; IF(D196="■",1,0)</f>
        <v>22:sisetukbn_code:0</v>
      </c>
      <c r="AI188" s="3120" t="str">
        <f>"22:"&amp;IF(AND(I188="□",M188="□",Q188="□",U188="□",I189="□",M189="□",Q189="□"),"ketu_doctor_code:0",IF(I188="■","ketu_doctor_code:1:ketu_kangos_code:1:ketu_kshoku_code:1:ketu_rryoho_code:1:ketu_sryoho_code:1:ketu_gengo_code:1",
IF(M188="■","ketu_doctor_code:2","ketu_doctor_code:1")
&amp;IF(Q188="■",":ketu_kangos_code:2",":ketu_kangos_code:1")
&amp;IF(U188="■",":ketu_kshoku_code:2",":ketu_kshoku_code:1")
&amp;IF(I189="■",":ketu_rryoho_code:2",":ketu_rryoho_code:1")
&amp;IF(M189="■",":ketu_sryoho_code:2",":ketu_sryoho_code:1")
&amp;IF(Q189="■",":ketu_gengo_code:2",":ketu_gengo_code:1")))</f>
        <v>22:ketu_doctor_code:0</v>
      </c>
    </row>
    <row r="189" spans="1:36" s="3120" customFormat="1" ht="18.75" hidden="1" customHeight="1" x14ac:dyDescent="0.2">
      <c r="A189" s="834"/>
      <c r="B189" s="3148"/>
      <c r="C189" s="3147"/>
      <c r="D189" s="3146"/>
      <c r="E189" s="3145"/>
      <c r="F189" s="3144"/>
      <c r="G189" s="3145"/>
      <c r="H189" s="3409"/>
      <c r="I189" s="3141" t="s">
        <v>116</v>
      </c>
      <c r="J189" s="3139" t="s">
        <v>1265</v>
      </c>
      <c r="K189" s="3139"/>
      <c r="L189" s="3385"/>
      <c r="M189" s="3140" t="s">
        <v>116</v>
      </c>
      <c r="N189" s="3139" t="s">
        <v>1266</v>
      </c>
      <c r="O189" s="3139"/>
      <c r="P189" s="3385"/>
      <c r="Q189" s="3140" t="s">
        <v>116</v>
      </c>
      <c r="R189" s="3162" t="s">
        <v>1267</v>
      </c>
      <c r="S189" s="3162"/>
      <c r="T189" s="3162"/>
      <c r="U189" s="3162"/>
      <c r="V189" s="3162"/>
      <c r="W189" s="3162"/>
      <c r="X189" s="3161"/>
      <c r="Y189" s="1201"/>
      <c r="Z189" s="1201"/>
      <c r="AA189" s="1201"/>
      <c r="AB189" s="1202"/>
      <c r="AC189" s="3333"/>
      <c r="AD189" s="3333"/>
      <c r="AE189" s="3333"/>
      <c r="AF189" s="3333"/>
    </row>
    <row r="190" spans="1:36" s="3120" customFormat="1" ht="18.75" hidden="1" customHeight="1" x14ac:dyDescent="0.2">
      <c r="A190" s="834"/>
      <c r="B190" s="3148"/>
      <c r="C190" s="3147"/>
      <c r="D190" s="3146"/>
      <c r="E190" s="3145"/>
      <c r="F190" s="3144"/>
      <c r="G190" s="3145"/>
      <c r="H190" s="3408" t="s">
        <v>91</v>
      </c>
      <c r="I190" s="3155" t="s">
        <v>116</v>
      </c>
      <c r="J190" s="3137" t="s">
        <v>1240</v>
      </c>
      <c r="K190" s="3171"/>
      <c r="L190" s="3173"/>
      <c r="M190" s="3154" t="s">
        <v>116</v>
      </c>
      <c r="N190" s="3137" t="s">
        <v>1241</v>
      </c>
      <c r="O190" s="3150"/>
      <c r="P190" s="3150"/>
      <c r="Q190" s="3150"/>
      <c r="R190" s="3150"/>
      <c r="S190" s="3150"/>
      <c r="T190" s="3150"/>
      <c r="U190" s="3150"/>
      <c r="V190" s="3150"/>
      <c r="W190" s="3150"/>
      <c r="X190" s="3149"/>
      <c r="Y190" s="1201"/>
      <c r="Z190" s="1201"/>
      <c r="AA190" s="1201"/>
      <c r="AB190" s="1202"/>
      <c r="AC190" s="3333"/>
      <c r="AD190" s="3333"/>
      <c r="AE190" s="3333"/>
      <c r="AF190" s="3333"/>
      <c r="AI190" s="3120" t="str">
        <f>"22:unitcare_code:" &amp; IF(I190="■",1,IF(M190="■",2,0))</f>
        <v>22:unitcare_code:0</v>
      </c>
    </row>
    <row r="191" spans="1:36" s="3120" customFormat="1" ht="18.75" hidden="1" customHeight="1" x14ac:dyDescent="0.2">
      <c r="A191" s="834"/>
      <c r="B191" s="3148"/>
      <c r="C191" s="3295"/>
      <c r="D191" s="3294"/>
      <c r="E191" s="3145"/>
      <c r="F191" s="3144"/>
      <c r="G191" s="3175"/>
      <c r="H191" s="3381" t="s">
        <v>1325</v>
      </c>
      <c r="I191" s="3222" t="s">
        <v>116</v>
      </c>
      <c r="J191" s="3217" t="s">
        <v>1228</v>
      </c>
      <c r="K191" s="3221"/>
      <c r="L191" s="3220"/>
      <c r="M191" s="3219" t="s">
        <v>116</v>
      </c>
      <c r="N191" s="3217" t="s">
        <v>1322</v>
      </c>
      <c r="O191" s="3221"/>
      <c r="P191" s="3380"/>
      <c r="Q191" s="3380"/>
      <c r="R191" s="3380"/>
      <c r="S191" s="3380"/>
      <c r="T191" s="3380"/>
      <c r="U191" s="3380"/>
      <c r="V191" s="3380"/>
      <c r="W191" s="3380"/>
      <c r="X191" s="3379"/>
      <c r="Y191" s="3293"/>
      <c r="Z191" s="1201"/>
      <c r="AA191" s="1201"/>
      <c r="AB191" s="1202"/>
      <c r="AC191" s="3333"/>
      <c r="AD191" s="3333"/>
      <c r="AE191" s="3333"/>
      <c r="AF191" s="3333"/>
      <c r="AI191" s="3120" t="str">
        <f>"22:sintaikousoku_code:" &amp; IF(I191="■",1,IF(M191="■",2,0))</f>
        <v>22:sintaikousoku_code:0</v>
      </c>
    </row>
    <row r="192" spans="1:36" s="3120" customFormat="1" ht="19.5" hidden="1" customHeight="1" x14ac:dyDescent="0.2">
      <c r="A192" s="834"/>
      <c r="B192" s="3148"/>
      <c r="C192" s="3147"/>
      <c r="D192" s="3146"/>
      <c r="E192" s="3145"/>
      <c r="F192" s="3144"/>
      <c r="G192" s="3175"/>
      <c r="H192" s="3174" t="s">
        <v>1227</v>
      </c>
      <c r="I192" s="3155" t="s">
        <v>116</v>
      </c>
      <c r="J192" s="3137" t="s">
        <v>1228</v>
      </c>
      <c r="K192" s="3171"/>
      <c r="L192" s="3173"/>
      <c r="M192" s="3154" t="s">
        <v>116</v>
      </c>
      <c r="N192" s="3137" t="s">
        <v>1229</v>
      </c>
      <c r="O192" s="3299"/>
      <c r="P192" s="3137"/>
      <c r="Q192" s="3150"/>
      <c r="R192" s="3150"/>
      <c r="S192" s="3150"/>
      <c r="T192" s="3150"/>
      <c r="U192" s="3150"/>
      <c r="V192" s="3150"/>
      <c r="W192" s="3150"/>
      <c r="X192" s="3149"/>
      <c r="Y192" s="1201"/>
      <c r="Z192" s="1201"/>
      <c r="AA192" s="1201"/>
      <c r="AB192" s="1202"/>
      <c r="AC192" s="3333"/>
      <c r="AD192" s="3333"/>
      <c r="AE192" s="3333"/>
      <c r="AF192" s="3333"/>
      <c r="AI192" s="3120" t="str">
        <f>"22:field223:" &amp; IF(I192="■",1,IF(M192="■",2,0))</f>
        <v>22:field223:0</v>
      </c>
    </row>
    <row r="193" spans="1:36" s="3120" customFormat="1" ht="19.5" hidden="1" customHeight="1" x14ac:dyDescent="0.2">
      <c r="A193" s="834"/>
      <c r="B193" s="3148"/>
      <c r="C193" s="3147"/>
      <c r="D193" s="3146"/>
      <c r="E193" s="3145"/>
      <c r="F193" s="3144"/>
      <c r="G193" s="3175"/>
      <c r="H193" s="3174" t="s">
        <v>1253</v>
      </c>
      <c r="I193" s="3155" t="s">
        <v>116</v>
      </c>
      <c r="J193" s="3137" t="s">
        <v>1228</v>
      </c>
      <c r="K193" s="3171"/>
      <c r="L193" s="3173"/>
      <c r="M193" s="3154" t="s">
        <v>116</v>
      </c>
      <c r="N193" s="3137" t="s">
        <v>1229</v>
      </c>
      <c r="O193" s="3299"/>
      <c r="P193" s="3137"/>
      <c r="Q193" s="3150"/>
      <c r="R193" s="3150"/>
      <c r="S193" s="3150"/>
      <c r="T193" s="3150"/>
      <c r="U193" s="3150"/>
      <c r="V193" s="3150"/>
      <c r="W193" s="3150"/>
      <c r="X193" s="3149"/>
      <c r="Y193" s="1201"/>
      <c r="Z193" s="1201"/>
      <c r="AA193" s="1201"/>
      <c r="AB193" s="1202"/>
      <c r="AC193" s="3333"/>
      <c r="AD193" s="3333"/>
      <c r="AE193" s="3333"/>
      <c r="AF193" s="3333"/>
      <c r="AI193" s="3120" t="str">
        <f>"22:field232:" &amp; IF(I193="■",1,IF(M193="■",2,0))</f>
        <v>22:field232:0</v>
      </c>
    </row>
    <row r="194" spans="1:36" s="3120" customFormat="1" ht="18.75" hidden="1" customHeight="1" x14ac:dyDescent="0.2">
      <c r="A194" s="834"/>
      <c r="B194" s="3148"/>
      <c r="C194" s="3147"/>
      <c r="D194" s="3146"/>
      <c r="E194" s="3145"/>
      <c r="F194" s="3144"/>
      <c r="G194" s="3145"/>
      <c r="H194" s="3408" t="s">
        <v>2137</v>
      </c>
      <c r="I194" s="3155" t="s">
        <v>116</v>
      </c>
      <c r="J194" s="3137" t="s">
        <v>1230</v>
      </c>
      <c r="K194" s="3171"/>
      <c r="L194" s="3154" t="s">
        <v>116</v>
      </c>
      <c r="M194" s="3137" t="s">
        <v>1233</v>
      </c>
      <c r="N194" s="3150"/>
      <c r="O194" s="3150"/>
      <c r="P194" s="3150"/>
      <c r="Q194" s="3150"/>
      <c r="R194" s="3150"/>
      <c r="S194" s="3150"/>
      <c r="T194" s="3150"/>
      <c r="U194" s="3150"/>
      <c r="V194" s="3150"/>
      <c r="W194" s="3150"/>
      <c r="X194" s="3149"/>
      <c r="Y194" s="1201"/>
      <c r="Z194" s="1201"/>
      <c r="AA194" s="1201"/>
      <c r="AB194" s="1202"/>
      <c r="AC194" s="3333"/>
      <c r="AD194" s="3333"/>
      <c r="AE194" s="3333"/>
      <c r="AF194" s="3333"/>
      <c r="AI194" s="3120" t="str">
        <f>"22:yakinhaiti_code:" &amp; IF(I194="■",1,IF(L194="■",2,0))</f>
        <v>22:yakinhaiti_code:0</v>
      </c>
    </row>
    <row r="195" spans="1:36" s="3120" customFormat="1" ht="18.75" hidden="1" customHeight="1" x14ac:dyDescent="0.2">
      <c r="A195" s="834"/>
      <c r="B195" s="3148"/>
      <c r="C195" s="3147"/>
      <c r="D195" s="3146"/>
      <c r="E195" s="3145"/>
      <c r="F195" s="3144"/>
      <c r="G195" s="3145"/>
      <c r="H195" s="3408" t="s">
        <v>2136</v>
      </c>
      <c r="I195" s="3155" t="s">
        <v>116</v>
      </c>
      <c r="J195" s="3137" t="s">
        <v>1230</v>
      </c>
      <c r="K195" s="3171"/>
      <c r="L195" s="3154" t="s">
        <v>116</v>
      </c>
      <c r="M195" s="3137" t="s">
        <v>1233</v>
      </c>
      <c r="N195" s="3150"/>
      <c r="O195" s="3150"/>
      <c r="P195" s="3150"/>
      <c r="Q195" s="3150"/>
      <c r="R195" s="3150"/>
      <c r="S195" s="3150"/>
      <c r="T195" s="3150"/>
      <c r="U195" s="3150"/>
      <c r="V195" s="3150"/>
      <c r="W195" s="3150"/>
      <c r="X195" s="3149"/>
      <c r="Y195" s="1201"/>
      <c r="Z195" s="1201"/>
      <c r="AA195" s="1201"/>
      <c r="AB195" s="1202"/>
      <c r="AC195" s="3333"/>
      <c r="AD195" s="3333"/>
      <c r="AE195" s="3333"/>
      <c r="AF195" s="3333"/>
      <c r="AI195" s="3120" t="str">
        <f>"22:ninticare_code:" &amp; IF(I195="■",1,IF(L195="■",2,0))</f>
        <v>22:ninticare_code:0</v>
      </c>
    </row>
    <row r="196" spans="1:36" s="3120" customFormat="1" ht="18.75" hidden="1" customHeight="1" x14ac:dyDescent="0.2">
      <c r="A196" s="3158" t="s">
        <v>116</v>
      </c>
      <c r="B196" s="3148">
        <v>22</v>
      </c>
      <c r="C196" s="3147" t="s">
        <v>924</v>
      </c>
      <c r="D196" s="3258" t="s">
        <v>116</v>
      </c>
      <c r="E196" s="3145" t="s">
        <v>2265</v>
      </c>
      <c r="F196" s="3258" t="s">
        <v>116</v>
      </c>
      <c r="G196" s="3145" t="s">
        <v>2158</v>
      </c>
      <c r="H196" s="3408" t="s">
        <v>1256</v>
      </c>
      <c r="I196" s="3155" t="s">
        <v>116</v>
      </c>
      <c r="J196" s="3137" t="s">
        <v>1230</v>
      </c>
      <c r="K196" s="3171"/>
      <c r="L196" s="3154" t="s">
        <v>116</v>
      </c>
      <c r="M196" s="3137" t="s">
        <v>1233</v>
      </c>
      <c r="N196" s="3150"/>
      <c r="O196" s="3150"/>
      <c r="P196" s="3150"/>
      <c r="Q196" s="3150"/>
      <c r="R196" s="3150"/>
      <c r="S196" s="3150"/>
      <c r="T196" s="3150"/>
      <c r="U196" s="3150"/>
      <c r="V196" s="3150"/>
      <c r="W196" s="3150"/>
      <c r="X196" s="3149"/>
      <c r="Y196" s="1201"/>
      <c r="Z196" s="1201"/>
      <c r="AA196" s="1201"/>
      <c r="AB196" s="1202"/>
      <c r="AC196" s="3333"/>
      <c r="AD196" s="3333"/>
      <c r="AE196" s="3333"/>
      <c r="AF196" s="3333"/>
      <c r="AI196" s="3120" t="str">
        <f>"22:jyakuninti_uke_code:" &amp; IF(I196="■",1,IF(L196="■",2,0))</f>
        <v>22:jyakuninti_uke_code:0</v>
      </c>
    </row>
    <row r="197" spans="1:36" s="3120" customFormat="1" ht="18.75" hidden="1" customHeight="1" x14ac:dyDescent="0.2">
      <c r="A197" s="834"/>
      <c r="B197" s="3148"/>
      <c r="C197" s="3147"/>
      <c r="D197" s="3146"/>
      <c r="E197" s="3145"/>
      <c r="F197" s="3258" t="s">
        <v>116</v>
      </c>
      <c r="G197" s="3145" t="s">
        <v>2156</v>
      </c>
      <c r="H197" s="3408" t="s">
        <v>2157</v>
      </c>
      <c r="I197" s="3155" t="s">
        <v>116</v>
      </c>
      <c r="J197" s="3137" t="s">
        <v>1230</v>
      </c>
      <c r="K197" s="3137"/>
      <c r="L197" s="3154" t="s">
        <v>116</v>
      </c>
      <c r="M197" s="3137" t="s">
        <v>1231</v>
      </c>
      <c r="N197" s="3137"/>
      <c r="O197" s="3154" t="s">
        <v>116</v>
      </c>
      <c r="P197" s="3137" t="s">
        <v>1232</v>
      </c>
      <c r="Q197" s="3150"/>
      <c r="R197" s="3150"/>
      <c r="S197" s="3150"/>
      <c r="T197" s="3150"/>
      <c r="U197" s="3150"/>
      <c r="V197" s="3150"/>
      <c r="W197" s="3150"/>
      <c r="X197" s="3149"/>
      <c r="Y197" s="1201"/>
      <c r="Z197" s="1201"/>
      <c r="AA197" s="1201"/>
      <c r="AB197" s="1202"/>
      <c r="AC197" s="3333"/>
      <c r="AD197" s="3333"/>
      <c r="AE197" s="3333"/>
      <c r="AF197" s="3333"/>
      <c r="AI197" s="3120" t="str">
        <f>"22:zaitaku_hukki_code:" &amp; IF(I197="■",1,IF(L197="■",2,IF(O197="■",3,0)))</f>
        <v>22:zaitaku_hukki_code:0</v>
      </c>
    </row>
    <row r="198" spans="1:36" s="3120" customFormat="1" ht="18.75" hidden="1" customHeight="1" x14ac:dyDescent="0.2">
      <c r="A198" s="834"/>
      <c r="B198" s="3148"/>
      <c r="C198" s="3147"/>
      <c r="D198" s="3146"/>
      <c r="E198" s="3145"/>
      <c r="F198" s="3144"/>
      <c r="G198" s="3145"/>
      <c r="H198" s="3408" t="s">
        <v>1284</v>
      </c>
      <c r="I198" s="3155" t="s">
        <v>116</v>
      </c>
      <c r="J198" s="3137" t="s">
        <v>1240</v>
      </c>
      <c r="K198" s="3171"/>
      <c r="L198" s="3173"/>
      <c r="M198" s="3154" t="s">
        <v>116</v>
      </c>
      <c r="N198" s="3137" t="s">
        <v>1241</v>
      </c>
      <c r="O198" s="3150"/>
      <c r="P198" s="3150"/>
      <c r="Q198" s="3150"/>
      <c r="R198" s="3150"/>
      <c r="S198" s="3150"/>
      <c r="T198" s="3150"/>
      <c r="U198" s="3150"/>
      <c r="V198" s="3150"/>
      <c r="W198" s="3150"/>
      <c r="X198" s="3149"/>
      <c r="Y198" s="1201"/>
      <c r="Z198" s="1201"/>
      <c r="AA198" s="1201"/>
      <c r="AB198" s="1202"/>
      <c r="AC198" s="3333"/>
      <c r="AD198" s="3333"/>
      <c r="AE198" s="3333"/>
      <c r="AF198" s="3333"/>
      <c r="AI198" s="3120" t="str">
        <f>"22:sougei_code:" &amp; IF(I198="■",1,IF(M198="■",2,0))</f>
        <v>22:sougei_code:0</v>
      </c>
    </row>
    <row r="199" spans="1:36" s="3120" customFormat="1" ht="19.5" hidden="1" customHeight="1" x14ac:dyDescent="0.2">
      <c r="A199" s="834"/>
      <c r="B199" s="3148"/>
      <c r="C199" s="3147"/>
      <c r="D199" s="3146"/>
      <c r="E199" s="3145"/>
      <c r="F199" s="3144"/>
      <c r="G199" s="3145"/>
      <c r="H199" s="3174" t="s">
        <v>1236</v>
      </c>
      <c r="I199" s="3155" t="s">
        <v>116</v>
      </c>
      <c r="J199" s="3137" t="s">
        <v>1230</v>
      </c>
      <c r="K199" s="3137"/>
      <c r="L199" s="3154" t="s">
        <v>116</v>
      </c>
      <c r="M199" s="3137" t="s">
        <v>1233</v>
      </c>
      <c r="N199" s="3137"/>
      <c r="O199" s="3150"/>
      <c r="P199" s="3137"/>
      <c r="Q199" s="3150"/>
      <c r="R199" s="3150"/>
      <c r="S199" s="3150"/>
      <c r="T199" s="3150"/>
      <c r="U199" s="3150"/>
      <c r="V199" s="3150"/>
      <c r="W199" s="3150"/>
      <c r="X199" s="3149"/>
      <c r="Y199" s="1201"/>
      <c r="Z199" s="1201"/>
      <c r="AA199" s="1201"/>
      <c r="AB199" s="1202"/>
      <c r="AC199" s="3333"/>
      <c r="AD199" s="3333"/>
      <c r="AE199" s="3333"/>
      <c r="AF199" s="3333"/>
      <c r="AI199" s="3120" t="str">
        <f>"22:field224:" &amp; IF(I199="■",1,IF(L199="■",2,0))</f>
        <v>22:field224:0</v>
      </c>
    </row>
    <row r="200" spans="1:36" s="3120" customFormat="1" ht="18.75" hidden="1" customHeight="1" x14ac:dyDescent="0.2">
      <c r="A200" s="834"/>
      <c r="B200" s="3148"/>
      <c r="C200" s="3147"/>
      <c r="D200" s="3146"/>
      <c r="E200" s="3145"/>
      <c r="F200" s="3144"/>
      <c r="G200" s="3145"/>
      <c r="H200" s="3408" t="s">
        <v>140</v>
      </c>
      <c r="I200" s="3155" t="s">
        <v>116</v>
      </c>
      <c r="J200" s="3137" t="s">
        <v>1230</v>
      </c>
      <c r="K200" s="3171"/>
      <c r="L200" s="3154" t="s">
        <v>116</v>
      </c>
      <c r="M200" s="3137" t="s">
        <v>1233</v>
      </c>
      <c r="N200" s="3150"/>
      <c r="O200" s="3150"/>
      <c r="P200" s="3150"/>
      <c r="Q200" s="3150"/>
      <c r="R200" s="3150"/>
      <c r="S200" s="3150"/>
      <c r="T200" s="3150"/>
      <c r="U200" s="3150"/>
      <c r="V200" s="3150"/>
      <c r="W200" s="3150"/>
      <c r="X200" s="3149"/>
      <c r="Y200" s="1201"/>
      <c r="Z200" s="1201"/>
      <c r="AA200" s="1201"/>
      <c r="AB200" s="1202"/>
      <c r="AC200" s="3333"/>
      <c r="AD200" s="3333"/>
      <c r="AE200" s="3333"/>
      <c r="AF200" s="3333"/>
      <c r="AI200" s="3120" t="str">
        <f>"22:ryouyoushoku_code:" &amp; IF(I200="■",1,IF(L200="■",2,0))</f>
        <v>22:ryouyoushoku_code:0</v>
      </c>
    </row>
    <row r="201" spans="1:36" s="3120" customFormat="1" ht="18.75" hidden="1" customHeight="1" x14ac:dyDescent="0.2">
      <c r="A201" s="834"/>
      <c r="B201" s="3148"/>
      <c r="C201" s="3147"/>
      <c r="D201" s="3146"/>
      <c r="E201" s="3145"/>
      <c r="F201" s="3144"/>
      <c r="G201" s="3145"/>
      <c r="H201" s="3408" t="s">
        <v>2219</v>
      </c>
      <c r="I201" s="3155" t="s">
        <v>116</v>
      </c>
      <c r="J201" s="3137" t="s">
        <v>1230</v>
      </c>
      <c r="K201" s="3137"/>
      <c r="L201" s="3154" t="s">
        <v>116</v>
      </c>
      <c r="M201" s="3137" t="s">
        <v>1231</v>
      </c>
      <c r="N201" s="3137"/>
      <c r="O201" s="3154" t="s">
        <v>116</v>
      </c>
      <c r="P201" s="3137" t="s">
        <v>1232</v>
      </c>
      <c r="Q201" s="3150"/>
      <c r="R201" s="3150"/>
      <c r="S201" s="3150"/>
      <c r="T201" s="3150"/>
      <c r="U201" s="3150"/>
      <c r="V201" s="3150"/>
      <c r="W201" s="3150"/>
      <c r="X201" s="3149"/>
      <c r="Y201" s="1201"/>
      <c r="Z201" s="1201"/>
      <c r="AA201" s="1201"/>
      <c r="AB201" s="1202"/>
      <c r="AC201" s="3333"/>
      <c r="AD201" s="3333"/>
      <c r="AE201" s="3333"/>
      <c r="AF201" s="3333"/>
      <c r="AI201" s="3120" t="str">
        <f>"22:ninti_senmoncare_code:" &amp; IF(I201="■",1,IF(O201="■",3,IF(L201="■",2,0)))</f>
        <v>22:ninti_senmoncare_code:0</v>
      </c>
    </row>
    <row r="202" spans="1:36" s="3120" customFormat="1" ht="18.75" hidden="1" customHeight="1" x14ac:dyDescent="0.2">
      <c r="A202" s="834"/>
      <c r="B202" s="3148"/>
      <c r="C202" s="3147"/>
      <c r="D202" s="3146"/>
      <c r="E202" s="3145"/>
      <c r="F202" s="3144"/>
      <c r="G202" s="3145"/>
      <c r="H202" s="3296" t="s">
        <v>1285</v>
      </c>
      <c r="I202" s="3155" t="s">
        <v>116</v>
      </c>
      <c r="J202" s="3137" t="s">
        <v>1230</v>
      </c>
      <c r="K202" s="3137"/>
      <c r="L202" s="3154" t="s">
        <v>116</v>
      </c>
      <c r="M202" s="3137" t="s">
        <v>1231</v>
      </c>
      <c r="N202" s="3137"/>
      <c r="O202" s="3154" t="s">
        <v>116</v>
      </c>
      <c r="P202" s="3137" t="s">
        <v>1232</v>
      </c>
      <c r="Q202" s="3150"/>
      <c r="R202" s="3150"/>
      <c r="S202" s="3150"/>
      <c r="T202" s="3150"/>
      <c r="U202" s="3209"/>
      <c r="V202" s="3209"/>
      <c r="W202" s="3209"/>
      <c r="X202" s="3208"/>
      <c r="Y202" s="1201"/>
      <c r="Z202" s="1201"/>
      <c r="AA202" s="1201"/>
      <c r="AB202" s="1202"/>
      <c r="AC202" s="3333"/>
      <c r="AD202" s="3333"/>
      <c r="AE202" s="3333"/>
      <c r="AF202" s="3333"/>
      <c r="AI202" s="3120" t="str">
        <f>"22:field225:" &amp; IF(I202="■",1,IF(L202="■",2,IF(O202="■",3,0)))</f>
        <v>22:field225:0</v>
      </c>
    </row>
    <row r="203" spans="1:36" s="3120" customFormat="1" ht="18.75" hidden="1" customHeight="1" x14ac:dyDescent="0.2">
      <c r="A203" s="834"/>
      <c r="B203" s="3148"/>
      <c r="C203" s="3147"/>
      <c r="D203" s="3146"/>
      <c r="E203" s="3145"/>
      <c r="F203" s="3144"/>
      <c r="G203" s="3145"/>
      <c r="H203" s="3407" t="s">
        <v>238</v>
      </c>
      <c r="I203" s="3155" t="s">
        <v>116</v>
      </c>
      <c r="J203" s="3137" t="s">
        <v>1230</v>
      </c>
      <c r="K203" s="3137"/>
      <c r="L203" s="3154" t="s">
        <v>116</v>
      </c>
      <c r="M203" s="3137" t="s">
        <v>1259</v>
      </c>
      <c r="N203" s="3137"/>
      <c r="O203" s="3154" t="s">
        <v>116</v>
      </c>
      <c r="P203" s="3137" t="s">
        <v>1260</v>
      </c>
      <c r="Q203" s="3153"/>
      <c r="R203" s="3154" t="s">
        <v>116</v>
      </c>
      <c r="S203" s="3137" t="s">
        <v>1261</v>
      </c>
      <c r="T203" s="3153"/>
      <c r="U203" s="3153"/>
      <c r="V203" s="3153"/>
      <c r="W203" s="3153"/>
      <c r="X203" s="3152"/>
      <c r="Y203" s="1201"/>
      <c r="Z203" s="1201"/>
      <c r="AA203" s="1201"/>
      <c r="AB203" s="1202"/>
      <c r="AC203" s="3333"/>
      <c r="AD203" s="3333"/>
      <c r="AE203" s="3333"/>
      <c r="AF203" s="3333"/>
      <c r="AI203" s="3120" t="str">
        <f>"22:serteikyo_kyoka_code:" &amp; IF(I203="■",1,IF(L203="■",6,IF(O203="■",5,IF(R203="■",7,0))))</f>
        <v>22:serteikyo_kyoka_code:0</v>
      </c>
    </row>
    <row r="204" spans="1:36" s="3120" customFormat="1" ht="18.75" hidden="1" customHeight="1" x14ac:dyDescent="0.2">
      <c r="A204" s="834"/>
      <c r="B204" s="3148"/>
      <c r="C204" s="3147"/>
      <c r="D204" s="3146"/>
      <c r="E204" s="3145"/>
      <c r="F204" s="3144"/>
      <c r="G204" s="3145"/>
      <c r="H204" s="3170" t="s">
        <v>2058</v>
      </c>
      <c r="I204" s="3348" t="s">
        <v>116</v>
      </c>
      <c r="J204" s="3347" t="s">
        <v>1230</v>
      </c>
      <c r="K204" s="3347"/>
      <c r="L204" s="3346" t="s">
        <v>116</v>
      </c>
      <c r="M204" s="3347" t="s">
        <v>1233</v>
      </c>
      <c r="N204" s="3347"/>
      <c r="O204" s="3302"/>
      <c r="P204" s="3302"/>
      <c r="Q204" s="3302"/>
      <c r="R204" s="3302"/>
      <c r="S204" s="3302"/>
      <c r="T204" s="3302"/>
      <c r="U204" s="3302"/>
      <c r="V204" s="3302"/>
      <c r="W204" s="3302"/>
      <c r="X204" s="3335"/>
      <c r="Y204" s="1201"/>
      <c r="Z204" s="1201"/>
      <c r="AA204" s="1201"/>
      <c r="AB204" s="1202"/>
      <c r="AC204" s="3333"/>
      <c r="AD204" s="3333"/>
      <c r="AE204" s="3333"/>
      <c r="AF204" s="3333"/>
      <c r="AI204" s="3120" t="str">
        <f>"22:field221:" &amp; IF(I204="■",1,IF(L204="■",2,0))</f>
        <v>22:field221:0</v>
      </c>
    </row>
    <row r="205" spans="1:36" s="3120" customFormat="1" ht="18.75" hidden="1" customHeight="1" x14ac:dyDescent="0.2">
      <c r="A205" s="834"/>
      <c r="B205" s="3148"/>
      <c r="C205" s="3147"/>
      <c r="D205" s="3146"/>
      <c r="E205" s="3145"/>
      <c r="F205" s="3144"/>
      <c r="G205" s="3145"/>
      <c r="H205" s="3165"/>
      <c r="I205" s="3348"/>
      <c r="J205" s="3347"/>
      <c r="K205" s="3347"/>
      <c r="L205" s="3346"/>
      <c r="M205" s="3347"/>
      <c r="N205" s="3347"/>
      <c r="O205" s="3139"/>
      <c r="P205" s="3139"/>
      <c r="Q205" s="3139"/>
      <c r="R205" s="3139"/>
      <c r="S205" s="3139"/>
      <c r="T205" s="3139"/>
      <c r="U205" s="3139"/>
      <c r="V205" s="3139"/>
      <c r="W205" s="3139"/>
      <c r="X205" s="3195"/>
      <c r="Y205" s="1201"/>
      <c r="Z205" s="1201"/>
      <c r="AA205" s="1201"/>
      <c r="AB205" s="1202"/>
      <c r="AC205" s="3333"/>
      <c r="AD205" s="3333"/>
      <c r="AE205" s="3333"/>
      <c r="AF205" s="3333"/>
    </row>
    <row r="206" spans="1:36" s="3120" customFormat="1" ht="18.75" hidden="1" customHeight="1" x14ac:dyDescent="0.2">
      <c r="A206" s="835"/>
      <c r="B206" s="3135"/>
      <c r="C206" s="3134"/>
      <c r="D206" s="3133"/>
      <c r="E206" s="3132"/>
      <c r="F206" s="3131"/>
      <c r="G206" s="3189"/>
      <c r="H206" s="3289" t="s">
        <v>2129</v>
      </c>
      <c r="I206" s="3128" t="s">
        <v>116</v>
      </c>
      <c r="J206" s="3285" t="s">
        <v>1230</v>
      </c>
      <c r="K206" s="3285"/>
      <c r="L206" s="3127" t="s">
        <v>116</v>
      </c>
      <c r="M206" s="3285" t="s">
        <v>2128</v>
      </c>
      <c r="N206" s="3288"/>
      <c r="O206" s="3127" t="s">
        <v>116</v>
      </c>
      <c r="P206" s="3287" t="s">
        <v>2127</v>
      </c>
      <c r="Q206" s="3286"/>
      <c r="R206" s="3127" t="s">
        <v>116</v>
      </c>
      <c r="S206" s="3285" t="s">
        <v>2126</v>
      </c>
      <c r="T206" s="3286"/>
      <c r="U206" s="3127" t="s">
        <v>116</v>
      </c>
      <c r="V206" s="3285" t="s">
        <v>2125</v>
      </c>
      <c r="W206" s="3284"/>
      <c r="X206" s="3283"/>
      <c r="Y206" s="3282"/>
      <c r="Z206" s="3282"/>
      <c r="AA206" s="3282"/>
      <c r="AB206" s="3281"/>
      <c r="AC206" s="3332"/>
      <c r="AD206" s="3332"/>
      <c r="AE206" s="3332"/>
      <c r="AF206" s="3332"/>
      <c r="AI206" s="3120" t="str">
        <f>"22:shoguukaizen_code:"&amp;IF(I206="■",1,IF(L206="■",7,IF(O206="■",8,IF(R206="■",9,IF(U206="■","A",0)))))</f>
        <v>22:shoguukaizen_code:0</v>
      </c>
    </row>
    <row r="207" spans="1:36" s="3120" customFormat="1" ht="18.75" hidden="1" customHeight="1" x14ac:dyDescent="0.2">
      <c r="A207" s="3188"/>
      <c r="B207" s="3187"/>
      <c r="C207" s="3229"/>
      <c r="D207" s="3228"/>
      <c r="E207" s="3185"/>
      <c r="F207" s="3184"/>
      <c r="G207" s="3185"/>
      <c r="H207" s="3182" t="s">
        <v>1286</v>
      </c>
      <c r="I207" s="3181" t="s">
        <v>116</v>
      </c>
      <c r="J207" s="3180" t="s">
        <v>1282</v>
      </c>
      <c r="K207" s="3226"/>
      <c r="L207" s="3225"/>
      <c r="M207" s="3179" t="s">
        <v>116</v>
      </c>
      <c r="N207" s="3180" t="s">
        <v>1283</v>
      </c>
      <c r="O207" s="3177"/>
      <c r="P207" s="3177"/>
      <c r="Q207" s="3177"/>
      <c r="R207" s="3177"/>
      <c r="S207" s="3177"/>
      <c r="T207" s="3177"/>
      <c r="U207" s="3177"/>
      <c r="V207" s="3177"/>
      <c r="W207" s="3177"/>
      <c r="X207" s="3176"/>
      <c r="Y207" s="3310" t="s">
        <v>116</v>
      </c>
      <c r="Z207" s="3252" t="s">
        <v>1225</v>
      </c>
      <c r="AA207" s="3252"/>
      <c r="AB207" s="3308"/>
      <c r="AC207" s="3338"/>
      <c r="AD207" s="3338"/>
      <c r="AE207" s="3338"/>
      <c r="AF207" s="3338"/>
      <c r="AG207" s="3120" t="str">
        <f>"ser_code = '" &amp; IF(A218="■",22,"") &amp; "'"</f>
        <v>ser_code = ''</v>
      </c>
      <c r="AI207" s="3120" t="str">
        <f>"22:yakan_kinmu_code:" &amp; IF(I207="■",1,IF(M207="■",6,0))</f>
        <v>22:yakan_kinmu_code:0</v>
      </c>
      <c r="AJ207" s="3120" t="str">
        <f>"22:field203:" &amp; IF(Y207="■",1,IF(Y208="■",2,0))</f>
        <v>22:field203:0</v>
      </c>
    </row>
    <row r="208" spans="1:36" s="3120" customFormat="1" ht="18.75" hidden="1" customHeight="1" x14ac:dyDescent="0.2">
      <c r="A208" s="834"/>
      <c r="B208" s="3148"/>
      <c r="C208" s="3147"/>
      <c r="D208" s="3146"/>
      <c r="E208" s="3145"/>
      <c r="F208" s="3144"/>
      <c r="G208" s="3145"/>
      <c r="H208" s="3304" t="s">
        <v>235</v>
      </c>
      <c r="I208" s="3303" t="s">
        <v>116</v>
      </c>
      <c r="J208" s="3302" t="s">
        <v>1230</v>
      </c>
      <c r="K208" s="3302"/>
      <c r="L208" s="3316"/>
      <c r="M208" s="3301" t="s">
        <v>116</v>
      </c>
      <c r="N208" s="3302" t="s">
        <v>1262</v>
      </c>
      <c r="O208" s="3302"/>
      <c r="P208" s="3316"/>
      <c r="Q208" s="3301" t="s">
        <v>116</v>
      </c>
      <c r="R208" s="3167" t="s">
        <v>1263</v>
      </c>
      <c r="S208" s="3167"/>
      <c r="T208" s="3167"/>
      <c r="U208" s="3301" t="s">
        <v>116</v>
      </c>
      <c r="V208" s="3167" t="s">
        <v>1264</v>
      </c>
      <c r="W208" s="3167"/>
      <c r="X208" s="3166"/>
      <c r="Y208" s="3258" t="s">
        <v>116</v>
      </c>
      <c r="Z208" s="1200" t="s">
        <v>1226</v>
      </c>
      <c r="AA208" s="1201"/>
      <c r="AB208" s="1202"/>
      <c r="AC208" s="3333"/>
      <c r="AD208" s="3333"/>
      <c r="AE208" s="3333"/>
      <c r="AF208" s="3333"/>
      <c r="AG208" s="3120" t="str">
        <f>"22:sisetukbn_code:" &amp; IF(D217="■",5,IF(D218="■",7,0))</f>
        <v>22:sisetukbn_code:0</v>
      </c>
      <c r="AI208" s="3120" t="str">
        <f>"22:"&amp;IF(AND(I208="□",M208="□",Q208="□",U208="□",I209="□",M209="□",Q209="□"),"ketu_doctor_code:0",IF(I208="■","ketu_doctor_code:1:ketu_kangos_code:1:ketu_kshoku_code:1:ketu_rryoho_code:1:ketu_sryoho_code:1:ketu_gengo_code:1",
IF(M208="■","ketu_doctor_code:2","ketu_doctor_code:1")
&amp;IF(Q208="■",":ketu_kangos_code:2",":ketu_kangos_code:1")
&amp;IF(U208="■",":ketu_kshoku_code:2",":ketu_kshoku_code:1")
&amp;IF(I209="■",":ketu_rryoho_code:2",":ketu_rryoho_code:1")
&amp;IF(M209="■",":ketu_sryoho_code:2",":ketu_sryoho_code:1")
&amp;IF(Q209="■",":ketu_gengo_code:2",":ketu_gengo_code:1")))</f>
        <v>22:ketu_doctor_code:0</v>
      </c>
    </row>
    <row r="209" spans="1:35" s="3120" customFormat="1" ht="18.75" hidden="1" customHeight="1" x14ac:dyDescent="0.2">
      <c r="A209" s="834"/>
      <c r="B209" s="3148"/>
      <c r="C209" s="3147"/>
      <c r="D209" s="3146"/>
      <c r="E209" s="3145"/>
      <c r="F209" s="3144"/>
      <c r="G209" s="3145"/>
      <c r="H209" s="3300"/>
      <c r="I209" s="3141" t="s">
        <v>116</v>
      </c>
      <c r="J209" s="3139" t="s">
        <v>1265</v>
      </c>
      <c r="K209" s="3139"/>
      <c r="L209" s="3385"/>
      <c r="M209" s="3140" t="s">
        <v>116</v>
      </c>
      <c r="N209" s="3139" t="s">
        <v>1266</v>
      </c>
      <c r="O209" s="3139"/>
      <c r="P209" s="3385"/>
      <c r="Q209" s="3140" t="s">
        <v>116</v>
      </c>
      <c r="R209" s="3162" t="s">
        <v>1267</v>
      </c>
      <c r="S209" s="3162"/>
      <c r="T209" s="3162"/>
      <c r="U209" s="3162"/>
      <c r="V209" s="3162"/>
      <c r="W209" s="3162"/>
      <c r="X209" s="3161"/>
      <c r="Y209" s="3293"/>
      <c r="Z209" s="1201"/>
      <c r="AA209" s="1201"/>
      <c r="AB209" s="1202"/>
      <c r="AC209" s="3333"/>
      <c r="AD209" s="3333"/>
      <c r="AE209" s="3333"/>
      <c r="AF209" s="3333"/>
    </row>
    <row r="210" spans="1:35" s="3120" customFormat="1" ht="18.75" hidden="1" customHeight="1" x14ac:dyDescent="0.2">
      <c r="A210" s="834"/>
      <c r="B210" s="3148"/>
      <c r="C210" s="3147"/>
      <c r="D210" s="3146"/>
      <c r="E210" s="3145"/>
      <c r="F210" s="3144"/>
      <c r="G210" s="3145"/>
      <c r="H210" s="3151" t="s">
        <v>91</v>
      </c>
      <c r="I210" s="3155" t="s">
        <v>116</v>
      </c>
      <c r="J210" s="3137" t="s">
        <v>1240</v>
      </c>
      <c r="K210" s="3171"/>
      <c r="L210" s="3173"/>
      <c r="M210" s="3154" t="s">
        <v>116</v>
      </c>
      <c r="N210" s="3137" t="s">
        <v>1241</v>
      </c>
      <c r="O210" s="3150"/>
      <c r="P210" s="3150"/>
      <c r="Q210" s="3150"/>
      <c r="R210" s="3150"/>
      <c r="S210" s="3150"/>
      <c r="T210" s="3150"/>
      <c r="U210" s="3150"/>
      <c r="V210" s="3150"/>
      <c r="W210" s="3150"/>
      <c r="X210" s="3149"/>
      <c r="Y210" s="3293"/>
      <c r="Z210" s="1201"/>
      <c r="AA210" s="1201"/>
      <c r="AB210" s="1202"/>
      <c r="AC210" s="3333"/>
      <c r="AD210" s="3333"/>
      <c r="AE210" s="3333"/>
      <c r="AF210" s="3333"/>
      <c r="AI210" s="3120" t="str">
        <f>"22:unitcare_code:" &amp; IF(I210="■",1,IF(M210="■",2,0))</f>
        <v>22:unitcare_code:0</v>
      </c>
    </row>
    <row r="211" spans="1:35" s="3120" customFormat="1" ht="18.75" hidden="1" customHeight="1" x14ac:dyDescent="0.2">
      <c r="A211" s="834"/>
      <c r="B211" s="3148"/>
      <c r="C211" s="3295"/>
      <c r="D211" s="3294"/>
      <c r="E211" s="3145"/>
      <c r="F211" s="3144"/>
      <c r="G211" s="3175"/>
      <c r="H211" s="3381" t="s">
        <v>1325</v>
      </c>
      <c r="I211" s="3222" t="s">
        <v>116</v>
      </c>
      <c r="J211" s="3217" t="s">
        <v>1228</v>
      </c>
      <c r="K211" s="3221"/>
      <c r="L211" s="3220"/>
      <c r="M211" s="3219" t="s">
        <v>116</v>
      </c>
      <c r="N211" s="3217" t="s">
        <v>1322</v>
      </c>
      <c r="O211" s="3221"/>
      <c r="P211" s="3380"/>
      <c r="Q211" s="3380"/>
      <c r="R211" s="3380"/>
      <c r="S211" s="3380"/>
      <c r="T211" s="3380"/>
      <c r="U211" s="3380"/>
      <c r="V211" s="3380"/>
      <c r="W211" s="3380"/>
      <c r="X211" s="3379"/>
      <c r="Y211" s="3293"/>
      <c r="Z211" s="1201"/>
      <c r="AA211" s="1201"/>
      <c r="AB211" s="1202"/>
      <c r="AC211" s="3333"/>
      <c r="AD211" s="3333"/>
      <c r="AE211" s="3333"/>
      <c r="AF211" s="3333"/>
      <c r="AI211" s="3120" t="str">
        <f>"22:sintaikousoku_code:" &amp; IF(I211="■",1,IF(M211="■",2,0))</f>
        <v>22:sintaikousoku_code:0</v>
      </c>
    </row>
    <row r="212" spans="1:35" s="3120" customFormat="1" ht="19.5" hidden="1" customHeight="1" x14ac:dyDescent="0.2">
      <c r="A212" s="834"/>
      <c r="B212" s="3148"/>
      <c r="C212" s="3147"/>
      <c r="D212" s="3146"/>
      <c r="E212" s="3145"/>
      <c r="F212" s="3144"/>
      <c r="G212" s="3175"/>
      <c r="H212" s="3174" t="s">
        <v>1227</v>
      </c>
      <c r="I212" s="3155" t="s">
        <v>116</v>
      </c>
      <c r="J212" s="3137" t="s">
        <v>1228</v>
      </c>
      <c r="K212" s="3171"/>
      <c r="L212" s="3173"/>
      <c r="M212" s="3154" t="s">
        <v>116</v>
      </c>
      <c r="N212" s="3137" t="s">
        <v>1229</v>
      </c>
      <c r="O212" s="3299"/>
      <c r="P212" s="3137"/>
      <c r="Q212" s="3150"/>
      <c r="R212" s="3150"/>
      <c r="S212" s="3150"/>
      <c r="T212" s="3150"/>
      <c r="U212" s="3150"/>
      <c r="V212" s="3150"/>
      <c r="W212" s="3150"/>
      <c r="X212" s="3149"/>
      <c r="Y212" s="1201"/>
      <c r="Z212" s="1201"/>
      <c r="AA212" s="1201"/>
      <c r="AB212" s="1202"/>
      <c r="AC212" s="3333"/>
      <c r="AD212" s="3333"/>
      <c r="AE212" s="3333"/>
      <c r="AF212" s="3333"/>
      <c r="AI212" s="3120" t="str">
        <f>"22:field223:" &amp; IF(I212="■",1,IF(M212="■",2,0))</f>
        <v>22:field223:0</v>
      </c>
    </row>
    <row r="213" spans="1:35" s="3120" customFormat="1" ht="19.5" hidden="1" customHeight="1" x14ac:dyDescent="0.2">
      <c r="A213" s="834"/>
      <c r="B213" s="3148"/>
      <c r="C213" s="3147"/>
      <c r="D213" s="3146"/>
      <c r="E213" s="3145"/>
      <c r="F213" s="3144"/>
      <c r="G213" s="3175"/>
      <c r="H213" s="3174" t="s">
        <v>1253</v>
      </c>
      <c r="I213" s="3155" t="s">
        <v>116</v>
      </c>
      <c r="J213" s="3137" t="s">
        <v>1228</v>
      </c>
      <c r="K213" s="3171"/>
      <c r="L213" s="3173"/>
      <c r="M213" s="3154" t="s">
        <v>116</v>
      </c>
      <c r="N213" s="3137" t="s">
        <v>1229</v>
      </c>
      <c r="O213" s="3299"/>
      <c r="P213" s="3137"/>
      <c r="Q213" s="3150"/>
      <c r="R213" s="3150"/>
      <c r="S213" s="3150"/>
      <c r="T213" s="3150"/>
      <c r="U213" s="3150"/>
      <c r="V213" s="3150"/>
      <c r="W213" s="3150"/>
      <c r="X213" s="3149"/>
      <c r="Y213" s="1201"/>
      <c r="Z213" s="1201"/>
      <c r="AA213" s="1201"/>
      <c r="AB213" s="1202"/>
      <c r="AC213" s="3333"/>
      <c r="AD213" s="3333"/>
      <c r="AE213" s="3333"/>
      <c r="AF213" s="3333"/>
      <c r="AI213" s="3120" t="str">
        <f>"22:field232:" &amp; IF(I213="■",1,IF(M213="■",2,0))</f>
        <v>22:field232:0</v>
      </c>
    </row>
    <row r="214" spans="1:35" s="1247" customFormat="1" ht="19.5" hidden="1" customHeight="1" x14ac:dyDescent="0.2">
      <c r="A214" s="579"/>
      <c r="B214" s="1250"/>
      <c r="C214" s="581"/>
      <c r="D214" s="1251"/>
      <c r="E214" s="1253"/>
      <c r="F214" s="1249"/>
      <c r="G214" s="583"/>
      <c r="H214" s="3324" t="s">
        <v>2133</v>
      </c>
      <c r="I214" s="3155" t="s">
        <v>116</v>
      </c>
      <c r="J214" s="3320" t="s">
        <v>2131</v>
      </c>
      <c r="K214" s="3323"/>
      <c r="L214" s="3322"/>
      <c r="M214" s="3154" t="s">
        <v>116</v>
      </c>
      <c r="N214" s="3320" t="s">
        <v>2130</v>
      </c>
      <c r="O214" s="3321"/>
      <c r="P214" s="3320"/>
      <c r="Q214" s="3319"/>
      <c r="R214" s="3319"/>
      <c r="S214" s="3319"/>
      <c r="T214" s="3319"/>
      <c r="U214" s="3319"/>
      <c r="V214" s="3319"/>
      <c r="W214" s="3319"/>
      <c r="X214" s="3318"/>
      <c r="Y214" s="1248"/>
      <c r="Z214" s="2"/>
      <c r="AA214" s="584"/>
      <c r="AB214" s="585"/>
      <c r="AC214" s="3333"/>
      <c r="AD214" s="3333"/>
      <c r="AE214" s="3333"/>
      <c r="AF214" s="3333"/>
      <c r="AI214" s="3120" t="str">
        <f>"22:field242:" &amp; IF(I214="■",1,IF(M214="■",2,0))</f>
        <v>22:field242:0</v>
      </c>
    </row>
    <row r="215" spans="1:35" s="3120" customFormat="1" ht="18.75" hidden="1" customHeight="1" x14ac:dyDescent="0.2">
      <c r="A215" s="834"/>
      <c r="B215" s="3148"/>
      <c r="C215" s="3147"/>
      <c r="D215" s="3146"/>
      <c r="E215" s="3145"/>
      <c r="F215" s="3144"/>
      <c r="G215" s="3145"/>
      <c r="H215" s="3151" t="s">
        <v>2137</v>
      </c>
      <c r="I215" s="3155" t="s">
        <v>116</v>
      </c>
      <c r="J215" s="3137" t="s">
        <v>1230</v>
      </c>
      <c r="K215" s="3171"/>
      <c r="L215" s="3154" t="s">
        <v>116</v>
      </c>
      <c r="M215" s="3137" t="s">
        <v>1233</v>
      </c>
      <c r="N215" s="3150"/>
      <c r="O215" s="3150"/>
      <c r="P215" s="3150"/>
      <c r="Q215" s="3150"/>
      <c r="R215" s="3150"/>
      <c r="S215" s="3150"/>
      <c r="T215" s="3150"/>
      <c r="U215" s="3150"/>
      <c r="V215" s="3150"/>
      <c r="W215" s="3150"/>
      <c r="X215" s="3149"/>
      <c r="Y215" s="3293"/>
      <c r="Z215" s="1201"/>
      <c r="AA215" s="1201"/>
      <c r="AB215" s="1202"/>
      <c r="AC215" s="3333"/>
      <c r="AD215" s="3333"/>
      <c r="AE215" s="3333"/>
      <c r="AF215" s="3333"/>
      <c r="AI215" s="3120" t="str">
        <f>"22:yakinhaiti_code:" &amp; IF(I215="■",1,IF(L215="■",2,0))</f>
        <v>22:yakinhaiti_code:0</v>
      </c>
    </row>
    <row r="216" spans="1:35" s="3120" customFormat="1" ht="18.75" hidden="1" customHeight="1" x14ac:dyDescent="0.2">
      <c r="A216" s="834"/>
      <c r="B216" s="3148"/>
      <c r="C216" s="3147"/>
      <c r="D216" s="3146"/>
      <c r="E216" s="3145"/>
      <c r="F216" s="3144"/>
      <c r="G216" s="3145"/>
      <c r="H216" s="3151" t="s">
        <v>2262</v>
      </c>
      <c r="I216" s="3155" t="s">
        <v>116</v>
      </c>
      <c r="J216" s="3137" t="s">
        <v>2261</v>
      </c>
      <c r="K216" s="3137"/>
      <c r="L216" s="3173"/>
      <c r="M216" s="3173"/>
      <c r="N216" s="3154" t="s">
        <v>116</v>
      </c>
      <c r="O216" s="3137" t="s">
        <v>2260</v>
      </c>
      <c r="P216" s="3150"/>
      <c r="Q216" s="3150"/>
      <c r="R216" s="3150"/>
      <c r="S216" s="3154" t="s">
        <v>116</v>
      </c>
      <c r="T216" s="3137" t="s">
        <v>2259</v>
      </c>
      <c r="U216" s="3150"/>
      <c r="V216" s="3150"/>
      <c r="W216" s="3150"/>
      <c r="X216" s="3149"/>
      <c r="Y216" s="3293"/>
      <c r="Z216" s="1201"/>
      <c r="AA216" s="1201"/>
      <c r="AB216" s="1202"/>
      <c r="AC216" s="3333"/>
      <c r="AD216" s="3333"/>
      <c r="AE216" s="3333"/>
      <c r="AF216" s="3333"/>
      <c r="AI216" s="3120" t="str">
        <f>"22:"&amp;IF(AND(I216="□",N216="□",S216="□"),"koriha_gengo_code:0:riha_seisin_code:0:koriha_other_code:0",IF(I216="■","koriha_gengo_code:2","koriha_gengo_code:1")
&amp;IF(N216="■",":riha_seisin_code:2",":riha_seisin_code:1")
&amp;IF(S216="■",":koriha_other_code:2",":koriha_other_code:1"))</f>
        <v>22:koriha_gengo_code:0:riha_seisin_code:0:koriha_other_code:0</v>
      </c>
    </row>
    <row r="217" spans="1:35" s="3120" customFormat="1" ht="18.75" hidden="1" customHeight="1" x14ac:dyDescent="0.2">
      <c r="A217" s="834"/>
      <c r="B217" s="3148"/>
      <c r="C217" s="3147"/>
      <c r="D217" s="3258" t="s">
        <v>116</v>
      </c>
      <c r="E217" s="3145" t="s">
        <v>2264</v>
      </c>
      <c r="F217" s="3144"/>
      <c r="G217" s="3145"/>
      <c r="H217" s="3151" t="s">
        <v>2136</v>
      </c>
      <c r="I217" s="3155" t="s">
        <v>116</v>
      </c>
      <c r="J217" s="3137" t="s">
        <v>1230</v>
      </c>
      <c r="K217" s="3171"/>
      <c r="L217" s="3154" t="s">
        <v>116</v>
      </c>
      <c r="M217" s="3137" t="s">
        <v>1233</v>
      </c>
      <c r="N217" s="3150"/>
      <c r="O217" s="3150"/>
      <c r="P217" s="3150"/>
      <c r="Q217" s="3150"/>
      <c r="R217" s="3150"/>
      <c r="S217" s="3150"/>
      <c r="T217" s="3150"/>
      <c r="U217" s="3150"/>
      <c r="V217" s="3150"/>
      <c r="W217" s="3150"/>
      <c r="X217" s="3149"/>
      <c r="Y217" s="3293"/>
      <c r="Z217" s="1201"/>
      <c r="AA217" s="1201"/>
      <c r="AB217" s="1202"/>
      <c r="AC217" s="3333"/>
      <c r="AD217" s="3333"/>
      <c r="AE217" s="3333"/>
      <c r="AF217" s="3333"/>
      <c r="AI217" s="3120" t="str">
        <f>"22:ninticare_code:" &amp; IF(I217="■",1,IF(L217="■",2,0))</f>
        <v>22:ninticare_code:0</v>
      </c>
    </row>
    <row r="218" spans="1:35" s="3120" customFormat="1" ht="18.75" hidden="1" customHeight="1" x14ac:dyDescent="0.2">
      <c r="A218" s="3158" t="s">
        <v>116</v>
      </c>
      <c r="B218" s="3148">
        <v>22</v>
      </c>
      <c r="C218" s="3147" t="s">
        <v>924</v>
      </c>
      <c r="D218" s="3258" t="s">
        <v>116</v>
      </c>
      <c r="E218" s="3145" t="s">
        <v>2263</v>
      </c>
      <c r="F218" s="3144"/>
      <c r="G218" s="3145"/>
      <c r="H218" s="3151" t="s">
        <v>1256</v>
      </c>
      <c r="I218" s="3155" t="s">
        <v>116</v>
      </c>
      <c r="J218" s="3137" t="s">
        <v>1230</v>
      </c>
      <c r="K218" s="3171"/>
      <c r="L218" s="3154" t="s">
        <v>116</v>
      </c>
      <c r="M218" s="3137" t="s">
        <v>1233</v>
      </c>
      <c r="N218" s="3150"/>
      <c r="O218" s="3150"/>
      <c r="P218" s="3150"/>
      <c r="Q218" s="3150"/>
      <c r="R218" s="3150"/>
      <c r="S218" s="3150"/>
      <c r="T218" s="3150"/>
      <c r="U218" s="3150"/>
      <c r="V218" s="3150"/>
      <c r="W218" s="3150"/>
      <c r="X218" s="3149"/>
      <c r="Y218" s="3293"/>
      <c r="Z218" s="1201"/>
      <c r="AA218" s="1201"/>
      <c r="AB218" s="1202"/>
      <c r="AC218" s="3333"/>
      <c r="AD218" s="3333"/>
      <c r="AE218" s="3333"/>
      <c r="AF218" s="3333"/>
      <c r="AI218" s="3120" t="str">
        <f>"22:jyakuninti_uke_code:" &amp; IF(I218="■",1,IF(L218="■",2,0))</f>
        <v>22:jyakuninti_uke_code:0</v>
      </c>
    </row>
    <row r="219" spans="1:35" s="3120" customFormat="1" ht="18.75" hidden="1" customHeight="1" x14ac:dyDescent="0.2">
      <c r="A219" s="834"/>
      <c r="B219" s="3148"/>
      <c r="C219" s="3147"/>
      <c r="D219" s="3146"/>
      <c r="E219" s="3145"/>
      <c r="F219" s="3144"/>
      <c r="G219" s="3145"/>
      <c r="H219" s="3151" t="s">
        <v>1284</v>
      </c>
      <c r="I219" s="3155" t="s">
        <v>116</v>
      </c>
      <c r="J219" s="3137" t="s">
        <v>1240</v>
      </c>
      <c r="K219" s="3171"/>
      <c r="L219" s="3173"/>
      <c r="M219" s="3154" t="s">
        <v>116</v>
      </c>
      <c r="N219" s="3137" t="s">
        <v>1241</v>
      </c>
      <c r="O219" s="3150"/>
      <c r="P219" s="3150"/>
      <c r="Q219" s="3150"/>
      <c r="R219" s="3150"/>
      <c r="S219" s="3150"/>
      <c r="T219" s="3150"/>
      <c r="U219" s="3150"/>
      <c r="V219" s="3150"/>
      <c r="W219" s="3150"/>
      <c r="X219" s="3149"/>
      <c r="Y219" s="3293"/>
      <c r="Z219" s="1201"/>
      <c r="AA219" s="1201"/>
      <c r="AB219" s="1202"/>
      <c r="AC219" s="3333"/>
      <c r="AD219" s="3333"/>
      <c r="AE219" s="3333"/>
      <c r="AF219" s="3333"/>
      <c r="AI219" s="3120" t="str">
        <f>"22:sougei_code:" &amp; IF(I219="■",1,IF(M219="■",2,0))</f>
        <v>22:sougei_code:0</v>
      </c>
    </row>
    <row r="220" spans="1:35" s="3120" customFormat="1" ht="18.75" hidden="1" customHeight="1" x14ac:dyDescent="0.2">
      <c r="A220" s="834"/>
      <c r="B220" s="3148"/>
      <c r="C220" s="3147"/>
      <c r="D220" s="3146"/>
      <c r="E220" s="3145"/>
      <c r="F220" s="3144"/>
      <c r="G220" s="3145"/>
      <c r="H220" s="3151" t="s">
        <v>2256</v>
      </c>
      <c r="I220" s="3155" t="s">
        <v>116</v>
      </c>
      <c r="J220" s="3137" t="s">
        <v>1287</v>
      </c>
      <c r="K220" s="3150"/>
      <c r="L220" s="3150"/>
      <c r="M220" s="3150"/>
      <c r="N220" s="3150"/>
      <c r="O220" s="3150"/>
      <c r="P220" s="3154" t="s">
        <v>116</v>
      </c>
      <c r="Q220" s="3137" t="s">
        <v>1288</v>
      </c>
      <c r="R220" s="3150"/>
      <c r="S220" s="3153"/>
      <c r="T220" s="3150"/>
      <c r="U220" s="3150"/>
      <c r="V220" s="3150"/>
      <c r="W220" s="3150"/>
      <c r="X220" s="3149"/>
      <c r="Y220" s="3293"/>
      <c r="Z220" s="1201"/>
      <c r="AA220" s="1201"/>
      <c r="AB220" s="1202"/>
      <c r="AC220" s="3333"/>
      <c r="AD220" s="3333"/>
      <c r="AE220" s="3333"/>
      <c r="AF220" s="3333"/>
      <c r="AI220" s="3120" t="str">
        <f>"22:" &amp; IF(AND(I220="□",P220="□"),"tokusin_jyusho_code:0:tokusin_yakuzai_code:0",IF(I220="■","tokusin_jyusho_code:2","tokusin_jyusho_code:1")
&amp;IF(P220="■",":tokusin_yakuzai_code:2",":tokusin_yakuzai_code:1"))</f>
        <v>22:tokusin_jyusho_code:0:tokusin_yakuzai_code:0</v>
      </c>
    </row>
    <row r="221" spans="1:35" s="3120" customFormat="1" ht="18.75" hidden="1" customHeight="1" x14ac:dyDescent="0.2">
      <c r="A221" s="834"/>
      <c r="B221" s="3148"/>
      <c r="C221" s="3147"/>
      <c r="D221" s="3146"/>
      <c r="E221" s="3145"/>
      <c r="F221" s="3144"/>
      <c r="G221" s="3145"/>
      <c r="H221" s="3151" t="s">
        <v>2149</v>
      </c>
      <c r="I221" s="3155" t="s">
        <v>116</v>
      </c>
      <c r="J221" s="3137" t="s">
        <v>1230</v>
      </c>
      <c r="K221" s="3171"/>
      <c r="L221" s="3154" t="s">
        <v>116</v>
      </c>
      <c r="M221" s="3137" t="s">
        <v>1233</v>
      </c>
      <c r="N221" s="3153"/>
      <c r="O221" s="3153"/>
      <c r="P221" s="3153"/>
      <c r="Q221" s="3153"/>
      <c r="R221" s="3153"/>
      <c r="S221" s="3153"/>
      <c r="T221" s="3153"/>
      <c r="U221" s="3153"/>
      <c r="V221" s="3153"/>
      <c r="W221" s="3153"/>
      <c r="X221" s="3152"/>
      <c r="Y221" s="3293"/>
      <c r="Z221" s="1201"/>
      <c r="AA221" s="1201"/>
      <c r="AB221" s="1202"/>
      <c r="AC221" s="3333"/>
      <c r="AD221" s="3333"/>
      <c r="AE221" s="3333"/>
      <c r="AF221" s="3333"/>
      <c r="AI221" s="3120" t="str">
        <f>"22:field198:" &amp; IF(I221="■",1,IF(L221="■",2,0))</f>
        <v>22:field198:0</v>
      </c>
    </row>
    <row r="222" spans="1:35" s="3120" customFormat="1" ht="18.75" hidden="1" customHeight="1" x14ac:dyDescent="0.2">
      <c r="A222" s="834"/>
      <c r="B222" s="3148"/>
      <c r="C222" s="3147"/>
      <c r="D222" s="3146"/>
      <c r="E222" s="3145"/>
      <c r="F222" s="3144"/>
      <c r="G222" s="3145"/>
      <c r="H222" s="3151" t="s">
        <v>2255</v>
      </c>
      <c r="I222" s="3155" t="s">
        <v>116</v>
      </c>
      <c r="J222" s="3137" t="s">
        <v>1230</v>
      </c>
      <c r="K222" s="3171"/>
      <c r="L222" s="3154" t="s">
        <v>116</v>
      </c>
      <c r="M222" s="3137" t="s">
        <v>1233</v>
      </c>
      <c r="N222" s="3153"/>
      <c r="O222" s="3153"/>
      <c r="P222" s="3153"/>
      <c r="Q222" s="3153"/>
      <c r="R222" s="3153"/>
      <c r="S222" s="3153"/>
      <c r="T222" s="3153"/>
      <c r="U222" s="3153"/>
      <c r="V222" s="3153"/>
      <c r="W222" s="3153"/>
      <c r="X222" s="3152"/>
      <c r="Y222" s="3293"/>
      <c r="Z222" s="1201"/>
      <c r="AA222" s="1201"/>
      <c r="AB222" s="1202"/>
      <c r="AC222" s="3333"/>
      <c r="AD222" s="3333"/>
      <c r="AE222" s="3333"/>
      <c r="AF222" s="3333"/>
      <c r="AI222" s="3120" t="str">
        <f>"22:field199:" &amp; IF(I222="■",1,IF(L222="■",2,0))</f>
        <v>22:field199:0</v>
      </c>
    </row>
    <row r="223" spans="1:35" s="3120" customFormat="1" ht="19.5" hidden="1" customHeight="1" x14ac:dyDescent="0.2">
      <c r="A223" s="834"/>
      <c r="B223" s="3148"/>
      <c r="C223" s="3147"/>
      <c r="D223" s="3146"/>
      <c r="E223" s="3145"/>
      <c r="F223" s="3144"/>
      <c r="G223" s="3175"/>
      <c r="H223" s="3174" t="s">
        <v>1236</v>
      </c>
      <c r="I223" s="3155" t="s">
        <v>116</v>
      </c>
      <c r="J223" s="3137" t="s">
        <v>1230</v>
      </c>
      <c r="K223" s="3137"/>
      <c r="L223" s="3154" t="s">
        <v>116</v>
      </c>
      <c r="M223" s="3137" t="s">
        <v>1233</v>
      </c>
      <c r="N223" s="3137"/>
      <c r="O223" s="3150"/>
      <c r="P223" s="3137"/>
      <c r="Q223" s="3150"/>
      <c r="R223" s="3150"/>
      <c r="S223" s="3150"/>
      <c r="T223" s="3150"/>
      <c r="U223" s="3150"/>
      <c r="V223" s="3150"/>
      <c r="W223" s="3150"/>
      <c r="X223" s="3149"/>
      <c r="Y223" s="1201"/>
      <c r="Z223" s="1201"/>
      <c r="AA223" s="1201"/>
      <c r="AB223" s="1202"/>
      <c r="AC223" s="3333"/>
      <c r="AD223" s="3333"/>
      <c r="AE223" s="3333"/>
      <c r="AF223" s="3333"/>
      <c r="AI223" s="3120" t="str">
        <f>"22:field224:" &amp; IF(I223="■",1,IF(L223="■",2,0))</f>
        <v>22:field224:0</v>
      </c>
    </row>
    <row r="224" spans="1:35" s="3120" customFormat="1" ht="18.75" hidden="1" customHeight="1" x14ac:dyDescent="0.2">
      <c r="A224" s="834"/>
      <c r="B224" s="3148"/>
      <c r="C224" s="3147"/>
      <c r="D224" s="3146"/>
      <c r="E224" s="3145"/>
      <c r="F224" s="3144"/>
      <c r="G224" s="3145"/>
      <c r="H224" s="3151" t="s">
        <v>140</v>
      </c>
      <c r="I224" s="3155" t="s">
        <v>116</v>
      </c>
      <c r="J224" s="3137" t="s">
        <v>1230</v>
      </c>
      <c r="K224" s="3171"/>
      <c r="L224" s="3154" t="s">
        <v>116</v>
      </c>
      <c r="M224" s="3137" t="s">
        <v>1233</v>
      </c>
      <c r="N224" s="3150"/>
      <c r="O224" s="3150"/>
      <c r="P224" s="3150"/>
      <c r="Q224" s="3150"/>
      <c r="R224" s="3150"/>
      <c r="S224" s="3150"/>
      <c r="T224" s="3150"/>
      <c r="U224" s="3150"/>
      <c r="V224" s="3150"/>
      <c r="W224" s="3150"/>
      <c r="X224" s="3149"/>
      <c r="Y224" s="3293"/>
      <c r="Z224" s="1201"/>
      <c r="AA224" s="1201"/>
      <c r="AB224" s="1202"/>
      <c r="AC224" s="3333"/>
      <c r="AD224" s="3333"/>
      <c r="AE224" s="3333"/>
      <c r="AF224" s="3333"/>
      <c r="AI224" s="3120" t="str">
        <f>"22:ryouyoushoku_code:" &amp; IF(I224="■",1,IF(L224="■",2,0))</f>
        <v>22:ryouyoushoku_code:0</v>
      </c>
    </row>
    <row r="225" spans="1:36" s="3120" customFormat="1" ht="18.75" hidden="1" customHeight="1" x14ac:dyDescent="0.2">
      <c r="A225" s="834"/>
      <c r="B225" s="3148"/>
      <c r="C225" s="3147"/>
      <c r="D225" s="3146"/>
      <c r="E225" s="3145"/>
      <c r="F225" s="3144"/>
      <c r="G225" s="3145"/>
      <c r="H225" s="3151" t="s">
        <v>2219</v>
      </c>
      <c r="I225" s="3155" t="s">
        <v>116</v>
      </c>
      <c r="J225" s="3137" t="s">
        <v>1230</v>
      </c>
      <c r="K225" s="3137"/>
      <c r="L225" s="3154" t="s">
        <v>116</v>
      </c>
      <c r="M225" s="3137" t="s">
        <v>1231</v>
      </c>
      <c r="N225" s="3137"/>
      <c r="O225" s="3154" t="s">
        <v>116</v>
      </c>
      <c r="P225" s="3137" t="s">
        <v>1232</v>
      </c>
      <c r="Q225" s="3150"/>
      <c r="R225" s="3150"/>
      <c r="S225" s="3150"/>
      <c r="T225" s="3150"/>
      <c r="U225" s="3150"/>
      <c r="V225" s="3150"/>
      <c r="W225" s="3150"/>
      <c r="X225" s="3149"/>
      <c r="Y225" s="3293"/>
      <c r="Z225" s="1201"/>
      <c r="AA225" s="1201"/>
      <c r="AB225" s="1202"/>
      <c r="AC225" s="3333"/>
      <c r="AD225" s="3333"/>
      <c r="AE225" s="3333"/>
      <c r="AF225" s="3333"/>
      <c r="AI225" s="3120" t="str">
        <f>"22:ninti_senmoncare_code:" &amp; IF(I225="■",1,IF(O225="■",3,IF(L225="■",2,0)))</f>
        <v>22:ninti_senmoncare_code:0</v>
      </c>
    </row>
    <row r="226" spans="1:36" s="3120" customFormat="1" ht="18.75" hidden="1" customHeight="1" x14ac:dyDescent="0.2">
      <c r="A226" s="834"/>
      <c r="B226" s="3148"/>
      <c r="C226" s="3147"/>
      <c r="D226" s="3146"/>
      <c r="E226" s="3145"/>
      <c r="F226" s="3144"/>
      <c r="G226" s="3145"/>
      <c r="H226" s="3296" t="s">
        <v>1285</v>
      </c>
      <c r="I226" s="3155" t="s">
        <v>116</v>
      </c>
      <c r="J226" s="3137" t="s">
        <v>1230</v>
      </c>
      <c r="K226" s="3137"/>
      <c r="L226" s="3154" t="s">
        <v>116</v>
      </c>
      <c r="M226" s="3137" t="s">
        <v>1231</v>
      </c>
      <c r="N226" s="3137"/>
      <c r="O226" s="3154" t="s">
        <v>116</v>
      </c>
      <c r="P226" s="3137" t="s">
        <v>1232</v>
      </c>
      <c r="Q226" s="3150"/>
      <c r="R226" s="3150"/>
      <c r="S226" s="3150"/>
      <c r="T226" s="3150"/>
      <c r="U226" s="3209"/>
      <c r="V226" s="3209"/>
      <c r="W226" s="3209"/>
      <c r="X226" s="3208"/>
      <c r="Y226" s="3293"/>
      <c r="Z226" s="1201"/>
      <c r="AA226" s="1201"/>
      <c r="AB226" s="1202"/>
      <c r="AC226" s="3333"/>
      <c r="AD226" s="3333"/>
      <c r="AE226" s="3333"/>
      <c r="AF226" s="3333"/>
      <c r="AI226" s="3120" t="str">
        <f>"22:field225:" &amp; IF(I226="■",1,IF(L226="■",2,IF(O226="■",3,0)))</f>
        <v>22:field225:0</v>
      </c>
    </row>
    <row r="227" spans="1:36" s="3120" customFormat="1" ht="18.75" hidden="1" customHeight="1" x14ac:dyDescent="0.2">
      <c r="A227" s="834"/>
      <c r="B227" s="3148"/>
      <c r="C227" s="3147"/>
      <c r="D227" s="3146"/>
      <c r="E227" s="3145"/>
      <c r="F227" s="3144"/>
      <c r="G227" s="3145"/>
      <c r="H227" s="3159" t="s">
        <v>238</v>
      </c>
      <c r="I227" s="3155" t="s">
        <v>116</v>
      </c>
      <c r="J227" s="3137" t="s">
        <v>1230</v>
      </c>
      <c r="K227" s="3137"/>
      <c r="L227" s="3154" t="s">
        <v>116</v>
      </c>
      <c r="M227" s="3137" t="s">
        <v>1259</v>
      </c>
      <c r="N227" s="3137"/>
      <c r="O227" s="3154" t="s">
        <v>116</v>
      </c>
      <c r="P227" s="3137" t="s">
        <v>1260</v>
      </c>
      <c r="Q227" s="3153"/>
      <c r="R227" s="3154" t="s">
        <v>116</v>
      </c>
      <c r="S227" s="3137" t="s">
        <v>1261</v>
      </c>
      <c r="T227" s="3153"/>
      <c r="U227" s="3153"/>
      <c r="V227" s="3153"/>
      <c r="W227" s="3153"/>
      <c r="X227" s="3152"/>
      <c r="Y227" s="3293"/>
      <c r="Z227" s="1201"/>
      <c r="AA227" s="1201"/>
      <c r="AB227" s="1202"/>
      <c r="AC227" s="3333"/>
      <c r="AD227" s="3333"/>
      <c r="AE227" s="3333"/>
      <c r="AF227" s="3333"/>
      <c r="AI227" s="3120" t="str">
        <f>"22:serteikyo_kyoka_code:" &amp; IF(I227="■",1,IF(L227="■",6,IF(O227="■",5,IF(R227="■",7,0))))</f>
        <v>22:serteikyo_kyoka_code:0</v>
      </c>
    </row>
    <row r="228" spans="1:36" s="3120" customFormat="1" ht="18.75" hidden="1" customHeight="1" x14ac:dyDescent="0.2">
      <c r="A228" s="834"/>
      <c r="B228" s="3148"/>
      <c r="C228" s="3147"/>
      <c r="D228" s="3146"/>
      <c r="E228" s="3145"/>
      <c r="F228" s="3144"/>
      <c r="G228" s="3145"/>
      <c r="H228" s="3170" t="s">
        <v>2058</v>
      </c>
      <c r="I228" s="3348" t="s">
        <v>116</v>
      </c>
      <c r="J228" s="3347" t="s">
        <v>1230</v>
      </c>
      <c r="K228" s="3347"/>
      <c r="L228" s="3346" t="s">
        <v>116</v>
      </c>
      <c r="M228" s="3347" t="s">
        <v>1233</v>
      </c>
      <c r="N228" s="3347"/>
      <c r="O228" s="3302"/>
      <c r="P228" s="3302"/>
      <c r="Q228" s="3302"/>
      <c r="R228" s="3302"/>
      <c r="S228" s="3302"/>
      <c r="T228" s="3302"/>
      <c r="U228" s="3302"/>
      <c r="V228" s="3302"/>
      <c r="W228" s="3302"/>
      <c r="X228" s="3335"/>
      <c r="Y228" s="3293"/>
      <c r="Z228" s="1201"/>
      <c r="AA228" s="1201"/>
      <c r="AB228" s="1202"/>
      <c r="AC228" s="3333"/>
      <c r="AD228" s="3333"/>
      <c r="AE228" s="3333"/>
      <c r="AF228" s="3333"/>
      <c r="AI228" s="3120" t="str">
        <f>"22:field221:" &amp; IF(I228="■",1,IF(L228="■",2,0))</f>
        <v>22:field221:0</v>
      </c>
    </row>
    <row r="229" spans="1:36" s="3120" customFormat="1" ht="18.75" hidden="1" customHeight="1" x14ac:dyDescent="0.2">
      <c r="A229" s="834"/>
      <c r="B229" s="3148"/>
      <c r="C229" s="3147"/>
      <c r="D229" s="3146"/>
      <c r="E229" s="3145"/>
      <c r="F229" s="3144"/>
      <c r="G229" s="3145"/>
      <c r="H229" s="3165"/>
      <c r="I229" s="3348"/>
      <c r="J229" s="3347"/>
      <c r="K229" s="3347"/>
      <c r="L229" s="3346"/>
      <c r="M229" s="3347"/>
      <c r="N229" s="3347"/>
      <c r="O229" s="3139"/>
      <c r="P229" s="3139"/>
      <c r="Q229" s="3139"/>
      <c r="R229" s="3139"/>
      <c r="S229" s="3139"/>
      <c r="T229" s="3139"/>
      <c r="U229" s="3139"/>
      <c r="V229" s="3139"/>
      <c r="W229" s="3139"/>
      <c r="X229" s="3195"/>
      <c r="Y229" s="3293"/>
      <c r="Z229" s="1201"/>
      <c r="AA229" s="1201"/>
      <c r="AB229" s="1202"/>
      <c r="AC229" s="3333"/>
      <c r="AD229" s="3333"/>
      <c r="AE229" s="3333"/>
      <c r="AF229" s="3333"/>
    </row>
    <row r="230" spans="1:36" s="3120" customFormat="1" ht="18.75" hidden="1" customHeight="1" x14ac:dyDescent="0.2">
      <c r="A230" s="835"/>
      <c r="B230" s="3135"/>
      <c r="C230" s="3134"/>
      <c r="D230" s="3133"/>
      <c r="E230" s="3132"/>
      <c r="F230" s="3131"/>
      <c r="G230" s="3189"/>
      <c r="H230" s="3289" t="s">
        <v>2129</v>
      </c>
      <c r="I230" s="3128" t="s">
        <v>116</v>
      </c>
      <c r="J230" s="3285" t="s">
        <v>1230</v>
      </c>
      <c r="K230" s="3285"/>
      <c r="L230" s="3127" t="s">
        <v>116</v>
      </c>
      <c r="M230" s="3285" t="s">
        <v>2128</v>
      </c>
      <c r="N230" s="3288"/>
      <c r="O230" s="3127" t="s">
        <v>116</v>
      </c>
      <c r="P230" s="3287" t="s">
        <v>2127</v>
      </c>
      <c r="Q230" s="3286"/>
      <c r="R230" s="3127" t="s">
        <v>116</v>
      </c>
      <c r="S230" s="3285" t="s">
        <v>2126</v>
      </c>
      <c r="T230" s="3286"/>
      <c r="U230" s="3127" t="s">
        <v>116</v>
      </c>
      <c r="V230" s="3285" t="s">
        <v>2125</v>
      </c>
      <c r="W230" s="3284"/>
      <c r="X230" s="3283"/>
      <c r="Y230" s="3282"/>
      <c r="Z230" s="3282"/>
      <c r="AA230" s="3282"/>
      <c r="AB230" s="3281"/>
      <c r="AC230" s="3332"/>
      <c r="AD230" s="3332"/>
      <c r="AE230" s="3332"/>
      <c r="AF230" s="3332"/>
      <c r="AI230" s="3120" t="str">
        <f>"22:shoguukaizen_code:"&amp;IF(I230="■",1,IF(L230="■",7,IF(O230="■",8,IF(R230="■",9,IF(U230="■","A",0)))))</f>
        <v>22:shoguukaizen_code:0</v>
      </c>
    </row>
    <row r="231" spans="1:36" s="3120" customFormat="1" ht="18.75" hidden="1" customHeight="1" x14ac:dyDescent="0.2">
      <c r="A231" s="3188"/>
      <c r="B231" s="3187"/>
      <c r="C231" s="3229"/>
      <c r="D231" s="3228"/>
      <c r="E231" s="3185"/>
      <c r="F231" s="3184"/>
      <c r="G231" s="3185"/>
      <c r="H231" s="3182" t="s">
        <v>1286</v>
      </c>
      <c r="I231" s="3181" t="s">
        <v>116</v>
      </c>
      <c r="J231" s="3180" t="s">
        <v>1282</v>
      </c>
      <c r="K231" s="3226"/>
      <c r="L231" s="3225"/>
      <c r="M231" s="3179" t="s">
        <v>116</v>
      </c>
      <c r="N231" s="3180" t="s">
        <v>1283</v>
      </c>
      <c r="O231" s="3177"/>
      <c r="P231" s="3177"/>
      <c r="Q231" s="3177"/>
      <c r="R231" s="3177"/>
      <c r="S231" s="3177"/>
      <c r="T231" s="3177"/>
      <c r="U231" s="3177"/>
      <c r="V231" s="3177"/>
      <c r="W231" s="3177"/>
      <c r="X231" s="3176"/>
      <c r="Y231" s="3310" t="s">
        <v>116</v>
      </c>
      <c r="Z231" s="3252" t="s">
        <v>1225</v>
      </c>
      <c r="AA231" s="3252"/>
      <c r="AB231" s="3308"/>
      <c r="AC231" s="3338"/>
      <c r="AD231" s="3338"/>
      <c r="AE231" s="3338"/>
      <c r="AF231" s="3338"/>
      <c r="AG231" s="3120" t="str">
        <f>"ser_code = '" &amp; IF(A241="■",22,"") &amp; "'"</f>
        <v>ser_code = ''</v>
      </c>
      <c r="AI231" s="3120" t="str">
        <f>"22:yakan_kinmu_code:" &amp; IF(I231="■",1,IF(M231="■",6,0))</f>
        <v>22:yakan_kinmu_code:0</v>
      </c>
      <c r="AJ231" s="3120" t="str">
        <f>"22:field203:" &amp; IF(Y231="■",1,IF(Y232="■",2,0))</f>
        <v>22:field203:0</v>
      </c>
    </row>
    <row r="232" spans="1:36" s="3120" customFormat="1" ht="18.75" hidden="1" customHeight="1" x14ac:dyDescent="0.2">
      <c r="A232" s="834"/>
      <c r="B232" s="3148"/>
      <c r="C232" s="3147"/>
      <c r="D232" s="3146"/>
      <c r="E232" s="3145"/>
      <c r="F232" s="3144"/>
      <c r="G232" s="3145"/>
      <c r="H232" s="3304" t="s">
        <v>235</v>
      </c>
      <c r="I232" s="3303" t="s">
        <v>116</v>
      </c>
      <c r="J232" s="3302" t="s">
        <v>1230</v>
      </c>
      <c r="K232" s="3302"/>
      <c r="L232" s="3316"/>
      <c r="M232" s="3301" t="s">
        <v>116</v>
      </c>
      <c r="N232" s="3302" t="s">
        <v>1262</v>
      </c>
      <c r="O232" s="3302"/>
      <c r="P232" s="3316"/>
      <c r="Q232" s="3301" t="s">
        <v>116</v>
      </c>
      <c r="R232" s="3167" t="s">
        <v>1263</v>
      </c>
      <c r="S232" s="3167"/>
      <c r="T232" s="3167"/>
      <c r="U232" s="3301" t="s">
        <v>116</v>
      </c>
      <c r="V232" s="3167" t="s">
        <v>1264</v>
      </c>
      <c r="W232" s="3167"/>
      <c r="X232" s="3166"/>
      <c r="Y232" s="3258" t="s">
        <v>116</v>
      </c>
      <c r="Z232" s="1200" t="s">
        <v>1226</v>
      </c>
      <c r="AA232" s="1201"/>
      <c r="AB232" s="1202"/>
      <c r="AC232" s="3333"/>
      <c r="AD232" s="3333"/>
      <c r="AE232" s="3333"/>
      <c r="AF232" s="3333"/>
      <c r="AG232" s="3120" t="str">
        <f>"22:sisetukbn_code:" &amp; IF(D241="■",6,IF(D242="■",8,0))</f>
        <v>22:sisetukbn_code:0</v>
      </c>
      <c r="AI232" s="3120" t="str">
        <f>"22:"&amp;IF(AND(I232="□",M232="□",Q232="□",U232="□",I233="□",M233="□",Q233="□"),"ketu_doctor_code:0",IF(I232="■","ketu_doctor_code:1:ketu_kangos_code:1:ketu_kshoku_code:1:ketu_rryoho_code:1:ketu_sryoho_code:1:ketu_gengo_code:1",
IF(M232="■","ketu_doctor_code:2","ketu_doctor_code:1")
&amp;IF(Q232="■",":ketu_kangos_code:2",":ketu_kangos_code:1")
&amp;IF(U232="■",":ketu_kshoku_code:2",":ketu_kshoku_code:1")
&amp;IF(I233="■",":ketu_rryoho_code:2",":ketu_rryoho_code:1")
&amp;IF(M233="■",":ketu_sryoho_code:2",":ketu_sryoho_code:1")
&amp;IF(Q233="■",":ketu_gengo_code:2",":ketu_gengo_code:1")))</f>
        <v>22:ketu_doctor_code:0</v>
      </c>
    </row>
    <row r="233" spans="1:36" s="3120" customFormat="1" ht="18.75" hidden="1" customHeight="1" x14ac:dyDescent="0.2">
      <c r="A233" s="834"/>
      <c r="B233" s="3148"/>
      <c r="C233" s="3147"/>
      <c r="D233" s="3146"/>
      <c r="E233" s="3145"/>
      <c r="F233" s="3144"/>
      <c r="G233" s="3145"/>
      <c r="H233" s="3300"/>
      <c r="I233" s="3141" t="s">
        <v>116</v>
      </c>
      <c r="J233" s="3139" t="s">
        <v>1265</v>
      </c>
      <c r="K233" s="3139"/>
      <c r="L233" s="3385"/>
      <c r="M233" s="3140" t="s">
        <v>116</v>
      </c>
      <c r="N233" s="3139" t="s">
        <v>1266</v>
      </c>
      <c r="O233" s="3139"/>
      <c r="P233" s="3385"/>
      <c r="Q233" s="3140" t="s">
        <v>116</v>
      </c>
      <c r="R233" s="3162" t="s">
        <v>1267</v>
      </c>
      <c r="S233" s="3162"/>
      <c r="T233" s="3162"/>
      <c r="U233" s="3162"/>
      <c r="V233" s="3162"/>
      <c r="W233" s="3162"/>
      <c r="X233" s="3161"/>
      <c r="Y233" s="3293"/>
      <c r="Z233" s="1201"/>
      <c r="AA233" s="1201"/>
      <c r="AB233" s="1202"/>
      <c r="AC233" s="3333"/>
      <c r="AD233" s="3333"/>
      <c r="AE233" s="3333"/>
      <c r="AF233" s="3333"/>
    </row>
    <row r="234" spans="1:36" s="3120" customFormat="1" ht="18.75" hidden="1" customHeight="1" x14ac:dyDescent="0.2">
      <c r="A234" s="834"/>
      <c r="B234" s="3148"/>
      <c r="C234" s="3147"/>
      <c r="D234" s="3146"/>
      <c r="E234" s="3145"/>
      <c r="F234" s="3144"/>
      <c r="G234" s="3145"/>
      <c r="H234" s="3151" t="s">
        <v>91</v>
      </c>
      <c r="I234" s="3155" t="s">
        <v>116</v>
      </c>
      <c r="J234" s="3137" t="s">
        <v>1240</v>
      </c>
      <c r="K234" s="3171"/>
      <c r="L234" s="3173"/>
      <c r="M234" s="3154" t="s">
        <v>116</v>
      </c>
      <c r="N234" s="3137" t="s">
        <v>1241</v>
      </c>
      <c r="O234" s="3150"/>
      <c r="P234" s="3150"/>
      <c r="Q234" s="3150"/>
      <c r="R234" s="3150"/>
      <c r="S234" s="3150"/>
      <c r="T234" s="3150"/>
      <c r="U234" s="3150"/>
      <c r="V234" s="3150"/>
      <c r="W234" s="3150"/>
      <c r="X234" s="3149"/>
      <c r="Y234" s="3293"/>
      <c r="Z234" s="1201"/>
      <c r="AA234" s="1201"/>
      <c r="AB234" s="1202"/>
      <c r="AC234" s="3333"/>
      <c r="AD234" s="3333"/>
      <c r="AE234" s="3333"/>
      <c r="AF234" s="3333"/>
      <c r="AI234" s="3120" t="str">
        <f>"22:unitcare_code:" &amp; IF(I234="■",1,IF(M234="■",2,0))</f>
        <v>22:unitcare_code:0</v>
      </c>
    </row>
    <row r="235" spans="1:36" s="3120" customFormat="1" ht="18.75" hidden="1" customHeight="1" x14ac:dyDescent="0.2">
      <c r="A235" s="834"/>
      <c r="B235" s="3148"/>
      <c r="C235" s="3295"/>
      <c r="D235" s="3294"/>
      <c r="E235" s="3145"/>
      <c r="F235" s="3144"/>
      <c r="G235" s="3175"/>
      <c r="H235" s="3381" t="s">
        <v>1325</v>
      </c>
      <c r="I235" s="3222" t="s">
        <v>116</v>
      </c>
      <c r="J235" s="3217" t="s">
        <v>1228</v>
      </c>
      <c r="K235" s="3221"/>
      <c r="L235" s="3220"/>
      <c r="M235" s="3219" t="s">
        <v>116</v>
      </c>
      <c r="N235" s="3217" t="s">
        <v>1322</v>
      </c>
      <c r="O235" s="3221"/>
      <c r="P235" s="3380"/>
      <c r="Q235" s="3380"/>
      <c r="R235" s="3380"/>
      <c r="S235" s="3380"/>
      <c r="T235" s="3380"/>
      <c r="U235" s="3380"/>
      <c r="V235" s="3380"/>
      <c r="W235" s="3380"/>
      <c r="X235" s="3379"/>
      <c r="Y235" s="3293"/>
      <c r="Z235" s="1201"/>
      <c r="AA235" s="1201"/>
      <c r="AB235" s="1202"/>
      <c r="AC235" s="3333"/>
      <c r="AD235" s="3333"/>
      <c r="AE235" s="3333"/>
      <c r="AF235" s="3333"/>
      <c r="AI235" s="3120" t="str">
        <f>"22:sintaikousoku_code:" &amp; IF(I235="■",1,IF(M235="■",2,0))</f>
        <v>22:sintaikousoku_code:0</v>
      </c>
    </row>
    <row r="236" spans="1:36" s="3120" customFormat="1" ht="19.5" hidden="1" customHeight="1" x14ac:dyDescent="0.2">
      <c r="A236" s="834"/>
      <c r="B236" s="3148"/>
      <c r="C236" s="3147"/>
      <c r="D236" s="3146"/>
      <c r="E236" s="3145"/>
      <c r="F236" s="3144"/>
      <c r="G236" s="3175"/>
      <c r="H236" s="3174" t="s">
        <v>1227</v>
      </c>
      <c r="I236" s="3155" t="s">
        <v>116</v>
      </c>
      <c r="J236" s="3137" t="s">
        <v>1228</v>
      </c>
      <c r="K236" s="3171"/>
      <c r="L236" s="3173"/>
      <c r="M236" s="3154" t="s">
        <v>116</v>
      </c>
      <c r="N236" s="3137" t="s">
        <v>1229</v>
      </c>
      <c r="O236" s="3299"/>
      <c r="P236" s="3137"/>
      <c r="Q236" s="3150"/>
      <c r="R236" s="3150"/>
      <c r="S236" s="3150"/>
      <c r="T236" s="3150"/>
      <c r="U236" s="3150"/>
      <c r="V236" s="3150"/>
      <c r="W236" s="3150"/>
      <c r="X236" s="3149"/>
      <c r="Y236" s="1201"/>
      <c r="Z236" s="1201"/>
      <c r="AA236" s="1201"/>
      <c r="AB236" s="1202"/>
      <c r="AC236" s="3333"/>
      <c r="AD236" s="3333"/>
      <c r="AE236" s="3333"/>
      <c r="AF236" s="3333"/>
      <c r="AI236" s="3120" t="str">
        <f>"22:field223:" &amp; IF(I236="■",1,IF(M236="■",2,0))</f>
        <v>22:field223:0</v>
      </c>
    </row>
    <row r="237" spans="1:36" s="3120" customFormat="1" ht="19.5" hidden="1" customHeight="1" x14ac:dyDescent="0.2">
      <c r="A237" s="834"/>
      <c r="B237" s="3148"/>
      <c r="C237" s="3147"/>
      <c r="D237" s="3146"/>
      <c r="E237" s="3145"/>
      <c r="F237" s="3144"/>
      <c r="G237" s="3175"/>
      <c r="H237" s="3174" t="s">
        <v>1253</v>
      </c>
      <c r="I237" s="3155" t="s">
        <v>116</v>
      </c>
      <c r="J237" s="3137" t="s">
        <v>1228</v>
      </c>
      <c r="K237" s="3171"/>
      <c r="L237" s="3173"/>
      <c r="M237" s="3154" t="s">
        <v>116</v>
      </c>
      <c r="N237" s="3137" t="s">
        <v>1229</v>
      </c>
      <c r="O237" s="3299"/>
      <c r="P237" s="3137"/>
      <c r="Q237" s="3150"/>
      <c r="R237" s="3150"/>
      <c r="S237" s="3150"/>
      <c r="T237" s="3150"/>
      <c r="U237" s="3150"/>
      <c r="V237" s="3150"/>
      <c r="W237" s="3150"/>
      <c r="X237" s="3149"/>
      <c r="Y237" s="1201"/>
      <c r="Z237" s="1201"/>
      <c r="AA237" s="1201"/>
      <c r="AB237" s="1202"/>
      <c r="AC237" s="3333"/>
      <c r="AD237" s="3333"/>
      <c r="AE237" s="3333"/>
      <c r="AF237" s="3333"/>
      <c r="AI237" s="3120" t="str">
        <f>"22:field232:" &amp; IF(I237="■",1,IF(M237="■",2,0))</f>
        <v>22:field232:0</v>
      </c>
    </row>
    <row r="238" spans="1:36" s="3120" customFormat="1" ht="18.75" hidden="1" customHeight="1" x14ac:dyDescent="0.2">
      <c r="A238" s="834"/>
      <c r="B238" s="3148"/>
      <c r="C238" s="3147"/>
      <c r="D238" s="3146"/>
      <c r="E238" s="3145"/>
      <c r="F238" s="3144"/>
      <c r="G238" s="3145"/>
      <c r="H238" s="3151" t="s">
        <v>2137</v>
      </c>
      <c r="I238" s="3155" t="s">
        <v>116</v>
      </c>
      <c r="J238" s="3137" t="s">
        <v>1230</v>
      </c>
      <c r="K238" s="3171"/>
      <c r="L238" s="3154" t="s">
        <v>116</v>
      </c>
      <c r="M238" s="3137" t="s">
        <v>1233</v>
      </c>
      <c r="N238" s="3150"/>
      <c r="O238" s="3150"/>
      <c r="P238" s="3150"/>
      <c r="Q238" s="3150"/>
      <c r="R238" s="3150"/>
      <c r="S238" s="3150"/>
      <c r="T238" s="3150"/>
      <c r="U238" s="3150"/>
      <c r="V238" s="3150"/>
      <c r="W238" s="3150"/>
      <c r="X238" s="3149"/>
      <c r="Y238" s="3293"/>
      <c r="Z238" s="1201"/>
      <c r="AA238" s="1201"/>
      <c r="AB238" s="1202"/>
      <c r="AC238" s="3333"/>
      <c r="AD238" s="3333"/>
      <c r="AE238" s="3333"/>
      <c r="AF238" s="3333"/>
      <c r="AI238" s="3120" t="str">
        <f>"22:yakinhaiti_code:" &amp; IF(I238="■",1,IF(L238="■",2,0))</f>
        <v>22:yakinhaiti_code:0</v>
      </c>
    </row>
    <row r="239" spans="1:36" s="3120" customFormat="1" ht="18.75" hidden="1" customHeight="1" x14ac:dyDescent="0.2">
      <c r="A239" s="834"/>
      <c r="B239" s="3148"/>
      <c r="C239" s="3147"/>
      <c r="D239" s="3146"/>
      <c r="E239" s="3145"/>
      <c r="F239" s="3144"/>
      <c r="G239" s="3145"/>
      <c r="H239" s="3151" t="s">
        <v>2262</v>
      </c>
      <c r="I239" s="3155" t="s">
        <v>116</v>
      </c>
      <c r="J239" s="3137" t="s">
        <v>2261</v>
      </c>
      <c r="K239" s="3137"/>
      <c r="L239" s="3173"/>
      <c r="M239" s="3173"/>
      <c r="N239" s="3154" t="s">
        <v>116</v>
      </c>
      <c r="O239" s="3137" t="s">
        <v>2260</v>
      </c>
      <c r="P239" s="3150"/>
      <c r="Q239" s="3150"/>
      <c r="R239" s="3150"/>
      <c r="S239" s="3154" t="s">
        <v>116</v>
      </c>
      <c r="T239" s="3137" t="s">
        <v>2259</v>
      </c>
      <c r="U239" s="3150"/>
      <c r="V239" s="3150"/>
      <c r="W239" s="3150"/>
      <c r="X239" s="3149"/>
      <c r="Y239" s="3293"/>
      <c r="Z239" s="1201"/>
      <c r="AA239" s="1201"/>
      <c r="AB239" s="1202"/>
      <c r="AC239" s="3333"/>
      <c r="AD239" s="3333"/>
      <c r="AE239" s="3333"/>
      <c r="AF239" s="3333"/>
      <c r="AI239" s="3120" t="str">
        <f>"22:"&amp;IF(AND(I239="□",N239="□",S239="□"),"koriha_gengo_code:0:riha_seisin_code:0:koriha_other_code:0",IF(I239="■","koriha_gengo_code:2","koriha_gengo_code:1")
&amp;IF(N239="■",":riha_seisin_code:2",":riha_seisin_code:1")
&amp;IF(S239="■",":koriha_other_code:2",":koriha_other_code:1"))</f>
        <v>22:koriha_gengo_code:0:riha_seisin_code:0:koriha_other_code:0</v>
      </c>
    </row>
    <row r="240" spans="1:36" s="3120" customFormat="1" ht="18.75" hidden="1" customHeight="1" x14ac:dyDescent="0.2">
      <c r="A240" s="834"/>
      <c r="B240" s="3148"/>
      <c r="C240" s="3147"/>
      <c r="D240" s="3146"/>
      <c r="E240" s="3145"/>
      <c r="F240" s="3144"/>
      <c r="G240" s="3145"/>
      <c r="H240" s="3151" t="s">
        <v>2136</v>
      </c>
      <c r="I240" s="3155" t="s">
        <v>116</v>
      </c>
      <c r="J240" s="3137" t="s">
        <v>1230</v>
      </c>
      <c r="K240" s="3171"/>
      <c r="L240" s="3154" t="s">
        <v>116</v>
      </c>
      <c r="M240" s="3137" t="s">
        <v>1233</v>
      </c>
      <c r="N240" s="3150"/>
      <c r="O240" s="3150"/>
      <c r="P240" s="3150"/>
      <c r="Q240" s="3150"/>
      <c r="R240" s="3150"/>
      <c r="S240" s="3150"/>
      <c r="T240" s="3150"/>
      <c r="U240" s="3150"/>
      <c r="V240" s="3150"/>
      <c r="W240" s="3150"/>
      <c r="X240" s="3149"/>
      <c r="Y240" s="3293"/>
      <c r="Z240" s="1201"/>
      <c r="AA240" s="1201"/>
      <c r="AB240" s="1202"/>
      <c r="AC240" s="3333"/>
      <c r="AD240" s="3333"/>
      <c r="AE240" s="3333"/>
      <c r="AF240" s="3333"/>
      <c r="AI240" s="3120" t="str">
        <f>"22:ninticare_code:" &amp; IF(I240="■",1,IF(L240="■",2,0))</f>
        <v>22:ninticare_code:0</v>
      </c>
    </row>
    <row r="241" spans="1:36" s="3120" customFormat="1" ht="18.75" hidden="1" customHeight="1" x14ac:dyDescent="0.2">
      <c r="A241" s="3158" t="s">
        <v>116</v>
      </c>
      <c r="B241" s="3148">
        <v>22</v>
      </c>
      <c r="C241" s="3147" t="s">
        <v>924</v>
      </c>
      <c r="D241" s="3258" t="s">
        <v>116</v>
      </c>
      <c r="E241" s="3145" t="s">
        <v>2258</v>
      </c>
      <c r="F241" s="3144"/>
      <c r="G241" s="3145"/>
      <c r="H241" s="3151" t="s">
        <v>1256</v>
      </c>
      <c r="I241" s="3155" t="s">
        <v>116</v>
      </c>
      <c r="J241" s="3137" t="s">
        <v>1230</v>
      </c>
      <c r="K241" s="3171"/>
      <c r="L241" s="3154" t="s">
        <v>116</v>
      </c>
      <c r="M241" s="3137" t="s">
        <v>1233</v>
      </c>
      <c r="N241" s="3150"/>
      <c r="O241" s="3150"/>
      <c r="P241" s="3150"/>
      <c r="Q241" s="3150"/>
      <c r="R241" s="3150"/>
      <c r="S241" s="3150"/>
      <c r="T241" s="3150"/>
      <c r="U241" s="3150"/>
      <c r="V241" s="3150"/>
      <c r="W241" s="3150"/>
      <c r="X241" s="3149"/>
      <c r="Y241" s="3293"/>
      <c r="Z241" s="1201"/>
      <c r="AA241" s="1201"/>
      <c r="AB241" s="1202"/>
      <c r="AC241" s="3333"/>
      <c r="AD241" s="3333"/>
      <c r="AE241" s="3333"/>
      <c r="AF241" s="3333"/>
      <c r="AI241" s="3120" t="str">
        <f>"22:jyakuninti_uke_code:" &amp; IF(I241="■",1,IF(L241="■",2,0))</f>
        <v>22:jyakuninti_uke_code:0</v>
      </c>
    </row>
    <row r="242" spans="1:36" s="3120" customFormat="1" ht="18.75" hidden="1" customHeight="1" x14ac:dyDescent="0.2">
      <c r="A242" s="834"/>
      <c r="B242" s="3148"/>
      <c r="C242" s="3147"/>
      <c r="D242" s="3258" t="s">
        <v>116</v>
      </c>
      <c r="E242" s="3145" t="s">
        <v>2257</v>
      </c>
      <c r="F242" s="3144"/>
      <c r="G242" s="3145"/>
      <c r="H242" s="3151" t="s">
        <v>1284</v>
      </c>
      <c r="I242" s="3155" t="s">
        <v>116</v>
      </c>
      <c r="J242" s="3137" t="s">
        <v>1240</v>
      </c>
      <c r="K242" s="3171"/>
      <c r="L242" s="3173"/>
      <c r="M242" s="3154" t="s">
        <v>116</v>
      </c>
      <c r="N242" s="3137" t="s">
        <v>1241</v>
      </c>
      <c r="O242" s="3150"/>
      <c r="P242" s="3150"/>
      <c r="Q242" s="3150"/>
      <c r="R242" s="3150"/>
      <c r="S242" s="3150"/>
      <c r="T242" s="3150"/>
      <c r="U242" s="3150"/>
      <c r="V242" s="3150"/>
      <c r="W242" s="3150"/>
      <c r="X242" s="3149"/>
      <c r="Y242" s="3293"/>
      <c r="Z242" s="1201"/>
      <c r="AA242" s="1201"/>
      <c r="AB242" s="1202"/>
      <c r="AC242" s="3333"/>
      <c r="AD242" s="3333"/>
      <c r="AE242" s="3333"/>
      <c r="AF242" s="3333"/>
      <c r="AI242" s="3120" t="str">
        <f>"22:sougei_code:" &amp; IF(I242="■",1,IF(M242="■",2,0))</f>
        <v>22:sougei_code:0</v>
      </c>
    </row>
    <row r="243" spans="1:36" s="3120" customFormat="1" ht="18.75" hidden="1" customHeight="1" x14ac:dyDescent="0.2">
      <c r="A243" s="834"/>
      <c r="B243" s="3148"/>
      <c r="C243" s="3147"/>
      <c r="D243" s="3146"/>
      <c r="E243" s="3145"/>
      <c r="F243" s="3144"/>
      <c r="G243" s="3145"/>
      <c r="H243" s="3151" t="s">
        <v>2256</v>
      </c>
      <c r="I243" s="3155" t="s">
        <v>116</v>
      </c>
      <c r="J243" s="3137" t="s">
        <v>1287</v>
      </c>
      <c r="K243" s="3150"/>
      <c r="L243" s="3150"/>
      <c r="M243" s="3150"/>
      <c r="N243" s="3150"/>
      <c r="O243" s="3150"/>
      <c r="P243" s="3154" t="s">
        <v>116</v>
      </c>
      <c r="Q243" s="3137" t="s">
        <v>1288</v>
      </c>
      <c r="R243" s="3150"/>
      <c r="S243" s="3153"/>
      <c r="T243" s="3150"/>
      <c r="U243" s="3150"/>
      <c r="V243" s="3150"/>
      <c r="W243" s="3150"/>
      <c r="X243" s="3149"/>
      <c r="Y243" s="3293"/>
      <c r="Z243" s="1201"/>
      <c r="AA243" s="1201"/>
      <c r="AB243" s="1202"/>
      <c r="AC243" s="3333"/>
      <c r="AD243" s="3333"/>
      <c r="AE243" s="3333"/>
      <c r="AF243" s="3333"/>
      <c r="AI243" s="3120" t="str">
        <f>"22:" &amp; IF(AND(I243="□",P243="□"),"tokusin_jyusho_code:0:tokusin_yakuzai_code:0",IF(I243="■","tokusin_jyusho_code:2","tokusin_jyusho_code:1")
&amp;IF(P243="■",":tokusin_yakuzai_code:2",":tokusin_yakuzai_code:1"))</f>
        <v>22:tokusin_jyusho_code:0:tokusin_yakuzai_code:0</v>
      </c>
    </row>
    <row r="244" spans="1:36" s="3120" customFormat="1" ht="18.75" hidden="1" customHeight="1" x14ac:dyDescent="0.2">
      <c r="A244" s="834"/>
      <c r="B244" s="3148"/>
      <c r="C244" s="3147"/>
      <c r="D244" s="3146"/>
      <c r="E244" s="3145"/>
      <c r="F244" s="3144"/>
      <c r="G244" s="3145"/>
      <c r="H244" s="3151" t="s">
        <v>2149</v>
      </c>
      <c r="I244" s="3155" t="s">
        <v>116</v>
      </c>
      <c r="J244" s="3137" t="s">
        <v>1230</v>
      </c>
      <c r="K244" s="3171"/>
      <c r="L244" s="3154" t="s">
        <v>116</v>
      </c>
      <c r="M244" s="3137" t="s">
        <v>1233</v>
      </c>
      <c r="N244" s="3153"/>
      <c r="O244" s="3153"/>
      <c r="P244" s="3153"/>
      <c r="Q244" s="3153"/>
      <c r="R244" s="3153"/>
      <c r="S244" s="3153"/>
      <c r="T244" s="3153"/>
      <c r="U244" s="3153"/>
      <c r="V244" s="3153"/>
      <c r="W244" s="3153"/>
      <c r="X244" s="3152"/>
      <c r="Y244" s="3293"/>
      <c r="Z244" s="1201"/>
      <c r="AA244" s="1201"/>
      <c r="AB244" s="1202"/>
      <c r="AC244" s="3333"/>
      <c r="AD244" s="3333"/>
      <c r="AE244" s="3333"/>
      <c r="AF244" s="3333"/>
      <c r="AI244" s="3120" t="str">
        <f>"22:field198:" &amp; IF(I244="■",1,IF(L244="■",2,0))</f>
        <v>22:field198:0</v>
      </c>
    </row>
    <row r="245" spans="1:36" s="3120" customFormat="1" ht="18.75" hidden="1" customHeight="1" x14ac:dyDescent="0.2">
      <c r="A245" s="834"/>
      <c r="B245" s="3148"/>
      <c r="C245" s="3147"/>
      <c r="D245" s="3146"/>
      <c r="E245" s="3145"/>
      <c r="F245" s="3144"/>
      <c r="G245" s="3145"/>
      <c r="H245" s="3151" t="s">
        <v>2255</v>
      </c>
      <c r="I245" s="3155" t="s">
        <v>116</v>
      </c>
      <c r="J245" s="3137" t="s">
        <v>1230</v>
      </c>
      <c r="K245" s="3171"/>
      <c r="L245" s="3154" t="s">
        <v>116</v>
      </c>
      <c r="M245" s="3137" t="s">
        <v>1233</v>
      </c>
      <c r="N245" s="3153"/>
      <c r="O245" s="3153"/>
      <c r="P245" s="3153"/>
      <c r="Q245" s="3153"/>
      <c r="R245" s="3153"/>
      <c r="S245" s="3153"/>
      <c r="T245" s="3153"/>
      <c r="U245" s="3153"/>
      <c r="V245" s="3153"/>
      <c r="W245" s="3153"/>
      <c r="X245" s="3152"/>
      <c r="Y245" s="3293"/>
      <c r="Z245" s="1201"/>
      <c r="AA245" s="1201"/>
      <c r="AB245" s="1202"/>
      <c r="AC245" s="3333"/>
      <c r="AD245" s="3333"/>
      <c r="AE245" s="3333"/>
      <c r="AF245" s="3333"/>
      <c r="AI245" s="3120" t="str">
        <f>"22:field199:" &amp; IF(I245="■",1,IF(L245="■",2,0))</f>
        <v>22:field199:0</v>
      </c>
    </row>
    <row r="246" spans="1:36" s="3120" customFormat="1" ht="19.5" hidden="1" customHeight="1" x14ac:dyDescent="0.2">
      <c r="A246" s="834"/>
      <c r="B246" s="3148"/>
      <c r="C246" s="3147"/>
      <c r="D246" s="3146"/>
      <c r="E246" s="3145"/>
      <c r="F246" s="3144"/>
      <c r="G246" s="3175"/>
      <c r="H246" s="3174" t="s">
        <v>1236</v>
      </c>
      <c r="I246" s="3155" t="s">
        <v>116</v>
      </c>
      <c r="J246" s="3137" t="s">
        <v>1230</v>
      </c>
      <c r="K246" s="3137"/>
      <c r="L246" s="3154" t="s">
        <v>116</v>
      </c>
      <c r="M246" s="3137" t="s">
        <v>1233</v>
      </c>
      <c r="N246" s="3137"/>
      <c r="O246" s="3150"/>
      <c r="P246" s="3137"/>
      <c r="Q246" s="3150"/>
      <c r="R246" s="3150"/>
      <c r="S246" s="3150"/>
      <c r="T246" s="3150"/>
      <c r="U246" s="3150"/>
      <c r="V246" s="3150"/>
      <c r="W246" s="3150"/>
      <c r="X246" s="3149"/>
      <c r="Y246" s="1201"/>
      <c r="Z246" s="1201"/>
      <c r="AA246" s="1201"/>
      <c r="AB246" s="1202"/>
      <c r="AC246" s="3333"/>
      <c r="AD246" s="3333"/>
      <c r="AE246" s="3333"/>
      <c r="AF246" s="3333"/>
      <c r="AI246" s="3120" t="str">
        <f>"22:field224:" &amp; IF(I246="■",1,IF(L246="■",2,0))</f>
        <v>22:field224:0</v>
      </c>
    </row>
    <row r="247" spans="1:36" s="3120" customFormat="1" ht="18.75" hidden="1" customHeight="1" x14ac:dyDescent="0.2">
      <c r="A247" s="834"/>
      <c r="B247" s="3148"/>
      <c r="C247" s="3147"/>
      <c r="D247" s="3146"/>
      <c r="E247" s="3145"/>
      <c r="F247" s="3144"/>
      <c r="G247" s="3145"/>
      <c r="H247" s="3151" t="s">
        <v>140</v>
      </c>
      <c r="I247" s="3155" t="s">
        <v>116</v>
      </c>
      <c r="J247" s="3137" t="s">
        <v>1230</v>
      </c>
      <c r="K247" s="3171"/>
      <c r="L247" s="3154" t="s">
        <v>116</v>
      </c>
      <c r="M247" s="3137" t="s">
        <v>1233</v>
      </c>
      <c r="N247" s="3150"/>
      <c r="O247" s="3150"/>
      <c r="P247" s="3150"/>
      <c r="Q247" s="3150"/>
      <c r="R247" s="3150"/>
      <c r="S247" s="3150"/>
      <c r="T247" s="3150"/>
      <c r="U247" s="3150"/>
      <c r="V247" s="3150"/>
      <c r="W247" s="3150"/>
      <c r="X247" s="3149"/>
      <c r="Y247" s="3293"/>
      <c r="Z247" s="1201"/>
      <c r="AA247" s="1201"/>
      <c r="AB247" s="1202"/>
      <c r="AC247" s="3333"/>
      <c r="AD247" s="3333"/>
      <c r="AE247" s="3333"/>
      <c r="AF247" s="3333"/>
      <c r="AI247" s="3120" t="str">
        <f>"22:ryouyoushoku_code:" &amp; IF(I247="■",1,IF(L247="■",2,0))</f>
        <v>22:ryouyoushoku_code:0</v>
      </c>
    </row>
    <row r="248" spans="1:36" s="3120" customFormat="1" ht="18.75" hidden="1" customHeight="1" x14ac:dyDescent="0.2">
      <c r="A248" s="834"/>
      <c r="B248" s="3148"/>
      <c r="C248" s="3147"/>
      <c r="D248" s="3146"/>
      <c r="E248" s="3145"/>
      <c r="F248" s="3144"/>
      <c r="G248" s="3145"/>
      <c r="H248" s="3151" t="s">
        <v>2219</v>
      </c>
      <c r="I248" s="3155" t="s">
        <v>116</v>
      </c>
      <c r="J248" s="3137" t="s">
        <v>1230</v>
      </c>
      <c r="K248" s="3137"/>
      <c r="L248" s="3154" t="s">
        <v>116</v>
      </c>
      <c r="M248" s="3137" t="s">
        <v>1231</v>
      </c>
      <c r="N248" s="3137"/>
      <c r="O248" s="3154" t="s">
        <v>116</v>
      </c>
      <c r="P248" s="3137" t="s">
        <v>1232</v>
      </c>
      <c r="Q248" s="3150"/>
      <c r="R248" s="3150"/>
      <c r="S248" s="3150"/>
      <c r="T248" s="3150"/>
      <c r="U248" s="3150"/>
      <c r="V248" s="3150"/>
      <c r="W248" s="3150"/>
      <c r="X248" s="3149"/>
      <c r="Y248" s="3293"/>
      <c r="Z248" s="1201"/>
      <c r="AA248" s="1201"/>
      <c r="AB248" s="1202"/>
      <c r="AC248" s="3333"/>
      <c r="AD248" s="3333"/>
      <c r="AE248" s="3333"/>
      <c r="AF248" s="3333"/>
      <c r="AI248" s="3120" t="str">
        <f>"22:ninti_senmoncare_code:" &amp; IF(I248="■",1,IF(O248="■",3,IF(L248="■",2,0)))</f>
        <v>22:ninti_senmoncare_code:0</v>
      </c>
    </row>
    <row r="249" spans="1:36" s="3120" customFormat="1" ht="18.75" hidden="1" customHeight="1" x14ac:dyDescent="0.2">
      <c r="A249" s="834"/>
      <c r="B249" s="3148"/>
      <c r="C249" s="3147"/>
      <c r="D249" s="3146"/>
      <c r="E249" s="3145"/>
      <c r="F249" s="3144"/>
      <c r="G249" s="3145"/>
      <c r="H249" s="3296" t="s">
        <v>1285</v>
      </c>
      <c r="I249" s="3155" t="s">
        <v>116</v>
      </c>
      <c r="J249" s="3137" t="s">
        <v>1230</v>
      </c>
      <c r="K249" s="3137"/>
      <c r="L249" s="3154" t="s">
        <v>116</v>
      </c>
      <c r="M249" s="3137" t="s">
        <v>1231</v>
      </c>
      <c r="N249" s="3137"/>
      <c r="O249" s="3154" t="s">
        <v>116</v>
      </c>
      <c r="P249" s="3137" t="s">
        <v>1232</v>
      </c>
      <c r="Q249" s="3150"/>
      <c r="R249" s="3150"/>
      <c r="S249" s="3150"/>
      <c r="T249" s="3150"/>
      <c r="U249" s="3209"/>
      <c r="V249" s="3209"/>
      <c r="W249" s="3209"/>
      <c r="X249" s="3208"/>
      <c r="Y249" s="3293"/>
      <c r="Z249" s="1201"/>
      <c r="AA249" s="1201"/>
      <c r="AB249" s="1202"/>
      <c r="AC249" s="3333"/>
      <c r="AD249" s="3333"/>
      <c r="AE249" s="3333"/>
      <c r="AF249" s="3333"/>
      <c r="AI249" s="3120" t="str">
        <f>"22:field225:" &amp; IF(I249="■",1,IF(L249="■",2,IF(O249="■",3,0)))</f>
        <v>22:field225:0</v>
      </c>
    </row>
    <row r="250" spans="1:36" s="3120" customFormat="1" ht="18.75" hidden="1" customHeight="1" x14ac:dyDescent="0.2">
      <c r="A250" s="834"/>
      <c r="B250" s="3148"/>
      <c r="C250" s="3147"/>
      <c r="D250" s="3146"/>
      <c r="E250" s="3145"/>
      <c r="F250" s="3144"/>
      <c r="G250" s="3145"/>
      <c r="H250" s="3159" t="s">
        <v>238</v>
      </c>
      <c r="I250" s="3155" t="s">
        <v>116</v>
      </c>
      <c r="J250" s="3137" t="s">
        <v>1230</v>
      </c>
      <c r="K250" s="3137"/>
      <c r="L250" s="3154" t="s">
        <v>116</v>
      </c>
      <c r="M250" s="3137" t="s">
        <v>1259</v>
      </c>
      <c r="N250" s="3137"/>
      <c r="O250" s="3154" t="s">
        <v>116</v>
      </c>
      <c r="P250" s="3137" t="s">
        <v>1260</v>
      </c>
      <c r="Q250" s="3153"/>
      <c r="R250" s="3154" t="s">
        <v>116</v>
      </c>
      <c r="S250" s="3137" t="s">
        <v>1261</v>
      </c>
      <c r="T250" s="3153"/>
      <c r="U250" s="3153"/>
      <c r="V250" s="3153"/>
      <c r="W250" s="3153"/>
      <c r="X250" s="3152"/>
      <c r="Y250" s="3293"/>
      <c r="Z250" s="1201"/>
      <c r="AA250" s="1201"/>
      <c r="AB250" s="1202"/>
      <c r="AC250" s="3333"/>
      <c r="AD250" s="3333"/>
      <c r="AE250" s="3333"/>
      <c r="AF250" s="3333"/>
      <c r="AI250" s="3120" t="str">
        <f>"22:serteikyo_kyoka_code:" &amp; IF(I250="■",1,IF(L250="■",6,IF(O250="■",5,IF(R250="■",7,0))))</f>
        <v>22:serteikyo_kyoka_code:0</v>
      </c>
    </row>
    <row r="251" spans="1:36" s="3120" customFormat="1" ht="18.75" hidden="1" customHeight="1" x14ac:dyDescent="0.2">
      <c r="A251" s="834"/>
      <c r="B251" s="3148"/>
      <c r="C251" s="3147"/>
      <c r="D251" s="3146"/>
      <c r="E251" s="3145"/>
      <c r="F251" s="3144"/>
      <c r="G251" s="3145"/>
      <c r="H251" s="3170" t="s">
        <v>2058</v>
      </c>
      <c r="I251" s="3348" t="s">
        <v>116</v>
      </c>
      <c r="J251" s="3347" t="s">
        <v>1230</v>
      </c>
      <c r="K251" s="3347"/>
      <c r="L251" s="3346" t="s">
        <v>116</v>
      </c>
      <c r="M251" s="3347" t="s">
        <v>1233</v>
      </c>
      <c r="N251" s="3347"/>
      <c r="O251" s="3302"/>
      <c r="P251" s="3302"/>
      <c r="Q251" s="3302"/>
      <c r="R251" s="3302"/>
      <c r="S251" s="3302"/>
      <c r="T251" s="3302"/>
      <c r="U251" s="3302"/>
      <c r="V251" s="3302"/>
      <c r="W251" s="3302"/>
      <c r="X251" s="3335"/>
      <c r="Y251" s="3293"/>
      <c r="Z251" s="1201"/>
      <c r="AA251" s="1201"/>
      <c r="AB251" s="1202"/>
      <c r="AC251" s="3333"/>
      <c r="AD251" s="3333"/>
      <c r="AE251" s="3333"/>
      <c r="AF251" s="3333"/>
      <c r="AI251" s="3120" t="str">
        <f>"22:field221:" &amp; IF(I251="■",1,IF(L251="■",2,0))</f>
        <v>22:field221:0</v>
      </c>
    </row>
    <row r="252" spans="1:36" s="3120" customFormat="1" ht="18.75" hidden="1" customHeight="1" x14ac:dyDescent="0.2">
      <c r="A252" s="834"/>
      <c r="B252" s="3148"/>
      <c r="C252" s="3147"/>
      <c r="D252" s="3146"/>
      <c r="E252" s="3145"/>
      <c r="F252" s="3144"/>
      <c r="G252" s="3145"/>
      <c r="H252" s="3165"/>
      <c r="I252" s="3348"/>
      <c r="J252" s="3347"/>
      <c r="K252" s="3347"/>
      <c r="L252" s="3346"/>
      <c r="M252" s="3347"/>
      <c r="N252" s="3347"/>
      <c r="O252" s="3139"/>
      <c r="P252" s="3139"/>
      <c r="Q252" s="3139"/>
      <c r="R252" s="3139"/>
      <c r="S252" s="3139"/>
      <c r="T252" s="3139"/>
      <c r="U252" s="3139"/>
      <c r="V252" s="3139"/>
      <c r="W252" s="3139"/>
      <c r="X252" s="3195"/>
      <c r="Y252" s="3293"/>
      <c r="Z252" s="1201"/>
      <c r="AA252" s="1201"/>
      <c r="AB252" s="1202"/>
      <c r="AC252" s="3333"/>
      <c r="AD252" s="3333"/>
      <c r="AE252" s="3333"/>
      <c r="AF252" s="3333"/>
    </row>
    <row r="253" spans="1:36" s="3120" customFormat="1" ht="18.75" hidden="1" customHeight="1" x14ac:dyDescent="0.2">
      <c r="A253" s="835"/>
      <c r="B253" s="3135"/>
      <c r="C253" s="3134"/>
      <c r="D253" s="3133"/>
      <c r="E253" s="3132"/>
      <c r="F253" s="3131"/>
      <c r="G253" s="3189"/>
      <c r="H253" s="3289" t="s">
        <v>2129</v>
      </c>
      <c r="I253" s="3128" t="s">
        <v>116</v>
      </c>
      <c r="J253" s="3285" t="s">
        <v>1230</v>
      </c>
      <c r="K253" s="3285"/>
      <c r="L253" s="3127" t="s">
        <v>116</v>
      </c>
      <c r="M253" s="3285" t="s">
        <v>2128</v>
      </c>
      <c r="N253" s="3288"/>
      <c r="O253" s="3127" t="s">
        <v>116</v>
      </c>
      <c r="P253" s="3287" t="s">
        <v>2127</v>
      </c>
      <c r="Q253" s="3286"/>
      <c r="R253" s="3127" t="s">
        <v>116</v>
      </c>
      <c r="S253" s="3285" t="s">
        <v>2126</v>
      </c>
      <c r="T253" s="3286"/>
      <c r="U253" s="3127" t="s">
        <v>116</v>
      </c>
      <c r="V253" s="3285" t="s">
        <v>2125</v>
      </c>
      <c r="W253" s="3284"/>
      <c r="X253" s="3283"/>
      <c r="Y253" s="3282"/>
      <c r="Z253" s="3282"/>
      <c r="AA253" s="3282"/>
      <c r="AB253" s="3281"/>
      <c r="AC253" s="3332"/>
      <c r="AD253" s="3332"/>
      <c r="AE253" s="3332"/>
      <c r="AF253" s="3332"/>
      <c r="AI253" s="3120" t="str">
        <f>"22:shoguukaizen_code:"&amp;IF(I253="■",1,IF(L253="■",7,IF(O253="■",8,IF(R253="■",9,IF(U253="■","A",0)))))</f>
        <v>22:shoguukaizen_code:0</v>
      </c>
    </row>
    <row r="254" spans="1:36" s="3120" customFormat="1" ht="18.75" hidden="1" customHeight="1" x14ac:dyDescent="0.2">
      <c r="A254" s="3188"/>
      <c r="B254" s="3187"/>
      <c r="C254" s="3229"/>
      <c r="D254" s="3228"/>
      <c r="E254" s="3185"/>
      <c r="F254" s="3228"/>
      <c r="G254" s="3183"/>
      <c r="H254" s="3182" t="s">
        <v>1286</v>
      </c>
      <c r="I254" s="3181" t="s">
        <v>116</v>
      </c>
      <c r="J254" s="3180" t="s">
        <v>1282</v>
      </c>
      <c r="K254" s="3226"/>
      <c r="L254" s="3225"/>
      <c r="M254" s="3179" t="s">
        <v>116</v>
      </c>
      <c r="N254" s="3180" t="s">
        <v>1283</v>
      </c>
      <c r="O254" s="3177"/>
      <c r="P254" s="3177"/>
      <c r="Q254" s="3177"/>
      <c r="R254" s="3177"/>
      <c r="S254" s="3177"/>
      <c r="T254" s="3177"/>
      <c r="U254" s="3177"/>
      <c r="V254" s="3177"/>
      <c r="W254" s="3177"/>
      <c r="X254" s="3176"/>
      <c r="Y254" s="3253" t="s">
        <v>116</v>
      </c>
      <c r="Z254" s="3252" t="s">
        <v>1225</v>
      </c>
      <c r="AA254" s="3252"/>
      <c r="AB254" s="3308"/>
      <c r="AC254" s="3338"/>
      <c r="AD254" s="3338"/>
      <c r="AE254" s="3338"/>
      <c r="AF254" s="3338"/>
      <c r="AG254" s="3120" t="str">
        <f>"ser_code = '" &amp; IF(A263="■",22,"") &amp; "'"</f>
        <v>ser_code = ''</v>
      </c>
      <c r="AI254" s="3120" t="str">
        <f>"22:yakan_kinmu_code:" &amp; IF(I254="■",1,IF(M254="■",6,0))</f>
        <v>22:yakan_kinmu_code:0</v>
      </c>
      <c r="AJ254" s="3120" t="str">
        <f>"22:field203:" &amp; IF(Y254="■",1,IF(Y255="■",2,0))</f>
        <v>22:field203:0</v>
      </c>
    </row>
    <row r="255" spans="1:36" s="3120" customFormat="1" ht="18.75" hidden="1" customHeight="1" x14ac:dyDescent="0.2">
      <c r="A255" s="834"/>
      <c r="B255" s="3148"/>
      <c r="C255" s="3147"/>
      <c r="D255" s="3146"/>
      <c r="E255" s="3145"/>
      <c r="F255" s="3146"/>
      <c r="G255" s="3175"/>
      <c r="H255" s="3304" t="s">
        <v>235</v>
      </c>
      <c r="I255" s="3303" t="s">
        <v>116</v>
      </c>
      <c r="J255" s="3302" t="s">
        <v>1230</v>
      </c>
      <c r="K255" s="3302"/>
      <c r="L255" s="3316"/>
      <c r="M255" s="3301" t="s">
        <v>116</v>
      </c>
      <c r="N255" s="3302" t="s">
        <v>1262</v>
      </c>
      <c r="O255" s="3302"/>
      <c r="P255" s="3316"/>
      <c r="Q255" s="3301" t="s">
        <v>116</v>
      </c>
      <c r="R255" s="3167" t="s">
        <v>1263</v>
      </c>
      <c r="S255" s="3167"/>
      <c r="T255" s="3167"/>
      <c r="U255" s="3301" t="s">
        <v>116</v>
      </c>
      <c r="V255" s="3167" t="s">
        <v>1264</v>
      </c>
      <c r="W255" s="3167"/>
      <c r="X255" s="3166"/>
      <c r="Y255" s="3258" t="s">
        <v>116</v>
      </c>
      <c r="Z255" s="1200" t="s">
        <v>1226</v>
      </c>
      <c r="AA255" s="1201"/>
      <c r="AB255" s="1202"/>
      <c r="AC255" s="3333"/>
      <c r="AD255" s="3333"/>
      <c r="AE255" s="3333"/>
      <c r="AF255" s="3333"/>
      <c r="AG255" s="3120" t="str">
        <f>"22:sisetukbn_code:" &amp; IF(D263="■",9,0)</f>
        <v>22:sisetukbn_code:0</v>
      </c>
      <c r="AI255" s="3120" t="str">
        <f>"22:"&amp;IF(AND(I255="□",M255="□",Q255="□",U255="□",I256="□",M256="□",Q256="□"),"ketu_doctor_code:0",IF(I255="■","ketu_doctor_code:1:ketu_kangos_code:1:ketu_kshoku_code:1:ketu_rryoho_code:1:ketu_sryoho_code:1:ketu_gengo_code:1",
IF(M255="■","ketu_doctor_code:2","ketu_doctor_code:1")
&amp;IF(Q255="■",":ketu_kangos_code:2",":ketu_kangos_code:1")
&amp;IF(U255="■",":ketu_kshoku_code:2",":ketu_kshoku_code:1")
&amp;IF(I256="■",":ketu_rryoho_code:2",":ketu_rryoho_code:1")
&amp;IF(M256="■",":ketu_sryoho_code:2",":ketu_sryoho_code:1")
&amp;IF(Q256="■",":ketu_gengo_code:2",":ketu_gengo_code:1")))</f>
        <v>22:ketu_doctor_code:0</v>
      </c>
    </row>
    <row r="256" spans="1:36" s="3120" customFormat="1" ht="18.75" hidden="1" customHeight="1" x14ac:dyDescent="0.2">
      <c r="A256" s="834"/>
      <c r="B256" s="3148"/>
      <c r="C256" s="3147"/>
      <c r="D256" s="3146"/>
      <c r="E256" s="3145"/>
      <c r="F256" s="3146"/>
      <c r="G256" s="3175"/>
      <c r="H256" s="3300"/>
      <c r="I256" s="3141" t="s">
        <v>116</v>
      </c>
      <c r="J256" s="3139" t="s">
        <v>1265</v>
      </c>
      <c r="K256" s="3139"/>
      <c r="L256" s="3385"/>
      <c r="M256" s="3140" t="s">
        <v>116</v>
      </c>
      <c r="N256" s="3139" t="s">
        <v>1266</v>
      </c>
      <c r="O256" s="3139"/>
      <c r="P256" s="3385"/>
      <c r="Q256" s="3140" t="s">
        <v>116</v>
      </c>
      <c r="R256" s="3162" t="s">
        <v>1267</v>
      </c>
      <c r="S256" s="3162"/>
      <c r="T256" s="3162"/>
      <c r="U256" s="3162"/>
      <c r="V256" s="3162"/>
      <c r="W256" s="3162"/>
      <c r="X256" s="3161"/>
      <c r="Y256" s="3293"/>
      <c r="Z256" s="1201"/>
      <c r="AA256" s="1201"/>
      <c r="AB256" s="1202"/>
      <c r="AC256" s="3333"/>
      <c r="AD256" s="3333"/>
      <c r="AE256" s="3333"/>
      <c r="AF256" s="3333"/>
    </row>
    <row r="257" spans="1:35" s="3120" customFormat="1" ht="18.75" hidden="1" customHeight="1" x14ac:dyDescent="0.2">
      <c r="A257" s="834"/>
      <c r="B257" s="3148"/>
      <c r="C257" s="3147"/>
      <c r="D257" s="3146"/>
      <c r="E257" s="3145"/>
      <c r="F257" s="3146"/>
      <c r="G257" s="3175"/>
      <c r="H257" s="3151" t="s">
        <v>91</v>
      </c>
      <c r="I257" s="3155" t="s">
        <v>116</v>
      </c>
      <c r="J257" s="3137" t="s">
        <v>1240</v>
      </c>
      <c r="K257" s="3171"/>
      <c r="L257" s="3173"/>
      <c r="M257" s="3154" t="s">
        <v>116</v>
      </c>
      <c r="N257" s="3137" t="s">
        <v>1241</v>
      </c>
      <c r="O257" s="3150"/>
      <c r="P257" s="3150"/>
      <c r="Q257" s="3150"/>
      <c r="R257" s="3150"/>
      <c r="S257" s="3150"/>
      <c r="T257" s="3150"/>
      <c r="U257" s="3150"/>
      <c r="V257" s="3150"/>
      <c r="W257" s="3150"/>
      <c r="X257" s="3149"/>
      <c r="Y257" s="3293"/>
      <c r="Z257" s="1201"/>
      <c r="AA257" s="1201"/>
      <c r="AB257" s="1202"/>
      <c r="AC257" s="3333"/>
      <c r="AD257" s="3333"/>
      <c r="AE257" s="3333"/>
      <c r="AF257" s="3333"/>
      <c r="AI257" s="3120" t="str">
        <f>"22:unitcare_code:" &amp; IF(I257="■",1,IF(M257="■",2,0))</f>
        <v>22:unitcare_code:0</v>
      </c>
    </row>
    <row r="258" spans="1:35" s="3120" customFormat="1" ht="18.75" hidden="1" customHeight="1" x14ac:dyDescent="0.2">
      <c r="A258" s="834"/>
      <c r="B258" s="3148"/>
      <c r="C258" s="3295"/>
      <c r="D258" s="3294"/>
      <c r="E258" s="3145"/>
      <c r="F258" s="3144"/>
      <c r="G258" s="3175"/>
      <c r="H258" s="3381" t="s">
        <v>1325</v>
      </c>
      <c r="I258" s="3222" t="s">
        <v>116</v>
      </c>
      <c r="J258" s="3217" t="s">
        <v>1228</v>
      </c>
      <c r="K258" s="3221"/>
      <c r="L258" s="3220"/>
      <c r="M258" s="3219" t="s">
        <v>116</v>
      </c>
      <c r="N258" s="3217" t="s">
        <v>1322</v>
      </c>
      <c r="O258" s="3221"/>
      <c r="P258" s="3380"/>
      <c r="Q258" s="3380"/>
      <c r="R258" s="3380"/>
      <c r="S258" s="3380"/>
      <c r="T258" s="3380"/>
      <c r="U258" s="3380"/>
      <c r="V258" s="3380"/>
      <c r="W258" s="3380"/>
      <c r="X258" s="3379"/>
      <c r="Y258" s="3293"/>
      <c r="Z258" s="1201"/>
      <c r="AA258" s="1201"/>
      <c r="AB258" s="1202"/>
      <c r="AC258" s="3333"/>
      <c r="AD258" s="3333"/>
      <c r="AE258" s="3333"/>
      <c r="AF258" s="3333"/>
      <c r="AI258" s="3120" t="str">
        <f>"22:sintaikousoku_code:" &amp; IF(I258="■",1,IF(M258="■",2,0))</f>
        <v>22:sintaikousoku_code:0</v>
      </c>
    </row>
    <row r="259" spans="1:35" s="3120" customFormat="1" ht="19.5" hidden="1" customHeight="1" x14ac:dyDescent="0.2">
      <c r="A259" s="834"/>
      <c r="B259" s="3148"/>
      <c r="C259" s="3147"/>
      <c r="D259" s="3146"/>
      <c r="E259" s="3145"/>
      <c r="F259" s="3144"/>
      <c r="G259" s="3175"/>
      <c r="H259" s="3174" t="s">
        <v>1227</v>
      </c>
      <c r="I259" s="3155" t="s">
        <v>116</v>
      </c>
      <c r="J259" s="3137" t="s">
        <v>1228</v>
      </c>
      <c r="K259" s="3171"/>
      <c r="L259" s="3173"/>
      <c r="M259" s="3154" t="s">
        <v>116</v>
      </c>
      <c r="N259" s="3137" t="s">
        <v>1229</v>
      </c>
      <c r="O259" s="3299"/>
      <c r="P259" s="3137"/>
      <c r="Q259" s="3150"/>
      <c r="R259" s="3150"/>
      <c r="S259" s="3150"/>
      <c r="T259" s="3150"/>
      <c r="U259" s="3150"/>
      <c r="V259" s="3150"/>
      <c r="W259" s="3150"/>
      <c r="X259" s="3149"/>
      <c r="Y259" s="1201"/>
      <c r="Z259" s="1201"/>
      <c r="AA259" s="1201"/>
      <c r="AB259" s="1202"/>
      <c r="AC259" s="3333"/>
      <c r="AD259" s="3333"/>
      <c r="AE259" s="3333"/>
      <c r="AF259" s="3333"/>
      <c r="AI259" s="3120" t="str">
        <f>"22:field223:" &amp; IF(I259="■",1,IF(M259="■",2,0))</f>
        <v>22:field223:0</v>
      </c>
    </row>
    <row r="260" spans="1:35" s="3120" customFormat="1" ht="19.5" hidden="1" customHeight="1" x14ac:dyDescent="0.2">
      <c r="A260" s="834"/>
      <c r="B260" s="3148"/>
      <c r="C260" s="3147"/>
      <c r="D260" s="3146"/>
      <c r="E260" s="3145"/>
      <c r="F260" s="3144"/>
      <c r="G260" s="3175"/>
      <c r="H260" s="3174" t="s">
        <v>1253</v>
      </c>
      <c r="I260" s="3155" t="s">
        <v>116</v>
      </c>
      <c r="J260" s="3137" t="s">
        <v>1228</v>
      </c>
      <c r="K260" s="3171"/>
      <c r="L260" s="3173"/>
      <c r="M260" s="3154" t="s">
        <v>116</v>
      </c>
      <c r="N260" s="3137" t="s">
        <v>1229</v>
      </c>
      <c r="O260" s="3299"/>
      <c r="P260" s="3137"/>
      <c r="Q260" s="3150"/>
      <c r="R260" s="3150"/>
      <c r="S260" s="3150"/>
      <c r="T260" s="3150"/>
      <c r="U260" s="3150"/>
      <c r="V260" s="3150"/>
      <c r="W260" s="3150"/>
      <c r="X260" s="3149"/>
      <c r="Y260" s="1201"/>
      <c r="Z260" s="1201"/>
      <c r="AA260" s="1201"/>
      <c r="AB260" s="1202"/>
      <c r="AC260" s="3333"/>
      <c r="AD260" s="3333"/>
      <c r="AE260" s="3333"/>
      <c r="AF260" s="3333"/>
      <c r="AI260" s="3120" t="str">
        <f>"22:field232:" &amp; IF(I260="■",1,IF(M260="■",2,0))</f>
        <v>22:field232:0</v>
      </c>
    </row>
    <row r="261" spans="1:35" s="1247" customFormat="1" ht="19.5" hidden="1" customHeight="1" x14ac:dyDescent="0.2">
      <c r="A261" s="579"/>
      <c r="B261" s="1250"/>
      <c r="C261" s="581"/>
      <c r="D261" s="1251"/>
      <c r="E261" s="1253"/>
      <c r="F261" s="1249"/>
      <c r="G261" s="583"/>
      <c r="H261" s="3324" t="s">
        <v>2133</v>
      </c>
      <c r="I261" s="3155" t="s">
        <v>116</v>
      </c>
      <c r="J261" s="3320" t="s">
        <v>2131</v>
      </c>
      <c r="K261" s="3323"/>
      <c r="L261" s="3322"/>
      <c r="M261" s="3154" t="s">
        <v>116</v>
      </c>
      <c r="N261" s="3320" t="s">
        <v>2130</v>
      </c>
      <c r="O261" s="3321"/>
      <c r="P261" s="3320"/>
      <c r="Q261" s="3319"/>
      <c r="R261" s="3319"/>
      <c r="S261" s="3319"/>
      <c r="T261" s="3319"/>
      <c r="U261" s="3319"/>
      <c r="V261" s="3319"/>
      <c r="W261" s="3319"/>
      <c r="X261" s="3318"/>
      <c r="Y261" s="1248"/>
      <c r="Z261" s="2"/>
      <c r="AA261" s="584"/>
      <c r="AB261" s="585"/>
      <c r="AC261" s="3333"/>
      <c r="AD261" s="3333"/>
      <c r="AE261" s="3333"/>
      <c r="AF261" s="3333"/>
      <c r="AI261" s="3120" t="str">
        <f>"22:field242:" &amp; IF(I261="■",1,IF(M261="■",2,0))</f>
        <v>22:field242:0</v>
      </c>
    </row>
    <row r="262" spans="1:35" s="3120" customFormat="1" ht="18.75" hidden="1" customHeight="1" x14ac:dyDescent="0.2">
      <c r="A262" s="834"/>
      <c r="B262" s="3148"/>
      <c r="C262" s="3147"/>
      <c r="D262" s="3146"/>
      <c r="E262" s="3145"/>
      <c r="F262" s="3146"/>
      <c r="G262" s="3175"/>
      <c r="H262" s="3151" t="s">
        <v>2137</v>
      </c>
      <c r="I262" s="3155" t="s">
        <v>116</v>
      </c>
      <c r="J262" s="3137" t="s">
        <v>1230</v>
      </c>
      <c r="K262" s="3171"/>
      <c r="L262" s="3154" t="s">
        <v>116</v>
      </c>
      <c r="M262" s="3137" t="s">
        <v>1233</v>
      </c>
      <c r="N262" s="3150"/>
      <c r="O262" s="3150"/>
      <c r="P262" s="3150"/>
      <c r="Q262" s="3150"/>
      <c r="R262" s="3150"/>
      <c r="S262" s="3150"/>
      <c r="T262" s="3150"/>
      <c r="U262" s="3150"/>
      <c r="V262" s="3150"/>
      <c r="W262" s="3150"/>
      <c r="X262" s="3149"/>
      <c r="Y262" s="3293"/>
      <c r="Z262" s="1201"/>
      <c r="AA262" s="1201"/>
      <c r="AB262" s="1202"/>
      <c r="AC262" s="3333"/>
      <c r="AD262" s="3333"/>
      <c r="AE262" s="3333"/>
      <c r="AF262" s="3333"/>
      <c r="AI262" s="3120" t="str">
        <f>"22:yakinhaiti_code:" &amp; IF(I262="■",1,IF(L262="■",2,0))</f>
        <v>22:yakinhaiti_code:0</v>
      </c>
    </row>
    <row r="263" spans="1:35" s="3120" customFormat="1" ht="18.75" hidden="1" customHeight="1" x14ac:dyDescent="0.2">
      <c r="A263" s="3158" t="s">
        <v>116</v>
      </c>
      <c r="B263" s="3148">
        <v>22</v>
      </c>
      <c r="C263" s="3147" t="s">
        <v>924</v>
      </c>
      <c r="D263" s="3258" t="s">
        <v>116</v>
      </c>
      <c r="E263" s="3145" t="s">
        <v>2254</v>
      </c>
      <c r="F263" s="3146"/>
      <c r="G263" s="3175"/>
      <c r="H263" s="3151" t="s">
        <v>2136</v>
      </c>
      <c r="I263" s="3155" t="s">
        <v>116</v>
      </c>
      <c r="J263" s="3137" t="s">
        <v>1230</v>
      </c>
      <c r="K263" s="3171"/>
      <c r="L263" s="3154" t="s">
        <v>116</v>
      </c>
      <c r="M263" s="3137" t="s">
        <v>1233</v>
      </c>
      <c r="N263" s="3150"/>
      <c r="O263" s="3150"/>
      <c r="P263" s="3150"/>
      <c r="Q263" s="3150"/>
      <c r="R263" s="3150"/>
      <c r="S263" s="3150"/>
      <c r="T263" s="3150"/>
      <c r="U263" s="3150"/>
      <c r="V263" s="3150"/>
      <c r="W263" s="3150"/>
      <c r="X263" s="3149"/>
      <c r="Y263" s="3293"/>
      <c r="Z263" s="1201"/>
      <c r="AA263" s="1201"/>
      <c r="AB263" s="1202"/>
      <c r="AC263" s="3333"/>
      <c r="AD263" s="3333"/>
      <c r="AE263" s="3333"/>
      <c r="AF263" s="3333"/>
      <c r="AI263" s="3120" t="str">
        <f>"22:ninticare_code:" &amp; IF(I263="■",1,IF(L263="■",2,0))</f>
        <v>22:ninticare_code:0</v>
      </c>
    </row>
    <row r="264" spans="1:35" s="3120" customFormat="1" ht="18.75" hidden="1" customHeight="1" x14ac:dyDescent="0.2">
      <c r="A264" s="834"/>
      <c r="B264" s="3148"/>
      <c r="C264" s="3147"/>
      <c r="D264" s="3146"/>
      <c r="E264" s="3145"/>
      <c r="F264" s="3146"/>
      <c r="G264" s="3175"/>
      <c r="H264" s="3151" t="s">
        <v>1256</v>
      </c>
      <c r="I264" s="3155" t="s">
        <v>116</v>
      </c>
      <c r="J264" s="3137" t="s">
        <v>1230</v>
      </c>
      <c r="K264" s="3171"/>
      <c r="L264" s="3154" t="s">
        <v>116</v>
      </c>
      <c r="M264" s="3137" t="s">
        <v>1233</v>
      </c>
      <c r="N264" s="3150"/>
      <c r="O264" s="3150"/>
      <c r="P264" s="3150"/>
      <c r="Q264" s="3150"/>
      <c r="R264" s="3150"/>
      <c r="S264" s="3150"/>
      <c r="T264" s="3150"/>
      <c r="U264" s="3150"/>
      <c r="V264" s="3150"/>
      <c r="W264" s="3150"/>
      <c r="X264" s="3149"/>
      <c r="Y264" s="3293"/>
      <c r="Z264" s="1201"/>
      <c r="AA264" s="1201"/>
      <c r="AB264" s="1202"/>
      <c r="AC264" s="3333"/>
      <c r="AD264" s="3333"/>
      <c r="AE264" s="3333"/>
      <c r="AF264" s="3333"/>
      <c r="AI264" s="3120" t="str">
        <f>"22:jyakuninti_uke_code:" &amp; IF(I264="■",1,IF(L264="■",2,0))</f>
        <v>22:jyakuninti_uke_code:0</v>
      </c>
    </row>
    <row r="265" spans="1:35" s="3120" customFormat="1" ht="18.75" hidden="1" customHeight="1" x14ac:dyDescent="0.2">
      <c r="A265" s="834"/>
      <c r="B265" s="3148"/>
      <c r="C265" s="3147"/>
      <c r="D265" s="3146"/>
      <c r="E265" s="3145"/>
      <c r="F265" s="3146"/>
      <c r="G265" s="3175"/>
      <c r="H265" s="3151" t="s">
        <v>1284</v>
      </c>
      <c r="I265" s="3155" t="s">
        <v>116</v>
      </c>
      <c r="J265" s="3137" t="s">
        <v>1240</v>
      </c>
      <c r="K265" s="3171"/>
      <c r="L265" s="3173"/>
      <c r="M265" s="3154" t="s">
        <v>116</v>
      </c>
      <c r="N265" s="3137" t="s">
        <v>1241</v>
      </c>
      <c r="O265" s="3150"/>
      <c r="P265" s="3150"/>
      <c r="Q265" s="3150"/>
      <c r="R265" s="3150"/>
      <c r="S265" s="3150"/>
      <c r="T265" s="3150"/>
      <c r="U265" s="3150"/>
      <c r="V265" s="3150"/>
      <c r="W265" s="3150"/>
      <c r="X265" s="3149"/>
      <c r="Y265" s="3293"/>
      <c r="Z265" s="1201"/>
      <c r="AA265" s="1201"/>
      <c r="AB265" s="1202"/>
      <c r="AC265" s="3333"/>
      <c r="AD265" s="3333"/>
      <c r="AE265" s="3333"/>
      <c r="AF265" s="3333"/>
      <c r="AI265" s="3120" t="str">
        <f>"22:sougei_code:" &amp; IF(I265="■",1,IF(M265="■",2,0))</f>
        <v>22:sougei_code:0</v>
      </c>
    </row>
    <row r="266" spans="1:35" s="3120" customFormat="1" ht="19.5" hidden="1" customHeight="1" x14ac:dyDescent="0.2">
      <c r="A266" s="834"/>
      <c r="B266" s="3148"/>
      <c r="C266" s="3147"/>
      <c r="D266" s="3146"/>
      <c r="E266" s="3145"/>
      <c r="F266" s="3144"/>
      <c r="G266" s="3175"/>
      <c r="H266" s="3174" t="s">
        <v>1236</v>
      </c>
      <c r="I266" s="3155" t="s">
        <v>116</v>
      </c>
      <c r="J266" s="3137" t="s">
        <v>1230</v>
      </c>
      <c r="K266" s="3137"/>
      <c r="L266" s="3154" t="s">
        <v>116</v>
      </c>
      <c r="M266" s="3137" t="s">
        <v>1233</v>
      </c>
      <c r="N266" s="3137"/>
      <c r="O266" s="3150"/>
      <c r="P266" s="3137"/>
      <c r="Q266" s="3150"/>
      <c r="R266" s="3150"/>
      <c r="S266" s="3150"/>
      <c r="T266" s="3150"/>
      <c r="U266" s="3150"/>
      <c r="V266" s="3150"/>
      <c r="W266" s="3150"/>
      <c r="X266" s="3149"/>
      <c r="Y266" s="1201"/>
      <c r="Z266" s="1201"/>
      <c r="AA266" s="1201"/>
      <c r="AB266" s="1202"/>
      <c r="AC266" s="3333"/>
      <c r="AD266" s="3333"/>
      <c r="AE266" s="3333"/>
      <c r="AF266" s="3333"/>
      <c r="AI266" s="3120" t="str">
        <f>"22:field224:" &amp; IF(I266="■",1,IF(L266="■",2,0))</f>
        <v>22:field224:0</v>
      </c>
    </row>
    <row r="267" spans="1:35" s="3120" customFormat="1" ht="18.75" hidden="1" customHeight="1" x14ac:dyDescent="0.2">
      <c r="A267" s="834"/>
      <c r="B267" s="3148"/>
      <c r="C267" s="3147"/>
      <c r="D267" s="3146"/>
      <c r="E267" s="3145"/>
      <c r="F267" s="3146"/>
      <c r="G267" s="3175"/>
      <c r="H267" s="3151" t="s">
        <v>140</v>
      </c>
      <c r="I267" s="3155" t="s">
        <v>116</v>
      </c>
      <c r="J267" s="3137" t="s">
        <v>1230</v>
      </c>
      <c r="K267" s="3171"/>
      <c r="L267" s="3154" t="s">
        <v>116</v>
      </c>
      <c r="M267" s="3137" t="s">
        <v>1233</v>
      </c>
      <c r="N267" s="3150"/>
      <c r="O267" s="3150"/>
      <c r="P267" s="3150"/>
      <c r="Q267" s="3150"/>
      <c r="R267" s="3150"/>
      <c r="S267" s="3150"/>
      <c r="T267" s="3150"/>
      <c r="U267" s="3150"/>
      <c r="V267" s="3150"/>
      <c r="W267" s="3150"/>
      <c r="X267" s="3149"/>
      <c r="Y267" s="3293"/>
      <c r="Z267" s="1201"/>
      <c r="AA267" s="1201"/>
      <c r="AB267" s="1202"/>
      <c r="AC267" s="3333"/>
      <c r="AD267" s="3333"/>
      <c r="AE267" s="3333"/>
      <c r="AF267" s="3333"/>
      <c r="AI267" s="3120" t="str">
        <f>"22:ryouyoushoku_code:" &amp; IF(I267="■",1,IF(L267="■",2,0))</f>
        <v>22:ryouyoushoku_code:0</v>
      </c>
    </row>
    <row r="268" spans="1:35" s="3120" customFormat="1" ht="18.75" hidden="1" customHeight="1" x14ac:dyDescent="0.2">
      <c r="A268" s="834"/>
      <c r="B268" s="3148"/>
      <c r="C268" s="3147"/>
      <c r="D268" s="3146"/>
      <c r="E268" s="3145"/>
      <c r="F268" s="3146"/>
      <c r="G268" s="3175"/>
      <c r="H268" s="3151" t="s">
        <v>2219</v>
      </c>
      <c r="I268" s="3155" t="s">
        <v>116</v>
      </c>
      <c r="J268" s="3137" t="s">
        <v>1230</v>
      </c>
      <c r="K268" s="3137"/>
      <c r="L268" s="3154" t="s">
        <v>116</v>
      </c>
      <c r="M268" s="3137" t="s">
        <v>1231</v>
      </c>
      <c r="N268" s="3137"/>
      <c r="O268" s="3154" t="s">
        <v>116</v>
      </c>
      <c r="P268" s="3137" t="s">
        <v>1232</v>
      </c>
      <c r="Q268" s="3150"/>
      <c r="R268" s="3150"/>
      <c r="S268" s="3150"/>
      <c r="T268" s="3150"/>
      <c r="U268" s="3150"/>
      <c r="V268" s="3150"/>
      <c r="W268" s="3150"/>
      <c r="X268" s="3149"/>
      <c r="Y268" s="3293"/>
      <c r="Z268" s="1201"/>
      <c r="AA268" s="1201"/>
      <c r="AB268" s="1202"/>
      <c r="AC268" s="3333"/>
      <c r="AD268" s="3333"/>
      <c r="AE268" s="3333"/>
      <c r="AF268" s="3333"/>
      <c r="AI268" s="3120" t="str">
        <f>"22:ninti_senmoncare_code:" &amp; IF(I268="■",1,IF(O268="■",3,IF(L268="■",2,0)))</f>
        <v>22:ninti_senmoncare_code:0</v>
      </c>
    </row>
    <row r="269" spans="1:35" s="3120" customFormat="1" ht="18.75" hidden="1" customHeight="1" x14ac:dyDescent="0.2">
      <c r="A269" s="834"/>
      <c r="B269" s="3148"/>
      <c r="C269" s="3147"/>
      <c r="D269" s="3146"/>
      <c r="E269" s="3145"/>
      <c r="F269" s="3146"/>
      <c r="G269" s="3175"/>
      <c r="H269" s="3296" t="s">
        <v>1285</v>
      </c>
      <c r="I269" s="3155" t="s">
        <v>116</v>
      </c>
      <c r="J269" s="3137" t="s">
        <v>1230</v>
      </c>
      <c r="K269" s="3137"/>
      <c r="L269" s="3154" t="s">
        <v>116</v>
      </c>
      <c r="M269" s="3137" t="s">
        <v>1231</v>
      </c>
      <c r="N269" s="3137"/>
      <c r="O269" s="3154" t="s">
        <v>116</v>
      </c>
      <c r="P269" s="3137" t="s">
        <v>1232</v>
      </c>
      <c r="Q269" s="3150"/>
      <c r="R269" s="3150"/>
      <c r="S269" s="3150"/>
      <c r="T269" s="3150"/>
      <c r="U269" s="3209"/>
      <c r="V269" s="3209"/>
      <c r="W269" s="3209"/>
      <c r="X269" s="3208"/>
      <c r="Y269" s="3293"/>
      <c r="Z269" s="1201"/>
      <c r="AA269" s="1201"/>
      <c r="AB269" s="1202"/>
      <c r="AC269" s="3333"/>
      <c r="AD269" s="3333"/>
      <c r="AE269" s="3333"/>
      <c r="AF269" s="3333"/>
      <c r="AI269" s="3120" t="str">
        <f>"22:field225:" &amp; IF(I269="■",1,IF(L269="■",2,IF(O269="■",3,0)))</f>
        <v>22:field225:0</v>
      </c>
    </row>
    <row r="270" spans="1:35" s="3120" customFormat="1" ht="18.75" hidden="1" customHeight="1" x14ac:dyDescent="0.2">
      <c r="A270" s="834"/>
      <c r="B270" s="3148"/>
      <c r="C270" s="3147"/>
      <c r="D270" s="3146"/>
      <c r="E270" s="3145"/>
      <c r="F270" s="3146"/>
      <c r="G270" s="3175"/>
      <c r="H270" s="3159" t="s">
        <v>238</v>
      </c>
      <c r="I270" s="3155" t="s">
        <v>116</v>
      </c>
      <c r="J270" s="3137" t="s">
        <v>1230</v>
      </c>
      <c r="K270" s="3137"/>
      <c r="L270" s="3154" t="s">
        <v>116</v>
      </c>
      <c r="M270" s="3137" t="s">
        <v>1259</v>
      </c>
      <c r="N270" s="3137"/>
      <c r="O270" s="3154" t="s">
        <v>116</v>
      </c>
      <c r="P270" s="3137" t="s">
        <v>1260</v>
      </c>
      <c r="Q270" s="3153"/>
      <c r="R270" s="3154" t="s">
        <v>116</v>
      </c>
      <c r="S270" s="3137" t="s">
        <v>1261</v>
      </c>
      <c r="T270" s="3153"/>
      <c r="U270" s="3153"/>
      <c r="V270" s="3153"/>
      <c r="W270" s="3153"/>
      <c r="X270" s="3152"/>
      <c r="Y270" s="3293"/>
      <c r="Z270" s="1201"/>
      <c r="AA270" s="1201"/>
      <c r="AB270" s="1202"/>
      <c r="AC270" s="3333"/>
      <c r="AD270" s="3333"/>
      <c r="AE270" s="3333"/>
      <c r="AF270" s="3333"/>
      <c r="AI270" s="3120" t="str">
        <f>"22:serteikyo_kyoka_code:" &amp; IF(I270="■",1,IF(L270="■",6,IF(O270="■",5,IF(R270="■",7,0))))</f>
        <v>22:serteikyo_kyoka_code:0</v>
      </c>
    </row>
    <row r="271" spans="1:35" s="3120" customFormat="1" ht="18.75" hidden="1" customHeight="1" x14ac:dyDescent="0.2">
      <c r="A271" s="834"/>
      <c r="B271" s="3148"/>
      <c r="C271" s="3147"/>
      <c r="D271" s="3146"/>
      <c r="E271" s="3145"/>
      <c r="F271" s="3146"/>
      <c r="G271" s="3175"/>
      <c r="H271" s="3170" t="s">
        <v>2058</v>
      </c>
      <c r="I271" s="3348" t="s">
        <v>116</v>
      </c>
      <c r="J271" s="3347" t="s">
        <v>1230</v>
      </c>
      <c r="K271" s="3347"/>
      <c r="L271" s="3346" t="s">
        <v>116</v>
      </c>
      <c r="M271" s="3347" t="s">
        <v>1233</v>
      </c>
      <c r="N271" s="3347"/>
      <c r="O271" s="3302"/>
      <c r="P271" s="3302"/>
      <c r="Q271" s="3302"/>
      <c r="R271" s="3302"/>
      <c r="S271" s="3302"/>
      <c r="T271" s="3302"/>
      <c r="U271" s="3302"/>
      <c r="V271" s="3302"/>
      <c r="W271" s="3302"/>
      <c r="X271" s="3335"/>
      <c r="Y271" s="3293"/>
      <c r="Z271" s="1201"/>
      <c r="AA271" s="1201"/>
      <c r="AB271" s="1202"/>
      <c r="AC271" s="3333"/>
      <c r="AD271" s="3333"/>
      <c r="AE271" s="3333"/>
      <c r="AF271" s="3333"/>
      <c r="AI271" s="3120" t="str">
        <f>"22:field221:" &amp; IF(I271="■",1,IF(L271="■",2,0))</f>
        <v>22:field221:0</v>
      </c>
    </row>
    <row r="272" spans="1:35" s="3120" customFormat="1" ht="18.75" hidden="1" customHeight="1" x14ac:dyDescent="0.2">
      <c r="A272" s="834"/>
      <c r="B272" s="3148"/>
      <c r="C272" s="3147"/>
      <c r="D272" s="3146"/>
      <c r="E272" s="3145"/>
      <c r="F272" s="3146"/>
      <c r="G272" s="3175"/>
      <c r="H272" s="3165"/>
      <c r="I272" s="3348"/>
      <c r="J272" s="3347"/>
      <c r="K272" s="3347"/>
      <c r="L272" s="3346"/>
      <c r="M272" s="3347"/>
      <c r="N272" s="3347"/>
      <c r="O272" s="3139"/>
      <c r="P272" s="3139"/>
      <c r="Q272" s="3139"/>
      <c r="R272" s="3139"/>
      <c r="S272" s="3139"/>
      <c r="T272" s="3139"/>
      <c r="U272" s="3139"/>
      <c r="V272" s="3139"/>
      <c r="W272" s="3139"/>
      <c r="X272" s="3195"/>
      <c r="Y272" s="3293"/>
      <c r="Z272" s="1201"/>
      <c r="AA272" s="1201"/>
      <c r="AB272" s="1202"/>
      <c r="AC272" s="3333"/>
      <c r="AD272" s="3333"/>
      <c r="AE272" s="3333"/>
      <c r="AF272" s="3333"/>
    </row>
    <row r="273" spans="1:36" s="3120" customFormat="1" ht="18.75" hidden="1" customHeight="1" x14ac:dyDescent="0.2">
      <c r="A273" s="834"/>
      <c r="B273" s="3148"/>
      <c r="C273" s="3147"/>
      <c r="D273" s="3146"/>
      <c r="E273" s="3145"/>
      <c r="F273" s="3144"/>
      <c r="G273" s="3175"/>
      <c r="H273" s="3331" t="s">
        <v>2129</v>
      </c>
      <c r="I273" s="3303" t="s">
        <v>116</v>
      </c>
      <c r="J273" s="3327" t="s">
        <v>1230</v>
      </c>
      <c r="K273" s="3327"/>
      <c r="L273" s="3301" t="s">
        <v>116</v>
      </c>
      <c r="M273" s="3327" t="s">
        <v>2128</v>
      </c>
      <c r="N273" s="3330"/>
      <c r="O273" s="3301" t="s">
        <v>116</v>
      </c>
      <c r="P273" s="3329" t="s">
        <v>2127</v>
      </c>
      <c r="Q273" s="3328"/>
      <c r="R273" s="3301" t="s">
        <v>116</v>
      </c>
      <c r="S273" s="3327" t="s">
        <v>2126</v>
      </c>
      <c r="T273" s="3328"/>
      <c r="U273" s="3301" t="s">
        <v>116</v>
      </c>
      <c r="V273" s="3327" t="s">
        <v>2125</v>
      </c>
      <c r="W273" s="3326"/>
      <c r="X273" s="3325"/>
      <c r="Y273" s="1201"/>
      <c r="Z273" s="1201"/>
      <c r="AA273" s="1201"/>
      <c r="AB273" s="1202"/>
      <c r="AC273" s="3333"/>
      <c r="AD273" s="3333"/>
      <c r="AE273" s="3333"/>
      <c r="AF273" s="3333"/>
      <c r="AI273" s="3120" t="str">
        <f>"22:shoguukaizen_code:"&amp;IF(I273="■",1,IF(L273="■",7,IF(O273="■",8,IF(R273="■",9,IF(U273="■","A",0)))))</f>
        <v>22:shoguukaizen_code:0</v>
      </c>
    </row>
    <row r="274" spans="1:36" s="3120" customFormat="1" ht="18.75" hidden="1" customHeight="1" x14ac:dyDescent="0.2">
      <c r="A274" s="3188"/>
      <c r="B274" s="3187"/>
      <c r="C274" s="3229"/>
      <c r="D274" s="3228"/>
      <c r="E274" s="3185"/>
      <c r="F274" s="3228"/>
      <c r="G274" s="3183"/>
      <c r="H274" s="3182" t="s">
        <v>1286</v>
      </c>
      <c r="I274" s="3181" t="s">
        <v>116</v>
      </c>
      <c r="J274" s="3180" t="s">
        <v>1282</v>
      </c>
      <c r="K274" s="3226"/>
      <c r="L274" s="3225"/>
      <c r="M274" s="3179" t="s">
        <v>116</v>
      </c>
      <c r="N274" s="3180" t="s">
        <v>1283</v>
      </c>
      <c r="O274" s="3177"/>
      <c r="P274" s="3177"/>
      <c r="Q274" s="3177"/>
      <c r="R274" s="3177"/>
      <c r="S274" s="3177"/>
      <c r="T274" s="3177"/>
      <c r="U274" s="3177"/>
      <c r="V274" s="3177"/>
      <c r="W274" s="3177"/>
      <c r="X274" s="3176"/>
      <c r="Y274" s="3253" t="s">
        <v>116</v>
      </c>
      <c r="Z274" s="3252" t="s">
        <v>1225</v>
      </c>
      <c r="AA274" s="3252"/>
      <c r="AB274" s="3308"/>
      <c r="AC274" s="3338"/>
      <c r="AD274" s="3338"/>
      <c r="AE274" s="3338"/>
      <c r="AF274" s="3338"/>
      <c r="AG274" s="3120" t="str">
        <f>"ser_code = '" &amp; IF(A282="■",22,"") &amp; "'"</f>
        <v>ser_code = ''</v>
      </c>
      <c r="AI274" s="3120" t="str">
        <f>"22:yakan_kinmu_code:" &amp; IF(I274="■",1,IF(M274="■",6,0))</f>
        <v>22:yakan_kinmu_code:0</v>
      </c>
      <c r="AJ274" s="3120" t="str">
        <f>"22:field203:" &amp; IF(Y274="■",1,IF(Y275="■",2,0))</f>
        <v>22:field203:0</v>
      </c>
    </row>
    <row r="275" spans="1:36" s="3120" customFormat="1" ht="18.75" hidden="1" customHeight="1" x14ac:dyDescent="0.2">
      <c r="A275" s="834"/>
      <c r="B275" s="3148"/>
      <c r="C275" s="3147"/>
      <c r="D275" s="3146"/>
      <c r="E275" s="3145"/>
      <c r="F275" s="3146"/>
      <c r="G275" s="3175"/>
      <c r="H275" s="3304" t="s">
        <v>235</v>
      </c>
      <c r="I275" s="3303" t="s">
        <v>116</v>
      </c>
      <c r="J275" s="3302" t="s">
        <v>1230</v>
      </c>
      <c r="K275" s="3302"/>
      <c r="L275" s="3316"/>
      <c r="M275" s="3301" t="s">
        <v>116</v>
      </c>
      <c r="N275" s="3302" t="s">
        <v>1262</v>
      </c>
      <c r="O275" s="3302"/>
      <c r="P275" s="3316"/>
      <c r="Q275" s="3301" t="s">
        <v>116</v>
      </c>
      <c r="R275" s="3167" t="s">
        <v>1263</v>
      </c>
      <c r="S275" s="3167"/>
      <c r="T275" s="3167"/>
      <c r="U275" s="3301" t="s">
        <v>116</v>
      </c>
      <c r="V275" s="3167" t="s">
        <v>1264</v>
      </c>
      <c r="W275" s="3167"/>
      <c r="X275" s="3166"/>
      <c r="Y275" s="3258" t="s">
        <v>116</v>
      </c>
      <c r="Z275" s="1200" t="s">
        <v>1226</v>
      </c>
      <c r="AA275" s="1201"/>
      <c r="AB275" s="1202"/>
      <c r="AC275" s="3333"/>
      <c r="AD275" s="3333"/>
      <c r="AE275" s="3333"/>
      <c r="AF275" s="3333"/>
      <c r="AG275" s="3120" t="str">
        <f>"22:sisetukbn_code:" &amp; IF(D282="■","A",0)</f>
        <v>22:sisetukbn_code:0</v>
      </c>
      <c r="AI275" s="3120" t="str">
        <f>"22:"&amp;IF(AND(I275="□",M275="□",Q275="□",U275="□",I276="□",M276="□",Q276="□"),"ketu_doctor_code:0",IF(I275="■","ketu_doctor_code:1:ketu_kangos_code:1:ketu_kshoku_code:1:ketu_rryoho_code:1:ketu_sryoho_code:1:ketu_gengo_code:1",
IF(M275="■","ketu_doctor_code:2","ketu_doctor_code:1")
&amp;IF(Q275="■",":ketu_kangos_code:2",":ketu_kangos_code:1")
&amp;IF(U275="■",":ketu_kshoku_code:2",":ketu_kshoku_code:1")
&amp;IF(I276="■",":ketu_rryoho_code:2",":ketu_rryoho_code:1")
&amp;IF(M276="■",":ketu_sryoho_code:2",":ketu_sryoho_code:1")
&amp;IF(Q276="■",":ketu_gengo_code:2",":ketu_gengo_code:1")))</f>
        <v>22:ketu_doctor_code:0</v>
      </c>
    </row>
    <row r="276" spans="1:36" s="3120" customFormat="1" ht="18.75" hidden="1" customHeight="1" x14ac:dyDescent="0.2">
      <c r="A276" s="834"/>
      <c r="B276" s="3148"/>
      <c r="C276" s="3147"/>
      <c r="D276" s="3146"/>
      <c r="E276" s="3145"/>
      <c r="F276" s="3146"/>
      <c r="G276" s="3175"/>
      <c r="H276" s="3300"/>
      <c r="I276" s="3141" t="s">
        <v>116</v>
      </c>
      <c r="J276" s="3139" t="s">
        <v>1265</v>
      </c>
      <c r="K276" s="3139"/>
      <c r="L276" s="3385"/>
      <c r="M276" s="3140" t="s">
        <v>116</v>
      </c>
      <c r="N276" s="3139" t="s">
        <v>1266</v>
      </c>
      <c r="O276" s="3139"/>
      <c r="P276" s="3385"/>
      <c r="Q276" s="3140" t="s">
        <v>116</v>
      </c>
      <c r="R276" s="3162" t="s">
        <v>1267</v>
      </c>
      <c r="S276" s="3162"/>
      <c r="T276" s="3162"/>
      <c r="U276" s="3162"/>
      <c r="V276" s="3162"/>
      <c r="W276" s="3162"/>
      <c r="X276" s="3161"/>
      <c r="Y276" s="3293"/>
      <c r="Z276" s="1201"/>
      <c r="AA276" s="1201"/>
      <c r="AB276" s="1202"/>
      <c r="AC276" s="3333"/>
      <c r="AD276" s="3333"/>
      <c r="AE276" s="3333"/>
      <c r="AF276" s="3333"/>
    </row>
    <row r="277" spans="1:36" s="3120" customFormat="1" ht="18.75" hidden="1" customHeight="1" x14ac:dyDescent="0.2">
      <c r="A277" s="834"/>
      <c r="B277" s="3148"/>
      <c r="C277" s="3147"/>
      <c r="D277" s="3146"/>
      <c r="E277" s="3145"/>
      <c r="F277" s="3146"/>
      <c r="G277" s="3175"/>
      <c r="H277" s="3151" t="s">
        <v>91</v>
      </c>
      <c r="I277" s="3155" t="s">
        <v>116</v>
      </c>
      <c r="J277" s="3137" t="s">
        <v>1240</v>
      </c>
      <c r="K277" s="3171"/>
      <c r="L277" s="3173"/>
      <c r="M277" s="3154" t="s">
        <v>116</v>
      </c>
      <c r="N277" s="3137" t="s">
        <v>1241</v>
      </c>
      <c r="O277" s="3150"/>
      <c r="P277" s="3150"/>
      <c r="Q277" s="3150"/>
      <c r="R277" s="3150"/>
      <c r="S277" s="3150"/>
      <c r="T277" s="3150"/>
      <c r="U277" s="3150"/>
      <c r="V277" s="3150"/>
      <c r="W277" s="3150"/>
      <c r="X277" s="3149"/>
      <c r="Y277" s="3293"/>
      <c r="Z277" s="1201"/>
      <c r="AA277" s="1201"/>
      <c r="AB277" s="1202"/>
      <c r="AC277" s="3333"/>
      <c r="AD277" s="3333"/>
      <c r="AE277" s="3333"/>
      <c r="AF277" s="3333"/>
      <c r="AI277" s="3120" t="str">
        <f>"22:unitcare_code:" &amp; IF(I277="■",1,IF(M277="■",2,0))</f>
        <v>22:unitcare_code:0</v>
      </c>
    </row>
    <row r="278" spans="1:36" s="3120" customFormat="1" ht="18.75" hidden="1" customHeight="1" x14ac:dyDescent="0.2">
      <c r="A278" s="834"/>
      <c r="B278" s="3148"/>
      <c r="C278" s="3295"/>
      <c r="D278" s="3294"/>
      <c r="E278" s="3145"/>
      <c r="F278" s="3144"/>
      <c r="G278" s="3175"/>
      <c r="H278" s="3381" t="s">
        <v>1325</v>
      </c>
      <c r="I278" s="3222" t="s">
        <v>116</v>
      </c>
      <c r="J278" s="3217" t="s">
        <v>1228</v>
      </c>
      <c r="K278" s="3221"/>
      <c r="L278" s="3220"/>
      <c r="M278" s="3219" t="s">
        <v>116</v>
      </c>
      <c r="N278" s="3217" t="s">
        <v>1322</v>
      </c>
      <c r="O278" s="3221"/>
      <c r="P278" s="3380"/>
      <c r="Q278" s="3380"/>
      <c r="R278" s="3380"/>
      <c r="S278" s="3380"/>
      <c r="T278" s="3380"/>
      <c r="U278" s="3380"/>
      <c r="V278" s="3380"/>
      <c r="W278" s="3380"/>
      <c r="X278" s="3379"/>
      <c r="Y278" s="3293"/>
      <c r="Z278" s="1201"/>
      <c r="AA278" s="1201"/>
      <c r="AB278" s="1202"/>
      <c r="AC278" s="3333"/>
      <c r="AD278" s="3333"/>
      <c r="AE278" s="3333"/>
      <c r="AF278" s="3333"/>
      <c r="AI278" s="3120" t="str">
        <f>"22:sintaikousoku_code:" &amp; IF(I278="■",1,IF(M278="■",2,0))</f>
        <v>22:sintaikousoku_code:0</v>
      </c>
    </row>
    <row r="279" spans="1:36" s="3120" customFormat="1" ht="19.5" hidden="1" customHeight="1" x14ac:dyDescent="0.2">
      <c r="A279" s="834"/>
      <c r="B279" s="3148"/>
      <c r="C279" s="3147"/>
      <c r="D279" s="3146"/>
      <c r="E279" s="3145"/>
      <c r="F279" s="3144"/>
      <c r="G279" s="3175"/>
      <c r="H279" s="3174" t="s">
        <v>1227</v>
      </c>
      <c r="I279" s="3155" t="s">
        <v>116</v>
      </c>
      <c r="J279" s="3137" t="s">
        <v>1228</v>
      </c>
      <c r="K279" s="3171"/>
      <c r="L279" s="3173"/>
      <c r="M279" s="3154" t="s">
        <v>116</v>
      </c>
      <c r="N279" s="3137" t="s">
        <v>1229</v>
      </c>
      <c r="O279" s="3299"/>
      <c r="P279" s="3137"/>
      <c r="Q279" s="3150"/>
      <c r="R279" s="3150"/>
      <c r="S279" s="3150"/>
      <c r="T279" s="3150"/>
      <c r="U279" s="3150"/>
      <c r="V279" s="3150"/>
      <c r="W279" s="3150"/>
      <c r="X279" s="3149"/>
      <c r="Y279" s="1201"/>
      <c r="Z279" s="1201"/>
      <c r="AA279" s="1201"/>
      <c r="AB279" s="1202"/>
      <c r="AC279" s="3333"/>
      <c r="AD279" s="3333"/>
      <c r="AE279" s="3333"/>
      <c r="AF279" s="3333"/>
      <c r="AI279" s="3120" t="str">
        <f>"22:field223:" &amp; IF(I279="■",1,IF(M279="■",2,0))</f>
        <v>22:field223:0</v>
      </c>
    </row>
    <row r="280" spans="1:36" s="3120" customFormat="1" ht="19.5" hidden="1" customHeight="1" x14ac:dyDescent="0.2">
      <c r="A280" s="834"/>
      <c r="B280" s="3148"/>
      <c r="C280" s="3147"/>
      <c r="D280" s="3146"/>
      <c r="E280" s="3145"/>
      <c r="F280" s="3144"/>
      <c r="G280" s="3175"/>
      <c r="H280" s="3174" t="s">
        <v>1253</v>
      </c>
      <c r="I280" s="3155" t="s">
        <v>116</v>
      </c>
      <c r="J280" s="3137" t="s">
        <v>1228</v>
      </c>
      <c r="K280" s="3171"/>
      <c r="L280" s="3173"/>
      <c r="M280" s="3154" t="s">
        <v>116</v>
      </c>
      <c r="N280" s="3137" t="s">
        <v>1229</v>
      </c>
      <c r="O280" s="3299"/>
      <c r="P280" s="3137"/>
      <c r="Q280" s="3150"/>
      <c r="R280" s="3150"/>
      <c r="S280" s="3150"/>
      <c r="T280" s="3150"/>
      <c r="U280" s="3150"/>
      <c r="V280" s="3150"/>
      <c r="W280" s="3150"/>
      <c r="X280" s="3149"/>
      <c r="Y280" s="1201"/>
      <c r="Z280" s="1201"/>
      <c r="AA280" s="1201"/>
      <c r="AB280" s="1202"/>
      <c r="AC280" s="3333"/>
      <c r="AD280" s="3333"/>
      <c r="AE280" s="3333"/>
      <c r="AF280" s="3333"/>
      <c r="AI280" s="3120" t="str">
        <f>"22:field232:" &amp; IF(I280="■",1,IF(M280="■",2,0))</f>
        <v>22:field232:0</v>
      </c>
    </row>
    <row r="281" spans="1:36" s="3120" customFormat="1" ht="18.75" hidden="1" customHeight="1" x14ac:dyDescent="0.2">
      <c r="A281" s="834"/>
      <c r="B281" s="3148"/>
      <c r="C281" s="3147"/>
      <c r="D281" s="3146"/>
      <c r="E281" s="3145"/>
      <c r="F281" s="3146"/>
      <c r="G281" s="3175"/>
      <c r="H281" s="3151" t="s">
        <v>2137</v>
      </c>
      <c r="I281" s="3155" t="s">
        <v>116</v>
      </c>
      <c r="J281" s="3137" t="s">
        <v>1230</v>
      </c>
      <c r="K281" s="3171"/>
      <c r="L281" s="3154" t="s">
        <v>116</v>
      </c>
      <c r="M281" s="3137" t="s">
        <v>1233</v>
      </c>
      <c r="N281" s="3150"/>
      <c r="O281" s="3150"/>
      <c r="P281" s="3150"/>
      <c r="Q281" s="3150"/>
      <c r="R281" s="3150"/>
      <c r="S281" s="3150"/>
      <c r="T281" s="3150"/>
      <c r="U281" s="3150"/>
      <c r="V281" s="3150"/>
      <c r="W281" s="3150"/>
      <c r="X281" s="3149"/>
      <c r="Y281" s="3293"/>
      <c r="Z281" s="1201"/>
      <c r="AA281" s="1201"/>
      <c r="AB281" s="1202"/>
      <c r="AC281" s="3333"/>
      <c r="AD281" s="3333"/>
      <c r="AE281" s="3333"/>
      <c r="AF281" s="3333"/>
      <c r="AI281" s="3120" t="str">
        <f>"22:yakinhaiti_code:" &amp; IF(I281="■",1,IF(L281="■",2,0))</f>
        <v>22:yakinhaiti_code:0</v>
      </c>
    </row>
    <row r="282" spans="1:36" s="3120" customFormat="1" ht="18.75" hidden="1" customHeight="1" x14ac:dyDescent="0.2">
      <c r="A282" s="3158" t="s">
        <v>116</v>
      </c>
      <c r="B282" s="3148">
        <v>22</v>
      </c>
      <c r="C282" s="3147" t="s">
        <v>924</v>
      </c>
      <c r="D282" s="3258" t="s">
        <v>116</v>
      </c>
      <c r="E282" s="3145" t="s">
        <v>2253</v>
      </c>
      <c r="F282" s="3146"/>
      <c r="G282" s="3175"/>
      <c r="H282" s="3151" t="s">
        <v>2136</v>
      </c>
      <c r="I282" s="3155" t="s">
        <v>116</v>
      </c>
      <c r="J282" s="3137" t="s">
        <v>1230</v>
      </c>
      <c r="K282" s="3171"/>
      <c r="L282" s="3154" t="s">
        <v>116</v>
      </c>
      <c r="M282" s="3137" t="s">
        <v>1233</v>
      </c>
      <c r="N282" s="3150"/>
      <c r="O282" s="3150"/>
      <c r="P282" s="3150"/>
      <c r="Q282" s="3150"/>
      <c r="R282" s="3150"/>
      <c r="S282" s="3150"/>
      <c r="T282" s="3150"/>
      <c r="U282" s="3150"/>
      <c r="V282" s="3150"/>
      <c r="W282" s="3150"/>
      <c r="X282" s="3149"/>
      <c r="Y282" s="3293"/>
      <c r="Z282" s="1201"/>
      <c r="AA282" s="1201"/>
      <c r="AB282" s="1202"/>
      <c r="AC282" s="3333"/>
      <c r="AD282" s="3333"/>
      <c r="AE282" s="3333"/>
      <c r="AF282" s="3333"/>
      <c r="AI282" s="3120" t="str">
        <f>"22:ninticare_code:" &amp; IF(I282="■",1,IF(L282="■",2,0))</f>
        <v>22:ninticare_code:0</v>
      </c>
    </row>
    <row r="283" spans="1:36" s="3120" customFormat="1" ht="18.75" hidden="1" customHeight="1" x14ac:dyDescent="0.2">
      <c r="A283" s="834"/>
      <c r="B283" s="3148"/>
      <c r="C283" s="3147"/>
      <c r="D283" s="3146"/>
      <c r="E283" s="3145"/>
      <c r="F283" s="3146"/>
      <c r="G283" s="3175"/>
      <c r="H283" s="3151" t="s">
        <v>1256</v>
      </c>
      <c r="I283" s="3155" t="s">
        <v>116</v>
      </c>
      <c r="J283" s="3137" t="s">
        <v>1230</v>
      </c>
      <c r="K283" s="3171"/>
      <c r="L283" s="3154" t="s">
        <v>116</v>
      </c>
      <c r="M283" s="3137" t="s">
        <v>1233</v>
      </c>
      <c r="N283" s="3150"/>
      <c r="O283" s="3150"/>
      <c r="P283" s="3150"/>
      <c r="Q283" s="3150"/>
      <c r="R283" s="3150"/>
      <c r="S283" s="3150"/>
      <c r="T283" s="3150"/>
      <c r="U283" s="3150"/>
      <c r="V283" s="3150"/>
      <c r="W283" s="3150"/>
      <c r="X283" s="3149"/>
      <c r="Y283" s="3293"/>
      <c r="Z283" s="1201"/>
      <c r="AA283" s="1201"/>
      <c r="AB283" s="1202"/>
      <c r="AC283" s="3333"/>
      <c r="AD283" s="3333"/>
      <c r="AE283" s="3333"/>
      <c r="AF283" s="3333"/>
      <c r="AI283" s="3120" t="str">
        <f>"22:jyakuninti_uke_code:" &amp; IF(I283="■",1,IF(L283="■",2,0))</f>
        <v>22:jyakuninti_uke_code:0</v>
      </c>
    </row>
    <row r="284" spans="1:36" s="3120" customFormat="1" ht="18.75" hidden="1" customHeight="1" x14ac:dyDescent="0.2">
      <c r="A284" s="834"/>
      <c r="B284" s="3148"/>
      <c r="C284" s="3147"/>
      <c r="D284" s="3146"/>
      <c r="E284" s="3145"/>
      <c r="F284" s="3146"/>
      <c r="G284" s="3175"/>
      <c r="H284" s="3151" t="s">
        <v>1284</v>
      </c>
      <c r="I284" s="3155" t="s">
        <v>116</v>
      </c>
      <c r="J284" s="3137" t="s">
        <v>1240</v>
      </c>
      <c r="K284" s="3171"/>
      <c r="L284" s="3173"/>
      <c r="M284" s="3154" t="s">
        <v>116</v>
      </c>
      <c r="N284" s="3137" t="s">
        <v>1241</v>
      </c>
      <c r="O284" s="3150"/>
      <c r="P284" s="3150"/>
      <c r="Q284" s="3150"/>
      <c r="R284" s="3150"/>
      <c r="S284" s="3150"/>
      <c r="T284" s="3150"/>
      <c r="U284" s="3150"/>
      <c r="V284" s="3150"/>
      <c r="W284" s="3150"/>
      <c r="X284" s="3149"/>
      <c r="Y284" s="3293"/>
      <c r="Z284" s="1201"/>
      <c r="AA284" s="1201"/>
      <c r="AB284" s="1202"/>
      <c r="AC284" s="3333"/>
      <c r="AD284" s="3333"/>
      <c r="AE284" s="3333"/>
      <c r="AF284" s="3333"/>
      <c r="AI284" s="3120" t="str">
        <f>"22:sougei_code:" &amp; IF(I284="■",1,IF(M284="■",2,0))</f>
        <v>22:sougei_code:0</v>
      </c>
    </row>
    <row r="285" spans="1:36" s="3120" customFormat="1" ht="19.5" hidden="1" customHeight="1" x14ac:dyDescent="0.2">
      <c r="A285" s="834"/>
      <c r="B285" s="3148"/>
      <c r="C285" s="3147"/>
      <c r="D285" s="3146"/>
      <c r="E285" s="3145"/>
      <c r="F285" s="3144"/>
      <c r="G285" s="3175"/>
      <c r="H285" s="3174" t="s">
        <v>1236</v>
      </c>
      <c r="I285" s="3155" t="s">
        <v>116</v>
      </c>
      <c r="J285" s="3137" t="s">
        <v>1230</v>
      </c>
      <c r="K285" s="3137"/>
      <c r="L285" s="3154" t="s">
        <v>116</v>
      </c>
      <c r="M285" s="3137" t="s">
        <v>1233</v>
      </c>
      <c r="N285" s="3137"/>
      <c r="O285" s="3150"/>
      <c r="P285" s="3137"/>
      <c r="Q285" s="3150"/>
      <c r="R285" s="3150"/>
      <c r="S285" s="3150"/>
      <c r="T285" s="3150"/>
      <c r="U285" s="3150"/>
      <c r="V285" s="3150"/>
      <c r="W285" s="3150"/>
      <c r="X285" s="3149"/>
      <c r="Y285" s="1201"/>
      <c r="Z285" s="1201"/>
      <c r="AA285" s="1201"/>
      <c r="AB285" s="1202"/>
      <c r="AC285" s="3333"/>
      <c r="AD285" s="3333"/>
      <c r="AE285" s="3333"/>
      <c r="AF285" s="3333"/>
      <c r="AI285" s="3120" t="str">
        <f>"22:field224:" &amp; IF(I285="■",1,IF(L285="■",2,0))</f>
        <v>22:field224:0</v>
      </c>
    </row>
    <row r="286" spans="1:36" s="3120" customFormat="1" ht="18.75" hidden="1" customHeight="1" x14ac:dyDescent="0.2">
      <c r="A286" s="834"/>
      <c r="B286" s="3148"/>
      <c r="C286" s="3147"/>
      <c r="D286" s="3146"/>
      <c r="E286" s="3145"/>
      <c r="F286" s="3146"/>
      <c r="G286" s="3175"/>
      <c r="H286" s="3151" t="s">
        <v>140</v>
      </c>
      <c r="I286" s="3155" t="s">
        <v>116</v>
      </c>
      <c r="J286" s="3137" t="s">
        <v>1230</v>
      </c>
      <c r="K286" s="3171"/>
      <c r="L286" s="3154" t="s">
        <v>116</v>
      </c>
      <c r="M286" s="3137" t="s">
        <v>1233</v>
      </c>
      <c r="N286" s="3150"/>
      <c r="O286" s="3150"/>
      <c r="P286" s="3150"/>
      <c r="Q286" s="3150"/>
      <c r="R286" s="3150"/>
      <c r="S286" s="3150"/>
      <c r="T286" s="3150"/>
      <c r="U286" s="3150"/>
      <c r="V286" s="3150"/>
      <c r="W286" s="3150"/>
      <c r="X286" s="3149"/>
      <c r="Y286" s="3293"/>
      <c r="Z286" s="1201"/>
      <c r="AA286" s="1201"/>
      <c r="AB286" s="1202"/>
      <c r="AC286" s="3333"/>
      <c r="AD286" s="3333"/>
      <c r="AE286" s="3333"/>
      <c r="AF286" s="3333"/>
      <c r="AI286" s="3120" t="str">
        <f>"22:ryouyoushoku_code:" &amp; IF(I286="■",1,IF(L286="■",2,0))</f>
        <v>22:ryouyoushoku_code:0</v>
      </c>
    </row>
    <row r="287" spans="1:36" s="3120" customFormat="1" ht="18.75" hidden="1" customHeight="1" x14ac:dyDescent="0.2">
      <c r="A287" s="834"/>
      <c r="B287" s="3148"/>
      <c r="C287" s="3147"/>
      <c r="D287" s="3146"/>
      <c r="E287" s="3145"/>
      <c r="F287" s="3146"/>
      <c r="G287" s="3175"/>
      <c r="H287" s="3151" t="s">
        <v>2219</v>
      </c>
      <c r="I287" s="3155" t="s">
        <v>116</v>
      </c>
      <c r="J287" s="3137" t="s">
        <v>1230</v>
      </c>
      <c r="K287" s="3137"/>
      <c r="L287" s="3154" t="s">
        <v>116</v>
      </c>
      <c r="M287" s="3137" t="s">
        <v>1231</v>
      </c>
      <c r="N287" s="3137"/>
      <c r="O287" s="3154" t="s">
        <v>116</v>
      </c>
      <c r="P287" s="3137" t="s">
        <v>1232</v>
      </c>
      <c r="Q287" s="3150"/>
      <c r="R287" s="3150"/>
      <c r="S287" s="3150"/>
      <c r="T287" s="3150"/>
      <c r="U287" s="3150"/>
      <c r="V287" s="3150"/>
      <c r="W287" s="3150"/>
      <c r="X287" s="3149"/>
      <c r="Y287" s="3293"/>
      <c r="Z287" s="1201"/>
      <c r="AA287" s="1201"/>
      <c r="AB287" s="1202"/>
      <c r="AC287" s="3333"/>
      <c r="AD287" s="3333"/>
      <c r="AE287" s="3333"/>
      <c r="AF287" s="3333"/>
      <c r="AI287" s="3120" t="str">
        <f>"22:ninti_senmoncare_code:" &amp; IF(I287="■",1,IF(O287="■",3,IF(L287="■",2,0)))</f>
        <v>22:ninti_senmoncare_code:0</v>
      </c>
    </row>
    <row r="288" spans="1:36" s="3120" customFormat="1" ht="18.75" hidden="1" customHeight="1" x14ac:dyDescent="0.2">
      <c r="A288" s="834"/>
      <c r="B288" s="3148"/>
      <c r="C288" s="3147"/>
      <c r="D288" s="3146"/>
      <c r="E288" s="3145"/>
      <c r="F288" s="3146"/>
      <c r="G288" s="3175"/>
      <c r="H288" s="3296" t="s">
        <v>1285</v>
      </c>
      <c r="I288" s="3155" t="s">
        <v>116</v>
      </c>
      <c r="J288" s="3137" t="s">
        <v>1230</v>
      </c>
      <c r="K288" s="3137"/>
      <c r="L288" s="3154" t="s">
        <v>116</v>
      </c>
      <c r="M288" s="3137" t="s">
        <v>1231</v>
      </c>
      <c r="N288" s="3137"/>
      <c r="O288" s="3154" t="s">
        <v>116</v>
      </c>
      <c r="P288" s="3137" t="s">
        <v>1232</v>
      </c>
      <c r="Q288" s="3150"/>
      <c r="R288" s="3150"/>
      <c r="S288" s="3150"/>
      <c r="T288" s="3150"/>
      <c r="U288" s="3209"/>
      <c r="V288" s="3209"/>
      <c r="W288" s="3209"/>
      <c r="X288" s="3208"/>
      <c r="Y288" s="3293"/>
      <c r="Z288" s="1201"/>
      <c r="AA288" s="1201"/>
      <c r="AB288" s="1202"/>
      <c r="AC288" s="3333"/>
      <c r="AD288" s="3333"/>
      <c r="AE288" s="3333"/>
      <c r="AF288" s="3333"/>
      <c r="AI288" s="3120" t="str">
        <f>"22:field225:" &amp; IF(I288="■",1,IF(L288="■",2,IF(O288="■",3,0)))</f>
        <v>22:field225:0</v>
      </c>
    </row>
    <row r="289" spans="1:36" s="3120" customFormat="1" ht="18.75" hidden="1" customHeight="1" x14ac:dyDescent="0.2">
      <c r="A289" s="834"/>
      <c r="B289" s="3148"/>
      <c r="C289" s="3147"/>
      <c r="D289" s="3146"/>
      <c r="E289" s="3145"/>
      <c r="F289" s="3146"/>
      <c r="G289" s="3175"/>
      <c r="H289" s="3159" t="s">
        <v>238</v>
      </c>
      <c r="I289" s="3155" t="s">
        <v>116</v>
      </c>
      <c r="J289" s="3137" t="s">
        <v>1230</v>
      </c>
      <c r="K289" s="3137"/>
      <c r="L289" s="3154" t="s">
        <v>116</v>
      </c>
      <c r="M289" s="3137" t="s">
        <v>1259</v>
      </c>
      <c r="N289" s="3137"/>
      <c r="O289" s="3154" t="s">
        <v>116</v>
      </c>
      <c r="P289" s="3137" t="s">
        <v>1260</v>
      </c>
      <c r="Q289" s="3153"/>
      <c r="R289" s="3154" t="s">
        <v>116</v>
      </c>
      <c r="S289" s="3137" t="s">
        <v>1261</v>
      </c>
      <c r="T289" s="3153"/>
      <c r="U289" s="3153"/>
      <c r="V289" s="3153"/>
      <c r="W289" s="3153"/>
      <c r="X289" s="3152"/>
      <c r="Y289" s="3293"/>
      <c r="Z289" s="1201"/>
      <c r="AA289" s="1201"/>
      <c r="AB289" s="1202"/>
      <c r="AC289" s="3333"/>
      <c r="AD289" s="3333"/>
      <c r="AE289" s="3333"/>
      <c r="AF289" s="3333"/>
      <c r="AI289" s="3120" t="str">
        <f>"22:serteikyo_kyoka_code:" &amp; IF(I289="■",1,IF(L289="■",6,IF(O289="■",5,IF(R289="■",7,0))))</f>
        <v>22:serteikyo_kyoka_code:0</v>
      </c>
    </row>
    <row r="290" spans="1:36" s="3120" customFormat="1" ht="18.75" hidden="1" customHeight="1" x14ac:dyDescent="0.2">
      <c r="A290" s="834"/>
      <c r="B290" s="3148"/>
      <c r="C290" s="3147"/>
      <c r="D290" s="3146"/>
      <c r="E290" s="3145"/>
      <c r="F290" s="3146"/>
      <c r="G290" s="3175"/>
      <c r="H290" s="3170" t="s">
        <v>2058</v>
      </c>
      <c r="I290" s="3348" t="s">
        <v>116</v>
      </c>
      <c r="J290" s="3347" t="s">
        <v>1230</v>
      </c>
      <c r="K290" s="3347"/>
      <c r="L290" s="3346" t="s">
        <v>116</v>
      </c>
      <c r="M290" s="3347" t="s">
        <v>1233</v>
      </c>
      <c r="N290" s="3347"/>
      <c r="O290" s="3302"/>
      <c r="P290" s="3302"/>
      <c r="Q290" s="3302"/>
      <c r="R290" s="3302"/>
      <c r="S290" s="3302"/>
      <c r="T290" s="3302"/>
      <c r="U290" s="3302"/>
      <c r="V290" s="3302"/>
      <c r="W290" s="3302"/>
      <c r="X290" s="3335"/>
      <c r="Y290" s="3293"/>
      <c r="Z290" s="1201"/>
      <c r="AA290" s="1201"/>
      <c r="AB290" s="1202"/>
      <c r="AC290" s="3333"/>
      <c r="AD290" s="3333"/>
      <c r="AE290" s="3333"/>
      <c r="AF290" s="3333"/>
      <c r="AI290" s="3120" t="str">
        <f>"22:field221:" &amp; IF(I290="■",1,IF(L290="■",2,0))</f>
        <v>22:field221:0</v>
      </c>
    </row>
    <row r="291" spans="1:36" s="3120" customFormat="1" ht="18.75" hidden="1" customHeight="1" x14ac:dyDescent="0.2">
      <c r="A291" s="834"/>
      <c r="B291" s="3148"/>
      <c r="C291" s="3147"/>
      <c r="D291" s="3146"/>
      <c r="E291" s="3145"/>
      <c r="F291" s="3146"/>
      <c r="G291" s="3175"/>
      <c r="H291" s="3165"/>
      <c r="I291" s="3348"/>
      <c r="J291" s="3347"/>
      <c r="K291" s="3347"/>
      <c r="L291" s="3346"/>
      <c r="M291" s="3347"/>
      <c r="N291" s="3347"/>
      <c r="O291" s="3139"/>
      <c r="P291" s="3139"/>
      <c r="Q291" s="3139"/>
      <c r="R291" s="3139"/>
      <c r="S291" s="3139"/>
      <c r="T291" s="3139"/>
      <c r="U291" s="3139"/>
      <c r="V291" s="3139"/>
      <c r="W291" s="3139"/>
      <c r="X291" s="3195"/>
      <c r="Y291" s="3293"/>
      <c r="Z291" s="1201"/>
      <c r="AA291" s="1201"/>
      <c r="AB291" s="1202"/>
      <c r="AC291" s="3333"/>
      <c r="AD291" s="3333"/>
      <c r="AE291" s="3333"/>
      <c r="AF291" s="3333"/>
    </row>
    <row r="292" spans="1:36" s="3120" customFormat="1" ht="18.75" hidden="1" customHeight="1" x14ac:dyDescent="0.2">
      <c r="A292" s="835"/>
      <c r="B292" s="3135"/>
      <c r="C292" s="3134"/>
      <c r="D292" s="3133"/>
      <c r="E292" s="3132"/>
      <c r="F292" s="3131"/>
      <c r="G292" s="3189"/>
      <c r="H292" s="3289" t="s">
        <v>2129</v>
      </c>
      <c r="I292" s="3128" t="s">
        <v>116</v>
      </c>
      <c r="J292" s="3285" t="s">
        <v>1230</v>
      </c>
      <c r="K292" s="3285"/>
      <c r="L292" s="3127" t="s">
        <v>116</v>
      </c>
      <c r="M292" s="3285" t="s">
        <v>2128</v>
      </c>
      <c r="N292" s="3288"/>
      <c r="O292" s="3127" t="s">
        <v>116</v>
      </c>
      <c r="P292" s="3287" t="s">
        <v>2127</v>
      </c>
      <c r="Q292" s="3286"/>
      <c r="R292" s="3127" t="s">
        <v>116</v>
      </c>
      <c r="S292" s="3285" t="s">
        <v>2126</v>
      </c>
      <c r="T292" s="3286"/>
      <c r="U292" s="3127" t="s">
        <v>116</v>
      </c>
      <c r="V292" s="3285" t="s">
        <v>2125</v>
      </c>
      <c r="W292" s="3284"/>
      <c r="X292" s="3283"/>
      <c r="Y292" s="3282"/>
      <c r="Z292" s="3282"/>
      <c r="AA292" s="3282"/>
      <c r="AB292" s="3281"/>
      <c r="AC292" s="3332"/>
      <c r="AD292" s="3332"/>
      <c r="AE292" s="3332"/>
      <c r="AF292" s="3332"/>
      <c r="AI292" s="3120" t="str">
        <f>"22:shoguukaizen_code:"&amp;IF(I292="■",1,IF(L292="■",7,IF(O292="■",8,IF(R292="■",9,IF(U292="■","A",0)))))</f>
        <v>22:shoguukaizen_code:0</v>
      </c>
    </row>
    <row r="293" spans="1:36" s="3120" customFormat="1" ht="18.75" hidden="1" customHeight="1" x14ac:dyDescent="0.2">
      <c r="A293" s="3188"/>
      <c r="B293" s="3187"/>
      <c r="C293" s="3229"/>
      <c r="D293" s="3228"/>
      <c r="E293" s="3183"/>
      <c r="F293" s="3228"/>
      <c r="G293" s="3185"/>
      <c r="H293" s="3265" t="s">
        <v>1281</v>
      </c>
      <c r="I293" s="3253" t="s">
        <v>116</v>
      </c>
      <c r="J293" s="3252" t="s">
        <v>1282</v>
      </c>
      <c r="K293" s="3311"/>
      <c r="L293" s="3386"/>
      <c r="M293" s="3310" t="s">
        <v>116</v>
      </c>
      <c r="N293" s="3252" t="s">
        <v>1289</v>
      </c>
      <c r="O293" s="3309"/>
      <c r="P293" s="3309"/>
      <c r="Q293" s="3310" t="s">
        <v>116</v>
      </c>
      <c r="R293" s="3252" t="s">
        <v>1290</v>
      </c>
      <c r="S293" s="3309"/>
      <c r="T293" s="3309"/>
      <c r="U293" s="3310" t="s">
        <v>116</v>
      </c>
      <c r="V293" s="3252" t="s">
        <v>1291</v>
      </c>
      <c r="W293" s="3309"/>
      <c r="X293" s="3266"/>
      <c r="Y293" s="3253" t="s">
        <v>116</v>
      </c>
      <c r="Z293" s="3252" t="s">
        <v>1225</v>
      </c>
      <c r="AA293" s="3252"/>
      <c r="AB293" s="3308"/>
      <c r="AC293" s="3338"/>
      <c r="AD293" s="3338"/>
      <c r="AE293" s="3338"/>
      <c r="AF293" s="3338"/>
      <c r="AG293" s="3120" t="str">
        <f>"ser_code = '" &amp; IF(A304="■",23,"") &amp; "'"</f>
        <v>ser_code = ''</v>
      </c>
      <c r="AH293" s="3120" t="str">
        <f>"23:jininkbn_code:" &amp; IF(F299="■",2,IF(F301="■",5,IF(F303="■",6,IF(F305="■",3,IF(F307="■",7,IF(F309="■",4,0))))))</f>
        <v>23:jininkbn_code:0</v>
      </c>
      <c r="AI293" s="3120" t="str">
        <f>"23:yakan_kinmu_code:" &amp; IF(I293="■",1,IF(M293="■",2,IF(Q293="■",3,IF(U293="■",7,IF(I294="■",5,IF(M294="■",6,0))))))</f>
        <v>23:yakan_kinmu_code:0</v>
      </c>
      <c r="AJ293" s="3120" t="str">
        <f>"23:field203:" &amp; IF(Y293="■",1,IF(Y294="■",2,0))</f>
        <v>23:field203:0</v>
      </c>
    </row>
    <row r="294" spans="1:36" s="3120" customFormat="1" ht="18.75" hidden="1" customHeight="1" x14ac:dyDescent="0.2">
      <c r="A294" s="834"/>
      <c r="B294" s="3148"/>
      <c r="C294" s="3147"/>
      <c r="D294" s="3146"/>
      <c r="E294" s="3175"/>
      <c r="F294" s="3146"/>
      <c r="G294" s="3145"/>
      <c r="H294" s="3300"/>
      <c r="I294" s="3141" t="s">
        <v>116</v>
      </c>
      <c r="J294" s="3139" t="s">
        <v>1292</v>
      </c>
      <c r="K294" s="3138"/>
      <c r="L294" s="3385"/>
      <c r="M294" s="3140" t="s">
        <v>116</v>
      </c>
      <c r="N294" s="3139" t="s">
        <v>1283</v>
      </c>
      <c r="O294" s="3162"/>
      <c r="P294" s="3162"/>
      <c r="Q294" s="3162"/>
      <c r="R294" s="3162"/>
      <c r="S294" s="3162"/>
      <c r="T294" s="3162"/>
      <c r="U294" s="3162"/>
      <c r="V294" s="3162"/>
      <c r="W294" s="3162"/>
      <c r="X294" s="3161"/>
      <c r="Y294" s="3258" t="s">
        <v>116</v>
      </c>
      <c r="Z294" s="1200" t="s">
        <v>1226</v>
      </c>
      <c r="AA294" s="1201"/>
      <c r="AB294" s="1202"/>
      <c r="AC294" s="3349"/>
      <c r="AD294" s="3349"/>
      <c r="AE294" s="3349"/>
      <c r="AF294" s="3349"/>
      <c r="AG294" s="3120" t="str">
        <f>"23:sisetukbn_code:" &amp; IF(D304="■",1,0)</f>
        <v>23:sisetukbn_code:0</v>
      </c>
    </row>
    <row r="295" spans="1:36" s="3120" customFormat="1" ht="18.75" hidden="1" customHeight="1" x14ac:dyDescent="0.2">
      <c r="A295" s="834"/>
      <c r="B295" s="3148"/>
      <c r="C295" s="3147"/>
      <c r="D295" s="3146"/>
      <c r="E295" s="3175"/>
      <c r="F295" s="3146"/>
      <c r="G295" s="3145"/>
      <c r="H295" s="3151" t="s">
        <v>90</v>
      </c>
      <c r="I295" s="3155" t="s">
        <v>116</v>
      </c>
      <c r="J295" s="3137" t="s">
        <v>1230</v>
      </c>
      <c r="K295" s="3137"/>
      <c r="L295" s="3173"/>
      <c r="M295" s="3154" t="s">
        <v>116</v>
      </c>
      <c r="N295" s="3137" t="s">
        <v>1262</v>
      </c>
      <c r="O295" s="3137"/>
      <c r="P295" s="3173"/>
      <c r="Q295" s="3154" t="s">
        <v>116</v>
      </c>
      <c r="R295" s="3153" t="s">
        <v>1263</v>
      </c>
      <c r="S295" s="3153"/>
      <c r="T295" s="3153"/>
      <c r="U295" s="3154" t="s">
        <v>116</v>
      </c>
      <c r="V295" s="3153" t="s">
        <v>1264</v>
      </c>
      <c r="W295" s="3150"/>
      <c r="X295" s="3149"/>
      <c r="Y295" s="3293"/>
      <c r="Z295" s="1201"/>
      <c r="AA295" s="1201"/>
      <c r="AB295" s="1202"/>
      <c r="AC295" s="3333"/>
      <c r="AD295" s="3333"/>
      <c r="AE295" s="3333"/>
      <c r="AF295" s="3333"/>
      <c r="AI295" s="3120" t="str">
        <f>"23:"&amp;IF(AND(I295="□",M295="□",Q295="□",U295="□"),"ketu_doctor_code:0",IF(I295="■","ketu_doctor_code:1:ketu_kangos_code:1:ketu_kshoku_code:1",
IF(M295="■","ketu_doctor_code:2","ketu_doctor_code:1")
&amp;IF(Q295="■",":ketu_kangos_code:2",":ketu_kangos_code:1")
&amp;IF(U295="■",":ketu_kshoku_code:2",":ketu_kshoku_code:1")))</f>
        <v>23:ketu_doctor_code:0</v>
      </c>
    </row>
    <row r="296" spans="1:36" s="3120" customFormat="1" ht="18.75" hidden="1" customHeight="1" x14ac:dyDescent="0.2">
      <c r="A296" s="834"/>
      <c r="B296" s="3148"/>
      <c r="C296" s="3295"/>
      <c r="D296" s="3294"/>
      <c r="E296" s="3145"/>
      <c r="F296" s="3144"/>
      <c r="G296" s="3175"/>
      <c r="H296" s="3381" t="s">
        <v>1325</v>
      </c>
      <c r="I296" s="3222" t="s">
        <v>116</v>
      </c>
      <c r="J296" s="3217" t="s">
        <v>1228</v>
      </c>
      <c r="K296" s="3221"/>
      <c r="L296" s="3220"/>
      <c r="M296" s="3219" t="s">
        <v>116</v>
      </c>
      <c r="N296" s="3217" t="s">
        <v>1322</v>
      </c>
      <c r="O296" s="3221"/>
      <c r="P296" s="3380"/>
      <c r="Q296" s="3380"/>
      <c r="R296" s="3380"/>
      <c r="S296" s="3380"/>
      <c r="T296" s="3380"/>
      <c r="U296" s="3380"/>
      <c r="V296" s="3380"/>
      <c r="W296" s="3380"/>
      <c r="X296" s="3379"/>
      <c r="Y296" s="3293"/>
      <c r="Z296" s="1201"/>
      <c r="AA296" s="1201"/>
      <c r="AB296" s="1202"/>
      <c r="AC296" s="3333"/>
      <c r="AD296" s="3333"/>
      <c r="AE296" s="3333"/>
      <c r="AF296" s="3333"/>
      <c r="AI296" s="3120" t="str">
        <f>"23:sintaikousoku_code:" &amp; IF(I296="■",1,IF(M296="■",2,0))</f>
        <v>23:sintaikousoku_code:0</v>
      </c>
    </row>
    <row r="297" spans="1:36" s="3120" customFormat="1" ht="19.5" hidden="1" customHeight="1" x14ac:dyDescent="0.2">
      <c r="A297" s="834"/>
      <c r="B297" s="3148"/>
      <c r="C297" s="3147"/>
      <c r="D297" s="3146"/>
      <c r="E297" s="3145"/>
      <c r="F297" s="3144"/>
      <c r="G297" s="3175"/>
      <c r="H297" s="3174" t="s">
        <v>1227</v>
      </c>
      <c r="I297" s="3155" t="s">
        <v>116</v>
      </c>
      <c r="J297" s="3137" t="s">
        <v>1228</v>
      </c>
      <c r="K297" s="3171"/>
      <c r="L297" s="3173"/>
      <c r="M297" s="3154" t="s">
        <v>116</v>
      </c>
      <c r="N297" s="3137" t="s">
        <v>1229</v>
      </c>
      <c r="O297" s="3299"/>
      <c r="P297" s="3137"/>
      <c r="Q297" s="3150"/>
      <c r="R297" s="3150"/>
      <c r="S297" s="3150"/>
      <c r="T297" s="3150"/>
      <c r="U297" s="3150"/>
      <c r="V297" s="3150"/>
      <c r="W297" s="3150"/>
      <c r="X297" s="3149"/>
      <c r="Y297" s="1201"/>
      <c r="Z297" s="1201"/>
      <c r="AA297" s="1201"/>
      <c r="AB297" s="1202"/>
      <c r="AC297" s="3333"/>
      <c r="AD297" s="3333"/>
      <c r="AE297" s="3333"/>
      <c r="AF297" s="3333"/>
      <c r="AI297" s="3120" t="str">
        <f>"23:field223:" &amp; IF(I297="■",1,IF(M297="■",2,0))</f>
        <v>23:field223:0</v>
      </c>
    </row>
    <row r="298" spans="1:36" s="3120" customFormat="1" ht="19.5" hidden="1" customHeight="1" x14ac:dyDescent="0.2">
      <c r="A298" s="834"/>
      <c r="B298" s="3148"/>
      <c r="C298" s="3147"/>
      <c r="D298" s="3146"/>
      <c r="E298" s="3145"/>
      <c r="F298" s="3144"/>
      <c r="G298" s="3175"/>
      <c r="H298" s="3174" t="s">
        <v>1253</v>
      </c>
      <c r="I298" s="3155" t="s">
        <v>116</v>
      </c>
      <c r="J298" s="3137" t="s">
        <v>1228</v>
      </c>
      <c r="K298" s="3171"/>
      <c r="L298" s="3173"/>
      <c r="M298" s="3154" t="s">
        <v>116</v>
      </c>
      <c r="N298" s="3137" t="s">
        <v>1229</v>
      </c>
      <c r="O298" s="3299"/>
      <c r="P298" s="3137"/>
      <c r="Q298" s="3150"/>
      <c r="R298" s="3150"/>
      <c r="S298" s="3150"/>
      <c r="T298" s="3150"/>
      <c r="U298" s="3150"/>
      <c r="V298" s="3150"/>
      <c r="W298" s="3150"/>
      <c r="X298" s="3149"/>
      <c r="Y298" s="1201"/>
      <c r="Z298" s="1201"/>
      <c r="AA298" s="1201"/>
      <c r="AB298" s="1202"/>
      <c r="AC298" s="3333"/>
      <c r="AD298" s="3333"/>
      <c r="AE298" s="3333"/>
      <c r="AF298" s="3333"/>
      <c r="AI298" s="3120" t="str">
        <f>"23:field232:" &amp; IF(I298="■",1,IF(M298="■",2,0))</f>
        <v>23:field232:0</v>
      </c>
    </row>
    <row r="299" spans="1:36" s="3120" customFormat="1" ht="18.75" hidden="1" customHeight="1" x14ac:dyDescent="0.2">
      <c r="A299" s="834"/>
      <c r="B299" s="3148"/>
      <c r="C299" s="3147"/>
      <c r="D299" s="3146"/>
      <c r="E299" s="3175"/>
      <c r="F299" s="3258" t="s">
        <v>116</v>
      </c>
      <c r="G299" s="3145" t="s">
        <v>2252</v>
      </c>
      <c r="H299" s="3151" t="s">
        <v>2242</v>
      </c>
      <c r="I299" s="3155" t="s">
        <v>116</v>
      </c>
      <c r="J299" s="3137" t="s">
        <v>1282</v>
      </c>
      <c r="K299" s="3171"/>
      <c r="L299" s="3173"/>
      <c r="M299" s="3154" t="s">
        <v>116</v>
      </c>
      <c r="N299" s="3137" t="s">
        <v>1293</v>
      </c>
      <c r="O299" s="3153"/>
      <c r="P299" s="3153"/>
      <c r="Q299" s="3153"/>
      <c r="R299" s="3153"/>
      <c r="S299" s="3153"/>
      <c r="T299" s="3153"/>
      <c r="U299" s="3153"/>
      <c r="V299" s="3153"/>
      <c r="W299" s="3153"/>
      <c r="X299" s="3152"/>
      <c r="Y299" s="3293"/>
      <c r="Z299" s="1201"/>
      <c r="AA299" s="1201"/>
      <c r="AB299" s="1202"/>
      <c r="AC299" s="3333"/>
      <c r="AD299" s="3333"/>
      <c r="AE299" s="3333"/>
      <c r="AF299" s="3333"/>
      <c r="AI299" s="3120" t="str">
        <f>"23:ryokan_code:" &amp; IF(I299="■",1,IF(M299="■",2,0))</f>
        <v>23:ryokan_code:0</v>
      </c>
    </row>
    <row r="300" spans="1:36" s="3120" customFormat="1" ht="18.75" hidden="1" customHeight="1" x14ac:dyDescent="0.2">
      <c r="A300" s="834"/>
      <c r="B300" s="3148"/>
      <c r="C300" s="3147"/>
      <c r="D300" s="3146"/>
      <c r="E300" s="3175"/>
      <c r="F300" s="3146"/>
      <c r="G300" s="3145" t="s">
        <v>2233</v>
      </c>
      <c r="H300" s="3151" t="s">
        <v>2241</v>
      </c>
      <c r="I300" s="3155" t="s">
        <v>116</v>
      </c>
      <c r="J300" s="3137" t="s">
        <v>2240</v>
      </c>
      <c r="K300" s="3171"/>
      <c r="L300" s="3173"/>
      <c r="M300" s="3154" t="s">
        <v>116</v>
      </c>
      <c r="N300" s="3137" t="s">
        <v>2239</v>
      </c>
      <c r="O300" s="3150"/>
      <c r="P300" s="3150"/>
      <c r="Q300" s="3150"/>
      <c r="R300" s="3153"/>
      <c r="S300" s="3150"/>
      <c r="T300" s="3150"/>
      <c r="U300" s="3150"/>
      <c r="V300" s="3150"/>
      <c r="W300" s="3150"/>
      <c r="X300" s="3149"/>
      <c r="Y300" s="3293"/>
      <c r="Z300" s="1201"/>
      <c r="AA300" s="1201"/>
      <c r="AB300" s="1202"/>
      <c r="AC300" s="3333"/>
      <c r="AD300" s="3333"/>
      <c r="AE300" s="3333"/>
      <c r="AF300" s="3333"/>
      <c r="AI300" s="3120" t="str">
        <f>"23:doctor_haiti_code:" &amp; IF(I300="■",1,IF(M300="■",2,0))</f>
        <v>23:doctor_haiti_code:0</v>
      </c>
    </row>
    <row r="301" spans="1:36" s="3120" customFormat="1" ht="18.75" hidden="1" customHeight="1" x14ac:dyDescent="0.2">
      <c r="A301" s="834"/>
      <c r="B301" s="3148"/>
      <c r="C301" s="3147"/>
      <c r="D301" s="3146"/>
      <c r="E301" s="3175"/>
      <c r="F301" s="3258" t="s">
        <v>116</v>
      </c>
      <c r="G301" s="3145" t="s">
        <v>2251</v>
      </c>
      <c r="H301" s="3151" t="s">
        <v>1256</v>
      </c>
      <c r="I301" s="3155" t="s">
        <v>116</v>
      </c>
      <c r="J301" s="3137" t="s">
        <v>1230</v>
      </c>
      <c r="K301" s="3171"/>
      <c r="L301" s="3154" t="s">
        <v>116</v>
      </c>
      <c r="M301" s="3137" t="s">
        <v>1233</v>
      </c>
      <c r="N301" s="3150"/>
      <c r="O301" s="3150"/>
      <c r="P301" s="3150"/>
      <c r="Q301" s="3150"/>
      <c r="R301" s="3150"/>
      <c r="S301" s="3150"/>
      <c r="T301" s="3150"/>
      <c r="U301" s="3150"/>
      <c r="V301" s="3150"/>
      <c r="W301" s="3150"/>
      <c r="X301" s="3149"/>
      <c r="Y301" s="3293"/>
      <c r="Z301" s="1201"/>
      <c r="AA301" s="1201"/>
      <c r="AB301" s="1202"/>
      <c r="AC301" s="3333"/>
      <c r="AD301" s="3333"/>
      <c r="AE301" s="3333"/>
      <c r="AF301" s="3333"/>
      <c r="AI301" s="3120" t="str">
        <f>"23:jyakuninti_uke_code:" &amp; IF(I301="■",1,IF(L301="■",2,0))</f>
        <v>23:jyakuninti_uke_code:0</v>
      </c>
    </row>
    <row r="302" spans="1:36" s="3120" customFormat="1" ht="18.75" hidden="1" customHeight="1" x14ac:dyDescent="0.2">
      <c r="A302" s="834"/>
      <c r="B302" s="3148"/>
      <c r="C302" s="3147"/>
      <c r="D302" s="3146"/>
      <c r="E302" s="3145"/>
      <c r="F302" s="3146"/>
      <c r="G302" s="3145" t="s">
        <v>2250</v>
      </c>
      <c r="H302" s="3151" t="s">
        <v>1284</v>
      </c>
      <c r="I302" s="3155" t="s">
        <v>116</v>
      </c>
      <c r="J302" s="3137" t="s">
        <v>1240</v>
      </c>
      <c r="K302" s="3171"/>
      <c r="L302" s="3173"/>
      <c r="M302" s="3154" t="s">
        <v>116</v>
      </c>
      <c r="N302" s="3137" t="s">
        <v>1241</v>
      </c>
      <c r="O302" s="3150"/>
      <c r="P302" s="3150"/>
      <c r="Q302" s="3150"/>
      <c r="R302" s="3150"/>
      <c r="S302" s="3150"/>
      <c r="T302" s="3150"/>
      <c r="U302" s="3150"/>
      <c r="V302" s="3150"/>
      <c r="W302" s="3150"/>
      <c r="X302" s="3149"/>
      <c r="Y302" s="3293"/>
      <c r="Z302" s="1201"/>
      <c r="AA302" s="1201"/>
      <c r="AB302" s="1202"/>
      <c r="AC302" s="3333"/>
      <c r="AD302" s="3333"/>
      <c r="AE302" s="3333"/>
      <c r="AF302" s="3333"/>
      <c r="AI302" s="3120" t="str">
        <f>"23:sougei_code:" &amp; IF(I302="■",1,IF(M302="■",2,0))</f>
        <v>23:sougei_code:0</v>
      </c>
    </row>
    <row r="303" spans="1:36" s="3120" customFormat="1" ht="19.5" hidden="1" customHeight="1" x14ac:dyDescent="0.2">
      <c r="A303" s="834"/>
      <c r="B303" s="3148"/>
      <c r="C303" s="3147"/>
      <c r="D303" s="3146"/>
      <c r="E303" s="3175"/>
      <c r="F303" s="3258" t="s">
        <v>116</v>
      </c>
      <c r="G303" s="3145" t="s">
        <v>2249</v>
      </c>
      <c r="H303" s="3174" t="s">
        <v>1236</v>
      </c>
      <c r="I303" s="3155" t="s">
        <v>116</v>
      </c>
      <c r="J303" s="3137" t="s">
        <v>1230</v>
      </c>
      <c r="K303" s="3137"/>
      <c r="L303" s="3154" t="s">
        <v>116</v>
      </c>
      <c r="M303" s="3137" t="s">
        <v>1233</v>
      </c>
      <c r="N303" s="3137"/>
      <c r="O303" s="3150"/>
      <c r="P303" s="3137"/>
      <c r="Q303" s="3150"/>
      <c r="R303" s="3150"/>
      <c r="S303" s="3150"/>
      <c r="T303" s="3150"/>
      <c r="U303" s="3150"/>
      <c r="V303" s="3150"/>
      <c r="W303" s="3150"/>
      <c r="X303" s="3149"/>
      <c r="Y303" s="1201"/>
      <c r="Z303" s="1201"/>
      <c r="AA303" s="1201"/>
      <c r="AB303" s="1202"/>
      <c r="AC303" s="3333"/>
      <c r="AD303" s="3333"/>
      <c r="AE303" s="3333"/>
      <c r="AF303" s="3333"/>
      <c r="AI303" s="3120" t="str">
        <f>"23:field224:" &amp; IF(I303="■",1,IF(L303="■",2,0))</f>
        <v>23:field224:0</v>
      </c>
    </row>
    <row r="304" spans="1:36" s="3120" customFormat="1" ht="18.75" hidden="1" customHeight="1" x14ac:dyDescent="0.2">
      <c r="A304" s="3158" t="s">
        <v>116</v>
      </c>
      <c r="B304" s="3148">
        <v>23</v>
      </c>
      <c r="C304" s="3147" t="s">
        <v>924</v>
      </c>
      <c r="D304" s="3258" t="s">
        <v>116</v>
      </c>
      <c r="E304" s="3175" t="s">
        <v>2248</v>
      </c>
      <c r="F304" s="3146"/>
      <c r="G304" s="3145" t="s">
        <v>2227</v>
      </c>
      <c r="H304" s="3151" t="s">
        <v>140</v>
      </c>
      <c r="I304" s="3155" t="s">
        <v>116</v>
      </c>
      <c r="J304" s="3137" t="s">
        <v>1230</v>
      </c>
      <c r="K304" s="3171"/>
      <c r="L304" s="3154" t="s">
        <v>116</v>
      </c>
      <c r="M304" s="3137" t="s">
        <v>1233</v>
      </c>
      <c r="N304" s="3150"/>
      <c r="O304" s="3150"/>
      <c r="P304" s="3150"/>
      <c r="Q304" s="3150"/>
      <c r="R304" s="3150"/>
      <c r="S304" s="3150"/>
      <c r="T304" s="3150"/>
      <c r="U304" s="3150"/>
      <c r="V304" s="3150"/>
      <c r="W304" s="3150"/>
      <c r="X304" s="3149"/>
      <c r="Y304" s="3293"/>
      <c r="Z304" s="1201"/>
      <c r="AA304" s="1201"/>
      <c r="AB304" s="1202"/>
      <c r="AC304" s="3333"/>
      <c r="AD304" s="3333"/>
      <c r="AE304" s="3333"/>
      <c r="AF304" s="3333"/>
      <c r="AI304" s="3120" t="str">
        <f>"23:ryouyoushoku_code:" &amp; IF(I304="■",1,IF(L304="■",2,0))</f>
        <v>23:ryouyoushoku_code:0</v>
      </c>
    </row>
    <row r="305" spans="1:36" s="3120" customFormat="1" ht="18.75" hidden="1" customHeight="1" x14ac:dyDescent="0.2">
      <c r="A305" s="834"/>
      <c r="B305" s="3148"/>
      <c r="C305" s="3147"/>
      <c r="D305" s="3197"/>
      <c r="E305" s="3175"/>
      <c r="F305" s="3258" t="s">
        <v>116</v>
      </c>
      <c r="G305" s="3145" t="s">
        <v>2247</v>
      </c>
      <c r="H305" s="3151" t="s">
        <v>2219</v>
      </c>
      <c r="I305" s="3155" t="s">
        <v>116</v>
      </c>
      <c r="J305" s="3137" t="s">
        <v>1230</v>
      </c>
      <c r="K305" s="3137"/>
      <c r="L305" s="3154" t="s">
        <v>116</v>
      </c>
      <c r="M305" s="3137" t="s">
        <v>1231</v>
      </c>
      <c r="N305" s="3137"/>
      <c r="O305" s="3154" t="s">
        <v>116</v>
      </c>
      <c r="P305" s="3137" t="s">
        <v>1232</v>
      </c>
      <c r="Q305" s="3150"/>
      <c r="R305" s="3150"/>
      <c r="S305" s="3150"/>
      <c r="T305" s="3150"/>
      <c r="U305" s="3150"/>
      <c r="V305" s="3150"/>
      <c r="W305" s="3150"/>
      <c r="X305" s="3149"/>
      <c r="Y305" s="3293"/>
      <c r="Z305" s="1201"/>
      <c r="AA305" s="1201"/>
      <c r="AB305" s="1202"/>
      <c r="AC305" s="3333"/>
      <c r="AD305" s="3333"/>
      <c r="AE305" s="3333"/>
      <c r="AF305" s="3333"/>
      <c r="AI305" s="3120" t="str">
        <f>"23:ninti_senmoncare_code:" &amp; IF(I305="■",1,IF(O305="■",3,IF(L305="■",2,0)))</f>
        <v>23:ninti_senmoncare_code:0</v>
      </c>
    </row>
    <row r="306" spans="1:36" s="3120" customFormat="1" ht="18.75" hidden="1" customHeight="1" x14ac:dyDescent="0.2">
      <c r="A306" s="834"/>
      <c r="B306" s="3148"/>
      <c r="C306" s="3147"/>
      <c r="D306" s="3146"/>
      <c r="E306" s="3175"/>
      <c r="F306" s="3146"/>
      <c r="G306" s="3145" t="s">
        <v>2233</v>
      </c>
      <c r="H306" s="3296" t="s">
        <v>1285</v>
      </c>
      <c r="I306" s="3155" t="s">
        <v>116</v>
      </c>
      <c r="J306" s="3137" t="s">
        <v>1230</v>
      </c>
      <c r="K306" s="3137"/>
      <c r="L306" s="3154" t="s">
        <v>116</v>
      </c>
      <c r="M306" s="3137" t="s">
        <v>1231</v>
      </c>
      <c r="N306" s="3137"/>
      <c r="O306" s="3154" t="s">
        <v>116</v>
      </c>
      <c r="P306" s="3137" t="s">
        <v>1232</v>
      </c>
      <c r="Q306" s="3150"/>
      <c r="R306" s="3150"/>
      <c r="S306" s="3150"/>
      <c r="T306" s="3150"/>
      <c r="U306" s="3209"/>
      <c r="V306" s="3209"/>
      <c r="W306" s="3209"/>
      <c r="X306" s="3208"/>
      <c r="Y306" s="3293"/>
      <c r="Z306" s="1201"/>
      <c r="AA306" s="1201"/>
      <c r="AB306" s="1202"/>
      <c r="AC306" s="3333"/>
      <c r="AD306" s="3333"/>
      <c r="AE306" s="3333"/>
      <c r="AF306" s="3333"/>
      <c r="AI306" s="3120" t="str">
        <f>"23:field225:" &amp; IF(I306="■",1,IF(L306="■",2,IF(O306="■",3,0)))</f>
        <v>23:field225:0</v>
      </c>
    </row>
    <row r="307" spans="1:36" s="3120" customFormat="1" ht="18.75" hidden="1" customHeight="1" x14ac:dyDescent="0.2">
      <c r="A307" s="834"/>
      <c r="B307" s="3148"/>
      <c r="C307" s="3147"/>
      <c r="D307" s="3146"/>
      <c r="E307" s="3175"/>
      <c r="F307" s="3258" t="s">
        <v>116</v>
      </c>
      <c r="G307" s="3145" t="s">
        <v>2246</v>
      </c>
      <c r="H307" s="3304" t="s">
        <v>2228</v>
      </c>
      <c r="I307" s="3303" t="s">
        <v>116</v>
      </c>
      <c r="J307" s="3302" t="s">
        <v>1287</v>
      </c>
      <c r="K307" s="3302"/>
      <c r="L307" s="3209"/>
      <c r="M307" s="3209"/>
      <c r="N307" s="3209"/>
      <c r="O307" s="3209"/>
      <c r="P307" s="3301" t="s">
        <v>116</v>
      </c>
      <c r="Q307" s="3302" t="s">
        <v>1288</v>
      </c>
      <c r="R307" s="3209"/>
      <c r="S307" s="3209"/>
      <c r="T307" s="3209"/>
      <c r="U307" s="3209"/>
      <c r="V307" s="3209"/>
      <c r="W307" s="3209"/>
      <c r="X307" s="3208"/>
      <c r="Y307" s="3293"/>
      <c r="Z307" s="1201"/>
      <c r="AA307" s="1201"/>
      <c r="AB307" s="1202"/>
      <c r="AC307" s="3333"/>
      <c r="AD307" s="3333"/>
      <c r="AE307" s="3333"/>
      <c r="AF307" s="3333"/>
      <c r="AI307" s="3120" t="str">
        <f>"23:" &amp; IF(AND(I307="□",P307="□",I308="□"),"tokusin_jyusho_code:0:tokusin_yakuzai_code:0:shuudan_comu_code:0",IF(I307="■","tokusin_jyusho_code:2","tokusin_jyusho_code:1")
&amp;IF(P307="■",":tokusin_yakuzai_code:2",":tokusin_yakuzai_code:1")
&amp;IF(I308="■",":shuudan_comu_code:2",":shuudan_comu_code:1"))</f>
        <v>23:tokusin_jyusho_code:0:tokusin_yakuzai_code:0:shuudan_comu_code:0</v>
      </c>
    </row>
    <row r="308" spans="1:36" s="3120" customFormat="1" ht="18.75" hidden="1" customHeight="1" x14ac:dyDescent="0.2">
      <c r="A308" s="834"/>
      <c r="B308" s="3148"/>
      <c r="C308" s="3147"/>
      <c r="D308" s="3146"/>
      <c r="E308" s="3175"/>
      <c r="F308" s="3146"/>
      <c r="G308" s="3145" t="s">
        <v>2245</v>
      </c>
      <c r="H308" s="3300"/>
      <c r="I308" s="3141" t="s">
        <v>116</v>
      </c>
      <c r="J308" s="3139" t="s">
        <v>1294</v>
      </c>
      <c r="K308" s="3207"/>
      <c r="L308" s="3207"/>
      <c r="M308" s="3207"/>
      <c r="N308" s="3207"/>
      <c r="O308" s="3207"/>
      <c r="P308" s="3207"/>
      <c r="Q308" s="3162"/>
      <c r="R308" s="3207"/>
      <c r="S308" s="3207"/>
      <c r="T308" s="3207"/>
      <c r="U308" s="3207"/>
      <c r="V308" s="3207"/>
      <c r="W308" s="3207"/>
      <c r="X308" s="3206"/>
      <c r="Y308" s="3293"/>
      <c r="Z308" s="1201"/>
      <c r="AA308" s="1201"/>
      <c r="AB308" s="1202"/>
      <c r="AC308" s="3333"/>
      <c r="AD308" s="3333"/>
      <c r="AE308" s="3333"/>
      <c r="AF308" s="3333"/>
    </row>
    <row r="309" spans="1:36" s="3120" customFormat="1" ht="18.75" hidden="1" customHeight="1" x14ac:dyDescent="0.2">
      <c r="A309" s="834"/>
      <c r="B309" s="3148"/>
      <c r="C309" s="3147"/>
      <c r="D309" s="3146"/>
      <c r="E309" s="3175"/>
      <c r="F309" s="3258" t="s">
        <v>116</v>
      </c>
      <c r="G309" s="3145" t="s">
        <v>2244</v>
      </c>
      <c r="H309" s="3304" t="s">
        <v>2215</v>
      </c>
      <c r="I309" s="3303" t="s">
        <v>116</v>
      </c>
      <c r="J309" s="3302" t="s">
        <v>1295</v>
      </c>
      <c r="K309" s="3317"/>
      <c r="L309" s="3316"/>
      <c r="M309" s="3301" t="s">
        <v>116</v>
      </c>
      <c r="N309" s="3302" t="s">
        <v>1296</v>
      </c>
      <c r="O309" s="3209"/>
      <c r="P309" s="3209"/>
      <c r="Q309" s="3301" t="s">
        <v>116</v>
      </c>
      <c r="R309" s="3302" t="s">
        <v>1297</v>
      </c>
      <c r="S309" s="3209"/>
      <c r="T309" s="3209"/>
      <c r="U309" s="3209"/>
      <c r="V309" s="3209"/>
      <c r="W309" s="3209"/>
      <c r="X309" s="3208"/>
      <c r="Y309" s="3293"/>
      <c r="Z309" s="1201"/>
      <c r="AA309" s="1201"/>
      <c r="AB309" s="1202"/>
      <c r="AC309" s="3333"/>
      <c r="AD309" s="3333"/>
      <c r="AE309" s="3333"/>
      <c r="AF309" s="3333"/>
      <c r="AI309" s="3120" t="str">
        <f>"23:"&amp;IF(AND(I309="□",M309="□",Q309="□",I310="□",Q310="□"),"koriha_rryoho1_code:0:koriha_sryoho_code:0:koriha_gengo_code:0:riha_seisin_code:0:koriha_other_code:0",IF(I309="■","koriha_rryoho1_code:2","koriha_rryoho1_code:1")
&amp;IF(M309="■",":koriha_sryoho_code:2",":koriha_sryoho_code:1")
&amp;IF(Q309="■",":koriha_gengo_code:2",":koriha_gengo_code:1")
&amp;IF(I310="■",":riha_seisin_code:2",":riha_seisin_code:1")
&amp;IF(Q310="■",":koriha_other_code:2",":koriha_other_code:1"))</f>
        <v>23:koriha_rryoho1_code:0:koriha_sryoho_code:0:koriha_gengo_code:0:riha_seisin_code:0:koriha_other_code:0</v>
      </c>
    </row>
    <row r="310" spans="1:36" s="3120" customFormat="1" ht="18.75" hidden="1" customHeight="1" x14ac:dyDescent="0.2">
      <c r="A310" s="834"/>
      <c r="B310" s="3148"/>
      <c r="C310" s="3147"/>
      <c r="D310" s="3146"/>
      <c r="E310" s="3175"/>
      <c r="F310" s="3144"/>
      <c r="G310" s="3145"/>
      <c r="H310" s="3300"/>
      <c r="I310" s="3141" t="s">
        <v>116</v>
      </c>
      <c r="J310" s="3139" t="s">
        <v>1298</v>
      </c>
      <c r="K310" s="3207"/>
      <c r="L310" s="3207"/>
      <c r="M310" s="3207"/>
      <c r="N310" s="3207"/>
      <c r="O310" s="3207"/>
      <c r="P310" s="3207"/>
      <c r="Q310" s="3140" t="s">
        <v>116</v>
      </c>
      <c r="R310" s="3139" t="s">
        <v>1299</v>
      </c>
      <c r="S310" s="3162"/>
      <c r="T310" s="3207"/>
      <c r="U310" s="3207"/>
      <c r="V310" s="3207"/>
      <c r="W310" s="3207"/>
      <c r="X310" s="3206"/>
      <c r="Y310" s="3293"/>
      <c r="Z310" s="1201"/>
      <c r="AA310" s="1201"/>
      <c r="AB310" s="1202"/>
      <c r="AC310" s="3333"/>
      <c r="AD310" s="3333"/>
      <c r="AE310" s="3333"/>
      <c r="AF310" s="3333"/>
    </row>
    <row r="311" spans="1:36" s="3120" customFormat="1" ht="18.75" hidden="1" customHeight="1" x14ac:dyDescent="0.2">
      <c r="A311" s="834"/>
      <c r="B311" s="3148"/>
      <c r="C311" s="3147"/>
      <c r="D311" s="3146"/>
      <c r="E311" s="3175"/>
      <c r="F311" s="3144"/>
      <c r="G311" s="3145"/>
      <c r="H311" s="3159" t="s">
        <v>238</v>
      </c>
      <c r="I311" s="3155" t="s">
        <v>116</v>
      </c>
      <c r="J311" s="3137" t="s">
        <v>1230</v>
      </c>
      <c r="K311" s="3137"/>
      <c r="L311" s="3154" t="s">
        <v>116</v>
      </c>
      <c r="M311" s="3137" t="s">
        <v>1259</v>
      </c>
      <c r="N311" s="3137"/>
      <c r="O311" s="3154" t="s">
        <v>116</v>
      </c>
      <c r="P311" s="3137" t="s">
        <v>1260</v>
      </c>
      <c r="Q311" s="3153"/>
      <c r="R311" s="3154" t="s">
        <v>116</v>
      </c>
      <c r="S311" s="3137" t="s">
        <v>1261</v>
      </c>
      <c r="T311" s="3153"/>
      <c r="U311" s="3153"/>
      <c r="V311" s="3153"/>
      <c r="W311" s="3153"/>
      <c r="X311" s="3152"/>
      <c r="Y311" s="3293"/>
      <c r="Z311" s="1201"/>
      <c r="AA311" s="1201"/>
      <c r="AB311" s="1202"/>
      <c r="AC311" s="3333"/>
      <c r="AD311" s="3333"/>
      <c r="AE311" s="3333"/>
      <c r="AF311" s="3333"/>
      <c r="AI311" s="3120" t="str">
        <f>"23:serteikyo_kyoka_code:" &amp; IF(I311="■",1,IF(L311="■",6,IF(O311="■",5,IF(R311="■",7,0))))</f>
        <v>23:serteikyo_kyoka_code:0</v>
      </c>
    </row>
    <row r="312" spans="1:36" s="3120" customFormat="1" ht="18.75" hidden="1" customHeight="1" x14ac:dyDescent="0.2">
      <c r="A312" s="834"/>
      <c r="B312" s="3148"/>
      <c r="C312" s="3147"/>
      <c r="D312" s="3146"/>
      <c r="E312" s="3175"/>
      <c r="F312" s="3144"/>
      <c r="G312" s="3145"/>
      <c r="H312" s="3170" t="s">
        <v>2058</v>
      </c>
      <c r="I312" s="3348" t="s">
        <v>116</v>
      </c>
      <c r="J312" s="3347" t="s">
        <v>1230</v>
      </c>
      <c r="K312" s="3347"/>
      <c r="L312" s="3346" t="s">
        <v>116</v>
      </c>
      <c r="M312" s="3347" t="s">
        <v>1233</v>
      </c>
      <c r="N312" s="3347"/>
      <c r="O312" s="3302"/>
      <c r="P312" s="3302"/>
      <c r="Q312" s="3302"/>
      <c r="R312" s="3302"/>
      <c r="S312" s="3302"/>
      <c r="T312" s="3302"/>
      <c r="U312" s="3302"/>
      <c r="V312" s="3302"/>
      <c r="W312" s="3302"/>
      <c r="X312" s="3335"/>
      <c r="Y312" s="3293"/>
      <c r="Z312" s="1201"/>
      <c r="AA312" s="1201"/>
      <c r="AB312" s="1202"/>
      <c r="AC312" s="3333"/>
      <c r="AD312" s="3333"/>
      <c r="AE312" s="3333"/>
      <c r="AF312" s="3333"/>
      <c r="AI312" s="3120" t="str">
        <f>"23:field221:" &amp; IF(I312="■",1,IF(L312="■",2,0))</f>
        <v>23:field221:0</v>
      </c>
    </row>
    <row r="313" spans="1:36" s="3120" customFormat="1" ht="18.75" hidden="1" customHeight="1" x14ac:dyDescent="0.2">
      <c r="A313" s="834"/>
      <c r="B313" s="3148"/>
      <c r="C313" s="3147"/>
      <c r="D313" s="3146"/>
      <c r="E313" s="3175"/>
      <c r="F313" s="3144"/>
      <c r="G313" s="3145"/>
      <c r="H313" s="3165"/>
      <c r="I313" s="3348"/>
      <c r="J313" s="3347"/>
      <c r="K313" s="3347"/>
      <c r="L313" s="3346"/>
      <c r="M313" s="3347"/>
      <c r="N313" s="3347"/>
      <c r="O313" s="3139"/>
      <c r="P313" s="3139"/>
      <c r="Q313" s="3139"/>
      <c r="R313" s="3139"/>
      <c r="S313" s="3139"/>
      <c r="T313" s="3139"/>
      <c r="U313" s="3139"/>
      <c r="V313" s="3139"/>
      <c r="W313" s="3139"/>
      <c r="X313" s="3195"/>
      <c r="Y313" s="3293"/>
      <c r="Z313" s="1201"/>
      <c r="AA313" s="1201"/>
      <c r="AB313" s="1202"/>
      <c r="AC313" s="3333"/>
      <c r="AD313" s="3333"/>
      <c r="AE313" s="3333"/>
      <c r="AF313" s="3333"/>
    </row>
    <row r="314" spans="1:36" s="3120" customFormat="1" ht="18.75" hidden="1" customHeight="1" x14ac:dyDescent="0.2">
      <c r="A314" s="834"/>
      <c r="B314" s="3148"/>
      <c r="C314" s="3147"/>
      <c r="D314" s="3146"/>
      <c r="E314" s="3145"/>
      <c r="F314" s="3144"/>
      <c r="G314" s="3145"/>
      <c r="H314" s="3331" t="s">
        <v>2129</v>
      </c>
      <c r="I314" s="3303" t="s">
        <v>116</v>
      </c>
      <c r="J314" s="3327" t="s">
        <v>1230</v>
      </c>
      <c r="K314" s="3327"/>
      <c r="L314" s="3301" t="s">
        <v>116</v>
      </c>
      <c r="M314" s="3327" t="s">
        <v>2128</v>
      </c>
      <c r="N314" s="3330"/>
      <c r="O314" s="3301" t="s">
        <v>116</v>
      </c>
      <c r="P314" s="3329" t="s">
        <v>2127</v>
      </c>
      <c r="Q314" s="3328"/>
      <c r="R314" s="3301" t="s">
        <v>116</v>
      </c>
      <c r="S314" s="3327" t="s">
        <v>2126</v>
      </c>
      <c r="T314" s="3328"/>
      <c r="U314" s="3301" t="s">
        <v>116</v>
      </c>
      <c r="V314" s="3327" t="s">
        <v>2125</v>
      </c>
      <c r="W314" s="3326"/>
      <c r="X314" s="3325"/>
      <c r="Y314" s="1201"/>
      <c r="Z314" s="1201"/>
      <c r="AA314" s="1201"/>
      <c r="AB314" s="1202"/>
      <c r="AC314" s="3333"/>
      <c r="AD314" s="3333"/>
      <c r="AE314" s="3333"/>
      <c r="AF314" s="3333"/>
      <c r="AI314" s="3120" t="str">
        <f>"23:shoguukaizen_code:"&amp;IF(I314="■",1,IF(L314="■",7,IF(O314="■",8,IF(R314="■",9,IF(U314="■","A",0)))))</f>
        <v>23:shoguukaizen_code:0</v>
      </c>
    </row>
    <row r="315" spans="1:36" s="3120" customFormat="1" ht="18.75" hidden="1" customHeight="1" x14ac:dyDescent="0.2">
      <c r="A315" s="3188"/>
      <c r="B315" s="3187"/>
      <c r="C315" s="3229"/>
      <c r="D315" s="3228"/>
      <c r="E315" s="3185"/>
      <c r="F315" s="3184"/>
      <c r="G315" s="3185"/>
      <c r="H315" s="3265" t="s">
        <v>1286</v>
      </c>
      <c r="I315" s="3253" t="s">
        <v>116</v>
      </c>
      <c r="J315" s="3252" t="s">
        <v>1282</v>
      </c>
      <c r="K315" s="3311"/>
      <c r="L315" s="3386"/>
      <c r="M315" s="3310" t="s">
        <v>116</v>
      </c>
      <c r="N315" s="3252" t="s">
        <v>1289</v>
      </c>
      <c r="O315" s="3309"/>
      <c r="P315" s="3309"/>
      <c r="Q315" s="3310" t="s">
        <v>116</v>
      </c>
      <c r="R315" s="3252" t="s">
        <v>1290</v>
      </c>
      <c r="S315" s="3309"/>
      <c r="T315" s="3309"/>
      <c r="U315" s="3310" t="s">
        <v>116</v>
      </c>
      <c r="V315" s="3252" t="s">
        <v>1291</v>
      </c>
      <c r="W315" s="3309"/>
      <c r="X315" s="3266"/>
      <c r="Y315" s="3310" t="s">
        <v>116</v>
      </c>
      <c r="Z315" s="3252" t="s">
        <v>1225</v>
      </c>
      <c r="AA315" s="3252"/>
      <c r="AB315" s="3308"/>
      <c r="AC315" s="3338"/>
      <c r="AD315" s="3338"/>
      <c r="AE315" s="3338"/>
      <c r="AF315" s="3338"/>
      <c r="AG315" s="3120" t="str">
        <f>"ser_code = '" &amp; IF(A326="■",23,"") &amp; "'"</f>
        <v>ser_code = ''</v>
      </c>
      <c r="AH315" s="3120" t="str">
        <f>"23:jininkbn_code:" &amp; IF(F324="■",1,IF(F326="■",2,IF(F328="■",3,0)))</f>
        <v>23:jininkbn_code:0</v>
      </c>
      <c r="AI315" s="3120" t="str">
        <f>"23:yakan_kinmu_code:" &amp; IF(I315="■",1,IF(M315="■",2,IF(Q315="■",3,IF(U315="■",7,IF(I316="■",5,IF(M316="■",6,0))))))</f>
        <v>23:yakan_kinmu_code:0</v>
      </c>
      <c r="AJ315" s="3120" t="str">
        <f>"23:field203:" &amp; IF(Y315="■",1,IF(Y316="■",2,0))</f>
        <v>23:field203:0</v>
      </c>
    </row>
    <row r="316" spans="1:36" s="3120" customFormat="1" ht="18.75" hidden="1" customHeight="1" x14ac:dyDescent="0.2">
      <c r="A316" s="834"/>
      <c r="B316" s="3148"/>
      <c r="C316" s="3147"/>
      <c r="D316" s="3146"/>
      <c r="E316" s="3145"/>
      <c r="F316" s="3144"/>
      <c r="G316" s="3145"/>
      <c r="H316" s="3300"/>
      <c r="I316" s="3141" t="s">
        <v>116</v>
      </c>
      <c r="J316" s="3139" t="s">
        <v>1292</v>
      </c>
      <c r="K316" s="3138"/>
      <c r="L316" s="3385"/>
      <c r="M316" s="3140" t="s">
        <v>116</v>
      </c>
      <c r="N316" s="3139" t="s">
        <v>1283</v>
      </c>
      <c r="O316" s="3162"/>
      <c r="P316" s="3162"/>
      <c r="Q316" s="3162"/>
      <c r="R316" s="3162"/>
      <c r="S316" s="3162"/>
      <c r="T316" s="3162"/>
      <c r="U316" s="3162"/>
      <c r="V316" s="3162"/>
      <c r="W316" s="3162"/>
      <c r="X316" s="3161"/>
      <c r="Y316" s="3258" t="s">
        <v>116</v>
      </c>
      <c r="Z316" s="1200" t="s">
        <v>1226</v>
      </c>
      <c r="AA316" s="1201"/>
      <c r="AB316" s="1202"/>
      <c r="AC316" s="3349"/>
      <c r="AD316" s="3349"/>
      <c r="AE316" s="3349"/>
      <c r="AF316" s="3349"/>
      <c r="AG316" s="3120" t="str">
        <f>"23:sisetukbn_code:" &amp; IF(D326="■",6,0)</f>
        <v>23:sisetukbn_code:0</v>
      </c>
    </row>
    <row r="317" spans="1:36" s="3120" customFormat="1" ht="18.75" hidden="1" customHeight="1" x14ac:dyDescent="0.2">
      <c r="A317" s="834"/>
      <c r="B317" s="3148"/>
      <c r="C317" s="3147"/>
      <c r="D317" s="3146"/>
      <c r="E317" s="3145"/>
      <c r="F317" s="3144"/>
      <c r="G317" s="3145"/>
      <c r="H317" s="3151" t="s">
        <v>90</v>
      </c>
      <c r="I317" s="3155" t="s">
        <v>116</v>
      </c>
      <c r="J317" s="3137" t="s">
        <v>1230</v>
      </c>
      <c r="K317" s="3137"/>
      <c r="L317" s="3173"/>
      <c r="M317" s="3154" t="s">
        <v>116</v>
      </c>
      <c r="N317" s="3137" t="s">
        <v>1262</v>
      </c>
      <c r="O317" s="3137"/>
      <c r="P317" s="3173"/>
      <c r="Q317" s="3154" t="s">
        <v>116</v>
      </c>
      <c r="R317" s="3153" t="s">
        <v>1263</v>
      </c>
      <c r="S317" s="3153"/>
      <c r="T317" s="3153"/>
      <c r="U317" s="3154" t="s">
        <v>116</v>
      </c>
      <c r="V317" s="3153" t="s">
        <v>1264</v>
      </c>
      <c r="W317" s="3150"/>
      <c r="X317" s="3149"/>
      <c r="Y317" s="3293"/>
      <c r="Z317" s="1201"/>
      <c r="AA317" s="1201"/>
      <c r="AB317" s="1202"/>
      <c r="AC317" s="3333"/>
      <c r="AD317" s="3333"/>
      <c r="AE317" s="3333"/>
      <c r="AF317" s="3333"/>
      <c r="AI317" s="3120" t="str">
        <f>"23:"&amp;IF(AND(I317="□",M317="□",Q317="□",U317="□"),"ketu_doctor_code:0",IF(I317="■","ketu_doctor_code:1:ketu_kangos_code:1:ketu_kshoku_code:1",
IF(M317="■","ketu_doctor_code:2","ketu_doctor_code:1")
&amp;IF(Q317="■",":ketu_kangos_code:2",":ketu_kangos_code:1")
&amp;IF(U317="■",":ketu_kshoku_code:2",":ketu_kshoku_code:1")))</f>
        <v>23:ketu_doctor_code:0</v>
      </c>
    </row>
    <row r="318" spans="1:36" s="3120" customFormat="1" ht="18.75" hidden="1" customHeight="1" x14ac:dyDescent="0.2">
      <c r="A318" s="834"/>
      <c r="B318" s="3148"/>
      <c r="C318" s="3147"/>
      <c r="D318" s="3146"/>
      <c r="E318" s="3145"/>
      <c r="F318" s="3144"/>
      <c r="G318" s="3145"/>
      <c r="H318" s="3151" t="s">
        <v>91</v>
      </c>
      <c r="I318" s="3155" t="s">
        <v>116</v>
      </c>
      <c r="J318" s="3137" t="s">
        <v>1240</v>
      </c>
      <c r="K318" s="3171"/>
      <c r="L318" s="3173"/>
      <c r="M318" s="3154" t="s">
        <v>116</v>
      </c>
      <c r="N318" s="3137" t="s">
        <v>1241</v>
      </c>
      <c r="O318" s="3150"/>
      <c r="P318" s="3150"/>
      <c r="Q318" s="3150"/>
      <c r="R318" s="3150"/>
      <c r="S318" s="3150"/>
      <c r="T318" s="3150"/>
      <c r="U318" s="3150"/>
      <c r="V318" s="3150"/>
      <c r="W318" s="3150"/>
      <c r="X318" s="3149"/>
      <c r="Y318" s="3293"/>
      <c r="Z318" s="1201"/>
      <c r="AA318" s="1201"/>
      <c r="AB318" s="1202"/>
      <c r="AC318" s="3333"/>
      <c r="AD318" s="3333"/>
      <c r="AE318" s="3333"/>
      <c r="AF318" s="3333"/>
      <c r="AI318" s="3120" t="str">
        <f>"23:unitcare_code:" &amp; IF(I318="■",1,IF(M318="■",2,0))</f>
        <v>23:unitcare_code:0</v>
      </c>
    </row>
    <row r="319" spans="1:36" s="3120" customFormat="1" ht="18.75" hidden="1" customHeight="1" x14ac:dyDescent="0.2">
      <c r="A319" s="834"/>
      <c r="B319" s="3148"/>
      <c r="C319" s="3295"/>
      <c r="D319" s="3294"/>
      <c r="E319" s="3145"/>
      <c r="F319" s="3144"/>
      <c r="G319" s="3175"/>
      <c r="H319" s="3381" t="s">
        <v>1325</v>
      </c>
      <c r="I319" s="3222" t="s">
        <v>116</v>
      </c>
      <c r="J319" s="3217" t="s">
        <v>1228</v>
      </c>
      <c r="K319" s="3221"/>
      <c r="L319" s="3220"/>
      <c r="M319" s="3219" t="s">
        <v>116</v>
      </c>
      <c r="N319" s="3217" t="s">
        <v>1322</v>
      </c>
      <c r="O319" s="3221"/>
      <c r="P319" s="3380"/>
      <c r="Q319" s="3380"/>
      <c r="R319" s="3380"/>
      <c r="S319" s="3380"/>
      <c r="T319" s="3380"/>
      <c r="U319" s="3380"/>
      <c r="V319" s="3380"/>
      <c r="W319" s="3380"/>
      <c r="X319" s="3379"/>
      <c r="Y319" s="3293"/>
      <c r="Z319" s="1201"/>
      <c r="AA319" s="1201"/>
      <c r="AB319" s="1202"/>
      <c r="AC319" s="3333"/>
      <c r="AD319" s="3333"/>
      <c r="AE319" s="3333"/>
      <c r="AF319" s="3333"/>
      <c r="AI319" s="3120" t="str">
        <f>"23:sintaikousoku_code:" &amp; IF(I319="■",1,IF(M319="■",2,0))</f>
        <v>23:sintaikousoku_code:0</v>
      </c>
    </row>
    <row r="320" spans="1:36" s="3120" customFormat="1" ht="19.5" hidden="1" customHeight="1" x14ac:dyDescent="0.2">
      <c r="A320" s="834"/>
      <c r="B320" s="3148"/>
      <c r="C320" s="3147"/>
      <c r="D320" s="3146"/>
      <c r="E320" s="3145"/>
      <c r="F320" s="3144"/>
      <c r="G320" s="3175"/>
      <c r="H320" s="3174" t="s">
        <v>1227</v>
      </c>
      <c r="I320" s="3155" t="s">
        <v>116</v>
      </c>
      <c r="J320" s="3137" t="s">
        <v>1228</v>
      </c>
      <c r="K320" s="3171"/>
      <c r="L320" s="3173"/>
      <c r="M320" s="3154" t="s">
        <v>116</v>
      </c>
      <c r="N320" s="3137" t="s">
        <v>1229</v>
      </c>
      <c r="O320" s="3299"/>
      <c r="P320" s="3137"/>
      <c r="Q320" s="3150"/>
      <c r="R320" s="3150"/>
      <c r="S320" s="3150"/>
      <c r="T320" s="3150"/>
      <c r="U320" s="3150"/>
      <c r="V320" s="3150"/>
      <c r="W320" s="3150"/>
      <c r="X320" s="3149"/>
      <c r="Y320" s="1201"/>
      <c r="Z320" s="1201"/>
      <c r="AA320" s="1201"/>
      <c r="AB320" s="1202"/>
      <c r="AC320" s="3333"/>
      <c r="AD320" s="3333"/>
      <c r="AE320" s="3333"/>
      <c r="AF320" s="3333"/>
      <c r="AI320" s="3120" t="str">
        <f>"23:field223:" &amp; IF(I320="■",1,IF(M320="■",2,0))</f>
        <v>23:field223:0</v>
      </c>
    </row>
    <row r="321" spans="1:35" s="3120" customFormat="1" ht="19.5" hidden="1" customHeight="1" x14ac:dyDescent="0.2">
      <c r="A321" s="834"/>
      <c r="B321" s="3148"/>
      <c r="C321" s="3147"/>
      <c r="D321" s="3146"/>
      <c r="E321" s="3145"/>
      <c r="F321" s="3144"/>
      <c r="G321" s="3175"/>
      <c r="H321" s="3174" t="s">
        <v>1253</v>
      </c>
      <c r="I321" s="3155" t="s">
        <v>116</v>
      </c>
      <c r="J321" s="3137" t="s">
        <v>1228</v>
      </c>
      <c r="K321" s="3171"/>
      <c r="L321" s="3173"/>
      <c r="M321" s="3154" t="s">
        <v>116</v>
      </c>
      <c r="N321" s="3137" t="s">
        <v>1229</v>
      </c>
      <c r="O321" s="3299"/>
      <c r="P321" s="3137"/>
      <c r="Q321" s="3150"/>
      <c r="R321" s="3150"/>
      <c r="S321" s="3150"/>
      <c r="T321" s="3150"/>
      <c r="U321" s="3150"/>
      <c r="V321" s="3150"/>
      <c r="W321" s="3150"/>
      <c r="X321" s="3149"/>
      <c r="Y321" s="1201"/>
      <c r="Z321" s="1201"/>
      <c r="AA321" s="1201"/>
      <c r="AB321" s="1202"/>
      <c r="AC321" s="3333"/>
      <c r="AD321" s="3333"/>
      <c r="AE321" s="3333"/>
      <c r="AF321" s="3333"/>
      <c r="AI321" s="3120" t="str">
        <f>"23:field232:" &amp; IF(I321="■",1,IF(M321="■",2,0))</f>
        <v>23:field232:0</v>
      </c>
    </row>
    <row r="322" spans="1:35" s="3120" customFormat="1" ht="18.75" hidden="1" customHeight="1" x14ac:dyDescent="0.2">
      <c r="A322" s="834"/>
      <c r="B322" s="3148"/>
      <c r="C322" s="3147"/>
      <c r="D322" s="3146"/>
      <c r="E322" s="3145"/>
      <c r="F322" s="3144"/>
      <c r="G322" s="3145"/>
      <c r="H322" s="3151" t="s">
        <v>2242</v>
      </c>
      <c r="I322" s="3155" t="s">
        <v>116</v>
      </c>
      <c r="J322" s="3137" t="s">
        <v>1282</v>
      </c>
      <c r="K322" s="3171"/>
      <c r="L322" s="3173"/>
      <c r="M322" s="3154" t="s">
        <v>116</v>
      </c>
      <c r="N322" s="3137" t="s">
        <v>1293</v>
      </c>
      <c r="O322" s="3153"/>
      <c r="P322" s="3153"/>
      <c r="Q322" s="3153"/>
      <c r="R322" s="3153"/>
      <c r="S322" s="3150"/>
      <c r="T322" s="3150"/>
      <c r="U322" s="3150"/>
      <c r="V322" s="3150"/>
      <c r="W322" s="3150"/>
      <c r="X322" s="3149"/>
      <c r="Y322" s="3293"/>
      <c r="Z322" s="1201"/>
      <c r="AA322" s="1201"/>
      <c r="AB322" s="1202"/>
      <c r="AC322" s="3333"/>
      <c r="AD322" s="3333"/>
      <c r="AE322" s="3333"/>
      <c r="AF322" s="3333"/>
      <c r="AI322" s="3120" t="str">
        <f>"23:ryokan_code:" &amp; IF(I322="■",1,IF(M322="■",2,0))</f>
        <v>23:ryokan_code:0</v>
      </c>
    </row>
    <row r="323" spans="1:35" s="3120" customFormat="1" ht="18.75" hidden="1" customHeight="1" x14ac:dyDescent="0.2">
      <c r="A323" s="834"/>
      <c r="B323" s="3148"/>
      <c r="C323" s="3147"/>
      <c r="D323" s="3146"/>
      <c r="E323" s="3145"/>
      <c r="F323" s="3144"/>
      <c r="G323" s="3145"/>
      <c r="H323" s="3151" t="s">
        <v>2241</v>
      </c>
      <c r="I323" s="3155" t="s">
        <v>116</v>
      </c>
      <c r="J323" s="3137" t="s">
        <v>2240</v>
      </c>
      <c r="K323" s="3171"/>
      <c r="L323" s="3173"/>
      <c r="M323" s="3154" t="s">
        <v>116</v>
      </c>
      <c r="N323" s="3137" t="s">
        <v>2239</v>
      </c>
      <c r="O323" s="3150"/>
      <c r="P323" s="3150"/>
      <c r="Q323" s="3150"/>
      <c r="R323" s="3153"/>
      <c r="S323" s="3150"/>
      <c r="T323" s="3150"/>
      <c r="U323" s="3150"/>
      <c r="V323" s="3150"/>
      <c r="W323" s="3150"/>
      <c r="X323" s="3149"/>
      <c r="Y323" s="3293"/>
      <c r="Z323" s="1201"/>
      <c r="AA323" s="1201"/>
      <c r="AB323" s="1202"/>
      <c r="AC323" s="3333"/>
      <c r="AD323" s="3333"/>
      <c r="AE323" s="3333"/>
      <c r="AF323" s="3333"/>
      <c r="AI323" s="3120" t="str">
        <f>"23:doctor_haiti_code:" &amp; IF(I323="■",1,IF(M323="■",2,0))</f>
        <v>23:doctor_haiti_code:0</v>
      </c>
    </row>
    <row r="324" spans="1:35" s="3120" customFormat="1" ht="18.75" hidden="1" customHeight="1" x14ac:dyDescent="0.2">
      <c r="A324" s="834"/>
      <c r="B324" s="3148"/>
      <c r="C324" s="3147"/>
      <c r="D324" s="3146"/>
      <c r="E324" s="3145"/>
      <c r="F324" s="3258" t="s">
        <v>116</v>
      </c>
      <c r="G324" s="3145" t="s">
        <v>2224</v>
      </c>
      <c r="H324" s="3151" t="s">
        <v>1256</v>
      </c>
      <c r="I324" s="3155" t="s">
        <v>116</v>
      </c>
      <c r="J324" s="3137" t="s">
        <v>1230</v>
      </c>
      <c r="K324" s="3171"/>
      <c r="L324" s="3154" t="s">
        <v>116</v>
      </c>
      <c r="M324" s="3137" t="s">
        <v>1233</v>
      </c>
      <c r="N324" s="3150"/>
      <c r="O324" s="3150"/>
      <c r="P324" s="3150"/>
      <c r="Q324" s="3150"/>
      <c r="R324" s="3150"/>
      <c r="S324" s="3150"/>
      <c r="T324" s="3150"/>
      <c r="U324" s="3150"/>
      <c r="V324" s="3150"/>
      <c r="W324" s="3150"/>
      <c r="X324" s="3149"/>
      <c r="Y324" s="3293"/>
      <c r="Z324" s="1201"/>
      <c r="AA324" s="1201"/>
      <c r="AB324" s="1202"/>
      <c r="AC324" s="3333"/>
      <c r="AD324" s="3333"/>
      <c r="AE324" s="3333"/>
      <c r="AF324" s="3333"/>
      <c r="AI324" s="3120" t="str">
        <f>"23:jyakuninti_uke_code:" &amp; IF(I324="■",1,IF(L324="■",2,0))</f>
        <v>23:jyakuninti_uke_code:0</v>
      </c>
    </row>
    <row r="325" spans="1:35" s="3120" customFormat="1" ht="18.75" hidden="1" customHeight="1" x14ac:dyDescent="0.2">
      <c r="A325" s="834"/>
      <c r="B325" s="3148"/>
      <c r="C325" s="3147"/>
      <c r="D325" s="3146"/>
      <c r="E325" s="3145"/>
      <c r="F325" s="3146"/>
      <c r="G325" s="3145" t="s">
        <v>2223</v>
      </c>
      <c r="H325" s="3151" t="s">
        <v>1284</v>
      </c>
      <c r="I325" s="3155" t="s">
        <v>116</v>
      </c>
      <c r="J325" s="3137" t="s">
        <v>1240</v>
      </c>
      <c r="K325" s="3171"/>
      <c r="L325" s="3173"/>
      <c r="M325" s="3154" t="s">
        <v>116</v>
      </c>
      <c r="N325" s="3137" t="s">
        <v>1241</v>
      </c>
      <c r="O325" s="3150"/>
      <c r="P325" s="3150"/>
      <c r="Q325" s="3150"/>
      <c r="R325" s="3150"/>
      <c r="S325" s="3150"/>
      <c r="T325" s="3150"/>
      <c r="U325" s="3150"/>
      <c r="V325" s="3150"/>
      <c r="W325" s="3150"/>
      <c r="X325" s="3149"/>
      <c r="Y325" s="3293"/>
      <c r="Z325" s="1201"/>
      <c r="AA325" s="1201"/>
      <c r="AB325" s="1202"/>
      <c r="AC325" s="3333"/>
      <c r="AD325" s="3333"/>
      <c r="AE325" s="3333"/>
      <c r="AF325" s="3333"/>
      <c r="AI325" s="3120" t="str">
        <f>"23:sougei_code:" &amp; IF(I325="■",1,IF(M325="■",2,0))</f>
        <v>23:sougei_code:0</v>
      </c>
    </row>
    <row r="326" spans="1:35" s="3120" customFormat="1" ht="19.5" hidden="1" customHeight="1" x14ac:dyDescent="0.2">
      <c r="A326" s="3158" t="s">
        <v>116</v>
      </c>
      <c r="B326" s="3148">
        <v>23</v>
      </c>
      <c r="C326" s="3147" t="s">
        <v>924</v>
      </c>
      <c r="D326" s="3258" t="s">
        <v>116</v>
      </c>
      <c r="E326" s="3145" t="s">
        <v>2243</v>
      </c>
      <c r="F326" s="3258" t="s">
        <v>116</v>
      </c>
      <c r="G326" s="3145" t="s">
        <v>2221</v>
      </c>
      <c r="H326" s="3174" t="s">
        <v>1236</v>
      </c>
      <c r="I326" s="3155" t="s">
        <v>116</v>
      </c>
      <c r="J326" s="3137" t="s">
        <v>1230</v>
      </c>
      <c r="K326" s="3137"/>
      <c r="L326" s="3154" t="s">
        <v>116</v>
      </c>
      <c r="M326" s="3137" t="s">
        <v>1233</v>
      </c>
      <c r="N326" s="3137"/>
      <c r="O326" s="3150"/>
      <c r="P326" s="3137"/>
      <c r="Q326" s="3150"/>
      <c r="R326" s="3150"/>
      <c r="S326" s="3150"/>
      <c r="T326" s="3150"/>
      <c r="U326" s="3150"/>
      <c r="V326" s="3150"/>
      <c r="W326" s="3150"/>
      <c r="X326" s="3149"/>
      <c r="Y326" s="1201"/>
      <c r="Z326" s="1201"/>
      <c r="AA326" s="1201"/>
      <c r="AB326" s="1202"/>
      <c r="AC326" s="3333"/>
      <c r="AD326" s="3333"/>
      <c r="AE326" s="3333"/>
      <c r="AF326" s="3333"/>
      <c r="AI326" s="3120" t="str">
        <f>"23:field224:" &amp; IF(I326="■",1,IF(L326="■",2,0))</f>
        <v>23:field224:0</v>
      </c>
    </row>
    <row r="327" spans="1:35" s="3120" customFormat="1" ht="18.75" hidden="1" customHeight="1" x14ac:dyDescent="0.2">
      <c r="A327" s="834"/>
      <c r="B327" s="3148"/>
      <c r="C327" s="3147"/>
      <c r="D327" s="3146"/>
      <c r="E327" s="3145"/>
      <c r="F327" s="3146"/>
      <c r="G327" s="3145" t="s">
        <v>2220</v>
      </c>
      <c r="H327" s="3151" t="s">
        <v>140</v>
      </c>
      <c r="I327" s="3155" t="s">
        <v>116</v>
      </c>
      <c r="J327" s="3137" t="s">
        <v>1230</v>
      </c>
      <c r="K327" s="3171"/>
      <c r="L327" s="3154" t="s">
        <v>116</v>
      </c>
      <c r="M327" s="3137" t="s">
        <v>1233</v>
      </c>
      <c r="N327" s="3150"/>
      <c r="O327" s="3150"/>
      <c r="P327" s="3150"/>
      <c r="Q327" s="3150"/>
      <c r="R327" s="3150"/>
      <c r="S327" s="3150"/>
      <c r="T327" s="3150"/>
      <c r="U327" s="3150"/>
      <c r="V327" s="3150"/>
      <c r="W327" s="3150"/>
      <c r="X327" s="3149"/>
      <c r="Y327" s="3293"/>
      <c r="Z327" s="1201"/>
      <c r="AA327" s="1201"/>
      <c r="AB327" s="1202"/>
      <c r="AC327" s="3333"/>
      <c r="AD327" s="3333"/>
      <c r="AE327" s="3333"/>
      <c r="AF327" s="3333"/>
      <c r="AI327" s="3120" t="str">
        <f>"23:ryouyoushoku_code:" &amp; IF(I327="■",1,IF(L327="■",2,0))</f>
        <v>23:ryouyoushoku_code:0</v>
      </c>
    </row>
    <row r="328" spans="1:35" s="3120" customFormat="1" ht="18.75" hidden="1" customHeight="1" x14ac:dyDescent="0.2">
      <c r="A328" s="834"/>
      <c r="B328" s="3148"/>
      <c r="C328" s="3147"/>
      <c r="D328" s="3146"/>
      <c r="E328" s="3145"/>
      <c r="F328" s="3258" t="s">
        <v>116</v>
      </c>
      <c r="G328" s="3145" t="s">
        <v>2218</v>
      </c>
      <c r="H328" s="3151" t="s">
        <v>2219</v>
      </c>
      <c r="I328" s="3155" t="s">
        <v>116</v>
      </c>
      <c r="J328" s="3137" t="s">
        <v>1230</v>
      </c>
      <c r="K328" s="3137"/>
      <c r="L328" s="3154" t="s">
        <v>116</v>
      </c>
      <c r="M328" s="3137" t="s">
        <v>1231</v>
      </c>
      <c r="N328" s="3137"/>
      <c r="O328" s="3154" t="s">
        <v>116</v>
      </c>
      <c r="P328" s="3137" t="s">
        <v>1232</v>
      </c>
      <c r="Q328" s="3150"/>
      <c r="R328" s="3150"/>
      <c r="S328" s="3150"/>
      <c r="T328" s="3150"/>
      <c r="U328" s="3150"/>
      <c r="V328" s="3150"/>
      <c r="W328" s="3150"/>
      <c r="X328" s="3149"/>
      <c r="Y328" s="3293"/>
      <c r="Z328" s="1201"/>
      <c r="AA328" s="1201"/>
      <c r="AB328" s="1202"/>
      <c r="AC328" s="3333"/>
      <c r="AD328" s="3333"/>
      <c r="AE328" s="3333"/>
      <c r="AF328" s="3333"/>
      <c r="AI328" s="3120" t="str">
        <f>"23:ninti_senmoncare_code:" &amp; IF(I328="■",1,IF(O328="■",3,IF(L328="■",2,0)))</f>
        <v>23:ninti_senmoncare_code:0</v>
      </c>
    </row>
    <row r="329" spans="1:35" s="3120" customFormat="1" ht="18.75" hidden="1" customHeight="1" x14ac:dyDescent="0.2">
      <c r="A329" s="834"/>
      <c r="B329" s="3148"/>
      <c r="C329" s="3147"/>
      <c r="D329" s="3146"/>
      <c r="E329" s="3145"/>
      <c r="F329" s="3146"/>
      <c r="G329" s="3145" t="s">
        <v>2217</v>
      </c>
      <c r="H329" s="3296" t="s">
        <v>1285</v>
      </c>
      <c r="I329" s="3155" t="s">
        <v>116</v>
      </c>
      <c r="J329" s="3137" t="s">
        <v>1230</v>
      </c>
      <c r="K329" s="3137"/>
      <c r="L329" s="3154" t="s">
        <v>116</v>
      </c>
      <c r="M329" s="3137" t="s">
        <v>1231</v>
      </c>
      <c r="N329" s="3137"/>
      <c r="O329" s="3154" t="s">
        <v>116</v>
      </c>
      <c r="P329" s="3137" t="s">
        <v>1232</v>
      </c>
      <c r="Q329" s="3150"/>
      <c r="R329" s="3150"/>
      <c r="S329" s="3150"/>
      <c r="T329" s="3150"/>
      <c r="U329" s="3209"/>
      <c r="V329" s="3209"/>
      <c r="W329" s="3209"/>
      <c r="X329" s="3208"/>
      <c r="Y329" s="3293"/>
      <c r="Z329" s="1201"/>
      <c r="AA329" s="1201"/>
      <c r="AB329" s="1202"/>
      <c r="AC329" s="3333"/>
      <c r="AD329" s="3333"/>
      <c r="AE329" s="3333"/>
      <c r="AF329" s="3333"/>
      <c r="AI329" s="3120" t="str">
        <f>"23:field225:" &amp; IF(I329="■",1,IF(L329="■",2,IF(O329="■",3,0)))</f>
        <v>23:field225:0</v>
      </c>
    </row>
    <row r="330" spans="1:35" s="3120" customFormat="1" ht="18.75" hidden="1" customHeight="1" x14ac:dyDescent="0.2">
      <c r="A330" s="834"/>
      <c r="B330" s="3148"/>
      <c r="C330" s="3147"/>
      <c r="D330" s="3146"/>
      <c r="E330" s="3145"/>
      <c r="F330" s="3146"/>
      <c r="G330" s="3145"/>
      <c r="H330" s="3304" t="s">
        <v>2228</v>
      </c>
      <c r="I330" s="3303" t="s">
        <v>116</v>
      </c>
      <c r="J330" s="3302" t="s">
        <v>1287</v>
      </c>
      <c r="K330" s="3302"/>
      <c r="L330" s="3209"/>
      <c r="M330" s="3209"/>
      <c r="N330" s="3209"/>
      <c r="O330" s="3209"/>
      <c r="P330" s="3301" t="s">
        <v>116</v>
      </c>
      <c r="Q330" s="3302" t="s">
        <v>1288</v>
      </c>
      <c r="R330" s="3209"/>
      <c r="S330" s="3209"/>
      <c r="T330" s="3209"/>
      <c r="U330" s="3209"/>
      <c r="V330" s="3209"/>
      <c r="W330" s="3209"/>
      <c r="X330" s="3208"/>
      <c r="Y330" s="3293"/>
      <c r="Z330" s="1201"/>
      <c r="AA330" s="1201"/>
      <c r="AB330" s="1202"/>
      <c r="AC330" s="3333"/>
      <c r="AD330" s="3333"/>
      <c r="AE330" s="3333"/>
      <c r="AF330" s="3333"/>
      <c r="AI330" s="3120" t="str">
        <f>"23:" &amp; IF(AND(I330="□",P330="□",I331="□"),"tokusin_jyusho_code:0:tokusin_yakuzai_code:0:shuudan_comu_code:0",IF(I330="■","tokusin_jyusho_code:2","tokusin_jyusho_code:1")
&amp;IF(P330="■",":tokusin_yakuzai_code:2",":tokusin_yakuzai_code:1")
&amp;IF(I331="■",":shuudan_comu_code:2",":shuudan_comu_code:1"))</f>
        <v>23:tokusin_jyusho_code:0:tokusin_yakuzai_code:0:shuudan_comu_code:0</v>
      </c>
    </row>
    <row r="331" spans="1:35" s="3120" customFormat="1" ht="18.75" hidden="1" customHeight="1" x14ac:dyDescent="0.2">
      <c r="A331" s="834"/>
      <c r="B331" s="3148"/>
      <c r="C331" s="3147"/>
      <c r="D331" s="3146"/>
      <c r="E331" s="3145"/>
      <c r="F331" s="3146"/>
      <c r="G331" s="3145"/>
      <c r="H331" s="3300"/>
      <c r="I331" s="3141" t="s">
        <v>116</v>
      </c>
      <c r="J331" s="3139" t="s">
        <v>1294</v>
      </c>
      <c r="K331" s="3207"/>
      <c r="L331" s="3207"/>
      <c r="M331" s="3207"/>
      <c r="N331" s="3207"/>
      <c r="O331" s="3207"/>
      <c r="P331" s="3207"/>
      <c r="Q331" s="3162"/>
      <c r="R331" s="3207"/>
      <c r="S331" s="3207"/>
      <c r="T331" s="3207"/>
      <c r="U331" s="3207"/>
      <c r="V331" s="3207"/>
      <c r="W331" s="3207"/>
      <c r="X331" s="3206"/>
      <c r="Y331" s="3293"/>
      <c r="Z331" s="1201"/>
      <c r="AA331" s="1201"/>
      <c r="AB331" s="1202"/>
      <c r="AC331" s="3333"/>
      <c r="AD331" s="3333"/>
      <c r="AE331" s="3333"/>
      <c r="AF331" s="3333"/>
    </row>
    <row r="332" spans="1:35" s="3120" customFormat="1" ht="18.75" hidden="1" customHeight="1" x14ac:dyDescent="0.2">
      <c r="A332" s="834"/>
      <c r="B332" s="3148"/>
      <c r="C332" s="3147"/>
      <c r="D332" s="3146"/>
      <c r="E332" s="3145"/>
      <c r="F332" s="3146"/>
      <c r="G332" s="3145"/>
      <c r="H332" s="3304" t="s">
        <v>1300</v>
      </c>
      <c r="I332" s="3303" t="s">
        <v>116</v>
      </c>
      <c r="J332" s="3302" t="s">
        <v>1295</v>
      </c>
      <c r="K332" s="3317"/>
      <c r="L332" s="3316"/>
      <c r="M332" s="3301" t="s">
        <v>116</v>
      </c>
      <c r="N332" s="3302" t="s">
        <v>1296</v>
      </c>
      <c r="O332" s="3209"/>
      <c r="P332" s="3209"/>
      <c r="Q332" s="3301" t="s">
        <v>116</v>
      </c>
      <c r="R332" s="3302" t="s">
        <v>1297</v>
      </c>
      <c r="S332" s="3209"/>
      <c r="T332" s="3209"/>
      <c r="U332" s="3209"/>
      <c r="V332" s="3209"/>
      <c r="W332" s="3209"/>
      <c r="X332" s="3208"/>
      <c r="Y332" s="3293"/>
      <c r="Z332" s="1201"/>
      <c r="AA332" s="1201"/>
      <c r="AB332" s="1202"/>
      <c r="AC332" s="3333"/>
      <c r="AD332" s="3333"/>
      <c r="AE332" s="3333"/>
      <c r="AF332" s="3333"/>
      <c r="AI332" s="3120" t="str">
        <f>"23:"&amp;IF(AND(I332="□",M332="□",Q332="□",I333="□",Q333="□"),"koriha_rryoho1_code:0:koriha_sryoho_code:0:koriha_gengo_code:0:riha_seisin_code:0:koriha_other_code:0",IF(I332="■","koriha_rryoho1_code:2","koriha_rryoho1_code:1")
&amp;IF(M332="■",":koriha_sryoho_code:2",":koriha_sryoho_code:1")
&amp;IF(Q332="■",":koriha_gengo_code:2",":koriha_gengo_code:1")
&amp;IF(I333="■",":riha_seisin_code:2",":riha_seisin_code:1")
&amp;IF(Q333="■",":koriha_other_code:2",":koriha_other_code:1"))</f>
        <v>23:koriha_rryoho1_code:0:koriha_sryoho_code:0:koriha_gengo_code:0:riha_seisin_code:0:koriha_other_code:0</v>
      </c>
    </row>
    <row r="333" spans="1:35" s="3120" customFormat="1" ht="18.75" hidden="1" customHeight="1" x14ac:dyDescent="0.2">
      <c r="A333" s="834"/>
      <c r="B333" s="3148"/>
      <c r="C333" s="3147"/>
      <c r="D333" s="3146"/>
      <c r="E333" s="3145"/>
      <c r="F333" s="3146"/>
      <c r="G333" s="3145"/>
      <c r="H333" s="3300"/>
      <c r="I333" s="3141" t="s">
        <v>116</v>
      </c>
      <c r="J333" s="3139" t="s">
        <v>1298</v>
      </c>
      <c r="K333" s="3207"/>
      <c r="L333" s="3207"/>
      <c r="M333" s="3207"/>
      <c r="N333" s="3207"/>
      <c r="O333" s="3207"/>
      <c r="P333" s="3207"/>
      <c r="Q333" s="3140" t="s">
        <v>116</v>
      </c>
      <c r="R333" s="3139" t="s">
        <v>1299</v>
      </c>
      <c r="S333" s="3162"/>
      <c r="T333" s="3207"/>
      <c r="U333" s="3207"/>
      <c r="V333" s="3207"/>
      <c r="W333" s="3207"/>
      <c r="X333" s="3206"/>
      <c r="Y333" s="3293"/>
      <c r="Z333" s="1201"/>
      <c r="AA333" s="1201"/>
      <c r="AB333" s="1202"/>
      <c r="AC333" s="3333"/>
      <c r="AD333" s="3333"/>
      <c r="AE333" s="3333"/>
      <c r="AF333" s="3333"/>
    </row>
    <row r="334" spans="1:35" s="3120" customFormat="1" ht="18.75" hidden="1" customHeight="1" x14ac:dyDescent="0.2">
      <c r="A334" s="834"/>
      <c r="B334" s="3148"/>
      <c r="C334" s="3147"/>
      <c r="D334" s="3146"/>
      <c r="E334" s="3145"/>
      <c r="F334" s="3146"/>
      <c r="G334" s="3145"/>
      <c r="H334" s="3159" t="s">
        <v>238</v>
      </c>
      <c r="I334" s="3155" t="s">
        <v>116</v>
      </c>
      <c r="J334" s="3137" t="s">
        <v>1230</v>
      </c>
      <c r="K334" s="3137"/>
      <c r="L334" s="3154" t="s">
        <v>116</v>
      </c>
      <c r="M334" s="3137" t="s">
        <v>1259</v>
      </c>
      <c r="N334" s="3137"/>
      <c r="O334" s="3154" t="s">
        <v>116</v>
      </c>
      <c r="P334" s="3137" t="s">
        <v>1260</v>
      </c>
      <c r="Q334" s="3153"/>
      <c r="R334" s="3154" t="s">
        <v>116</v>
      </c>
      <c r="S334" s="3137" t="s">
        <v>1261</v>
      </c>
      <c r="T334" s="3153"/>
      <c r="U334" s="3153"/>
      <c r="V334" s="3153"/>
      <c r="W334" s="3153"/>
      <c r="X334" s="3152"/>
      <c r="Y334" s="3293"/>
      <c r="Z334" s="1201"/>
      <c r="AA334" s="1201"/>
      <c r="AB334" s="1202"/>
      <c r="AC334" s="3333"/>
      <c r="AD334" s="3333"/>
      <c r="AE334" s="3333"/>
      <c r="AF334" s="3333"/>
      <c r="AI334" s="3120" t="str">
        <f>"23:serteikyo_kyoka_code:" &amp; IF(I334="■",1,IF(L334="■",6,IF(O334="■",5,IF(R334="■",7,0))))</f>
        <v>23:serteikyo_kyoka_code:0</v>
      </c>
    </row>
    <row r="335" spans="1:35" s="3120" customFormat="1" ht="18.75" hidden="1" customHeight="1" x14ac:dyDescent="0.2">
      <c r="A335" s="834"/>
      <c r="B335" s="3148"/>
      <c r="C335" s="3147"/>
      <c r="D335" s="3146"/>
      <c r="E335" s="3145"/>
      <c r="F335" s="3146"/>
      <c r="G335" s="3145"/>
      <c r="H335" s="3170" t="s">
        <v>2058</v>
      </c>
      <c r="I335" s="3348" t="s">
        <v>116</v>
      </c>
      <c r="J335" s="3347" t="s">
        <v>1230</v>
      </c>
      <c r="K335" s="3347"/>
      <c r="L335" s="3346" t="s">
        <v>116</v>
      </c>
      <c r="M335" s="3347" t="s">
        <v>1233</v>
      </c>
      <c r="N335" s="3347"/>
      <c r="O335" s="3302"/>
      <c r="P335" s="3302"/>
      <c r="Q335" s="3302"/>
      <c r="R335" s="3302"/>
      <c r="S335" s="3302"/>
      <c r="T335" s="3302"/>
      <c r="U335" s="3302"/>
      <c r="V335" s="3302"/>
      <c r="W335" s="3302"/>
      <c r="X335" s="3335"/>
      <c r="Y335" s="3293"/>
      <c r="Z335" s="1201"/>
      <c r="AA335" s="1201"/>
      <c r="AB335" s="1202"/>
      <c r="AC335" s="3333"/>
      <c r="AD335" s="3333"/>
      <c r="AE335" s="3333"/>
      <c r="AF335" s="3333"/>
      <c r="AI335" s="3120" t="str">
        <f>"23:field221:" &amp; IF(I335="■",1,IF(L335="■",2,0))</f>
        <v>23:field221:0</v>
      </c>
    </row>
    <row r="336" spans="1:35" s="3120" customFormat="1" ht="18.75" hidden="1" customHeight="1" x14ac:dyDescent="0.2">
      <c r="A336" s="834"/>
      <c r="B336" s="3148"/>
      <c r="C336" s="3147"/>
      <c r="D336" s="3146"/>
      <c r="E336" s="3145"/>
      <c r="F336" s="3146"/>
      <c r="G336" s="3145"/>
      <c r="H336" s="3165"/>
      <c r="I336" s="3348"/>
      <c r="J336" s="3347"/>
      <c r="K336" s="3347"/>
      <c r="L336" s="3346"/>
      <c r="M336" s="3347"/>
      <c r="N336" s="3347"/>
      <c r="O336" s="3139"/>
      <c r="P336" s="3139"/>
      <c r="Q336" s="3139"/>
      <c r="R336" s="3139"/>
      <c r="S336" s="3139"/>
      <c r="T336" s="3139"/>
      <c r="U336" s="3139"/>
      <c r="V336" s="3139"/>
      <c r="W336" s="3139"/>
      <c r="X336" s="3195"/>
      <c r="Y336" s="3293"/>
      <c r="Z336" s="1201"/>
      <c r="AA336" s="1201"/>
      <c r="AB336" s="1202"/>
      <c r="AC336" s="3333"/>
      <c r="AD336" s="3333"/>
      <c r="AE336" s="3333"/>
      <c r="AF336" s="3333"/>
    </row>
    <row r="337" spans="1:36" s="3120" customFormat="1" ht="18.75" hidden="1" customHeight="1" x14ac:dyDescent="0.2">
      <c r="A337" s="835"/>
      <c r="B337" s="3135"/>
      <c r="C337" s="3134"/>
      <c r="D337" s="3133"/>
      <c r="E337" s="3132"/>
      <c r="F337" s="3133"/>
      <c r="G337" s="3189"/>
      <c r="H337" s="3289" t="s">
        <v>2129</v>
      </c>
      <c r="I337" s="3128" t="s">
        <v>116</v>
      </c>
      <c r="J337" s="3285" t="s">
        <v>1230</v>
      </c>
      <c r="K337" s="3285"/>
      <c r="L337" s="3127" t="s">
        <v>116</v>
      </c>
      <c r="M337" s="3285" t="s">
        <v>2128</v>
      </c>
      <c r="N337" s="3288"/>
      <c r="O337" s="3127" t="s">
        <v>116</v>
      </c>
      <c r="P337" s="3287" t="s">
        <v>2127</v>
      </c>
      <c r="Q337" s="3286"/>
      <c r="R337" s="3127" t="s">
        <v>116</v>
      </c>
      <c r="S337" s="3285" t="s">
        <v>2126</v>
      </c>
      <c r="T337" s="3286"/>
      <c r="U337" s="3127" t="s">
        <v>116</v>
      </c>
      <c r="V337" s="3285" t="s">
        <v>2125</v>
      </c>
      <c r="W337" s="3284"/>
      <c r="X337" s="3283"/>
      <c r="Y337" s="3282"/>
      <c r="Z337" s="3282"/>
      <c r="AA337" s="3282"/>
      <c r="AB337" s="3281"/>
      <c r="AC337" s="3332"/>
      <c r="AD337" s="3332"/>
      <c r="AE337" s="3332"/>
      <c r="AF337" s="3332"/>
      <c r="AI337" s="3120" t="str">
        <f>"23:shoguukaizen_code:"&amp;IF(I337="■",1,IF(L337="■",7,IF(O337="■",8,IF(R337="■",9,IF(U337="■","A",0)))))</f>
        <v>23:shoguukaizen_code:0</v>
      </c>
    </row>
    <row r="338" spans="1:36" s="3120" customFormat="1" ht="18.75" hidden="1" customHeight="1" x14ac:dyDescent="0.2">
      <c r="A338" s="3188"/>
      <c r="B338" s="3187"/>
      <c r="C338" s="3229"/>
      <c r="D338" s="3228"/>
      <c r="E338" s="3185"/>
      <c r="F338" s="3184"/>
      <c r="G338" s="3185"/>
      <c r="H338" s="3265" t="s">
        <v>1286</v>
      </c>
      <c r="I338" s="3253" t="s">
        <v>116</v>
      </c>
      <c r="J338" s="3252" t="s">
        <v>1282</v>
      </c>
      <c r="K338" s="3311"/>
      <c r="L338" s="3386"/>
      <c r="M338" s="3310" t="s">
        <v>116</v>
      </c>
      <c r="N338" s="3252" t="s">
        <v>1289</v>
      </c>
      <c r="O338" s="3309"/>
      <c r="P338" s="3309"/>
      <c r="Q338" s="3310" t="s">
        <v>116</v>
      </c>
      <c r="R338" s="3252" t="s">
        <v>1290</v>
      </c>
      <c r="S338" s="3309"/>
      <c r="T338" s="3309"/>
      <c r="U338" s="3310" t="s">
        <v>116</v>
      </c>
      <c r="V338" s="3252" t="s">
        <v>1291</v>
      </c>
      <c r="W338" s="3309"/>
      <c r="X338" s="3266"/>
      <c r="Y338" s="3253" t="s">
        <v>116</v>
      </c>
      <c r="Z338" s="3252" t="s">
        <v>1225</v>
      </c>
      <c r="AA338" s="3252"/>
      <c r="AB338" s="3308"/>
      <c r="AC338" s="3338"/>
      <c r="AD338" s="3338"/>
      <c r="AE338" s="3338"/>
      <c r="AF338" s="3338"/>
      <c r="AG338" s="3120" t="str">
        <f>"ser_code = '" &amp; IF(A349="■",23,"") &amp; "'"</f>
        <v>ser_code = ''</v>
      </c>
      <c r="AH338" s="3120" t="str">
        <f>"23:jininkbn_code:" &amp; IF(F349="■",2,IF(F350="■",3,0))</f>
        <v>23:jininkbn_code:0</v>
      </c>
      <c r="AI338" s="3120" t="str">
        <f>"23:yakan_kinmu_code:" &amp; IF(I338="■",1,IF(M338="■",2,IF(Q338="■",3,IF(U338="■",7,IF(I339="■",5,IF(M339="■",6,0))))))</f>
        <v>23:yakan_kinmu_code:0</v>
      </c>
      <c r="AJ338" s="3120" t="str">
        <f>"23:field203:" &amp; IF(Y338="■",1,IF(Y339="■",2,0))</f>
        <v>23:field203:0</v>
      </c>
    </row>
    <row r="339" spans="1:36" s="3120" customFormat="1" ht="18.75" hidden="1" customHeight="1" x14ac:dyDescent="0.2">
      <c r="A339" s="834"/>
      <c r="B339" s="3148"/>
      <c r="C339" s="3147"/>
      <c r="D339" s="3146"/>
      <c r="E339" s="3145"/>
      <c r="F339" s="3144"/>
      <c r="G339" s="3145"/>
      <c r="H339" s="3300"/>
      <c r="I339" s="3141" t="s">
        <v>116</v>
      </c>
      <c r="J339" s="3139" t="s">
        <v>1292</v>
      </c>
      <c r="K339" s="3138"/>
      <c r="L339" s="3385"/>
      <c r="M339" s="3140" t="s">
        <v>116</v>
      </c>
      <c r="N339" s="3139" t="s">
        <v>1283</v>
      </c>
      <c r="O339" s="3162"/>
      <c r="P339" s="3162"/>
      <c r="Q339" s="3162"/>
      <c r="R339" s="3162"/>
      <c r="S339" s="3162"/>
      <c r="T339" s="3162"/>
      <c r="U339" s="3162"/>
      <c r="V339" s="3162"/>
      <c r="W339" s="3162"/>
      <c r="X339" s="3161"/>
      <c r="Y339" s="3258" t="s">
        <v>116</v>
      </c>
      <c r="Z339" s="1200" t="s">
        <v>1226</v>
      </c>
      <c r="AA339" s="1201"/>
      <c r="AB339" s="1202"/>
      <c r="AC339" s="3349"/>
      <c r="AD339" s="3349"/>
      <c r="AE339" s="3349"/>
      <c r="AF339" s="3349"/>
      <c r="AG339" s="3120" t="str">
        <f>"23:sisetukbn_code:"&amp;IF(D349="■","A",IF(D350="■","C",0))</f>
        <v>23:sisetukbn_code:0</v>
      </c>
    </row>
    <row r="340" spans="1:36" s="3120" customFormat="1" ht="18.75" hidden="1" customHeight="1" x14ac:dyDescent="0.2">
      <c r="A340" s="834"/>
      <c r="B340" s="3148"/>
      <c r="C340" s="3147"/>
      <c r="D340" s="3146"/>
      <c r="E340" s="3145"/>
      <c r="F340" s="3144"/>
      <c r="G340" s="3145"/>
      <c r="H340" s="3151" t="s">
        <v>90</v>
      </c>
      <c r="I340" s="3155" t="s">
        <v>116</v>
      </c>
      <c r="J340" s="3137" t="s">
        <v>1230</v>
      </c>
      <c r="K340" s="3137"/>
      <c r="L340" s="3173"/>
      <c r="M340" s="3154" t="s">
        <v>116</v>
      </c>
      <c r="N340" s="3137" t="s">
        <v>1262</v>
      </c>
      <c r="O340" s="3137"/>
      <c r="P340" s="3173"/>
      <c r="Q340" s="3154" t="s">
        <v>116</v>
      </c>
      <c r="R340" s="3153" t="s">
        <v>1263</v>
      </c>
      <c r="S340" s="3153"/>
      <c r="T340" s="3153"/>
      <c r="U340" s="3154" t="s">
        <v>116</v>
      </c>
      <c r="V340" s="3153" t="s">
        <v>1264</v>
      </c>
      <c r="W340" s="3150"/>
      <c r="X340" s="3149"/>
      <c r="Y340" s="3293"/>
      <c r="Z340" s="1201"/>
      <c r="AA340" s="1201"/>
      <c r="AB340" s="1202"/>
      <c r="AC340" s="3333"/>
      <c r="AD340" s="3333"/>
      <c r="AE340" s="3333"/>
      <c r="AF340" s="3333"/>
      <c r="AI340" s="3120" t="str">
        <f>"23:"&amp;IF(AND(I340="□",M340="□",Q340="□",U340="□"),"ketu_doctor_code:0",IF(I340="■","ketu_doctor_code:1:ketu_kangos_code:1:ketu_kshoku_code:1",
IF(M340="■","ketu_doctor_code:2","ketu_doctor_code:1")
&amp;IF(Q340="■",":ketu_kangos_code:2",":ketu_kangos_code:1")
&amp;IF(U340="■",":ketu_kshoku_code:2",":ketu_kshoku_code:1")))</f>
        <v>23:ketu_doctor_code:0</v>
      </c>
    </row>
    <row r="341" spans="1:36" s="3120" customFormat="1" ht="18.75" hidden="1" customHeight="1" x14ac:dyDescent="0.2">
      <c r="A341" s="834"/>
      <c r="B341" s="3148"/>
      <c r="C341" s="3147"/>
      <c r="D341" s="3146"/>
      <c r="E341" s="3145"/>
      <c r="F341" s="3144"/>
      <c r="G341" s="3145"/>
      <c r="H341" s="3151" t="s">
        <v>91</v>
      </c>
      <c r="I341" s="3155" t="s">
        <v>116</v>
      </c>
      <c r="J341" s="3137" t="s">
        <v>1240</v>
      </c>
      <c r="K341" s="3171"/>
      <c r="L341" s="3173"/>
      <c r="M341" s="3154" t="s">
        <v>116</v>
      </c>
      <c r="N341" s="3137" t="s">
        <v>1241</v>
      </c>
      <c r="O341" s="3150"/>
      <c r="P341" s="3150"/>
      <c r="Q341" s="3150"/>
      <c r="R341" s="3150"/>
      <c r="S341" s="3171"/>
      <c r="T341" s="3171"/>
      <c r="U341" s="3171"/>
      <c r="V341" s="3171"/>
      <c r="W341" s="3171"/>
      <c r="X341" s="3297"/>
      <c r="Y341" s="3293"/>
      <c r="Z341" s="1201"/>
      <c r="AA341" s="1201"/>
      <c r="AB341" s="1202"/>
      <c r="AC341" s="3333"/>
      <c r="AD341" s="3333"/>
      <c r="AE341" s="3333"/>
      <c r="AF341" s="3333"/>
      <c r="AI341" s="3120" t="str">
        <f>"23:unitcare_code:" &amp; IF(I341="■",1,IF(M341="■",2,0))</f>
        <v>23:unitcare_code:0</v>
      </c>
    </row>
    <row r="342" spans="1:36" s="3120" customFormat="1" ht="18.75" hidden="1" customHeight="1" x14ac:dyDescent="0.2">
      <c r="A342" s="834"/>
      <c r="B342" s="3148"/>
      <c r="C342" s="3295"/>
      <c r="D342" s="3294"/>
      <c r="E342" s="3145"/>
      <c r="F342" s="3144"/>
      <c r="G342" s="3175"/>
      <c r="H342" s="3381" t="s">
        <v>1325</v>
      </c>
      <c r="I342" s="3222" t="s">
        <v>116</v>
      </c>
      <c r="J342" s="3217" t="s">
        <v>1228</v>
      </c>
      <c r="K342" s="3221"/>
      <c r="L342" s="3220"/>
      <c r="M342" s="3219" t="s">
        <v>116</v>
      </c>
      <c r="N342" s="3217" t="s">
        <v>1322</v>
      </c>
      <c r="O342" s="3221"/>
      <c r="P342" s="3380"/>
      <c r="Q342" s="3380"/>
      <c r="R342" s="3380"/>
      <c r="S342" s="3380"/>
      <c r="T342" s="3380"/>
      <c r="U342" s="3380"/>
      <c r="V342" s="3380"/>
      <c r="W342" s="3380"/>
      <c r="X342" s="3379"/>
      <c r="Y342" s="3293"/>
      <c r="Z342" s="1201"/>
      <c r="AA342" s="1201"/>
      <c r="AB342" s="1202"/>
      <c r="AC342" s="3333"/>
      <c r="AD342" s="3333"/>
      <c r="AE342" s="3333"/>
      <c r="AF342" s="3333"/>
      <c r="AI342" s="3120" t="str">
        <f>"23:sintaikousoku_code:" &amp; IF(I342="■",1,IF(M342="■",2,0))</f>
        <v>23:sintaikousoku_code:0</v>
      </c>
    </row>
    <row r="343" spans="1:36" s="3120" customFormat="1" ht="19.5" hidden="1" customHeight="1" x14ac:dyDescent="0.2">
      <c r="A343" s="834"/>
      <c r="B343" s="3148"/>
      <c r="C343" s="3147"/>
      <c r="D343" s="3146"/>
      <c r="E343" s="3145"/>
      <c r="F343" s="3144"/>
      <c r="G343" s="3175"/>
      <c r="H343" s="3174" t="s">
        <v>1227</v>
      </c>
      <c r="I343" s="3155" t="s">
        <v>116</v>
      </c>
      <c r="J343" s="3137" t="s">
        <v>1228</v>
      </c>
      <c r="K343" s="3171"/>
      <c r="L343" s="3173"/>
      <c r="M343" s="3154" t="s">
        <v>116</v>
      </c>
      <c r="N343" s="3137" t="s">
        <v>1229</v>
      </c>
      <c r="O343" s="3299"/>
      <c r="P343" s="3137"/>
      <c r="Q343" s="3150"/>
      <c r="R343" s="3150"/>
      <c r="S343" s="3150"/>
      <c r="T343" s="3150"/>
      <c r="U343" s="3150"/>
      <c r="V343" s="3150"/>
      <c r="W343" s="3150"/>
      <c r="X343" s="3149"/>
      <c r="Y343" s="1201"/>
      <c r="Z343" s="1201"/>
      <c r="AA343" s="1201"/>
      <c r="AB343" s="1202"/>
      <c r="AC343" s="3333"/>
      <c r="AD343" s="3333"/>
      <c r="AE343" s="3333"/>
      <c r="AF343" s="3333"/>
      <c r="AI343" s="3120" t="str">
        <f>"23:field223:" &amp; IF(I343="■",1,IF(M343="■",2,0))</f>
        <v>23:field223:0</v>
      </c>
    </row>
    <row r="344" spans="1:36" s="3120" customFormat="1" ht="19.5" hidden="1" customHeight="1" x14ac:dyDescent="0.2">
      <c r="A344" s="834"/>
      <c r="B344" s="3148"/>
      <c r="C344" s="3147"/>
      <c r="D344" s="3146"/>
      <c r="E344" s="3145"/>
      <c r="F344" s="3144"/>
      <c r="G344" s="3175"/>
      <c r="H344" s="3174" t="s">
        <v>1253</v>
      </c>
      <c r="I344" s="3155" t="s">
        <v>116</v>
      </c>
      <c r="J344" s="3137" t="s">
        <v>1228</v>
      </c>
      <c r="K344" s="3171"/>
      <c r="L344" s="3173"/>
      <c r="M344" s="3154" t="s">
        <v>116</v>
      </c>
      <c r="N344" s="3137" t="s">
        <v>1229</v>
      </c>
      <c r="O344" s="3299"/>
      <c r="P344" s="3137"/>
      <c r="Q344" s="3150"/>
      <c r="R344" s="3150"/>
      <c r="S344" s="3150"/>
      <c r="T344" s="3150"/>
      <c r="U344" s="3150"/>
      <c r="V344" s="3150"/>
      <c r="W344" s="3150"/>
      <c r="X344" s="3149"/>
      <c r="Y344" s="1201"/>
      <c r="Z344" s="1201"/>
      <c r="AA344" s="1201"/>
      <c r="AB344" s="1202"/>
      <c r="AC344" s="3333"/>
      <c r="AD344" s="3333"/>
      <c r="AE344" s="3333"/>
      <c r="AF344" s="3333"/>
      <c r="AI344" s="3120" t="str">
        <f>"23:field232:" &amp; IF(I344="■",1,IF(M344="■",2,0))</f>
        <v>23:field232:0</v>
      </c>
    </row>
    <row r="345" spans="1:36" s="3120" customFormat="1" ht="18.75" hidden="1" customHeight="1" x14ac:dyDescent="0.2">
      <c r="A345" s="834"/>
      <c r="B345" s="3148"/>
      <c r="C345" s="3147"/>
      <c r="D345" s="3146"/>
      <c r="E345" s="3145"/>
      <c r="F345" s="3144"/>
      <c r="G345" s="3145"/>
      <c r="H345" s="3151" t="s">
        <v>2242</v>
      </c>
      <c r="I345" s="3155" t="s">
        <v>116</v>
      </c>
      <c r="J345" s="3137" t="s">
        <v>1282</v>
      </c>
      <c r="K345" s="3171"/>
      <c r="L345" s="3173"/>
      <c r="M345" s="3154" t="s">
        <v>116</v>
      </c>
      <c r="N345" s="3137" t="s">
        <v>1293</v>
      </c>
      <c r="O345" s="3153"/>
      <c r="P345" s="3153"/>
      <c r="Q345" s="3153"/>
      <c r="R345" s="3153"/>
      <c r="S345" s="3171"/>
      <c r="T345" s="3171"/>
      <c r="U345" s="3171"/>
      <c r="V345" s="3171"/>
      <c r="W345" s="3171"/>
      <c r="X345" s="3297"/>
      <c r="Y345" s="3293"/>
      <c r="Z345" s="1201"/>
      <c r="AA345" s="1201"/>
      <c r="AB345" s="1202"/>
      <c r="AC345" s="3333"/>
      <c r="AD345" s="3333"/>
      <c r="AE345" s="3333"/>
      <c r="AF345" s="3333"/>
      <c r="AI345" s="3120" t="str">
        <f>"23:ryokan_code:" &amp; IF(I345="■",1,IF(M345="■",2,0))</f>
        <v>23:ryokan_code:0</v>
      </c>
    </row>
    <row r="346" spans="1:36" s="3120" customFormat="1" ht="18.75" hidden="1" customHeight="1" x14ac:dyDescent="0.2">
      <c r="A346" s="834"/>
      <c r="B346" s="3148"/>
      <c r="C346" s="3147"/>
      <c r="D346" s="3146"/>
      <c r="E346" s="3145"/>
      <c r="F346" s="3144"/>
      <c r="G346" s="3145"/>
      <c r="H346" s="3151" t="s">
        <v>2241</v>
      </c>
      <c r="I346" s="3155" t="s">
        <v>116</v>
      </c>
      <c r="J346" s="3137" t="s">
        <v>2240</v>
      </c>
      <c r="K346" s="3171"/>
      <c r="L346" s="3173"/>
      <c r="M346" s="3154" t="s">
        <v>116</v>
      </c>
      <c r="N346" s="3137" t="s">
        <v>2239</v>
      </c>
      <c r="O346" s="3150"/>
      <c r="P346" s="3150"/>
      <c r="Q346" s="3150"/>
      <c r="R346" s="3153"/>
      <c r="S346" s="3171"/>
      <c r="T346" s="3171"/>
      <c r="U346" s="3171"/>
      <c r="V346" s="3171"/>
      <c r="W346" s="3171"/>
      <c r="X346" s="3297"/>
      <c r="Y346" s="3293"/>
      <c r="Z346" s="1201"/>
      <c r="AA346" s="1201"/>
      <c r="AB346" s="1202"/>
      <c r="AC346" s="3333"/>
      <c r="AD346" s="3333"/>
      <c r="AE346" s="3333"/>
      <c r="AF346" s="3333"/>
      <c r="AI346" s="3120" t="str">
        <f>"23:doctor_haiti_code:" &amp; IF(I346="■",1,IF(M346="■",2,0))</f>
        <v>23:doctor_haiti_code:0</v>
      </c>
    </row>
    <row r="347" spans="1:36" s="3120" customFormat="1" ht="18.75" hidden="1" customHeight="1" x14ac:dyDescent="0.2">
      <c r="A347" s="834"/>
      <c r="B347" s="3148"/>
      <c r="C347" s="3147"/>
      <c r="D347" s="3146"/>
      <c r="E347" s="3145"/>
      <c r="F347" s="3144"/>
      <c r="G347" s="3145"/>
      <c r="H347" s="3151" t="s">
        <v>1256</v>
      </c>
      <c r="I347" s="3155" t="s">
        <v>116</v>
      </c>
      <c r="J347" s="3137" t="s">
        <v>1230</v>
      </c>
      <c r="K347" s="3171"/>
      <c r="L347" s="3154" t="s">
        <v>116</v>
      </c>
      <c r="M347" s="3137" t="s">
        <v>1233</v>
      </c>
      <c r="N347" s="3150"/>
      <c r="O347" s="3150"/>
      <c r="P347" s="3150"/>
      <c r="Q347" s="3150"/>
      <c r="R347" s="3150"/>
      <c r="S347" s="3171"/>
      <c r="T347" s="3171"/>
      <c r="U347" s="3171"/>
      <c r="V347" s="3171"/>
      <c r="W347" s="3171"/>
      <c r="X347" s="3297"/>
      <c r="Y347" s="3293"/>
      <c r="Z347" s="1201"/>
      <c r="AA347" s="1201"/>
      <c r="AB347" s="1202"/>
      <c r="AC347" s="3333"/>
      <c r="AD347" s="3333"/>
      <c r="AE347" s="3333"/>
      <c r="AF347" s="3333"/>
      <c r="AI347" s="3120" t="str">
        <f>"23:jyakuninti_uke_code:" &amp; IF(I347="■",1,IF(L347="■",2,0))</f>
        <v>23:jyakuninti_uke_code:0</v>
      </c>
    </row>
    <row r="348" spans="1:36" s="3120" customFormat="1" ht="18.75" hidden="1" customHeight="1" x14ac:dyDescent="0.2">
      <c r="A348" s="834"/>
      <c r="B348" s="3148"/>
      <c r="C348" s="3147"/>
      <c r="D348" s="3146"/>
      <c r="E348" s="3145"/>
      <c r="F348" s="3144"/>
      <c r="G348" s="3145"/>
      <c r="H348" s="3151" t="s">
        <v>1284</v>
      </c>
      <c r="I348" s="3155" t="s">
        <v>116</v>
      </c>
      <c r="J348" s="3137" t="s">
        <v>1240</v>
      </c>
      <c r="K348" s="3171"/>
      <c r="L348" s="3173"/>
      <c r="M348" s="3154" t="s">
        <v>116</v>
      </c>
      <c r="N348" s="3137" t="s">
        <v>1241</v>
      </c>
      <c r="O348" s="3150"/>
      <c r="P348" s="3150"/>
      <c r="Q348" s="3150"/>
      <c r="R348" s="3150"/>
      <c r="S348" s="3171"/>
      <c r="T348" s="3171"/>
      <c r="U348" s="3171"/>
      <c r="V348" s="3171"/>
      <c r="W348" s="3171"/>
      <c r="X348" s="3297"/>
      <c r="Y348" s="3293"/>
      <c r="Z348" s="1201"/>
      <c r="AA348" s="1201"/>
      <c r="AB348" s="1202"/>
      <c r="AC348" s="3333"/>
      <c r="AD348" s="3333"/>
      <c r="AE348" s="3333"/>
      <c r="AF348" s="3333"/>
      <c r="AI348" s="3120" t="str">
        <f>"23:sougei_code:" &amp; IF(I348="■",1,IF(M348="■",2,0))</f>
        <v>23:sougei_code:0</v>
      </c>
    </row>
    <row r="349" spans="1:36" s="3120" customFormat="1" ht="19.5" hidden="1" customHeight="1" x14ac:dyDescent="0.2">
      <c r="A349" s="3158" t="s">
        <v>116</v>
      </c>
      <c r="B349" s="3148">
        <v>23</v>
      </c>
      <c r="C349" s="3147" t="s">
        <v>924</v>
      </c>
      <c r="D349" s="3258" t="s">
        <v>116</v>
      </c>
      <c r="E349" s="3145" t="s">
        <v>2238</v>
      </c>
      <c r="F349" s="3258" t="s">
        <v>116</v>
      </c>
      <c r="G349" s="3145" t="s">
        <v>2237</v>
      </c>
      <c r="H349" s="3174" t="s">
        <v>1236</v>
      </c>
      <c r="I349" s="3155" t="s">
        <v>116</v>
      </c>
      <c r="J349" s="3137" t="s">
        <v>1230</v>
      </c>
      <c r="K349" s="3137"/>
      <c r="L349" s="3154" t="s">
        <v>116</v>
      </c>
      <c r="M349" s="3137" t="s">
        <v>1233</v>
      </c>
      <c r="N349" s="3137"/>
      <c r="O349" s="3150"/>
      <c r="P349" s="3137"/>
      <c r="Q349" s="3150"/>
      <c r="R349" s="3150"/>
      <c r="S349" s="3150"/>
      <c r="T349" s="3150"/>
      <c r="U349" s="3150"/>
      <c r="V349" s="3150"/>
      <c r="W349" s="3150"/>
      <c r="X349" s="3149"/>
      <c r="Y349" s="1201"/>
      <c r="Z349" s="1201"/>
      <c r="AA349" s="1201"/>
      <c r="AB349" s="1202"/>
      <c r="AC349" s="3333"/>
      <c r="AD349" s="3333"/>
      <c r="AE349" s="3333"/>
      <c r="AF349" s="3333"/>
      <c r="AI349" s="3120" t="str">
        <f>"23:field224:" &amp; IF(I349="■",1,IF(L349="■",2,0))</f>
        <v>23:field224:0</v>
      </c>
    </row>
    <row r="350" spans="1:36" s="3120" customFormat="1" ht="18.75" hidden="1" customHeight="1" x14ac:dyDescent="0.2">
      <c r="A350" s="834"/>
      <c r="B350" s="3148"/>
      <c r="C350" s="3147"/>
      <c r="D350" s="3258" t="s">
        <v>116</v>
      </c>
      <c r="E350" s="3145" t="s">
        <v>2236</v>
      </c>
      <c r="F350" s="3258" t="s">
        <v>116</v>
      </c>
      <c r="G350" s="3145" t="s">
        <v>2235</v>
      </c>
      <c r="H350" s="3151" t="s">
        <v>140</v>
      </c>
      <c r="I350" s="3155" t="s">
        <v>116</v>
      </c>
      <c r="J350" s="3137" t="s">
        <v>1230</v>
      </c>
      <c r="K350" s="3171"/>
      <c r="L350" s="3154" t="s">
        <v>116</v>
      </c>
      <c r="M350" s="3137" t="s">
        <v>1233</v>
      </c>
      <c r="N350" s="3150"/>
      <c r="O350" s="3150"/>
      <c r="P350" s="3150"/>
      <c r="Q350" s="3150"/>
      <c r="R350" s="3150"/>
      <c r="S350" s="3171"/>
      <c r="T350" s="3171"/>
      <c r="U350" s="3171"/>
      <c r="V350" s="3171"/>
      <c r="W350" s="3171"/>
      <c r="X350" s="3297"/>
      <c r="Y350" s="3293"/>
      <c r="Z350" s="1201"/>
      <c r="AA350" s="1201"/>
      <c r="AB350" s="1202"/>
      <c r="AC350" s="3333"/>
      <c r="AD350" s="3333"/>
      <c r="AE350" s="3333"/>
      <c r="AF350" s="3333"/>
      <c r="AI350" s="3120" t="str">
        <f>"23:ryouyoushoku_code:" &amp; IF(I350="■",1,IF(L350="■",2,0))</f>
        <v>23:ryouyoushoku_code:0</v>
      </c>
    </row>
    <row r="351" spans="1:36" s="3120" customFormat="1" ht="18.75" hidden="1" customHeight="1" x14ac:dyDescent="0.2">
      <c r="A351" s="834"/>
      <c r="B351" s="3148"/>
      <c r="C351" s="3147"/>
      <c r="D351" s="3146"/>
      <c r="E351" s="3145"/>
      <c r="F351" s="3146"/>
      <c r="G351" s="3145"/>
      <c r="H351" s="3151" t="s">
        <v>2219</v>
      </c>
      <c r="I351" s="3155" t="s">
        <v>116</v>
      </c>
      <c r="J351" s="3137" t="s">
        <v>1230</v>
      </c>
      <c r="K351" s="3137"/>
      <c r="L351" s="3154" t="s">
        <v>116</v>
      </c>
      <c r="M351" s="3137" t="s">
        <v>1231</v>
      </c>
      <c r="N351" s="3137"/>
      <c r="O351" s="3154" t="s">
        <v>116</v>
      </c>
      <c r="P351" s="3137" t="s">
        <v>1232</v>
      </c>
      <c r="Q351" s="3150"/>
      <c r="R351" s="3150"/>
      <c r="S351" s="3150"/>
      <c r="T351" s="3150"/>
      <c r="U351" s="3150"/>
      <c r="V351" s="3150"/>
      <c r="W351" s="3150"/>
      <c r="X351" s="3149"/>
      <c r="Y351" s="3293"/>
      <c r="Z351" s="1201"/>
      <c r="AA351" s="1201"/>
      <c r="AB351" s="1202"/>
      <c r="AC351" s="3333"/>
      <c r="AD351" s="3333"/>
      <c r="AE351" s="3333"/>
      <c r="AF351" s="3333"/>
      <c r="AI351" s="3120" t="str">
        <f>"23:ninti_senmoncare_code:" &amp; IF(I351="■",1,IF(O351="■",3,IF(L351="■",2,0)))</f>
        <v>23:ninti_senmoncare_code:0</v>
      </c>
    </row>
    <row r="352" spans="1:36" s="3120" customFormat="1" ht="18.75" hidden="1" customHeight="1" x14ac:dyDescent="0.2">
      <c r="A352" s="834"/>
      <c r="B352" s="3148"/>
      <c r="C352" s="3147"/>
      <c r="D352" s="3146"/>
      <c r="E352" s="3145"/>
      <c r="F352" s="3144"/>
      <c r="G352" s="3145"/>
      <c r="H352" s="3296" t="s">
        <v>1285</v>
      </c>
      <c r="I352" s="3155" t="s">
        <v>116</v>
      </c>
      <c r="J352" s="3137" t="s">
        <v>1230</v>
      </c>
      <c r="K352" s="3137"/>
      <c r="L352" s="3154" t="s">
        <v>116</v>
      </c>
      <c r="M352" s="3137" t="s">
        <v>1231</v>
      </c>
      <c r="N352" s="3137"/>
      <c r="O352" s="3154" t="s">
        <v>116</v>
      </c>
      <c r="P352" s="3137" t="s">
        <v>1232</v>
      </c>
      <c r="Q352" s="3150"/>
      <c r="R352" s="3150"/>
      <c r="S352" s="3150"/>
      <c r="T352" s="3150"/>
      <c r="U352" s="3209"/>
      <c r="V352" s="3209"/>
      <c r="W352" s="3209"/>
      <c r="X352" s="3208"/>
      <c r="Y352" s="3293"/>
      <c r="Z352" s="1201"/>
      <c r="AA352" s="1201"/>
      <c r="AB352" s="1202"/>
      <c r="AC352" s="3333"/>
      <c r="AD352" s="3333"/>
      <c r="AE352" s="3333"/>
      <c r="AF352" s="3333"/>
      <c r="AI352" s="3120" t="str">
        <f>"23:field225:" &amp; IF(I352="■",1,IF(L352="■",2,IF(O352="■",3,0)))</f>
        <v>23:field225:0</v>
      </c>
    </row>
    <row r="353" spans="1:36" s="3120" customFormat="1" ht="18.75" hidden="1" customHeight="1" x14ac:dyDescent="0.2">
      <c r="A353" s="834"/>
      <c r="B353" s="3148"/>
      <c r="C353" s="3147"/>
      <c r="D353" s="3146"/>
      <c r="E353" s="3145"/>
      <c r="F353" s="3144"/>
      <c r="G353" s="3145"/>
      <c r="H353" s="3304" t="s">
        <v>2228</v>
      </c>
      <c r="I353" s="3303" t="s">
        <v>116</v>
      </c>
      <c r="J353" s="3302" t="s">
        <v>1287</v>
      </c>
      <c r="K353" s="3302"/>
      <c r="L353" s="3209"/>
      <c r="M353" s="3209"/>
      <c r="N353" s="3209"/>
      <c r="O353" s="3209"/>
      <c r="P353" s="3301" t="s">
        <v>116</v>
      </c>
      <c r="Q353" s="3302" t="s">
        <v>1288</v>
      </c>
      <c r="R353" s="3209"/>
      <c r="S353" s="3209"/>
      <c r="T353" s="3209"/>
      <c r="U353" s="3209"/>
      <c r="V353" s="3209"/>
      <c r="W353" s="3209"/>
      <c r="X353" s="3208"/>
      <c r="Y353" s="3293"/>
      <c r="Z353" s="1201"/>
      <c r="AA353" s="1201"/>
      <c r="AB353" s="1202"/>
      <c r="AC353" s="3333"/>
      <c r="AD353" s="3333"/>
      <c r="AE353" s="3333"/>
      <c r="AF353" s="3333"/>
      <c r="AI353" s="3120" t="str">
        <f>"23:" &amp; IF(AND(I353="□",P353="□",I354="□"),"tokusin_jyusho_code:0:tokusin_yakuzai_code:0:shuudan_comu_code:0",IF(I353="■","tokusin_jyusho_code:2","tokusin_jyusho_code:1")
&amp;IF(P353="■",":tokusin_yakuzai_code:2",":tokusin_yakuzai_code:1")
&amp;IF(I354="■",":shuudan_comu_code:2",":shuudan_comu_code:1"))</f>
        <v>23:tokusin_jyusho_code:0:tokusin_yakuzai_code:0:shuudan_comu_code:0</v>
      </c>
    </row>
    <row r="354" spans="1:36" s="3120" customFormat="1" ht="18.75" hidden="1" customHeight="1" x14ac:dyDescent="0.2">
      <c r="A354" s="834"/>
      <c r="B354" s="3148"/>
      <c r="C354" s="3147"/>
      <c r="D354" s="3146"/>
      <c r="E354" s="3145"/>
      <c r="F354" s="3144"/>
      <c r="G354" s="3145"/>
      <c r="H354" s="3300"/>
      <c r="I354" s="3141" t="s">
        <v>116</v>
      </c>
      <c r="J354" s="3139" t="s">
        <v>1294</v>
      </c>
      <c r="K354" s="3207"/>
      <c r="L354" s="3207"/>
      <c r="M354" s="3207"/>
      <c r="N354" s="3207"/>
      <c r="O354" s="3207"/>
      <c r="P354" s="3207"/>
      <c r="Q354" s="3162"/>
      <c r="R354" s="3207"/>
      <c r="S354" s="3207"/>
      <c r="T354" s="3207"/>
      <c r="U354" s="3207"/>
      <c r="V354" s="3207"/>
      <c r="W354" s="3207"/>
      <c r="X354" s="3206"/>
      <c r="Y354" s="3293"/>
      <c r="Z354" s="1201"/>
      <c r="AA354" s="1201"/>
      <c r="AB354" s="1202"/>
      <c r="AC354" s="3333"/>
      <c r="AD354" s="3333"/>
      <c r="AE354" s="3333"/>
      <c r="AF354" s="3333"/>
    </row>
    <row r="355" spans="1:36" s="3120" customFormat="1" ht="18.75" hidden="1" customHeight="1" x14ac:dyDescent="0.2">
      <c r="A355" s="834"/>
      <c r="B355" s="3148"/>
      <c r="C355" s="3147"/>
      <c r="D355" s="3146"/>
      <c r="E355" s="3145"/>
      <c r="F355" s="3144"/>
      <c r="G355" s="3145"/>
      <c r="H355" s="3304" t="s">
        <v>1300</v>
      </c>
      <c r="I355" s="3303" t="s">
        <v>116</v>
      </c>
      <c r="J355" s="3302" t="s">
        <v>1295</v>
      </c>
      <c r="K355" s="3317"/>
      <c r="L355" s="3316"/>
      <c r="M355" s="3301" t="s">
        <v>116</v>
      </c>
      <c r="N355" s="3302" t="s">
        <v>1296</v>
      </c>
      <c r="O355" s="3209"/>
      <c r="P355" s="3209"/>
      <c r="Q355" s="3301" t="s">
        <v>116</v>
      </c>
      <c r="R355" s="3302" t="s">
        <v>1297</v>
      </c>
      <c r="S355" s="3209"/>
      <c r="T355" s="3209"/>
      <c r="U355" s="3209"/>
      <c r="V355" s="3209"/>
      <c r="W355" s="3209"/>
      <c r="X355" s="3208"/>
      <c r="Y355" s="3293"/>
      <c r="Z355" s="1201"/>
      <c r="AA355" s="1201"/>
      <c r="AB355" s="1202"/>
      <c r="AC355" s="3333"/>
      <c r="AD355" s="3333"/>
      <c r="AE355" s="3333"/>
      <c r="AF355" s="3333"/>
      <c r="AI355" s="3120" t="str">
        <f>"23:"&amp;IF(AND(I355="□",M355="□",Q355="□",I356="□",Q356="□"),"koriha_rryoho1_code:0:koriha_sryoho_code:0:koriha_gengo_code:0:riha_seisin_code:0:koriha_other_code:0",IF(I355="■","koriha_rryoho1_code:2","koriha_rryoho1_code:1")
&amp;IF(M355="■",":koriha_sryoho_code:2",":koriha_sryoho_code:1")
&amp;IF(Q355="■",":koriha_gengo_code:2",":koriha_gengo_code:1")
&amp;IF(I356="■",":riha_seisin_code:2",":riha_seisin_code:1")
&amp;IF(Q356="■",":koriha_other_code:2",":koriha_other_code:1"))</f>
        <v>23:koriha_rryoho1_code:0:koriha_sryoho_code:0:koriha_gengo_code:0:riha_seisin_code:0:koriha_other_code:0</v>
      </c>
    </row>
    <row r="356" spans="1:36" s="3120" customFormat="1" ht="18.75" hidden="1" customHeight="1" x14ac:dyDescent="0.2">
      <c r="A356" s="834"/>
      <c r="B356" s="3148"/>
      <c r="C356" s="3147"/>
      <c r="D356" s="3146"/>
      <c r="E356" s="3145"/>
      <c r="F356" s="3144"/>
      <c r="G356" s="3145"/>
      <c r="H356" s="3300"/>
      <c r="I356" s="3141" t="s">
        <v>116</v>
      </c>
      <c r="J356" s="3139" t="s">
        <v>1298</v>
      </c>
      <c r="K356" s="3207"/>
      <c r="L356" s="3207"/>
      <c r="M356" s="3207"/>
      <c r="N356" s="3207"/>
      <c r="O356" s="3207"/>
      <c r="P356" s="3207"/>
      <c r="Q356" s="3140" t="s">
        <v>116</v>
      </c>
      <c r="R356" s="3139" t="s">
        <v>1299</v>
      </c>
      <c r="S356" s="3162"/>
      <c r="T356" s="3207"/>
      <c r="U356" s="3207"/>
      <c r="V356" s="3207"/>
      <c r="W356" s="3207"/>
      <c r="X356" s="3206"/>
      <c r="Y356" s="3293"/>
      <c r="Z356" s="1201"/>
      <c r="AA356" s="1201"/>
      <c r="AB356" s="1202"/>
      <c r="AC356" s="3333"/>
      <c r="AD356" s="3333"/>
      <c r="AE356" s="3333"/>
      <c r="AF356" s="3333"/>
    </row>
    <row r="357" spans="1:36" s="3120" customFormat="1" ht="18.75" hidden="1" customHeight="1" x14ac:dyDescent="0.2">
      <c r="A357" s="834"/>
      <c r="B357" s="3148"/>
      <c r="C357" s="3147"/>
      <c r="D357" s="3146"/>
      <c r="E357" s="3145"/>
      <c r="F357" s="3144"/>
      <c r="G357" s="3145"/>
      <c r="H357" s="3159" t="s">
        <v>238</v>
      </c>
      <c r="I357" s="3155" t="s">
        <v>116</v>
      </c>
      <c r="J357" s="3137" t="s">
        <v>1230</v>
      </c>
      <c r="K357" s="3137"/>
      <c r="L357" s="3154" t="s">
        <v>116</v>
      </c>
      <c r="M357" s="3137" t="s">
        <v>1259</v>
      </c>
      <c r="N357" s="3137"/>
      <c r="O357" s="3154" t="s">
        <v>116</v>
      </c>
      <c r="P357" s="3137" t="s">
        <v>1260</v>
      </c>
      <c r="Q357" s="3153"/>
      <c r="R357" s="3154" t="s">
        <v>116</v>
      </c>
      <c r="S357" s="3137" t="s">
        <v>1261</v>
      </c>
      <c r="T357" s="3153"/>
      <c r="U357" s="3153"/>
      <c r="V357" s="3153"/>
      <c r="W357" s="3153"/>
      <c r="X357" s="3152"/>
      <c r="Y357" s="3293"/>
      <c r="Z357" s="1201"/>
      <c r="AA357" s="1201"/>
      <c r="AB357" s="1202"/>
      <c r="AC357" s="3333"/>
      <c r="AD357" s="3333"/>
      <c r="AE357" s="3333"/>
      <c r="AF357" s="3333"/>
      <c r="AI357" s="3120" t="str">
        <f>"23:serteikyo_kyoka_code:" &amp; IF(I357="■",1,IF(L357="■",6,IF(O357="■",5,IF(R357="■",7,0))))</f>
        <v>23:serteikyo_kyoka_code:0</v>
      </c>
    </row>
    <row r="358" spans="1:36" s="3120" customFormat="1" ht="18.75" hidden="1" customHeight="1" x14ac:dyDescent="0.2">
      <c r="A358" s="834"/>
      <c r="B358" s="3148"/>
      <c r="C358" s="3147"/>
      <c r="D358" s="3146"/>
      <c r="E358" s="3145"/>
      <c r="F358" s="3144"/>
      <c r="G358" s="3145"/>
      <c r="H358" s="3170" t="s">
        <v>2058</v>
      </c>
      <c r="I358" s="3348" t="s">
        <v>116</v>
      </c>
      <c r="J358" s="3347" t="s">
        <v>1230</v>
      </c>
      <c r="K358" s="3347"/>
      <c r="L358" s="3346" t="s">
        <v>116</v>
      </c>
      <c r="M358" s="3347" t="s">
        <v>1233</v>
      </c>
      <c r="N358" s="3347"/>
      <c r="O358" s="3302"/>
      <c r="P358" s="3302"/>
      <c r="Q358" s="3302"/>
      <c r="R358" s="3302"/>
      <c r="S358" s="3302"/>
      <c r="T358" s="3302"/>
      <c r="U358" s="3302"/>
      <c r="V358" s="3302"/>
      <c r="W358" s="3302"/>
      <c r="X358" s="3335"/>
      <c r="Y358" s="3293"/>
      <c r="Z358" s="1201"/>
      <c r="AA358" s="1201"/>
      <c r="AB358" s="1202"/>
      <c r="AC358" s="3333"/>
      <c r="AD358" s="3333"/>
      <c r="AE358" s="3333"/>
      <c r="AF358" s="3333"/>
      <c r="AI358" s="3120" t="str">
        <f>"23:field221:" &amp; IF(I358="■",1,IF(L358="■",2,0))</f>
        <v>23:field221:0</v>
      </c>
    </row>
    <row r="359" spans="1:36" s="3120" customFormat="1" ht="18.75" hidden="1" customHeight="1" x14ac:dyDescent="0.2">
      <c r="A359" s="834"/>
      <c r="B359" s="3148"/>
      <c r="C359" s="3147"/>
      <c r="D359" s="3146"/>
      <c r="E359" s="3145"/>
      <c r="F359" s="3144"/>
      <c r="G359" s="3145"/>
      <c r="H359" s="3165"/>
      <c r="I359" s="3348"/>
      <c r="J359" s="3347"/>
      <c r="K359" s="3347"/>
      <c r="L359" s="3346"/>
      <c r="M359" s="3347"/>
      <c r="N359" s="3347"/>
      <c r="O359" s="3139"/>
      <c r="P359" s="3139"/>
      <c r="Q359" s="3139"/>
      <c r="R359" s="3139"/>
      <c r="S359" s="3139"/>
      <c r="T359" s="3139"/>
      <c r="U359" s="3139"/>
      <c r="V359" s="3139"/>
      <c r="W359" s="3139"/>
      <c r="X359" s="3195"/>
      <c r="Y359" s="3293"/>
      <c r="Z359" s="1201"/>
      <c r="AA359" s="1201"/>
      <c r="AB359" s="1202"/>
      <c r="AC359" s="3333"/>
      <c r="AD359" s="3333"/>
      <c r="AE359" s="3333"/>
      <c r="AF359" s="3333"/>
    </row>
    <row r="360" spans="1:36" s="3120" customFormat="1" ht="18.75" hidden="1" customHeight="1" x14ac:dyDescent="0.2">
      <c r="A360" s="835"/>
      <c r="B360" s="3135"/>
      <c r="C360" s="3134"/>
      <c r="D360" s="3133"/>
      <c r="E360" s="3132"/>
      <c r="F360" s="3131"/>
      <c r="G360" s="3189"/>
      <c r="H360" s="3289" t="s">
        <v>2129</v>
      </c>
      <c r="I360" s="3128" t="s">
        <v>116</v>
      </c>
      <c r="J360" s="3285" t="s">
        <v>1230</v>
      </c>
      <c r="K360" s="3285"/>
      <c r="L360" s="3127" t="s">
        <v>116</v>
      </c>
      <c r="M360" s="3285" t="s">
        <v>2128</v>
      </c>
      <c r="N360" s="3288"/>
      <c r="O360" s="3127" t="s">
        <v>116</v>
      </c>
      <c r="P360" s="3285" t="s">
        <v>2127</v>
      </c>
      <c r="Q360" s="3286"/>
      <c r="R360" s="3127" t="s">
        <v>116</v>
      </c>
      <c r="S360" s="3285" t="s">
        <v>2126</v>
      </c>
      <c r="T360" s="3286"/>
      <c r="U360" s="3127" t="s">
        <v>116</v>
      </c>
      <c r="V360" s="3285" t="s">
        <v>2125</v>
      </c>
      <c r="W360" s="3284"/>
      <c r="X360" s="3283"/>
      <c r="Y360" s="3282"/>
      <c r="Z360" s="3282"/>
      <c r="AA360" s="3282"/>
      <c r="AB360" s="3281"/>
      <c r="AC360" s="3332"/>
      <c r="AD360" s="3332"/>
      <c r="AE360" s="3332"/>
      <c r="AF360" s="3332"/>
      <c r="AI360" s="3120" t="str">
        <f>"23:shoguukaizen_code:"&amp;IF(I360="■",1,IF(L360="■",7,IF(O360="■",8,IF(R360="■",9,IF(U360="■","A",0)))))</f>
        <v>23:shoguukaizen_code:0</v>
      </c>
    </row>
    <row r="361" spans="1:36" s="3120" customFormat="1" ht="18.75" hidden="1" customHeight="1" x14ac:dyDescent="0.2">
      <c r="A361" s="3188"/>
      <c r="B361" s="3187"/>
      <c r="C361" s="3313"/>
      <c r="D361" s="3312"/>
      <c r="E361" s="3185"/>
      <c r="F361" s="3184"/>
      <c r="G361" s="3183"/>
      <c r="H361" s="3406" t="s">
        <v>1325</v>
      </c>
      <c r="I361" s="3405" t="s">
        <v>116</v>
      </c>
      <c r="J361" s="3402" t="s">
        <v>1228</v>
      </c>
      <c r="K361" s="3401"/>
      <c r="L361" s="3404"/>
      <c r="M361" s="3403" t="s">
        <v>116</v>
      </c>
      <c r="N361" s="3402" t="s">
        <v>1322</v>
      </c>
      <c r="O361" s="3401"/>
      <c r="P361" s="3400"/>
      <c r="Q361" s="3400"/>
      <c r="R361" s="3400"/>
      <c r="S361" s="3400"/>
      <c r="T361" s="3400"/>
      <c r="U361" s="3400"/>
      <c r="V361" s="3400"/>
      <c r="W361" s="3400"/>
      <c r="X361" s="3399"/>
      <c r="Y361" s="3310" t="s">
        <v>116</v>
      </c>
      <c r="Z361" s="3252" t="s">
        <v>1225</v>
      </c>
      <c r="AA361" s="3398"/>
      <c r="AB361" s="3308"/>
      <c r="AC361" s="3307"/>
      <c r="AD361" s="3397"/>
      <c r="AE361" s="3397"/>
      <c r="AF361" s="3396"/>
      <c r="AG361" s="3120" t="str">
        <f>"ser_code = '" &amp; IF(A370="■",23,"") &amp; "'"</f>
        <v>ser_code = ''</v>
      </c>
      <c r="AH361" s="3120" t="str">
        <f>"23:jininkbn_code:"&amp;IF(F367="■",1,IF(F369="■",3,IF(F371="■",4,IF(F373="■",2,0))))</f>
        <v>23:jininkbn_code:0</v>
      </c>
      <c r="AI361" s="3120" t="str">
        <f>"23:sintaikousoku_code:" &amp; IF(I361="■",1,IF(M361="■",2,0))</f>
        <v>23:sintaikousoku_code:0</v>
      </c>
      <c r="AJ361" s="3120" t="str">
        <f>"23:field203:" &amp; IF(Y361="■",1,IF(Y362="■",2,0))</f>
        <v>23:field203:0</v>
      </c>
    </row>
    <row r="362" spans="1:36" s="3120" customFormat="1" ht="19.5" hidden="1" customHeight="1" x14ac:dyDescent="0.2">
      <c r="A362" s="834"/>
      <c r="B362" s="3148"/>
      <c r="C362" s="3147"/>
      <c r="D362" s="3146"/>
      <c r="E362" s="3145"/>
      <c r="F362" s="3144"/>
      <c r="G362" s="3175"/>
      <c r="H362" s="3395" t="s">
        <v>1227</v>
      </c>
      <c r="I362" s="3141" t="s">
        <v>116</v>
      </c>
      <c r="J362" s="3139" t="s">
        <v>1228</v>
      </c>
      <c r="K362" s="3138"/>
      <c r="L362" s="3385"/>
      <c r="M362" s="3140" t="s">
        <v>116</v>
      </c>
      <c r="N362" s="3139" t="s">
        <v>1229</v>
      </c>
      <c r="O362" s="3196"/>
      <c r="P362" s="3139"/>
      <c r="Q362" s="3207"/>
      <c r="R362" s="3207"/>
      <c r="S362" s="3207"/>
      <c r="T362" s="3207"/>
      <c r="U362" s="3207"/>
      <c r="V362" s="3207"/>
      <c r="W362" s="3207"/>
      <c r="X362" s="3206"/>
      <c r="Y362" s="3258" t="s">
        <v>116</v>
      </c>
      <c r="Z362" s="1200" t="s">
        <v>1226</v>
      </c>
      <c r="AA362" s="1200"/>
      <c r="AB362" s="1202"/>
      <c r="AC362" s="3394"/>
      <c r="AD362" s="3393"/>
      <c r="AE362" s="3393"/>
      <c r="AF362" s="3392"/>
      <c r="AG362" s="3120" t="str">
        <f>"23:sisetukbn_code:"&amp;IF(D370="■","2",0)</f>
        <v>23:sisetukbn_code:0</v>
      </c>
      <c r="AI362" s="3120" t="str">
        <f>"23:field223:" &amp; IF(I362="■",1,IF(M362="■",2,0))</f>
        <v>23:field223:0</v>
      </c>
    </row>
    <row r="363" spans="1:36" s="3120" customFormat="1" ht="19.5" hidden="1" customHeight="1" x14ac:dyDescent="0.2">
      <c r="A363" s="834"/>
      <c r="B363" s="3148"/>
      <c r="C363" s="3147"/>
      <c r="D363" s="3146"/>
      <c r="E363" s="3145"/>
      <c r="F363" s="3144"/>
      <c r="G363" s="3175"/>
      <c r="H363" s="3174" t="s">
        <v>1253</v>
      </c>
      <c r="I363" s="3155" t="s">
        <v>116</v>
      </c>
      <c r="J363" s="3137" t="s">
        <v>1228</v>
      </c>
      <c r="K363" s="3171"/>
      <c r="L363" s="3173"/>
      <c r="M363" s="3154" t="s">
        <v>116</v>
      </c>
      <c r="N363" s="3137" t="s">
        <v>1229</v>
      </c>
      <c r="O363" s="3299"/>
      <c r="P363" s="3137"/>
      <c r="Q363" s="3150"/>
      <c r="R363" s="3150"/>
      <c r="S363" s="3150"/>
      <c r="T363" s="3150"/>
      <c r="U363" s="3150"/>
      <c r="V363" s="3150"/>
      <c r="W363" s="3150"/>
      <c r="X363" s="3149"/>
      <c r="Y363" s="836"/>
      <c r="Z363" s="836"/>
      <c r="AA363" s="1201"/>
      <c r="AB363" s="1202"/>
      <c r="AC363" s="3394"/>
      <c r="AD363" s="3393"/>
      <c r="AE363" s="3393"/>
      <c r="AF363" s="3392"/>
      <c r="AI363" s="3120" t="str">
        <f>"23:field232:" &amp; IF(I363="■",1,IF(M363="■",2,0))</f>
        <v>23:field232:0</v>
      </c>
    </row>
    <row r="364" spans="1:36" s="3120" customFormat="1" ht="18.75" hidden="1" customHeight="1" x14ac:dyDescent="0.2">
      <c r="A364" s="834"/>
      <c r="B364" s="3148"/>
      <c r="C364" s="3147"/>
      <c r="D364" s="3146"/>
      <c r="E364" s="3175"/>
      <c r="F364" s="3146"/>
      <c r="G364" s="3145"/>
      <c r="H364" s="3213" t="s">
        <v>2226</v>
      </c>
      <c r="I364" s="3141" t="s">
        <v>116</v>
      </c>
      <c r="J364" s="3139" t="s">
        <v>1282</v>
      </c>
      <c r="K364" s="3138"/>
      <c r="L364" s="3385"/>
      <c r="M364" s="3140" t="s">
        <v>116</v>
      </c>
      <c r="N364" s="3139" t="s">
        <v>1293</v>
      </c>
      <c r="O364" s="3162"/>
      <c r="P364" s="3138"/>
      <c r="Q364" s="3138"/>
      <c r="R364" s="3138"/>
      <c r="S364" s="3138"/>
      <c r="T364" s="3138"/>
      <c r="U364" s="3138"/>
      <c r="V364" s="3138"/>
      <c r="W364" s="3138"/>
      <c r="X364" s="3212"/>
      <c r="Y364" s="836"/>
      <c r="Z364" s="836"/>
      <c r="AA364" s="836"/>
      <c r="AB364" s="1202"/>
      <c r="AC364" s="3394"/>
      <c r="AD364" s="3393"/>
      <c r="AE364" s="3393"/>
      <c r="AF364" s="3392"/>
      <c r="AI364" s="3120" t="str">
        <f>"23:setubi_kijyun_code:" &amp; IF(I364="■",1,IF(M364="■",2,0))</f>
        <v>23:setubi_kijyun_code:0</v>
      </c>
    </row>
    <row r="365" spans="1:36" s="3120" customFormat="1" ht="18.75" hidden="1" customHeight="1" x14ac:dyDescent="0.2">
      <c r="A365" s="834"/>
      <c r="B365" s="3148"/>
      <c r="C365" s="3147"/>
      <c r="D365" s="3146"/>
      <c r="E365" s="3175"/>
      <c r="F365" s="3146"/>
      <c r="G365" s="3145"/>
      <c r="H365" s="3151" t="s">
        <v>2225</v>
      </c>
      <c r="I365" s="3155" t="s">
        <v>116</v>
      </c>
      <c r="J365" s="3137" t="s">
        <v>1282</v>
      </c>
      <c r="K365" s="3171"/>
      <c r="L365" s="3173"/>
      <c r="M365" s="3154" t="s">
        <v>116</v>
      </c>
      <c r="N365" s="3137" t="s">
        <v>1293</v>
      </c>
      <c r="O365" s="3153"/>
      <c r="P365" s="3171"/>
      <c r="Q365" s="3171"/>
      <c r="R365" s="3171"/>
      <c r="S365" s="3171"/>
      <c r="T365" s="3171"/>
      <c r="U365" s="3171"/>
      <c r="V365" s="3171"/>
      <c r="W365" s="3171"/>
      <c r="X365" s="3297"/>
      <c r="Y365" s="3293"/>
      <c r="Z365" s="1201"/>
      <c r="AA365" s="1201"/>
      <c r="AB365" s="1202"/>
      <c r="AC365" s="3394"/>
      <c r="AD365" s="3393"/>
      <c r="AE365" s="3393"/>
      <c r="AF365" s="3392"/>
      <c r="AI365" s="3120" t="str">
        <f>"23:field163:" &amp; IF(I365="■",1,IF(M365="■",2,0))</f>
        <v>23:field163:0</v>
      </c>
    </row>
    <row r="366" spans="1:36" s="3120" customFormat="1" ht="18.75" hidden="1" customHeight="1" x14ac:dyDescent="0.2">
      <c r="A366" s="834"/>
      <c r="B366" s="3148"/>
      <c r="C366" s="3147"/>
      <c r="D366" s="3146"/>
      <c r="E366" s="3175"/>
      <c r="F366" s="3146"/>
      <c r="G366" s="3145"/>
      <c r="H366" s="3151" t="s">
        <v>1256</v>
      </c>
      <c r="I366" s="3155" t="s">
        <v>116</v>
      </c>
      <c r="J366" s="3137" t="s">
        <v>1230</v>
      </c>
      <c r="K366" s="3171"/>
      <c r="L366" s="3154" t="s">
        <v>116</v>
      </c>
      <c r="M366" s="3137" t="s">
        <v>1233</v>
      </c>
      <c r="N366" s="3150"/>
      <c r="O366" s="3150"/>
      <c r="P366" s="3150"/>
      <c r="Q366" s="3171"/>
      <c r="R366" s="3171"/>
      <c r="S366" s="3171"/>
      <c r="T366" s="3171"/>
      <c r="U366" s="3171"/>
      <c r="V366" s="3171"/>
      <c r="W366" s="3171"/>
      <c r="X366" s="3297"/>
      <c r="Y366" s="3293"/>
      <c r="Z366" s="1201"/>
      <c r="AA366" s="1201"/>
      <c r="AB366" s="1202"/>
      <c r="AC366" s="3394"/>
      <c r="AD366" s="3393"/>
      <c r="AE366" s="3393"/>
      <c r="AF366" s="3392"/>
      <c r="AI366" s="3120" t="str">
        <f>"23:jyakuninti_uke_code:" &amp; IF(I366="■",1,IF(L366="■",2,0))</f>
        <v>23:jyakuninti_uke_code:0</v>
      </c>
    </row>
    <row r="367" spans="1:36" s="3120" customFormat="1" ht="18.75" hidden="1" customHeight="1" x14ac:dyDescent="0.2">
      <c r="A367" s="834"/>
      <c r="B367" s="3148"/>
      <c r="C367" s="3147"/>
      <c r="D367" s="3146"/>
      <c r="E367" s="3175"/>
      <c r="F367" s="3258" t="s">
        <v>116</v>
      </c>
      <c r="G367" s="3145" t="s">
        <v>2234</v>
      </c>
      <c r="H367" s="3151" t="s">
        <v>1284</v>
      </c>
      <c r="I367" s="3155" t="s">
        <v>116</v>
      </c>
      <c r="J367" s="3137" t="s">
        <v>1240</v>
      </c>
      <c r="K367" s="3171"/>
      <c r="L367" s="3173"/>
      <c r="M367" s="3154" t="s">
        <v>116</v>
      </c>
      <c r="N367" s="3137" t="s">
        <v>1241</v>
      </c>
      <c r="O367" s="3150"/>
      <c r="P367" s="3150"/>
      <c r="Q367" s="3171"/>
      <c r="R367" s="3171"/>
      <c r="S367" s="3171"/>
      <c r="T367" s="3171"/>
      <c r="U367" s="3171"/>
      <c r="V367" s="3171"/>
      <c r="W367" s="3171"/>
      <c r="X367" s="3297"/>
      <c r="Y367" s="1201"/>
      <c r="Z367" s="1201"/>
      <c r="AA367" s="1201"/>
      <c r="AB367" s="1202"/>
      <c r="AC367" s="3394"/>
      <c r="AD367" s="3393"/>
      <c r="AE367" s="3393"/>
      <c r="AF367" s="3392"/>
      <c r="AI367" s="3120" t="str">
        <f>"23:sougei_code:" &amp; IF(I367="■",1,IF(M367="■",2,0))</f>
        <v>23:sougei_code:0</v>
      </c>
    </row>
    <row r="368" spans="1:36" s="3120" customFormat="1" ht="19.5" hidden="1" customHeight="1" x14ac:dyDescent="0.2">
      <c r="A368" s="834"/>
      <c r="B368" s="3148"/>
      <c r="C368" s="3147"/>
      <c r="D368" s="3146"/>
      <c r="E368" s="3175"/>
      <c r="F368" s="3146"/>
      <c r="G368" s="3145" t="s">
        <v>2233</v>
      </c>
      <c r="H368" s="3174" t="s">
        <v>1236</v>
      </c>
      <c r="I368" s="3155" t="s">
        <v>116</v>
      </c>
      <c r="J368" s="3137" t="s">
        <v>1230</v>
      </c>
      <c r="K368" s="3137"/>
      <c r="L368" s="3154" t="s">
        <v>116</v>
      </c>
      <c r="M368" s="3137" t="s">
        <v>1233</v>
      </c>
      <c r="N368" s="3137"/>
      <c r="O368" s="3150"/>
      <c r="P368" s="3137"/>
      <c r="Q368" s="3150"/>
      <c r="R368" s="3150"/>
      <c r="S368" s="3150"/>
      <c r="T368" s="3150"/>
      <c r="U368" s="3150"/>
      <c r="V368" s="3150"/>
      <c r="W368" s="3150"/>
      <c r="X368" s="3149"/>
      <c r="Y368" s="1201"/>
      <c r="Z368" s="1201"/>
      <c r="AA368" s="1201"/>
      <c r="AB368" s="1202"/>
      <c r="AC368" s="3394"/>
      <c r="AD368" s="3393"/>
      <c r="AE368" s="3393"/>
      <c r="AF368" s="3392"/>
      <c r="AI368" s="3120" t="str">
        <f>"23:field224:" &amp; IF(I368="■",1,IF(L368="■",2,0))</f>
        <v>23:field224:0</v>
      </c>
    </row>
    <row r="369" spans="1:36" s="3120" customFormat="1" ht="18.75" hidden="1" customHeight="1" x14ac:dyDescent="0.2">
      <c r="A369" s="834"/>
      <c r="B369" s="3148"/>
      <c r="C369" s="3147"/>
      <c r="D369" s="3146"/>
      <c r="E369" s="3175"/>
      <c r="F369" s="3258" t="s">
        <v>116</v>
      </c>
      <c r="G369" s="3145" t="s">
        <v>2232</v>
      </c>
      <c r="H369" s="3151" t="s">
        <v>140</v>
      </c>
      <c r="I369" s="3155" t="s">
        <v>116</v>
      </c>
      <c r="J369" s="3137" t="s">
        <v>1230</v>
      </c>
      <c r="K369" s="3171"/>
      <c r="L369" s="3154" t="s">
        <v>116</v>
      </c>
      <c r="M369" s="3137" t="s">
        <v>1233</v>
      </c>
      <c r="N369" s="3150"/>
      <c r="O369" s="3150"/>
      <c r="P369" s="3150"/>
      <c r="Q369" s="3171"/>
      <c r="R369" s="3171"/>
      <c r="S369" s="3171"/>
      <c r="T369" s="3171"/>
      <c r="U369" s="3171"/>
      <c r="V369" s="3171"/>
      <c r="W369" s="3171"/>
      <c r="X369" s="3297"/>
      <c r="Y369" s="3293"/>
      <c r="Z369" s="1201"/>
      <c r="AA369" s="1201"/>
      <c r="AB369" s="1202"/>
      <c r="AC369" s="3394"/>
      <c r="AD369" s="3393"/>
      <c r="AE369" s="3393"/>
      <c r="AF369" s="3392"/>
      <c r="AI369" s="3120" t="str">
        <f>"23:ryouyoushoku_code:" &amp; IF(I369="■",1,IF(L369="■",2,0))</f>
        <v>23:ryouyoushoku_code:0</v>
      </c>
    </row>
    <row r="370" spans="1:36" s="3120" customFormat="1" ht="18.75" hidden="1" customHeight="1" x14ac:dyDescent="0.2">
      <c r="A370" s="3158" t="s">
        <v>116</v>
      </c>
      <c r="B370" s="3148">
        <v>23</v>
      </c>
      <c r="C370" s="3147" t="s">
        <v>924</v>
      </c>
      <c r="D370" s="3258" t="s">
        <v>116</v>
      </c>
      <c r="E370" s="3175" t="s">
        <v>2231</v>
      </c>
      <c r="F370" s="3146"/>
      <c r="G370" s="3145" t="s">
        <v>2230</v>
      </c>
      <c r="H370" s="3151" t="s">
        <v>2219</v>
      </c>
      <c r="I370" s="3155" t="s">
        <v>116</v>
      </c>
      <c r="J370" s="3137" t="s">
        <v>1230</v>
      </c>
      <c r="K370" s="3137"/>
      <c r="L370" s="3154" t="s">
        <v>116</v>
      </c>
      <c r="M370" s="3137" t="s">
        <v>1231</v>
      </c>
      <c r="N370" s="3137"/>
      <c r="O370" s="3154" t="s">
        <v>116</v>
      </c>
      <c r="P370" s="3137" t="s">
        <v>1232</v>
      </c>
      <c r="Q370" s="3150"/>
      <c r="R370" s="3171"/>
      <c r="S370" s="3171"/>
      <c r="T370" s="3171"/>
      <c r="U370" s="3171"/>
      <c r="V370" s="3171"/>
      <c r="W370" s="3171"/>
      <c r="X370" s="3297"/>
      <c r="Y370" s="3293"/>
      <c r="Z370" s="1201"/>
      <c r="AA370" s="1201"/>
      <c r="AB370" s="1202"/>
      <c r="AC370" s="3394"/>
      <c r="AD370" s="3393"/>
      <c r="AE370" s="3393"/>
      <c r="AF370" s="3392"/>
      <c r="AI370" s="3120" t="str">
        <f>"23:ninti_senmoncare_code:" &amp; IF(I370="■",1,IF(O370="■",3,IF(L370="■",2,0)))</f>
        <v>23:ninti_senmoncare_code:0</v>
      </c>
    </row>
    <row r="371" spans="1:36" s="3120" customFormat="1" ht="18.75" hidden="1" customHeight="1" x14ac:dyDescent="0.2">
      <c r="A371" s="834"/>
      <c r="B371" s="3148"/>
      <c r="C371" s="3147"/>
      <c r="D371" s="3146"/>
      <c r="E371" s="3175"/>
      <c r="F371" s="3258" t="s">
        <v>116</v>
      </c>
      <c r="G371" s="3145" t="s">
        <v>2229</v>
      </c>
      <c r="H371" s="3304" t="s">
        <v>2228</v>
      </c>
      <c r="I371" s="3303" t="s">
        <v>116</v>
      </c>
      <c r="J371" s="3302" t="s">
        <v>1287</v>
      </c>
      <c r="K371" s="3302"/>
      <c r="L371" s="3209"/>
      <c r="M371" s="3209"/>
      <c r="N371" s="3209"/>
      <c r="O371" s="3209"/>
      <c r="P371" s="3301" t="s">
        <v>116</v>
      </c>
      <c r="Q371" s="3302" t="s">
        <v>1288</v>
      </c>
      <c r="R371" s="3209"/>
      <c r="S371" s="3209"/>
      <c r="T371" s="3209"/>
      <c r="U371" s="3209"/>
      <c r="V371" s="3209"/>
      <c r="W371" s="3209"/>
      <c r="X371" s="3208"/>
      <c r="Y371" s="3293"/>
      <c r="Z371" s="1201"/>
      <c r="AA371" s="1201"/>
      <c r="AB371" s="1202"/>
      <c r="AC371" s="3394"/>
      <c r="AD371" s="3393"/>
      <c r="AE371" s="3393"/>
      <c r="AF371" s="3392"/>
      <c r="AI371" s="3120" t="str">
        <f>"23:" &amp; IF(AND(I371="□",P371="□",I372="□"),"tokusin_jyusho_code:0:tokusin_yakuzai_code:0:shuudan_comu_code:0",IF(I371="■","tokusin_jyusho_code:2","tokusin_jyusho_code:1")
&amp;IF(P371="■",":tokusin_yakuzai_code:2",":tokusin_yakuzai_code:1")
&amp;IF(I372="■",":shuudan_comu_code:2",":shuudan_comu_code:1"))</f>
        <v>23:tokusin_jyusho_code:0:tokusin_yakuzai_code:0:shuudan_comu_code:0</v>
      </c>
    </row>
    <row r="372" spans="1:36" s="3120" customFormat="1" ht="18.75" hidden="1" customHeight="1" x14ac:dyDescent="0.2">
      <c r="A372" s="834"/>
      <c r="B372" s="3148"/>
      <c r="C372" s="3147"/>
      <c r="D372" s="3146"/>
      <c r="E372" s="3175"/>
      <c r="F372" s="3146"/>
      <c r="G372" s="3145" t="s">
        <v>2227</v>
      </c>
      <c r="H372" s="3300"/>
      <c r="I372" s="3141" t="s">
        <v>116</v>
      </c>
      <c r="J372" s="3139" t="s">
        <v>1294</v>
      </c>
      <c r="K372" s="3207"/>
      <c r="L372" s="3207"/>
      <c r="M372" s="3207"/>
      <c r="N372" s="3207"/>
      <c r="O372" s="3207"/>
      <c r="P372" s="3207"/>
      <c r="Q372" s="3162"/>
      <c r="R372" s="3207"/>
      <c r="S372" s="3207"/>
      <c r="T372" s="3207"/>
      <c r="U372" s="3207"/>
      <c r="V372" s="3207"/>
      <c r="W372" s="3207"/>
      <c r="X372" s="3206"/>
      <c r="Y372" s="3293"/>
      <c r="Z372" s="1201"/>
      <c r="AA372" s="1201"/>
      <c r="AB372" s="1202"/>
      <c r="AC372" s="3394"/>
      <c r="AD372" s="3393"/>
      <c r="AE372" s="3393"/>
      <c r="AF372" s="3392"/>
    </row>
    <row r="373" spans="1:36" s="3120" customFormat="1" ht="18.75" hidden="1" customHeight="1" x14ac:dyDescent="0.2">
      <c r="A373" s="834"/>
      <c r="B373" s="3148"/>
      <c r="C373" s="3147"/>
      <c r="D373" s="3146"/>
      <c r="E373" s="3175"/>
      <c r="F373" s="3258" t="s">
        <v>116</v>
      </c>
      <c r="G373" s="3145" t="s">
        <v>1301</v>
      </c>
      <c r="H373" s="3296" t="s">
        <v>1285</v>
      </c>
      <c r="I373" s="3155" t="s">
        <v>116</v>
      </c>
      <c r="J373" s="3137" t="s">
        <v>1230</v>
      </c>
      <c r="K373" s="3137"/>
      <c r="L373" s="3154" t="s">
        <v>116</v>
      </c>
      <c r="M373" s="3137" t="s">
        <v>1231</v>
      </c>
      <c r="N373" s="3137"/>
      <c r="O373" s="3154" t="s">
        <v>116</v>
      </c>
      <c r="P373" s="3137" t="s">
        <v>1232</v>
      </c>
      <c r="Q373" s="3150"/>
      <c r="R373" s="3150"/>
      <c r="S373" s="3150"/>
      <c r="T373" s="3150"/>
      <c r="U373" s="3209"/>
      <c r="V373" s="3209"/>
      <c r="W373" s="3209"/>
      <c r="X373" s="3208"/>
      <c r="Y373" s="3293"/>
      <c r="Z373" s="1201"/>
      <c r="AA373" s="1201"/>
      <c r="AB373" s="1202"/>
      <c r="AC373" s="3394"/>
      <c r="AD373" s="3393"/>
      <c r="AE373" s="3393"/>
      <c r="AF373" s="3392"/>
      <c r="AI373" s="3120" t="str">
        <f>"23:field225:" &amp; IF(I373="■",1,IF(L373="■",2,IF(O373="■",3,0)))</f>
        <v>23:field225:0</v>
      </c>
    </row>
    <row r="374" spans="1:36" s="3120" customFormat="1" ht="18.75" hidden="1" customHeight="1" x14ac:dyDescent="0.2">
      <c r="A374" s="834"/>
      <c r="B374" s="3148"/>
      <c r="C374" s="3147"/>
      <c r="D374" s="3146"/>
      <c r="E374" s="3175"/>
      <c r="F374" s="3146"/>
      <c r="G374" s="3145"/>
      <c r="H374" s="3304" t="s">
        <v>1300</v>
      </c>
      <c r="I374" s="3303" t="s">
        <v>116</v>
      </c>
      <c r="J374" s="3302" t="s">
        <v>1295</v>
      </c>
      <c r="K374" s="3317"/>
      <c r="L374" s="3316"/>
      <c r="M374" s="3301" t="s">
        <v>116</v>
      </c>
      <c r="N374" s="3302" t="s">
        <v>1296</v>
      </c>
      <c r="O374" s="3209"/>
      <c r="P374" s="3209"/>
      <c r="Q374" s="3301" t="s">
        <v>116</v>
      </c>
      <c r="R374" s="3302" t="s">
        <v>1297</v>
      </c>
      <c r="S374" s="3209"/>
      <c r="T374" s="3209"/>
      <c r="U374" s="3209"/>
      <c r="V374" s="3209"/>
      <c r="W374" s="3209"/>
      <c r="X374" s="3208"/>
      <c r="Y374" s="3293"/>
      <c r="Z374" s="1201"/>
      <c r="AA374" s="1201"/>
      <c r="AB374" s="1202"/>
      <c r="AC374" s="3394"/>
      <c r="AD374" s="3393"/>
      <c r="AE374" s="3393"/>
      <c r="AF374" s="3392"/>
      <c r="AI374" s="3120" t="str">
        <f>"23:"&amp;IF(AND(I374="□",M374="□",Q374="□",I375="□",Q375="□"),"koriha_rryoho1_code:0:koriha_sryoho_code:0:koriha_gengo_code:0:riha_seisin_code:0:koriha_other_code:0",IF(I374="■","koriha_rryoho1_code:2","koriha_rryoho1_code:1")
&amp;IF(M374="■",":koriha_sryoho_code:2",":koriha_sryoho_code:1")
&amp;IF(Q374="■",":koriha_gengo_code:2",":koriha_gengo_code:1")
&amp;IF(I375="■",":riha_seisin_code:2",":riha_seisin_code:1")
&amp;IF(Q375="■",":koriha_other_code:2",":koriha_other_code:1"))</f>
        <v>23:koriha_rryoho1_code:0:koriha_sryoho_code:0:koriha_gengo_code:0:riha_seisin_code:0:koriha_other_code:0</v>
      </c>
    </row>
    <row r="375" spans="1:36" s="3120" customFormat="1" ht="18.75" hidden="1" customHeight="1" x14ac:dyDescent="0.2">
      <c r="A375" s="834"/>
      <c r="B375" s="3148"/>
      <c r="C375" s="3147"/>
      <c r="D375" s="3146"/>
      <c r="E375" s="3175"/>
      <c r="F375" s="3144"/>
      <c r="G375" s="3145"/>
      <c r="H375" s="3300"/>
      <c r="I375" s="3141" t="s">
        <v>116</v>
      </c>
      <c r="J375" s="3139" t="s">
        <v>1298</v>
      </c>
      <c r="K375" s="3207"/>
      <c r="L375" s="3207"/>
      <c r="M375" s="3207"/>
      <c r="N375" s="3207"/>
      <c r="O375" s="3207"/>
      <c r="P375" s="3207"/>
      <c r="Q375" s="3140" t="s">
        <v>116</v>
      </c>
      <c r="R375" s="3139" t="s">
        <v>1299</v>
      </c>
      <c r="S375" s="3162"/>
      <c r="T375" s="3207"/>
      <c r="U375" s="3207"/>
      <c r="V375" s="3207"/>
      <c r="W375" s="3207"/>
      <c r="X375" s="3206"/>
      <c r="Y375" s="3293"/>
      <c r="Z375" s="1201"/>
      <c r="AA375" s="1201"/>
      <c r="AB375" s="1202"/>
      <c r="AC375" s="3394"/>
      <c r="AD375" s="3393"/>
      <c r="AE375" s="3393"/>
      <c r="AF375" s="3392"/>
    </row>
    <row r="376" spans="1:36" s="3120" customFormat="1" ht="18.75" hidden="1" customHeight="1" x14ac:dyDescent="0.2">
      <c r="A376" s="834"/>
      <c r="B376" s="3148"/>
      <c r="C376" s="3147"/>
      <c r="D376" s="3146"/>
      <c r="E376" s="3175"/>
      <c r="F376" s="3144"/>
      <c r="G376" s="3145"/>
      <c r="H376" s="3159" t="s">
        <v>238</v>
      </c>
      <c r="I376" s="3155" t="s">
        <v>116</v>
      </c>
      <c r="J376" s="3137" t="s">
        <v>1230</v>
      </c>
      <c r="K376" s="3137"/>
      <c r="L376" s="3154" t="s">
        <v>116</v>
      </c>
      <c r="M376" s="3137" t="s">
        <v>1259</v>
      </c>
      <c r="N376" s="3137"/>
      <c r="O376" s="3154" t="s">
        <v>116</v>
      </c>
      <c r="P376" s="3137" t="s">
        <v>1260</v>
      </c>
      <c r="Q376" s="3153"/>
      <c r="R376" s="3154" t="s">
        <v>116</v>
      </c>
      <c r="S376" s="3137" t="s">
        <v>1261</v>
      </c>
      <c r="T376" s="3153"/>
      <c r="U376" s="3153"/>
      <c r="V376" s="3153"/>
      <c r="W376" s="3153"/>
      <c r="X376" s="3152"/>
      <c r="Y376" s="3293"/>
      <c r="Z376" s="1201"/>
      <c r="AA376" s="1201"/>
      <c r="AB376" s="1202"/>
      <c r="AC376" s="3394"/>
      <c r="AD376" s="3393"/>
      <c r="AE376" s="3393"/>
      <c r="AF376" s="3392"/>
      <c r="AI376" s="3120" t="str">
        <f>"23:serteikyo_kyoka_code:" &amp; IF(I376="■",1,IF(L376="■",6,IF(O376="■",5,IF(R376="■",7,0))))</f>
        <v>23:serteikyo_kyoka_code:0</v>
      </c>
    </row>
    <row r="377" spans="1:36" s="3120" customFormat="1" ht="18.75" hidden="1" customHeight="1" x14ac:dyDescent="0.2">
      <c r="A377" s="834"/>
      <c r="B377" s="3148"/>
      <c r="C377" s="3147"/>
      <c r="D377" s="3146"/>
      <c r="E377" s="3175"/>
      <c r="F377" s="3144"/>
      <c r="G377" s="3145"/>
      <c r="H377" s="3170" t="s">
        <v>2058</v>
      </c>
      <c r="I377" s="3348" t="s">
        <v>116</v>
      </c>
      <c r="J377" s="3347" t="s">
        <v>1230</v>
      </c>
      <c r="K377" s="3347"/>
      <c r="L377" s="3346" t="s">
        <v>116</v>
      </c>
      <c r="M377" s="3347" t="s">
        <v>1233</v>
      </c>
      <c r="N377" s="3347"/>
      <c r="O377" s="3302"/>
      <c r="P377" s="3302"/>
      <c r="Q377" s="3302"/>
      <c r="R377" s="3302"/>
      <c r="S377" s="3302"/>
      <c r="T377" s="3302"/>
      <c r="U377" s="3302"/>
      <c r="V377" s="3302"/>
      <c r="W377" s="3302"/>
      <c r="X377" s="3335"/>
      <c r="Y377" s="3293"/>
      <c r="Z377" s="1201"/>
      <c r="AA377" s="1201"/>
      <c r="AB377" s="1202"/>
      <c r="AC377" s="3394"/>
      <c r="AD377" s="3393"/>
      <c r="AE377" s="3393"/>
      <c r="AF377" s="3392"/>
      <c r="AI377" s="3120" t="str">
        <f>"23:field221:" &amp; IF(I377="■",1,IF(L377="■",2,0))</f>
        <v>23:field221:0</v>
      </c>
    </row>
    <row r="378" spans="1:36" s="3120" customFormat="1" ht="18.75" hidden="1" customHeight="1" x14ac:dyDescent="0.2">
      <c r="A378" s="834"/>
      <c r="B378" s="3148"/>
      <c r="C378" s="3147"/>
      <c r="D378" s="3146"/>
      <c r="E378" s="3175"/>
      <c r="F378" s="3144"/>
      <c r="G378" s="3145"/>
      <c r="H378" s="3165"/>
      <c r="I378" s="3348"/>
      <c r="J378" s="3347"/>
      <c r="K378" s="3347"/>
      <c r="L378" s="3346"/>
      <c r="M378" s="3347"/>
      <c r="N378" s="3347"/>
      <c r="O378" s="3139"/>
      <c r="P378" s="3139"/>
      <c r="Q378" s="3139"/>
      <c r="R378" s="3139"/>
      <c r="S378" s="3139"/>
      <c r="T378" s="3139"/>
      <c r="U378" s="3139"/>
      <c r="V378" s="3139"/>
      <c r="W378" s="3139"/>
      <c r="X378" s="3195"/>
      <c r="Y378" s="3293"/>
      <c r="Z378" s="1201"/>
      <c r="AA378" s="1201"/>
      <c r="AB378" s="1202"/>
      <c r="AC378" s="3394"/>
      <c r="AD378" s="3393"/>
      <c r="AE378" s="3393"/>
      <c r="AF378" s="3392"/>
    </row>
    <row r="379" spans="1:36" s="3120" customFormat="1" ht="18.75" hidden="1" customHeight="1" x14ac:dyDescent="0.2">
      <c r="A379" s="835"/>
      <c r="B379" s="3135"/>
      <c r="C379" s="3134"/>
      <c r="D379" s="3133"/>
      <c r="E379" s="3132"/>
      <c r="F379" s="3131"/>
      <c r="G379" s="3189"/>
      <c r="H379" s="3289" t="s">
        <v>2129</v>
      </c>
      <c r="I379" s="3128" t="s">
        <v>116</v>
      </c>
      <c r="J379" s="3285" t="s">
        <v>1230</v>
      </c>
      <c r="K379" s="3285"/>
      <c r="L379" s="3127" t="s">
        <v>116</v>
      </c>
      <c r="M379" s="3285" t="s">
        <v>2128</v>
      </c>
      <c r="N379" s="3288"/>
      <c r="O379" s="3127" t="s">
        <v>116</v>
      </c>
      <c r="P379" s="3287" t="s">
        <v>2127</v>
      </c>
      <c r="Q379" s="3286"/>
      <c r="R379" s="3127" t="s">
        <v>116</v>
      </c>
      <c r="S379" s="3285" t="s">
        <v>2126</v>
      </c>
      <c r="T379" s="3286"/>
      <c r="U379" s="3127" t="s">
        <v>116</v>
      </c>
      <c r="V379" s="3285" t="s">
        <v>2125</v>
      </c>
      <c r="W379" s="3284"/>
      <c r="X379" s="3283"/>
      <c r="Y379" s="3282"/>
      <c r="Z379" s="3282"/>
      <c r="AA379" s="3282"/>
      <c r="AB379" s="3281"/>
      <c r="AC379" s="3391"/>
      <c r="AD379" s="3390"/>
      <c r="AE379" s="3390"/>
      <c r="AF379" s="3389"/>
      <c r="AI379" s="3120" t="str">
        <f>"23:shoguukaizen_code:"&amp;IF(I379="■",1,IF(L379="■",7,IF(O379="■",8,IF(R379="■",9,IF(U379="■","A",0)))))</f>
        <v>23:shoguukaizen_code:0</v>
      </c>
    </row>
    <row r="380" spans="1:36" s="3120" customFormat="1" ht="18.75" hidden="1" customHeight="1" x14ac:dyDescent="0.2">
      <c r="A380" s="3188"/>
      <c r="B380" s="3187"/>
      <c r="C380" s="3229"/>
      <c r="D380" s="3228"/>
      <c r="E380" s="3183"/>
      <c r="F380" s="3228"/>
      <c r="G380" s="3185"/>
      <c r="H380" s="3182" t="s">
        <v>91</v>
      </c>
      <c r="I380" s="3181" t="s">
        <v>116</v>
      </c>
      <c r="J380" s="3180" t="s">
        <v>1240</v>
      </c>
      <c r="K380" s="3226"/>
      <c r="L380" s="3225"/>
      <c r="M380" s="3179" t="s">
        <v>116</v>
      </c>
      <c r="N380" s="3180" t="s">
        <v>1241</v>
      </c>
      <c r="O380" s="3177"/>
      <c r="P380" s="3177"/>
      <c r="Q380" s="3177"/>
      <c r="R380" s="3177"/>
      <c r="S380" s="3177"/>
      <c r="T380" s="3177"/>
      <c r="U380" s="3177"/>
      <c r="V380" s="3177"/>
      <c r="W380" s="3177"/>
      <c r="X380" s="3176"/>
      <c r="Y380" s="3253" t="s">
        <v>116</v>
      </c>
      <c r="Z380" s="3252" t="s">
        <v>1225</v>
      </c>
      <c r="AA380" s="3252"/>
      <c r="AB380" s="3308"/>
      <c r="AC380" s="3338"/>
      <c r="AD380" s="3338"/>
      <c r="AE380" s="3338"/>
      <c r="AF380" s="3338"/>
      <c r="AG380" s="3120" t="str">
        <f>"ser_code = '" &amp; IF(A389="■",23,"") &amp; "'"</f>
        <v>ser_code = ''</v>
      </c>
      <c r="AH380" s="3120" t="str">
        <f>"23:jininkbn_code:"&amp;IF(F387="■",1,IF(F389="■",2,IF(F391="■",3,0)))</f>
        <v>23:jininkbn_code:0</v>
      </c>
      <c r="AI380" s="3120" t="str">
        <f>"23:unitcare_code:" &amp; IF(I380="■",1,IF(M380="■",2,0))</f>
        <v>23:unitcare_code:0</v>
      </c>
      <c r="AJ380" s="3120" t="str">
        <f>"23:field203:" &amp; IF(Y380="■",1,IF(Y381="■",2,0))</f>
        <v>23:field203:0</v>
      </c>
    </row>
    <row r="381" spans="1:36" s="3120" customFormat="1" ht="18.75" hidden="1" customHeight="1" x14ac:dyDescent="0.2">
      <c r="A381" s="834"/>
      <c r="B381" s="3148"/>
      <c r="C381" s="3295"/>
      <c r="D381" s="3294"/>
      <c r="E381" s="3145"/>
      <c r="F381" s="3144"/>
      <c r="G381" s="3175"/>
      <c r="H381" s="3381" t="s">
        <v>1325</v>
      </c>
      <c r="I381" s="3222" t="s">
        <v>116</v>
      </c>
      <c r="J381" s="3217" t="s">
        <v>1228</v>
      </c>
      <c r="K381" s="3221"/>
      <c r="L381" s="3220"/>
      <c r="M381" s="3219" t="s">
        <v>116</v>
      </c>
      <c r="N381" s="3217" t="s">
        <v>1322</v>
      </c>
      <c r="O381" s="3221"/>
      <c r="P381" s="3380"/>
      <c r="Q381" s="3380"/>
      <c r="R381" s="3380"/>
      <c r="S381" s="3380"/>
      <c r="T381" s="3380"/>
      <c r="U381" s="3380"/>
      <c r="V381" s="3380"/>
      <c r="W381" s="3380"/>
      <c r="X381" s="3379"/>
      <c r="Y381" s="3258" t="s">
        <v>116</v>
      </c>
      <c r="Z381" s="1200" t="s">
        <v>1226</v>
      </c>
      <c r="AA381" s="1201"/>
      <c r="AB381" s="1202"/>
      <c r="AC381" s="3349"/>
      <c r="AD381" s="3349"/>
      <c r="AE381" s="3349"/>
      <c r="AF381" s="3349"/>
      <c r="AG381" s="3120" t="str">
        <f>"23:sisetukbn_code:"&amp;IF(D389="■","7",0)</f>
        <v>23:sisetukbn_code:0</v>
      </c>
      <c r="AI381" s="3120" t="str">
        <f>"23:sintaikousoku_code:" &amp; IF(I381="■",1,IF(M381="■",2,0))</f>
        <v>23:sintaikousoku_code:0</v>
      </c>
    </row>
    <row r="382" spans="1:36" s="3120" customFormat="1" ht="19.5" hidden="1" customHeight="1" x14ac:dyDescent="0.2">
      <c r="A382" s="834"/>
      <c r="B382" s="3148"/>
      <c r="C382" s="3147"/>
      <c r="D382" s="3146"/>
      <c r="E382" s="3145"/>
      <c r="F382" s="3144"/>
      <c r="G382" s="3175"/>
      <c r="H382" s="3174" t="s">
        <v>1227</v>
      </c>
      <c r="I382" s="3155" t="s">
        <v>116</v>
      </c>
      <c r="J382" s="3137" t="s">
        <v>1228</v>
      </c>
      <c r="K382" s="3171"/>
      <c r="L382" s="3173"/>
      <c r="M382" s="3154" t="s">
        <v>116</v>
      </c>
      <c r="N382" s="3137" t="s">
        <v>1229</v>
      </c>
      <c r="O382" s="3299"/>
      <c r="P382" s="3137"/>
      <c r="Q382" s="3150"/>
      <c r="R382" s="3150"/>
      <c r="S382" s="3150"/>
      <c r="T382" s="3150"/>
      <c r="U382" s="3150"/>
      <c r="V382" s="3150"/>
      <c r="W382" s="3150"/>
      <c r="X382" s="3149"/>
      <c r="Y382" s="3197"/>
      <c r="Z382" s="1200"/>
      <c r="AA382" s="1201"/>
      <c r="AB382" s="1202"/>
      <c r="AC382" s="3349"/>
      <c r="AD382" s="3349"/>
      <c r="AE382" s="3349"/>
      <c r="AF382" s="3349"/>
      <c r="AI382" s="3120" t="str">
        <f>"23:field223:" &amp; IF(I382="■",1,IF(M382="■",2,0))</f>
        <v>23:field223:0</v>
      </c>
    </row>
    <row r="383" spans="1:36" s="3120" customFormat="1" ht="19.5" hidden="1" customHeight="1" x14ac:dyDescent="0.2">
      <c r="A383" s="834"/>
      <c r="B383" s="3148"/>
      <c r="C383" s="3147"/>
      <c r="D383" s="3146"/>
      <c r="E383" s="3145"/>
      <c r="F383" s="3144"/>
      <c r="G383" s="3175"/>
      <c r="H383" s="3174" t="s">
        <v>1253</v>
      </c>
      <c r="I383" s="3155" t="s">
        <v>116</v>
      </c>
      <c r="J383" s="3137" t="s">
        <v>1228</v>
      </c>
      <c r="K383" s="3171"/>
      <c r="L383" s="3173"/>
      <c r="M383" s="3154" t="s">
        <v>116</v>
      </c>
      <c r="N383" s="3137" t="s">
        <v>1229</v>
      </c>
      <c r="O383" s="3299"/>
      <c r="P383" s="3137"/>
      <c r="Q383" s="3150"/>
      <c r="R383" s="3150"/>
      <c r="S383" s="3150"/>
      <c r="T383" s="3150"/>
      <c r="U383" s="3150"/>
      <c r="V383" s="3150"/>
      <c r="W383" s="3150"/>
      <c r="X383" s="3149"/>
      <c r="Y383" s="3197"/>
      <c r="Z383" s="1200"/>
      <c r="AA383" s="1201"/>
      <c r="AB383" s="1202"/>
      <c r="AC383" s="3349"/>
      <c r="AD383" s="3349"/>
      <c r="AE383" s="3349"/>
      <c r="AF383" s="3349"/>
      <c r="AI383" s="3120" t="str">
        <f>"23:field232:" &amp; IF(I383="■",1,IF(M383="■",2,0))</f>
        <v>23:field232:0</v>
      </c>
    </row>
    <row r="384" spans="1:36" s="3120" customFormat="1" ht="18.75" hidden="1" customHeight="1" x14ac:dyDescent="0.2">
      <c r="A384" s="834"/>
      <c r="B384" s="3148"/>
      <c r="C384" s="3147"/>
      <c r="D384" s="3146"/>
      <c r="E384" s="3175"/>
      <c r="F384" s="3146"/>
      <c r="G384" s="3145"/>
      <c r="H384" s="3151" t="s">
        <v>2226</v>
      </c>
      <c r="I384" s="3155" t="s">
        <v>116</v>
      </c>
      <c r="J384" s="3137" t="s">
        <v>1282</v>
      </c>
      <c r="K384" s="3171"/>
      <c r="L384" s="3173"/>
      <c r="M384" s="3154" t="s">
        <v>116</v>
      </c>
      <c r="N384" s="3137" t="s">
        <v>1293</v>
      </c>
      <c r="O384" s="3150"/>
      <c r="P384" s="3150"/>
      <c r="Q384" s="3150"/>
      <c r="R384" s="3150"/>
      <c r="S384" s="3150"/>
      <c r="T384" s="3150"/>
      <c r="U384" s="3150"/>
      <c r="V384" s="3150"/>
      <c r="W384" s="3150"/>
      <c r="X384" s="3149"/>
      <c r="Y384" s="3293"/>
      <c r="Z384" s="1201"/>
      <c r="AA384" s="1201"/>
      <c r="AB384" s="1202"/>
      <c r="AC384" s="3333"/>
      <c r="AD384" s="3333"/>
      <c r="AE384" s="3333"/>
      <c r="AF384" s="3333"/>
      <c r="AI384" s="3120" t="str">
        <f>"23:setubi_kijyun_code:" &amp; IF(I384="■",1,IF(M384="■",2,0))</f>
        <v>23:setubi_kijyun_code:0</v>
      </c>
    </row>
    <row r="385" spans="1:36" s="3120" customFormat="1" ht="18.75" hidden="1" customHeight="1" x14ac:dyDescent="0.2">
      <c r="A385" s="834"/>
      <c r="B385" s="3148"/>
      <c r="C385" s="3147"/>
      <c r="D385" s="3146"/>
      <c r="E385" s="3175"/>
      <c r="F385" s="3146"/>
      <c r="G385" s="3145"/>
      <c r="H385" s="3151" t="s">
        <v>2225</v>
      </c>
      <c r="I385" s="3155" t="s">
        <v>116</v>
      </c>
      <c r="J385" s="3137" t="s">
        <v>1282</v>
      </c>
      <c r="K385" s="3171"/>
      <c r="L385" s="3173"/>
      <c r="M385" s="3154" t="s">
        <v>116</v>
      </c>
      <c r="N385" s="3137" t="s">
        <v>1293</v>
      </c>
      <c r="O385" s="3150"/>
      <c r="P385" s="3150"/>
      <c r="Q385" s="3150"/>
      <c r="R385" s="3150"/>
      <c r="S385" s="3150"/>
      <c r="T385" s="3150"/>
      <c r="U385" s="3150"/>
      <c r="V385" s="3150"/>
      <c r="W385" s="3150"/>
      <c r="X385" s="3149"/>
      <c r="Y385" s="3293"/>
      <c r="Z385" s="1201"/>
      <c r="AA385" s="1201"/>
      <c r="AB385" s="1202"/>
      <c r="AC385" s="3333"/>
      <c r="AD385" s="3333"/>
      <c r="AE385" s="3333"/>
      <c r="AF385" s="3333"/>
      <c r="AI385" s="3120" t="str">
        <f>"23:field163:" &amp; IF(I385="■",1,IF(M385="■",2,0))</f>
        <v>23:field163:0</v>
      </c>
    </row>
    <row r="386" spans="1:36" s="3120" customFormat="1" ht="18.75" hidden="1" customHeight="1" x14ac:dyDescent="0.2">
      <c r="A386" s="834"/>
      <c r="B386" s="3148"/>
      <c r="C386" s="3147"/>
      <c r="D386" s="3146"/>
      <c r="E386" s="3175"/>
      <c r="F386" s="3146"/>
      <c r="G386" s="3145"/>
      <c r="H386" s="3151" t="s">
        <v>1256</v>
      </c>
      <c r="I386" s="3155" t="s">
        <v>116</v>
      </c>
      <c r="J386" s="3137" t="s">
        <v>1230</v>
      </c>
      <c r="K386" s="3171"/>
      <c r="L386" s="3154" t="s">
        <v>116</v>
      </c>
      <c r="M386" s="3137" t="s">
        <v>1233</v>
      </c>
      <c r="N386" s="3150"/>
      <c r="O386" s="3150"/>
      <c r="P386" s="3150"/>
      <c r="Q386" s="3171"/>
      <c r="R386" s="3150"/>
      <c r="S386" s="3150"/>
      <c r="T386" s="3150"/>
      <c r="U386" s="3150"/>
      <c r="V386" s="3150"/>
      <c r="W386" s="3150"/>
      <c r="X386" s="3149"/>
      <c r="Y386" s="3293"/>
      <c r="Z386" s="1201"/>
      <c r="AA386" s="1201"/>
      <c r="AB386" s="1202"/>
      <c r="AC386" s="3333"/>
      <c r="AD386" s="3333"/>
      <c r="AE386" s="3333"/>
      <c r="AF386" s="3333"/>
      <c r="AI386" s="3120" t="str">
        <f>"23:jyakuninti_uke_code:" &amp; IF(I386="■",1,IF(L386="■",2,0))</f>
        <v>23:jyakuninti_uke_code:0</v>
      </c>
    </row>
    <row r="387" spans="1:36" s="3120" customFormat="1" ht="18.75" hidden="1" customHeight="1" x14ac:dyDescent="0.2">
      <c r="A387" s="834"/>
      <c r="B387" s="3148"/>
      <c r="C387" s="3147"/>
      <c r="D387" s="3146"/>
      <c r="E387" s="3175"/>
      <c r="F387" s="3258" t="s">
        <v>116</v>
      </c>
      <c r="G387" s="3145" t="s">
        <v>2224</v>
      </c>
      <c r="H387" s="3151" t="s">
        <v>1284</v>
      </c>
      <c r="I387" s="3155" t="s">
        <v>116</v>
      </c>
      <c r="J387" s="3137" t="s">
        <v>1240</v>
      </c>
      <c r="K387" s="3171"/>
      <c r="L387" s="3173"/>
      <c r="M387" s="3154" t="s">
        <v>116</v>
      </c>
      <c r="N387" s="3137" t="s">
        <v>1241</v>
      </c>
      <c r="O387" s="3150"/>
      <c r="P387" s="3150"/>
      <c r="Q387" s="3171"/>
      <c r="R387" s="3150"/>
      <c r="S387" s="3150"/>
      <c r="T387" s="3150"/>
      <c r="U387" s="3150"/>
      <c r="V387" s="3150"/>
      <c r="W387" s="3150"/>
      <c r="X387" s="3149"/>
      <c r="Y387" s="3293"/>
      <c r="Z387" s="1201"/>
      <c r="AA387" s="1201"/>
      <c r="AB387" s="1202"/>
      <c r="AC387" s="3333"/>
      <c r="AD387" s="3333"/>
      <c r="AE387" s="3333"/>
      <c r="AF387" s="3333"/>
      <c r="AI387" s="3120" t="str">
        <f>"23:sougei_code:" &amp; IF(I387="■",1,IF(M387="■",2,0))</f>
        <v>23:sougei_code:0</v>
      </c>
    </row>
    <row r="388" spans="1:36" s="3120" customFormat="1" ht="19.5" hidden="1" customHeight="1" x14ac:dyDescent="0.2">
      <c r="A388" s="834"/>
      <c r="B388" s="3148"/>
      <c r="C388" s="3147"/>
      <c r="D388" s="3146"/>
      <c r="E388" s="3175"/>
      <c r="F388" s="3146"/>
      <c r="G388" s="3145" t="s">
        <v>2223</v>
      </c>
      <c r="H388" s="3174" t="s">
        <v>1236</v>
      </c>
      <c r="I388" s="3155" t="s">
        <v>116</v>
      </c>
      <c r="J388" s="3137" t="s">
        <v>1230</v>
      </c>
      <c r="K388" s="3137"/>
      <c r="L388" s="3154" t="s">
        <v>116</v>
      </c>
      <c r="M388" s="3137" t="s">
        <v>1233</v>
      </c>
      <c r="N388" s="3137"/>
      <c r="O388" s="3150"/>
      <c r="P388" s="3137"/>
      <c r="Q388" s="3150"/>
      <c r="R388" s="3150"/>
      <c r="S388" s="3150"/>
      <c r="T388" s="3150"/>
      <c r="U388" s="3150"/>
      <c r="V388" s="3150"/>
      <c r="W388" s="3150"/>
      <c r="X388" s="3149"/>
      <c r="Y388" s="1201"/>
      <c r="Z388" s="1201"/>
      <c r="AA388" s="1201"/>
      <c r="AB388" s="1202"/>
      <c r="AC388" s="3333"/>
      <c r="AD388" s="3333"/>
      <c r="AE388" s="3333"/>
      <c r="AF388" s="3333"/>
      <c r="AI388" s="3120" t="str">
        <f>"23:field224:" &amp; IF(I388="■",1,IF(L388="■",2,0))</f>
        <v>23:field224:0</v>
      </c>
    </row>
    <row r="389" spans="1:36" s="3120" customFormat="1" ht="18.75" hidden="1" customHeight="1" x14ac:dyDescent="0.2">
      <c r="A389" s="3158" t="s">
        <v>116</v>
      </c>
      <c r="B389" s="3148">
        <v>23</v>
      </c>
      <c r="C389" s="3147" t="s">
        <v>924</v>
      </c>
      <c r="D389" s="3258" t="s">
        <v>116</v>
      </c>
      <c r="E389" s="3175" t="s">
        <v>2222</v>
      </c>
      <c r="F389" s="3258" t="s">
        <v>116</v>
      </c>
      <c r="G389" s="3145" t="s">
        <v>2221</v>
      </c>
      <c r="H389" s="3151" t="s">
        <v>140</v>
      </c>
      <c r="I389" s="3155" t="s">
        <v>116</v>
      </c>
      <c r="J389" s="3137" t="s">
        <v>1230</v>
      </c>
      <c r="K389" s="3171"/>
      <c r="L389" s="3154" t="s">
        <v>116</v>
      </c>
      <c r="M389" s="3137" t="s">
        <v>1233</v>
      </c>
      <c r="N389" s="3150"/>
      <c r="O389" s="3150"/>
      <c r="P389" s="3150"/>
      <c r="Q389" s="3171"/>
      <c r="R389" s="3150"/>
      <c r="S389" s="3150"/>
      <c r="T389" s="3150"/>
      <c r="U389" s="3150"/>
      <c r="V389" s="3150"/>
      <c r="W389" s="3150"/>
      <c r="X389" s="3149"/>
      <c r="Y389" s="3293"/>
      <c r="Z389" s="1201"/>
      <c r="AA389" s="1201"/>
      <c r="AB389" s="1202"/>
      <c r="AC389" s="3333"/>
      <c r="AD389" s="3333"/>
      <c r="AE389" s="3333"/>
      <c r="AF389" s="3333"/>
      <c r="AI389" s="3120" t="str">
        <f>"23:ryouyoushoku_code:" &amp; IF(I389="■",1,IF(L389="■",2,0))</f>
        <v>23:ryouyoushoku_code:0</v>
      </c>
    </row>
    <row r="390" spans="1:36" s="3120" customFormat="1" ht="18.75" hidden="1" customHeight="1" x14ac:dyDescent="0.2">
      <c r="A390" s="834"/>
      <c r="B390" s="3148"/>
      <c r="C390" s="3147"/>
      <c r="D390" s="836"/>
      <c r="E390" s="3175"/>
      <c r="F390" s="3146"/>
      <c r="G390" s="3145" t="s">
        <v>2220</v>
      </c>
      <c r="H390" s="3151" t="s">
        <v>2219</v>
      </c>
      <c r="I390" s="3155" t="s">
        <v>116</v>
      </c>
      <c r="J390" s="3137" t="s">
        <v>1230</v>
      </c>
      <c r="K390" s="3137"/>
      <c r="L390" s="3154" t="s">
        <v>116</v>
      </c>
      <c r="M390" s="3137" t="s">
        <v>1231</v>
      </c>
      <c r="N390" s="3137"/>
      <c r="O390" s="3154" t="s">
        <v>116</v>
      </c>
      <c r="P390" s="3137" t="s">
        <v>1232</v>
      </c>
      <c r="Q390" s="3150"/>
      <c r="R390" s="3150"/>
      <c r="S390" s="3150"/>
      <c r="T390" s="3150"/>
      <c r="U390" s="3150"/>
      <c r="V390" s="3150"/>
      <c r="W390" s="3150"/>
      <c r="X390" s="3149"/>
      <c r="Y390" s="3293"/>
      <c r="Z390" s="1201"/>
      <c r="AA390" s="1201"/>
      <c r="AB390" s="1202"/>
      <c r="AC390" s="3333"/>
      <c r="AD390" s="3333"/>
      <c r="AE390" s="3333"/>
      <c r="AF390" s="3333"/>
      <c r="AI390" s="3120" t="str">
        <f>"23:ninti_senmoncare_code:" &amp; IF(I390="■",1,IF(O390="■",3,IF(L390="■",2,0)))</f>
        <v>23:ninti_senmoncare_code:0</v>
      </c>
    </row>
    <row r="391" spans="1:36" s="3120" customFormat="1" ht="18.75" hidden="1" customHeight="1" x14ac:dyDescent="0.2">
      <c r="A391" s="834"/>
      <c r="B391" s="3148"/>
      <c r="C391" s="3147"/>
      <c r="D391" s="3146"/>
      <c r="E391" s="3175"/>
      <c r="F391" s="3258" t="s">
        <v>116</v>
      </c>
      <c r="G391" s="3145" t="s">
        <v>2218</v>
      </c>
      <c r="H391" s="3296" t="s">
        <v>1285</v>
      </c>
      <c r="I391" s="3155" t="s">
        <v>116</v>
      </c>
      <c r="J391" s="3137" t="s">
        <v>1230</v>
      </c>
      <c r="K391" s="3137"/>
      <c r="L391" s="3154" t="s">
        <v>116</v>
      </c>
      <c r="M391" s="3137" t="s">
        <v>1231</v>
      </c>
      <c r="N391" s="3137"/>
      <c r="O391" s="3154" t="s">
        <v>116</v>
      </c>
      <c r="P391" s="3137" t="s">
        <v>1232</v>
      </c>
      <c r="Q391" s="3150"/>
      <c r="R391" s="3150"/>
      <c r="S391" s="3150"/>
      <c r="T391" s="3150"/>
      <c r="U391" s="3209"/>
      <c r="V391" s="3209"/>
      <c r="W391" s="3209"/>
      <c r="X391" s="3208"/>
      <c r="Y391" s="3293"/>
      <c r="Z391" s="1201"/>
      <c r="AA391" s="1201"/>
      <c r="AB391" s="1202"/>
      <c r="AC391" s="3333"/>
      <c r="AD391" s="3333"/>
      <c r="AE391" s="3333"/>
      <c r="AF391" s="3333"/>
      <c r="AI391" s="3120" t="str">
        <f>"23:field225:" &amp; IF(I391="■",1,IF(L391="■",2,IF(O391="■",3,0)))</f>
        <v>23:field225:0</v>
      </c>
    </row>
    <row r="392" spans="1:36" s="3120" customFormat="1" ht="18.75" hidden="1" customHeight="1" x14ac:dyDescent="0.2">
      <c r="A392" s="834"/>
      <c r="B392" s="3148"/>
      <c r="C392" s="3147"/>
      <c r="D392" s="3146"/>
      <c r="E392" s="3175"/>
      <c r="F392" s="3146"/>
      <c r="G392" s="3145" t="s">
        <v>2217</v>
      </c>
      <c r="H392" s="3304" t="s">
        <v>2216</v>
      </c>
      <c r="I392" s="3303" t="s">
        <v>116</v>
      </c>
      <c r="J392" s="3302" t="s">
        <v>1287</v>
      </c>
      <c r="K392" s="3302"/>
      <c r="L392" s="3209"/>
      <c r="M392" s="3209"/>
      <c r="N392" s="3209"/>
      <c r="O392" s="3209"/>
      <c r="P392" s="3301" t="s">
        <v>116</v>
      </c>
      <c r="Q392" s="3302" t="s">
        <v>1288</v>
      </c>
      <c r="R392" s="3209"/>
      <c r="S392" s="3209"/>
      <c r="T392" s="3209"/>
      <c r="U392" s="3209"/>
      <c r="V392" s="3209"/>
      <c r="W392" s="3209"/>
      <c r="X392" s="3208"/>
      <c r="Y392" s="3293"/>
      <c r="Z392" s="1201"/>
      <c r="AA392" s="1201"/>
      <c r="AB392" s="1202"/>
      <c r="AC392" s="3333"/>
      <c r="AD392" s="3333"/>
      <c r="AE392" s="3333"/>
      <c r="AF392" s="3333"/>
      <c r="AI392" s="3120" t="str">
        <f>"23:" &amp; IF(AND(I392="□",P392="□",I393="□"),"tokusin_jyusho_code:0:tokusin_yakuzai_code:0:shuudan_comu_code:0",IF(I392="■","tokusin_jyusho_code:2","tokusin_jyusho_code:1")
&amp;IF(P392="■",":tokusin_yakuzai_code:2",":tokusin_yakuzai_code:1")
&amp;IF(I393="■",":shuudan_comu_code:2",":shuudan_comu_code:1"))</f>
        <v>23:tokusin_jyusho_code:0:tokusin_yakuzai_code:0:shuudan_comu_code:0</v>
      </c>
    </row>
    <row r="393" spans="1:36" s="3120" customFormat="1" ht="18.75" hidden="1" customHeight="1" x14ac:dyDescent="0.2">
      <c r="A393" s="834"/>
      <c r="B393" s="3148"/>
      <c r="C393" s="3147"/>
      <c r="D393" s="3146"/>
      <c r="E393" s="3175"/>
      <c r="F393" s="3146"/>
      <c r="G393" s="3145"/>
      <c r="H393" s="3300"/>
      <c r="I393" s="3141" t="s">
        <v>116</v>
      </c>
      <c r="J393" s="3139" t="s">
        <v>1294</v>
      </c>
      <c r="K393" s="3207"/>
      <c r="L393" s="3207"/>
      <c r="M393" s="3207"/>
      <c r="N393" s="3207"/>
      <c r="O393" s="3207"/>
      <c r="P393" s="3207"/>
      <c r="Q393" s="3162"/>
      <c r="R393" s="3207"/>
      <c r="S393" s="3207"/>
      <c r="T393" s="3207"/>
      <c r="U393" s="3207"/>
      <c r="V393" s="3207"/>
      <c r="W393" s="3207"/>
      <c r="X393" s="3206"/>
      <c r="Y393" s="3293"/>
      <c r="Z393" s="1201"/>
      <c r="AA393" s="1201"/>
      <c r="AB393" s="1202"/>
      <c r="AC393" s="3333"/>
      <c r="AD393" s="3333"/>
      <c r="AE393" s="3333"/>
      <c r="AF393" s="3333"/>
    </row>
    <row r="394" spans="1:36" s="3120" customFormat="1" ht="18.75" hidden="1" customHeight="1" x14ac:dyDescent="0.2">
      <c r="A394" s="834"/>
      <c r="B394" s="3148"/>
      <c r="C394" s="3147"/>
      <c r="D394" s="3146"/>
      <c r="E394" s="3175"/>
      <c r="F394" s="3146"/>
      <c r="G394" s="3145"/>
      <c r="H394" s="3304" t="s">
        <v>2215</v>
      </c>
      <c r="I394" s="3303" t="s">
        <v>116</v>
      </c>
      <c r="J394" s="3302" t="s">
        <v>1295</v>
      </c>
      <c r="K394" s="3317"/>
      <c r="L394" s="3316"/>
      <c r="M394" s="3301" t="s">
        <v>116</v>
      </c>
      <c r="N394" s="3302" t="s">
        <v>1296</v>
      </c>
      <c r="O394" s="3209"/>
      <c r="P394" s="3209"/>
      <c r="Q394" s="3301" t="s">
        <v>116</v>
      </c>
      <c r="R394" s="3302" t="s">
        <v>1297</v>
      </c>
      <c r="S394" s="3209"/>
      <c r="T394" s="3209"/>
      <c r="U394" s="3209"/>
      <c r="V394" s="3209"/>
      <c r="W394" s="3209"/>
      <c r="X394" s="3208"/>
      <c r="Y394" s="3293"/>
      <c r="Z394" s="1201"/>
      <c r="AA394" s="1201"/>
      <c r="AB394" s="1202"/>
      <c r="AC394" s="3333"/>
      <c r="AD394" s="3333"/>
      <c r="AE394" s="3333"/>
      <c r="AF394" s="3333"/>
      <c r="AI394" s="3120" t="str">
        <f>"23:"&amp;IF(AND(I394="□",M394="□",Q394="□",I395="□",Q395="□"),"koriha_rryoho1_code:0:koriha_sryoho_code:0:koriha_gengo_code=::riha_seisin_code:0:koriha_other_code:0",IF(I394="■","koriha_rryoho1_code:2","koriha_rryoho1_code:1")
&amp;IF(M394="■",":koriha_sryoho_code:2",":koriha_sryoho_code:1")
&amp;IF(Q394="■",":koriha_gengo_code:2",":koriha_gengo_code:1")
&amp;IF(I395="■",":riha_seisin_code:2",":riha_seisin_code:1")
&amp;IF(Q395="■",":koriha_other_code:2",":koriha_other_code:1"))</f>
        <v>23:koriha_rryoho1_code:0:koriha_sryoho_code:0:koriha_gengo_code=::riha_seisin_code:0:koriha_other_code:0</v>
      </c>
    </row>
    <row r="395" spans="1:36" s="3120" customFormat="1" ht="18.75" hidden="1" customHeight="1" x14ac:dyDescent="0.2">
      <c r="A395" s="834"/>
      <c r="B395" s="3148"/>
      <c r="C395" s="3147"/>
      <c r="D395" s="3146"/>
      <c r="E395" s="3175"/>
      <c r="F395" s="3146"/>
      <c r="G395" s="3145"/>
      <c r="H395" s="3300"/>
      <c r="I395" s="3141" t="s">
        <v>116</v>
      </c>
      <c r="J395" s="3139" t="s">
        <v>1298</v>
      </c>
      <c r="K395" s="3207"/>
      <c r="L395" s="3207"/>
      <c r="M395" s="3207"/>
      <c r="N395" s="3207"/>
      <c r="O395" s="3207"/>
      <c r="P395" s="3207"/>
      <c r="Q395" s="3140" t="s">
        <v>116</v>
      </c>
      <c r="R395" s="3139" t="s">
        <v>1299</v>
      </c>
      <c r="S395" s="3162"/>
      <c r="T395" s="3207"/>
      <c r="U395" s="3207"/>
      <c r="V395" s="3207"/>
      <c r="W395" s="3207"/>
      <c r="X395" s="3206"/>
      <c r="Y395" s="3293"/>
      <c r="Z395" s="1201"/>
      <c r="AA395" s="1201"/>
      <c r="AB395" s="1202"/>
      <c r="AC395" s="3333"/>
      <c r="AD395" s="3333"/>
      <c r="AE395" s="3333"/>
      <c r="AF395" s="3333"/>
    </row>
    <row r="396" spans="1:36" s="3120" customFormat="1" ht="18.75" hidden="1" customHeight="1" x14ac:dyDescent="0.2">
      <c r="A396" s="834"/>
      <c r="B396" s="3148"/>
      <c r="C396" s="3147"/>
      <c r="D396" s="3146"/>
      <c r="E396" s="3175"/>
      <c r="F396" s="3146"/>
      <c r="G396" s="3145"/>
      <c r="H396" s="3159" t="s">
        <v>238</v>
      </c>
      <c r="I396" s="3155" t="s">
        <v>116</v>
      </c>
      <c r="J396" s="3137" t="s">
        <v>1230</v>
      </c>
      <c r="K396" s="3137"/>
      <c r="L396" s="3154" t="s">
        <v>116</v>
      </c>
      <c r="M396" s="3137" t="s">
        <v>1259</v>
      </c>
      <c r="N396" s="3137"/>
      <c r="O396" s="3154" t="s">
        <v>116</v>
      </c>
      <c r="P396" s="3137" t="s">
        <v>1260</v>
      </c>
      <c r="Q396" s="3153"/>
      <c r="R396" s="3154" t="s">
        <v>116</v>
      </c>
      <c r="S396" s="3137" t="s">
        <v>1261</v>
      </c>
      <c r="T396" s="3153"/>
      <c r="U396" s="3153"/>
      <c r="V396" s="3153"/>
      <c r="W396" s="3153"/>
      <c r="X396" s="3152"/>
      <c r="Y396" s="3293"/>
      <c r="Z396" s="1201"/>
      <c r="AA396" s="1201"/>
      <c r="AB396" s="1202"/>
      <c r="AC396" s="3333"/>
      <c r="AD396" s="3333"/>
      <c r="AE396" s="3333"/>
      <c r="AF396" s="3333"/>
      <c r="AI396" s="3120" t="str">
        <f>"23:serteikyo_kyoka_code:" &amp; IF(I396="■",1,IF(L396="■",6,IF(O396="■",5,IF(R396="■",7,0))))</f>
        <v>23:serteikyo_kyoka_code:0</v>
      </c>
    </row>
    <row r="397" spans="1:36" s="3120" customFormat="1" ht="18.75" hidden="1" customHeight="1" x14ac:dyDescent="0.2">
      <c r="A397" s="834"/>
      <c r="B397" s="3148"/>
      <c r="C397" s="3147"/>
      <c r="D397" s="3146"/>
      <c r="E397" s="3175"/>
      <c r="F397" s="3146"/>
      <c r="G397" s="3145"/>
      <c r="H397" s="3170" t="s">
        <v>2058</v>
      </c>
      <c r="I397" s="3348" t="s">
        <v>116</v>
      </c>
      <c r="J397" s="3347" t="s">
        <v>1230</v>
      </c>
      <c r="K397" s="3347"/>
      <c r="L397" s="3346" t="s">
        <v>116</v>
      </c>
      <c r="M397" s="3347" t="s">
        <v>1233</v>
      </c>
      <c r="N397" s="3347"/>
      <c r="O397" s="3302"/>
      <c r="P397" s="3302"/>
      <c r="Q397" s="3302"/>
      <c r="R397" s="3302"/>
      <c r="S397" s="3302"/>
      <c r="T397" s="3302"/>
      <c r="U397" s="3302"/>
      <c r="V397" s="3302"/>
      <c r="W397" s="3302"/>
      <c r="X397" s="3335"/>
      <c r="Y397" s="3293"/>
      <c r="Z397" s="1201"/>
      <c r="AA397" s="1201"/>
      <c r="AB397" s="1202"/>
      <c r="AC397" s="3333"/>
      <c r="AD397" s="3333"/>
      <c r="AE397" s="3333"/>
      <c r="AF397" s="3333"/>
      <c r="AI397" s="3120" t="str">
        <f>"23:field221:" &amp; IF(I397="■",1,IF(L397="■",2,0))</f>
        <v>23:field221:0</v>
      </c>
    </row>
    <row r="398" spans="1:36" s="3120" customFormat="1" ht="18.75" hidden="1" customHeight="1" x14ac:dyDescent="0.2">
      <c r="A398" s="834"/>
      <c r="B398" s="3148"/>
      <c r="C398" s="3147"/>
      <c r="D398" s="3146"/>
      <c r="E398" s="3175"/>
      <c r="F398" s="3146"/>
      <c r="G398" s="3145"/>
      <c r="H398" s="3165"/>
      <c r="I398" s="3348"/>
      <c r="J398" s="3347"/>
      <c r="K398" s="3347"/>
      <c r="L398" s="3346"/>
      <c r="M398" s="3347"/>
      <c r="N398" s="3347"/>
      <c r="O398" s="3139"/>
      <c r="P398" s="3139"/>
      <c r="Q398" s="3139"/>
      <c r="R398" s="3139"/>
      <c r="S398" s="3139"/>
      <c r="T398" s="3139"/>
      <c r="U398" s="3139"/>
      <c r="V398" s="3139"/>
      <c r="W398" s="3139"/>
      <c r="X398" s="3195"/>
      <c r="Y398" s="3293"/>
      <c r="Z398" s="1201"/>
      <c r="AA398" s="1201"/>
      <c r="AB398" s="1202"/>
      <c r="AC398" s="3333"/>
      <c r="AD398" s="3333"/>
      <c r="AE398" s="3333"/>
      <c r="AF398" s="3333"/>
    </row>
    <row r="399" spans="1:36" s="3120" customFormat="1" ht="18.75" hidden="1" customHeight="1" x14ac:dyDescent="0.2">
      <c r="A399" s="834"/>
      <c r="B399" s="3148"/>
      <c r="C399" s="3147"/>
      <c r="D399" s="3146"/>
      <c r="E399" s="3145"/>
      <c r="F399" s="3144"/>
      <c r="G399" s="3175"/>
      <c r="H399" s="3331" t="s">
        <v>2129</v>
      </c>
      <c r="I399" s="3303" t="s">
        <v>116</v>
      </c>
      <c r="J399" s="3327" t="s">
        <v>1230</v>
      </c>
      <c r="K399" s="3327"/>
      <c r="L399" s="3301" t="s">
        <v>116</v>
      </c>
      <c r="M399" s="3327" t="s">
        <v>2128</v>
      </c>
      <c r="N399" s="3330"/>
      <c r="O399" s="3301" t="s">
        <v>116</v>
      </c>
      <c r="P399" s="3329" t="s">
        <v>2127</v>
      </c>
      <c r="Q399" s="3328"/>
      <c r="R399" s="3301" t="s">
        <v>116</v>
      </c>
      <c r="S399" s="3327" t="s">
        <v>2126</v>
      </c>
      <c r="T399" s="3328"/>
      <c r="U399" s="3301" t="s">
        <v>116</v>
      </c>
      <c r="V399" s="3327" t="s">
        <v>2125</v>
      </c>
      <c r="W399" s="3326"/>
      <c r="X399" s="3325"/>
      <c r="Y399" s="1201"/>
      <c r="Z399" s="1201"/>
      <c r="AA399" s="1201"/>
      <c r="AB399" s="1202"/>
      <c r="AC399" s="3333"/>
      <c r="AD399" s="3333"/>
      <c r="AE399" s="3333"/>
      <c r="AF399" s="3333"/>
      <c r="AI399" s="3120" t="str">
        <f>"23:shoguukaizen_code:"&amp;IF(I399="■",1,IF(L399="■",7,IF(O399="■",8,IF(R399="■",9,IF(U399="■","A",0)))))</f>
        <v>23:shoguukaizen_code:0</v>
      </c>
    </row>
    <row r="400" spans="1:36" s="3120" customFormat="1" ht="18.75" customHeight="1" x14ac:dyDescent="0.2">
      <c r="A400" s="3388"/>
      <c r="B400" s="3387"/>
      <c r="C400" s="3229"/>
      <c r="D400" s="3228"/>
      <c r="E400" s="3183"/>
      <c r="F400" s="3228"/>
      <c r="G400" s="3185"/>
      <c r="H400" s="3265" t="s">
        <v>1281</v>
      </c>
      <c r="I400" s="3253" t="s">
        <v>116</v>
      </c>
      <c r="J400" s="3252" t="s">
        <v>1282</v>
      </c>
      <c r="K400" s="3311"/>
      <c r="L400" s="3386"/>
      <c r="M400" s="3310" t="s">
        <v>116</v>
      </c>
      <c r="N400" s="3252" t="s">
        <v>1289</v>
      </c>
      <c r="O400" s="3309"/>
      <c r="P400" s="3309"/>
      <c r="Q400" s="3310" t="s">
        <v>116</v>
      </c>
      <c r="R400" s="3252" t="s">
        <v>1290</v>
      </c>
      <c r="S400" s="3309"/>
      <c r="T400" s="3309"/>
      <c r="U400" s="3310" t="s">
        <v>116</v>
      </c>
      <c r="V400" s="3252" t="s">
        <v>1291</v>
      </c>
      <c r="W400" s="3309"/>
      <c r="X400" s="3266"/>
      <c r="Y400" s="3253" t="s">
        <v>116</v>
      </c>
      <c r="Z400" s="3252" t="s">
        <v>1225</v>
      </c>
      <c r="AA400" s="3252"/>
      <c r="AB400" s="3308"/>
      <c r="AC400" s="3338"/>
      <c r="AD400" s="3338"/>
      <c r="AE400" s="3338"/>
      <c r="AF400" s="3338"/>
      <c r="AG400" s="3120" t="str">
        <f>"ser_code = '" &amp; IF(A412="■","2A","") &amp; "'"</f>
        <v>ser_code = ''</v>
      </c>
      <c r="AH400" s="3120" t="str">
        <f>"2A:jininkbn_code:"&amp;IF(F411="■",1,IF(F412="■",2,IF(F413="■",3,0)))</f>
        <v>2A:jininkbn_code:0</v>
      </c>
      <c r="AI400" s="3120" t="str">
        <f>"2A:yakan_kinmu_code:" &amp; IF(I400="■",1,IF(M400="■",2,IF(Q400="■",3,IF(U400="■",7,IF(I401="■",5,IF(M401="■",6,0))))))</f>
        <v>2A:yakan_kinmu_code:0</v>
      </c>
      <c r="AJ400" s="3120" t="str">
        <f>"2A:field203:" &amp; IF(Y400="■",1,IF(Y401="■",2,0))</f>
        <v>2A:field203:0</v>
      </c>
    </row>
    <row r="401" spans="1:35" s="3120" customFormat="1" ht="18.75" customHeight="1" x14ac:dyDescent="0.2">
      <c r="A401" s="3384"/>
      <c r="B401" s="3383"/>
      <c r="C401" s="3147"/>
      <c r="D401" s="3146"/>
      <c r="E401" s="3175"/>
      <c r="F401" s="3146"/>
      <c r="G401" s="3145"/>
      <c r="H401" s="3300"/>
      <c r="I401" s="3141" t="s">
        <v>116</v>
      </c>
      <c r="J401" s="3139" t="s">
        <v>1292</v>
      </c>
      <c r="K401" s="3138"/>
      <c r="L401" s="3385"/>
      <c r="M401" s="3140" t="s">
        <v>116</v>
      </c>
      <c r="N401" s="3139" t="s">
        <v>1283</v>
      </c>
      <c r="O401" s="3162"/>
      <c r="P401" s="3162"/>
      <c r="Q401" s="3162"/>
      <c r="R401" s="3162"/>
      <c r="S401" s="3162"/>
      <c r="T401" s="3162"/>
      <c r="U401" s="3162"/>
      <c r="V401" s="3162"/>
      <c r="W401" s="3162"/>
      <c r="X401" s="3161"/>
      <c r="Y401" s="3258" t="s">
        <v>116</v>
      </c>
      <c r="Z401" s="1200" t="s">
        <v>1226</v>
      </c>
      <c r="AA401" s="1201"/>
      <c r="AB401" s="1202"/>
      <c r="AC401" s="3349"/>
      <c r="AD401" s="3349"/>
      <c r="AE401" s="3349"/>
      <c r="AF401" s="3349"/>
      <c r="AG401" s="3120" t="str">
        <f>"2A:sisetukbn_code:"&amp;IF(D412="■","1",0)</f>
        <v>2A:sisetukbn_code:0</v>
      </c>
    </row>
    <row r="402" spans="1:35" s="3120" customFormat="1" ht="18.75" customHeight="1" x14ac:dyDescent="0.2">
      <c r="A402" s="3384"/>
      <c r="B402" s="3383"/>
      <c r="C402" s="3147"/>
      <c r="D402" s="3146"/>
      <c r="E402" s="3175"/>
      <c r="F402" s="3146"/>
      <c r="G402" s="3145"/>
      <c r="H402" s="3304" t="s">
        <v>90</v>
      </c>
      <c r="I402" s="3303" t="s">
        <v>116</v>
      </c>
      <c r="J402" s="3302" t="s">
        <v>1230</v>
      </c>
      <c r="K402" s="3302"/>
      <c r="L402" s="3316"/>
      <c r="M402" s="3301" t="s">
        <v>116</v>
      </c>
      <c r="N402" s="3302" t="s">
        <v>1262</v>
      </c>
      <c r="O402" s="3302"/>
      <c r="P402" s="3316"/>
      <c r="Q402" s="3301" t="s">
        <v>116</v>
      </c>
      <c r="R402" s="3167" t="s">
        <v>1302</v>
      </c>
      <c r="S402" s="3167"/>
      <c r="T402" s="3167"/>
      <c r="U402" s="3209"/>
      <c r="V402" s="3316"/>
      <c r="W402" s="3167"/>
      <c r="X402" s="3208"/>
      <c r="Y402" s="3293"/>
      <c r="Z402" s="1201"/>
      <c r="AA402" s="1201"/>
      <c r="AB402" s="1202"/>
      <c r="AC402" s="3333"/>
      <c r="AD402" s="3333"/>
      <c r="AE402" s="3333"/>
      <c r="AF402" s="3333"/>
      <c r="AI402" s="3120" t="str">
        <f>"2A:"&amp;IF(AND(I402="□",M402="□",Q402="□",I403="□",M403="□"),"ketu_doctor_code:0",IF(I402="■","ketu_doctor_code:1:field197:1:ketu_kangos_code:1:ketu_kshoku_code:1",IF(M402="■","ketu_doctor_code:2","ketu_doctor_code:1")
&amp;IF(Q402="■",":field197:2",":field197:1")
&amp;IF(I403="■",":ketu_kangos_code:2",":ketu_kangos_code:1")
&amp;IF(M403="■",":ketu_kshoku_code:2",":ketu_kshoku_code:1")))</f>
        <v>2A:ketu_doctor_code:0</v>
      </c>
    </row>
    <row r="403" spans="1:35" s="3120" customFormat="1" ht="18.75" customHeight="1" x14ac:dyDescent="0.2">
      <c r="A403" s="3384"/>
      <c r="B403" s="3383"/>
      <c r="C403" s="3147"/>
      <c r="D403" s="3146"/>
      <c r="E403" s="3175"/>
      <c r="F403" s="3146"/>
      <c r="G403" s="3145"/>
      <c r="H403" s="3300"/>
      <c r="I403" s="3141" t="s">
        <v>116</v>
      </c>
      <c r="J403" s="3162" t="s">
        <v>1303</v>
      </c>
      <c r="K403" s="3162"/>
      <c r="L403" s="3162"/>
      <c r="M403" s="3140" t="s">
        <v>116</v>
      </c>
      <c r="N403" s="3162" t="s">
        <v>1304</v>
      </c>
      <c r="O403" s="3385"/>
      <c r="P403" s="3162"/>
      <c r="Q403" s="3162"/>
      <c r="R403" s="3385"/>
      <c r="S403" s="3162"/>
      <c r="T403" s="3162"/>
      <c r="U403" s="3207"/>
      <c r="V403" s="3385"/>
      <c r="W403" s="3162"/>
      <c r="X403" s="3206"/>
      <c r="Y403" s="3293"/>
      <c r="Z403" s="1201"/>
      <c r="AA403" s="1201"/>
      <c r="AB403" s="1202"/>
      <c r="AC403" s="3333"/>
      <c r="AD403" s="3333"/>
      <c r="AE403" s="3333"/>
      <c r="AF403" s="3333"/>
    </row>
    <row r="404" spans="1:35" s="3120" customFormat="1" ht="18.75" customHeight="1" x14ac:dyDescent="0.2">
      <c r="A404" s="834"/>
      <c r="B404" s="3148"/>
      <c r="C404" s="3295"/>
      <c r="D404" s="3294"/>
      <c r="E404" s="3145"/>
      <c r="F404" s="3144"/>
      <c r="G404" s="3175"/>
      <c r="H404" s="3381" t="s">
        <v>1325</v>
      </c>
      <c r="I404" s="3222" t="s">
        <v>116</v>
      </c>
      <c r="J404" s="3217" t="s">
        <v>1228</v>
      </c>
      <c r="K404" s="3221"/>
      <c r="L404" s="3220"/>
      <c r="M404" s="3219" t="s">
        <v>116</v>
      </c>
      <c r="N404" s="3217" t="s">
        <v>1322</v>
      </c>
      <c r="O404" s="3221"/>
      <c r="P404" s="3380"/>
      <c r="Q404" s="3380"/>
      <c r="R404" s="3380"/>
      <c r="S404" s="3380"/>
      <c r="T404" s="3380"/>
      <c r="U404" s="3380"/>
      <c r="V404" s="3380"/>
      <c r="W404" s="3380"/>
      <c r="X404" s="3379"/>
      <c r="Y404" s="3293"/>
      <c r="Z404" s="1201"/>
      <c r="AA404" s="1201"/>
      <c r="AB404" s="1202"/>
      <c r="AC404" s="3333"/>
      <c r="AD404" s="3333"/>
      <c r="AE404" s="3333"/>
      <c r="AF404" s="3333"/>
      <c r="AI404" s="3120" t="str">
        <f>"2A:sintaikousoku_code:" &amp; IF(I404="■",1,IF(M404="■",2,0))</f>
        <v>2A:sintaikousoku_code:0</v>
      </c>
    </row>
    <row r="405" spans="1:35" s="3120" customFormat="1" ht="19.5" customHeight="1" x14ac:dyDescent="0.2">
      <c r="A405" s="834"/>
      <c r="B405" s="3148"/>
      <c r="C405" s="3147"/>
      <c r="D405" s="3146"/>
      <c r="E405" s="3145"/>
      <c r="F405" s="3144"/>
      <c r="G405" s="3175"/>
      <c r="H405" s="3174" t="s">
        <v>1227</v>
      </c>
      <c r="I405" s="3155" t="s">
        <v>116</v>
      </c>
      <c r="J405" s="3137" t="s">
        <v>1228</v>
      </c>
      <c r="K405" s="3171"/>
      <c r="L405" s="3173"/>
      <c r="M405" s="3154" t="s">
        <v>116</v>
      </c>
      <c r="N405" s="3137" t="s">
        <v>1229</v>
      </c>
      <c r="O405" s="3299"/>
      <c r="P405" s="3137"/>
      <c r="Q405" s="3150"/>
      <c r="R405" s="3150"/>
      <c r="S405" s="3150"/>
      <c r="T405" s="3150"/>
      <c r="U405" s="3150"/>
      <c r="V405" s="3150"/>
      <c r="W405" s="3150"/>
      <c r="X405" s="3149"/>
      <c r="Y405" s="1201"/>
      <c r="Z405" s="1201"/>
      <c r="AA405" s="1201"/>
      <c r="AB405" s="1202"/>
      <c r="AC405" s="3333"/>
      <c r="AD405" s="3333"/>
      <c r="AE405" s="3333"/>
      <c r="AF405" s="3333"/>
      <c r="AI405" s="3120" t="str">
        <f>"2A:field223:" &amp; IF(I405="■",1,IF(M405="■",2,0))</f>
        <v>2A:field223:0</v>
      </c>
    </row>
    <row r="406" spans="1:35" s="3120" customFormat="1" ht="19.5" customHeight="1" x14ac:dyDescent="0.2">
      <c r="A406" s="834"/>
      <c r="B406" s="3148"/>
      <c r="C406" s="3147"/>
      <c r="D406" s="3146"/>
      <c r="E406" s="3145"/>
      <c r="F406" s="3144"/>
      <c r="G406" s="3175"/>
      <c r="H406" s="3174" t="s">
        <v>1253</v>
      </c>
      <c r="I406" s="3155" t="s">
        <v>116</v>
      </c>
      <c r="J406" s="3137" t="s">
        <v>1228</v>
      </c>
      <c r="K406" s="3171"/>
      <c r="L406" s="3173"/>
      <c r="M406" s="3154" t="s">
        <v>116</v>
      </c>
      <c r="N406" s="3137" t="s">
        <v>1229</v>
      </c>
      <c r="O406" s="3299"/>
      <c r="P406" s="3137"/>
      <c r="Q406" s="3150"/>
      <c r="R406" s="3150"/>
      <c r="S406" s="3150"/>
      <c r="T406" s="3150"/>
      <c r="U406" s="3150"/>
      <c r="V406" s="3150"/>
      <c r="W406" s="3150"/>
      <c r="X406" s="3149"/>
      <c r="Y406" s="1201"/>
      <c r="Z406" s="1201"/>
      <c r="AA406" s="1201"/>
      <c r="AB406" s="1202"/>
      <c r="AC406" s="3333"/>
      <c r="AD406" s="3333"/>
      <c r="AE406" s="3333"/>
      <c r="AF406" s="3333"/>
      <c r="AI406" s="3120" t="str">
        <f>"2A:field232:" &amp; IF(I406="■",1,IF(M406="■",2,0))</f>
        <v>2A:field232:0</v>
      </c>
    </row>
    <row r="407" spans="1:35" s="3120" customFormat="1" ht="18.75" customHeight="1" x14ac:dyDescent="0.2">
      <c r="A407" s="3384"/>
      <c r="B407" s="3383"/>
      <c r="C407" s="3147"/>
      <c r="D407" s="3146"/>
      <c r="E407" s="3175"/>
      <c r="F407" s="3146"/>
      <c r="G407" s="3145"/>
      <c r="H407" s="3151" t="s">
        <v>236</v>
      </c>
      <c r="I407" s="3155" t="s">
        <v>116</v>
      </c>
      <c r="J407" s="3137" t="s">
        <v>1282</v>
      </c>
      <c r="K407" s="3171"/>
      <c r="L407" s="3173"/>
      <c r="M407" s="3154" t="s">
        <v>116</v>
      </c>
      <c r="N407" s="3137" t="s">
        <v>1293</v>
      </c>
      <c r="O407" s="3150"/>
      <c r="P407" s="3150"/>
      <c r="Q407" s="3150"/>
      <c r="R407" s="3150"/>
      <c r="S407" s="3150"/>
      <c r="T407" s="3150"/>
      <c r="U407" s="3150"/>
      <c r="V407" s="3150"/>
      <c r="W407" s="3150"/>
      <c r="X407" s="3149"/>
      <c r="Y407" s="3293"/>
      <c r="Z407" s="1201"/>
      <c r="AA407" s="1201"/>
      <c r="AB407" s="1202"/>
      <c r="AC407" s="3333"/>
      <c r="AD407" s="3333"/>
      <c r="AE407" s="3333"/>
      <c r="AF407" s="3333"/>
      <c r="AI407" s="3120" t="str">
        <f>"2A:field190:" &amp; IF(I407="■",1,IF(M407="■",2,0))</f>
        <v>2A:field190:0</v>
      </c>
    </row>
    <row r="408" spans="1:35" s="3120" customFormat="1" ht="18.75" customHeight="1" x14ac:dyDescent="0.2">
      <c r="A408" s="3384"/>
      <c r="B408" s="3383"/>
      <c r="C408" s="3147"/>
      <c r="D408" s="3146"/>
      <c r="E408" s="3175"/>
      <c r="F408" s="3146"/>
      <c r="G408" s="3145"/>
      <c r="H408" s="3151" t="s">
        <v>1305</v>
      </c>
      <c r="I408" s="3155" t="s">
        <v>116</v>
      </c>
      <c r="J408" s="3137" t="s">
        <v>1282</v>
      </c>
      <c r="K408" s="3171"/>
      <c r="L408" s="3173"/>
      <c r="M408" s="3154" t="s">
        <v>116</v>
      </c>
      <c r="N408" s="3137" t="s">
        <v>1293</v>
      </c>
      <c r="O408" s="3150"/>
      <c r="P408" s="3150"/>
      <c r="Q408" s="3150"/>
      <c r="R408" s="3150"/>
      <c r="S408" s="3150"/>
      <c r="T408" s="3150"/>
      <c r="U408" s="3150"/>
      <c r="V408" s="3150"/>
      <c r="W408" s="3150"/>
      <c r="X408" s="3149"/>
      <c r="Y408" s="3293"/>
      <c r="Z408" s="1201"/>
      <c r="AA408" s="1201"/>
      <c r="AB408" s="1202"/>
      <c r="AC408" s="3333"/>
      <c r="AD408" s="3333"/>
      <c r="AE408" s="3333"/>
      <c r="AF408" s="3333"/>
      <c r="AI408" s="3120" t="str">
        <f>"2A:field191:" &amp; IF(I408="■",1,IF(M408="■",2,0))</f>
        <v>2A:field191:0</v>
      </c>
    </row>
    <row r="409" spans="1:35" s="3120" customFormat="1" ht="18.75" customHeight="1" x14ac:dyDescent="0.2">
      <c r="A409" s="3384"/>
      <c r="B409" s="3383"/>
      <c r="C409" s="3147"/>
      <c r="D409" s="3146"/>
      <c r="E409" s="3175"/>
      <c r="F409" s="3146"/>
      <c r="G409" s="3145"/>
      <c r="H409" s="3151" t="s">
        <v>1256</v>
      </c>
      <c r="I409" s="3155" t="s">
        <v>116</v>
      </c>
      <c r="J409" s="3137" t="s">
        <v>1230</v>
      </c>
      <c r="K409" s="3171"/>
      <c r="L409" s="3154" t="s">
        <v>116</v>
      </c>
      <c r="M409" s="3137" t="s">
        <v>1233</v>
      </c>
      <c r="N409" s="3150"/>
      <c r="O409" s="3150"/>
      <c r="P409" s="3150"/>
      <c r="Q409" s="3171"/>
      <c r="R409" s="3150"/>
      <c r="S409" s="3150"/>
      <c r="T409" s="3150"/>
      <c r="U409" s="3150"/>
      <c r="V409" s="3150"/>
      <c r="W409" s="3150"/>
      <c r="X409" s="3149"/>
      <c r="Y409" s="3293"/>
      <c r="Z409" s="1201"/>
      <c r="AA409" s="1201"/>
      <c r="AB409" s="1202"/>
      <c r="AC409" s="3333"/>
      <c r="AD409" s="3333"/>
      <c r="AE409" s="3333"/>
      <c r="AF409" s="3333"/>
      <c r="AI409" s="3120" t="str">
        <f>"2A:jyakuninti_uke_code:" &amp; IF(I409="■",1,IF(L409="■",2,0))</f>
        <v>2A:jyakuninti_uke_code:0</v>
      </c>
    </row>
    <row r="410" spans="1:35" s="3120" customFormat="1" ht="18.75" customHeight="1" x14ac:dyDescent="0.2">
      <c r="A410" s="3384"/>
      <c r="B410" s="3383"/>
      <c r="C410" s="3147"/>
      <c r="D410" s="3146"/>
      <c r="E410" s="3175"/>
      <c r="F410" s="3146"/>
      <c r="G410" s="3145"/>
      <c r="H410" s="3151" t="s">
        <v>1306</v>
      </c>
      <c r="I410" s="3155" t="s">
        <v>116</v>
      </c>
      <c r="J410" s="3137" t="s">
        <v>1240</v>
      </c>
      <c r="K410" s="3171"/>
      <c r="L410" s="3173"/>
      <c r="M410" s="3154" t="s">
        <v>116</v>
      </c>
      <c r="N410" s="3137" t="s">
        <v>1241</v>
      </c>
      <c r="O410" s="3150"/>
      <c r="P410" s="3150"/>
      <c r="Q410" s="3171"/>
      <c r="R410" s="3150"/>
      <c r="S410" s="3150"/>
      <c r="T410" s="3150"/>
      <c r="U410" s="3150"/>
      <c r="V410" s="3150"/>
      <c r="W410" s="3150"/>
      <c r="X410" s="3149"/>
      <c r="Y410" s="3293"/>
      <c r="Z410" s="1201"/>
      <c r="AA410" s="1201"/>
      <c r="AB410" s="1202"/>
      <c r="AC410" s="3333"/>
      <c r="AD410" s="3333"/>
      <c r="AE410" s="3333"/>
      <c r="AF410" s="3333"/>
      <c r="AI410" s="3120" t="str">
        <f>"2A:sougei_code:" &amp; IF(I410="■",1,IF(M410="■",2,0))</f>
        <v>2A:sougei_code:0</v>
      </c>
    </row>
    <row r="411" spans="1:35" s="3120" customFormat="1" ht="19.5" customHeight="1" x14ac:dyDescent="0.2">
      <c r="A411" s="3384"/>
      <c r="B411" s="3383"/>
      <c r="C411" s="3147"/>
      <c r="D411" s="3146"/>
      <c r="E411" s="3175"/>
      <c r="F411" s="3258" t="s">
        <v>116</v>
      </c>
      <c r="G411" s="3145" t="s">
        <v>1307</v>
      </c>
      <c r="H411" s="3174" t="s">
        <v>1236</v>
      </c>
      <c r="I411" s="3155" t="s">
        <v>116</v>
      </c>
      <c r="J411" s="3137" t="s">
        <v>1230</v>
      </c>
      <c r="K411" s="3137"/>
      <c r="L411" s="3154" t="s">
        <v>116</v>
      </c>
      <c r="M411" s="3137" t="s">
        <v>1233</v>
      </c>
      <c r="N411" s="3137"/>
      <c r="O411" s="3150"/>
      <c r="P411" s="3137"/>
      <c r="Q411" s="3150"/>
      <c r="R411" s="3150"/>
      <c r="S411" s="3150"/>
      <c r="T411" s="3150"/>
      <c r="U411" s="3150"/>
      <c r="V411" s="3150"/>
      <c r="W411" s="3150"/>
      <c r="X411" s="3149"/>
      <c r="Y411" s="1201"/>
      <c r="Z411" s="1201"/>
      <c r="AA411" s="1201"/>
      <c r="AB411" s="1202"/>
      <c r="AC411" s="3333"/>
      <c r="AD411" s="3333"/>
      <c r="AE411" s="3333"/>
      <c r="AF411" s="3333"/>
      <c r="AI411" s="3120" t="str">
        <f>"2A:field224:" &amp; IF(I411="■",1,IF(L411="■",2,0))</f>
        <v>2A:field224:0</v>
      </c>
    </row>
    <row r="412" spans="1:35" s="3120" customFormat="1" ht="18.75" customHeight="1" x14ac:dyDescent="0.2">
      <c r="A412" s="3158" t="s">
        <v>116</v>
      </c>
      <c r="B412" s="3383" t="s">
        <v>571</v>
      </c>
      <c r="C412" s="3147" t="s">
        <v>924</v>
      </c>
      <c r="D412" s="3258" t="s">
        <v>116</v>
      </c>
      <c r="E412" s="3175" t="s">
        <v>1308</v>
      </c>
      <c r="F412" s="3258" t="s">
        <v>116</v>
      </c>
      <c r="G412" s="3145" t="s">
        <v>1309</v>
      </c>
      <c r="H412" s="3151" t="s">
        <v>140</v>
      </c>
      <c r="I412" s="3155" t="s">
        <v>116</v>
      </c>
      <c r="J412" s="3137" t="s">
        <v>1230</v>
      </c>
      <c r="K412" s="3171"/>
      <c r="L412" s="3154" t="s">
        <v>116</v>
      </c>
      <c r="M412" s="3137" t="s">
        <v>1233</v>
      </c>
      <c r="N412" s="3150"/>
      <c r="O412" s="3150"/>
      <c r="P412" s="3150"/>
      <c r="Q412" s="3171"/>
      <c r="R412" s="3150"/>
      <c r="S412" s="3150"/>
      <c r="T412" s="3150"/>
      <c r="U412" s="3150"/>
      <c r="V412" s="3150"/>
      <c r="W412" s="3150"/>
      <c r="X412" s="3149"/>
      <c r="Y412" s="3293"/>
      <c r="Z412" s="1201"/>
      <c r="AA412" s="1201"/>
      <c r="AB412" s="1202"/>
      <c r="AC412" s="3333"/>
      <c r="AD412" s="3333"/>
      <c r="AE412" s="3333"/>
      <c r="AF412" s="3333"/>
      <c r="AI412" s="3120" t="str">
        <f>"2A:ryouyoushoku_code:" &amp; IF(I412="■",1,IF(L412="■",2,0))</f>
        <v>2A:ryouyoushoku_code:0</v>
      </c>
    </row>
    <row r="413" spans="1:35" s="3120" customFormat="1" ht="18.75" customHeight="1" x14ac:dyDescent="0.2">
      <c r="A413" s="3384"/>
      <c r="B413" s="3383"/>
      <c r="C413" s="3147"/>
      <c r="D413" s="3146"/>
      <c r="E413" s="3175"/>
      <c r="F413" s="3258" t="s">
        <v>116</v>
      </c>
      <c r="G413" s="3145" t="s">
        <v>1311</v>
      </c>
      <c r="H413" s="3151" t="s">
        <v>1237</v>
      </c>
      <c r="I413" s="3155" t="s">
        <v>116</v>
      </c>
      <c r="J413" s="3137" t="s">
        <v>1230</v>
      </c>
      <c r="K413" s="3137"/>
      <c r="L413" s="3154" t="s">
        <v>116</v>
      </c>
      <c r="M413" s="3137" t="s">
        <v>1231</v>
      </c>
      <c r="N413" s="3137"/>
      <c r="O413" s="3154" t="s">
        <v>116</v>
      </c>
      <c r="P413" s="3137" t="s">
        <v>1232</v>
      </c>
      <c r="Q413" s="3150"/>
      <c r="R413" s="3150"/>
      <c r="S413" s="3150"/>
      <c r="T413" s="3150"/>
      <c r="U413" s="3150"/>
      <c r="V413" s="3150"/>
      <c r="W413" s="3150"/>
      <c r="X413" s="3149"/>
      <c r="Y413" s="3293"/>
      <c r="Z413" s="1201"/>
      <c r="AA413" s="1201"/>
      <c r="AB413" s="1202"/>
      <c r="AC413" s="3333"/>
      <c r="AD413" s="3333"/>
      <c r="AE413" s="3333"/>
      <c r="AF413" s="3333"/>
      <c r="AI413" s="3120" t="str">
        <f>"2A:ninti_senmoncare_code:" &amp; IF(I413="■",1,IF(O413="■",3,IF(L413="■",2,0)))</f>
        <v>2A:ninti_senmoncare_code:0</v>
      </c>
    </row>
    <row r="414" spans="1:35" s="3120" customFormat="1" ht="18.75" customHeight="1" x14ac:dyDescent="0.2">
      <c r="A414" s="3384"/>
      <c r="B414" s="3383"/>
      <c r="C414" s="3147"/>
      <c r="D414" s="3146"/>
      <c r="E414" s="3175"/>
      <c r="F414" s="3146"/>
      <c r="G414" s="3145"/>
      <c r="H414" s="3151" t="s">
        <v>237</v>
      </c>
      <c r="I414" s="3155" t="s">
        <v>116</v>
      </c>
      <c r="J414" s="3137" t="s">
        <v>1230</v>
      </c>
      <c r="K414" s="3137"/>
      <c r="L414" s="3154" t="s">
        <v>116</v>
      </c>
      <c r="M414" s="3137" t="s">
        <v>1231</v>
      </c>
      <c r="N414" s="3137"/>
      <c r="O414" s="3154" t="s">
        <v>116</v>
      </c>
      <c r="P414" s="3137" t="s">
        <v>1232</v>
      </c>
      <c r="Q414" s="3150"/>
      <c r="R414" s="3150"/>
      <c r="S414" s="3150"/>
      <c r="T414" s="3150"/>
      <c r="U414" s="3150"/>
      <c r="V414" s="3150"/>
      <c r="W414" s="3150"/>
      <c r="X414" s="3149"/>
      <c r="Y414" s="3293"/>
      <c r="Z414" s="1201"/>
      <c r="AA414" s="1201"/>
      <c r="AB414" s="1202"/>
      <c r="AC414" s="3333"/>
      <c r="AD414" s="3333"/>
      <c r="AE414" s="3333"/>
      <c r="AF414" s="3333"/>
      <c r="AI414" s="3120" t="str">
        <f>"2A:field164:" &amp; IF(I414="■",1,IF(L414="■",2,IF(O414="■",3,0)))</f>
        <v>2A:field164:0</v>
      </c>
    </row>
    <row r="415" spans="1:35" s="3120" customFormat="1" ht="18.75" customHeight="1" x14ac:dyDescent="0.2">
      <c r="A415" s="3384"/>
      <c r="B415" s="3383"/>
      <c r="C415" s="3147"/>
      <c r="D415" s="3146"/>
      <c r="E415" s="3175"/>
      <c r="F415" s="3146"/>
      <c r="G415" s="3145"/>
      <c r="H415" s="3304" t="s">
        <v>1310</v>
      </c>
      <c r="I415" s="3303" t="s">
        <v>116</v>
      </c>
      <c r="J415" s="3302" t="s">
        <v>1287</v>
      </c>
      <c r="K415" s="3302"/>
      <c r="L415" s="3209"/>
      <c r="M415" s="3209"/>
      <c r="N415" s="3209"/>
      <c r="O415" s="3209"/>
      <c r="P415" s="3301" t="s">
        <v>116</v>
      </c>
      <c r="Q415" s="3302" t="s">
        <v>1288</v>
      </c>
      <c r="R415" s="3209"/>
      <c r="S415" s="3209"/>
      <c r="T415" s="3209"/>
      <c r="U415" s="3209"/>
      <c r="V415" s="3209"/>
      <c r="W415" s="3209"/>
      <c r="X415" s="3208"/>
      <c r="Y415" s="3293"/>
      <c r="Z415" s="1201"/>
      <c r="AA415" s="1201"/>
      <c r="AB415" s="1202"/>
      <c r="AC415" s="3333"/>
      <c r="AD415" s="3333"/>
      <c r="AE415" s="3333"/>
      <c r="AF415" s="3333"/>
      <c r="AI415" s="3120" t="str">
        <f>"2A:" &amp; IF(AND(I415="□",P415="□",I416="□"),"tokusin_jyusho_code:0:tokusin_yakuzai_code:0:shuudan_comu_code:0",IF(I415="■","tokusin_jyusho_code:2","tokusin_jyusho_code:1")
&amp;IF(P415="■",":tokusin_yakuzai_code:2",":tokusin_yakuzai_code:1")
&amp;IF(I416="■",":shuudan_comu_code:2",":shuudan_comu_code:1"))</f>
        <v>2A:tokusin_jyusho_code:0:tokusin_yakuzai_code:0:shuudan_comu_code:0</v>
      </c>
    </row>
    <row r="416" spans="1:35" s="3120" customFormat="1" ht="18.75" customHeight="1" x14ac:dyDescent="0.2">
      <c r="A416" s="3384"/>
      <c r="B416" s="3383"/>
      <c r="C416" s="3147"/>
      <c r="D416" s="3146"/>
      <c r="E416" s="3175"/>
      <c r="F416" s="3146"/>
      <c r="G416" s="3145"/>
      <c r="H416" s="3300"/>
      <c r="I416" s="3141" t="s">
        <v>116</v>
      </c>
      <c r="J416" s="3139" t="s">
        <v>1294</v>
      </c>
      <c r="K416" s="3207"/>
      <c r="L416" s="3207"/>
      <c r="M416" s="3207"/>
      <c r="N416" s="3207"/>
      <c r="O416" s="3207"/>
      <c r="P416" s="3207"/>
      <c r="Q416" s="3162"/>
      <c r="R416" s="3207"/>
      <c r="S416" s="3207"/>
      <c r="T416" s="3207"/>
      <c r="U416" s="3207"/>
      <c r="V416" s="3207"/>
      <c r="W416" s="3207"/>
      <c r="X416" s="3206"/>
      <c r="Y416" s="3293"/>
      <c r="Z416" s="1201"/>
      <c r="AA416" s="1201"/>
      <c r="AB416" s="1202"/>
      <c r="AC416" s="3333"/>
      <c r="AD416" s="3333"/>
      <c r="AE416" s="3333"/>
      <c r="AF416" s="3333"/>
    </row>
    <row r="417" spans="1:36" s="3120" customFormat="1" ht="18.75" customHeight="1" x14ac:dyDescent="0.2">
      <c r="A417" s="3384"/>
      <c r="B417" s="3383"/>
      <c r="C417" s="3147"/>
      <c r="D417" s="3146"/>
      <c r="E417" s="3175"/>
      <c r="F417" s="3146"/>
      <c r="G417" s="3145"/>
      <c r="H417" s="3304" t="s">
        <v>1300</v>
      </c>
      <c r="I417" s="3303" t="s">
        <v>116</v>
      </c>
      <c r="J417" s="3302" t="s">
        <v>1295</v>
      </c>
      <c r="K417" s="3317"/>
      <c r="L417" s="3316"/>
      <c r="M417" s="3301" t="s">
        <v>116</v>
      </c>
      <c r="N417" s="3302" t="s">
        <v>1296</v>
      </c>
      <c r="O417" s="3209"/>
      <c r="P417" s="3209"/>
      <c r="Q417" s="3301" t="s">
        <v>116</v>
      </c>
      <c r="R417" s="3302" t="s">
        <v>1297</v>
      </c>
      <c r="S417" s="3209"/>
      <c r="T417" s="3209"/>
      <c r="U417" s="3209"/>
      <c r="V417" s="3209"/>
      <c r="W417" s="3209"/>
      <c r="X417" s="3208"/>
      <c r="Y417" s="3293"/>
      <c r="Z417" s="1201"/>
      <c r="AA417" s="1201"/>
      <c r="AB417" s="1202"/>
      <c r="AC417" s="3333"/>
      <c r="AD417" s="3333"/>
      <c r="AE417" s="3333"/>
      <c r="AF417" s="3333"/>
      <c r="AI417" s="3120" t="str">
        <f>"2A:"&amp;IF(AND(I417="□",M417="□",Q417="□",I418="□",Q418="□"),"koriha_rryoho1_code:0:koriha_sryoho_code:0:koriha_gengo_code:0:riha_seisin_code:0:koriha_other_code:0",IF(I417="■","koriha_rryoho1_code:2","koriha_rryoho1_code:1")
&amp;IF(M417="■",":koriha_sryoho_code:2",":koriha_sryoho_code:1")
&amp;IF(Q417="■",":koriha_gengo_code:2",":koriha_gengo_code:1")
&amp;IF(I418="■",":riha_seisin_code:2",":riha_seisin_code:1")
&amp;IF(Q418="■",":koriha_other_code:2",":koriha_other_code:1"))</f>
        <v>2A:koriha_rryoho1_code:0:koriha_sryoho_code:0:koriha_gengo_code:0:riha_seisin_code:0:koriha_other_code:0</v>
      </c>
    </row>
    <row r="418" spans="1:36" s="3120" customFormat="1" ht="18.75" customHeight="1" x14ac:dyDescent="0.2">
      <c r="A418" s="3384"/>
      <c r="B418" s="3383"/>
      <c r="C418" s="3147"/>
      <c r="D418" s="3146"/>
      <c r="E418" s="3175"/>
      <c r="F418" s="3146"/>
      <c r="G418" s="3145"/>
      <c r="H418" s="3300"/>
      <c r="I418" s="3141" t="s">
        <v>116</v>
      </c>
      <c r="J418" s="3139" t="s">
        <v>1298</v>
      </c>
      <c r="K418" s="3207"/>
      <c r="L418" s="3207"/>
      <c r="M418" s="3207"/>
      <c r="N418" s="3207"/>
      <c r="O418" s="3207"/>
      <c r="P418" s="3207"/>
      <c r="Q418" s="3140" t="s">
        <v>116</v>
      </c>
      <c r="R418" s="3139" t="s">
        <v>1299</v>
      </c>
      <c r="S418" s="3162"/>
      <c r="T418" s="3207"/>
      <c r="U418" s="3207"/>
      <c r="V418" s="3207"/>
      <c r="W418" s="3207"/>
      <c r="X418" s="3206"/>
      <c r="Y418" s="3293"/>
      <c r="Z418" s="1201"/>
      <c r="AA418" s="1201"/>
      <c r="AB418" s="1202"/>
      <c r="AC418" s="3333"/>
      <c r="AD418" s="3333"/>
      <c r="AE418" s="3333"/>
      <c r="AF418" s="3333"/>
    </row>
    <row r="419" spans="1:36" s="3120" customFormat="1" ht="18.75" customHeight="1" x14ac:dyDescent="0.2">
      <c r="A419" s="3384"/>
      <c r="B419" s="3383"/>
      <c r="C419" s="3147"/>
      <c r="D419" s="3146"/>
      <c r="E419" s="3175"/>
      <c r="F419" s="3146"/>
      <c r="G419" s="3145"/>
      <c r="H419" s="3296" t="s">
        <v>1285</v>
      </c>
      <c r="I419" s="3155" t="s">
        <v>116</v>
      </c>
      <c r="J419" s="3137" t="s">
        <v>1230</v>
      </c>
      <c r="K419" s="3137"/>
      <c r="L419" s="3154" t="s">
        <v>116</v>
      </c>
      <c r="M419" s="3137" t="s">
        <v>1231</v>
      </c>
      <c r="N419" s="3137"/>
      <c r="O419" s="3154" t="s">
        <v>116</v>
      </c>
      <c r="P419" s="3137" t="s">
        <v>1232</v>
      </c>
      <c r="Q419" s="3150"/>
      <c r="R419" s="3150"/>
      <c r="S419" s="3150"/>
      <c r="T419" s="3150"/>
      <c r="U419" s="3209"/>
      <c r="V419" s="3209"/>
      <c r="W419" s="3209"/>
      <c r="X419" s="3208"/>
      <c r="Y419" s="3293"/>
      <c r="Z419" s="1201"/>
      <c r="AA419" s="1201"/>
      <c r="AB419" s="1202"/>
      <c r="AC419" s="3333"/>
      <c r="AD419" s="3333"/>
      <c r="AE419" s="3333"/>
      <c r="AF419" s="3333"/>
      <c r="AI419" s="3120" t="str">
        <f>"2A:field225:" &amp; IF(I419="■",1,IF(L419="■",2,IF(O419="■",3,0)))</f>
        <v>2A:field225:0</v>
      </c>
    </row>
    <row r="420" spans="1:36" s="3120" customFormat="1" ht="18.75" customHeight="1" x14ac:dyDescent="0.2">
      <c r="A420" s="3384"/>
      <c r="B420" s="3383"/>
      <c r="C420" s="3147"/>
      <c r="D420" s="3146"/>
      <c r="E420" s="3175"/>
      <c r="F420" s="3146"/>
      <c r="G420" s="3145"/>
      <c r="H420" s="3159" t="s">
        <v>238</v>
      </c>
      <c r="I420" s="3155" t="s">
        <v>116</v>
      </c>
      <c r="J420" s="3137" t="s">
        <v>1230</v>
      </c>
      <c r="K420" s="3137"/>
      <c r="L420" s="3154" t="s">
        <v>116</v>
      </c>
      <c r="M420" s="3137" t="s">
        <v>1259</v>
      </c>
      <c r="N420" s="3137"/>
      <c r="O420" s="3154" t="s">
        <v>116</v>
      </c>
      <c r="P420" s="3137" t="s">
        <v>1260</v>
      </c>
      <c r="Q420" s="3153"/>
      <c r="R420" s="3154" t="s">
        <v>116</v>
      </c>
      <c r="S420" s="3137" t="s">
        <v>1261</v>
      </c>
      <c r="T420" s="3153"/>
      <c r="U420" s="3153"/>
      <c r="V420" s="3153"/>
      <c r="W420" s="3153"/>
      <c r="X420" s="3152"/>
      <c r="Y420" s="3293"/>
      <c r="Z420" s="1201"/>
      <c r="AA420" s="1201"/>
      <c r="AB420" s="1202"/>
      <c r="AC420" s="3333"/>
      <c r="AD420" s="3333"/>
      <c r="AE420" s="3333"/>
      <c r="AF420" s="3333"/>
      <c r="AI420" s="3120" t="str">
        <f>"2A:serteikyo_kyoka_code:" &amp; IF(I420="■",1,IF(L420="■",6,IF(O420="■",5,IF(R420="■",7,0))))</f>
        <v>2A:serteikyo_kyoka_code:0</v>
      </c>
    </row>
    <row r="421" spans="1:36" s="3120" customFormat="1" ht="18.75" customHeight="1" x14ac:dyDescent="0.2">
      <c r="A421" s="3384"/>
      <c r="B421" s="3383"/>
      <c r="C421" s="3147"/>
      <c r="D421" s="3146"/>
      <c r="E421" s="3175"/>
      <c r="F421" s="3146"/>
      <c r="G421" s="3145"/>
      <c r="H421" s="3170" t="s">
        <v>2058</v>
      </c>
      <c r="I421" s="3348" t="s">
        <v>116</v>
      </c>
      <c r="J421" s="3347" t="s">
        <v>1230</v>
      </c>
      <c r="K421" s="3347"/>
      <c r="L421" s="3346" t="s">
        <v>116</v>
      </c>
      <c r="M421" s="3347" t="s">
        <v>1233</v>
      </c>
      <c r="N421" s="3347"/>
      <c r="O421" s="3302"/>
      <c r="P421" s="3302"/>
      <c r="Q421" s="3302"/>
      <c r="R421" s="3302"/>
      <c r="S421" s="3302"/>
      <c r="T421" s="3302"/>
      <c r="U421" s="3302"/>
      <c r="V421" s="3302"/>
      <c r="W421" s="3302"/>
      <c r="X421" s="3335"/>
      <c r="Y421" s="3293"/>
      <c r="Z421" s="1201"/>
      <c r="AA421" s="1201"/>
      <c r="AB421" s="1202"/>
      <c r="AC421" s="3333"/>
      <c r="AD421" s="3333"/>
      <c r="AE421" s="3333"/>
      <c r="AF421" s="3333"/>
      <c r="AI421" s="3120" t="str">
        <f>"2A:field221:" &amp; IF(I421="■",1,IF(L421="■",2,0))</f>
        <v>2A:field221:0</v>
      </c>
    </row>
    <row r="422" spans="1:36" s="3120" customFormat="1" ht="18.75" customHeight="1" x14ac:dyDescent="0.2">
      <c r="A422" s="3384"/>
      <c r="B422" s="3383"/>
      <c r="C422" s="3147"/>
      <c r="D422" s="3146"/>
      <c r="E422" s="3175"/>
      <c r="F422" s="3146"/>
      <c r="G422" s="3145"/>
      <c r="H422" s="3165"/>
      <c r="I422" s="3348"/>
      <c r="J422" s="3347"/>
      <c r="K422" s="3347"/>
      <c r="L422" s="3346"/>
      <c r="M422" s="3347"/>
      <c r="N422" s="3347"/>
      <c r="O422" s="3139"/>
      <c r="P422" s="3139"/>
      <c r="Q422" s="3139"/>
      <c r="R422" s="3139"/>
      <c r="S422" s="3139"/>
      <c r="T422" s="3139"/>
      <c r="U422" s="3139"/>
      <c r="V422" s="3139"/>
      <c r="W422" s="3139"/>
      <c r="X422" s="3195"/>
      <c r="Y422" s="3293"/>
      <c r="Z422" s="1201"/>
      <c r="AA422" s="1201"/>
      <c r="AB422" s="1202"/>
      <c r="AC422" s="3333"/>
      <c r="AD422" s="3333"/>
      <c r="AE422" s="3333"/>
      <c r="AF422" s="3333"/>
    </row>
    <row r="423" spans="1:36" s="3120" customFormat="1" ht="18.75" customHeight="1" x14ac:dyDescent="0.2">
      <c r="A423" s="835"/>
      <c r="B423" s="3135"/>
      <c r="C423" s="3134"/>
      <c r="D423" s="3133"/>
      <c r="E423" s="3132"/>
      <c r="F423" s="3131"/>
      <c r="G423" s="3189"/>
      <c r="H423" s="3289" t="s">
        <v>2129</v>
      </c>
      <c r="I423" s="3128" t="s">
        <v>116</v>
      </c>
      <c r="J423" s="3285" t="s">
        <v>1230</v>
      </c>
      <c r="K423" s="3285"/>
      <c r="L423" s="3127" t="s">
        <v>116</v>
      </c>
      <c r="M423" s="3285" t="s">
        <v>2128</v>
      </c>
      <c r="N423" s="3288"/>
      <c r="O423" s="3127" t="s">
        <v>116</v>
      </c>
      <c r="P423" s="3287" t="s">
        <v>2127</v>
      </c>
      <c r="Q423" s="3286"/>
      <c r="R423" s="3127" t="s">
        <v>116</v>
      </c>
      <c r="S423" s="3285" t="s">
        <v>2126</v>
      </c>
      <c r="T423" s="3286"/>
      <c r="U423" s="3127" t="s">
        <v>116</v>
      </c>
      <c r="V423" s="3285" t="s">
        <v>2125</v>
      </c>
      <c r="W423" s="3284"/>
      <c r="X423" s="3283"/>
      <c r="Y423" s="3282"/>
      <c r="Z423" s="3282"/>
      <c r="AA423" s="3282"/>
      <c r="AB423" s="3281"/>
      <c r="AC423" s="3332"/>
      <c r="AD423" s="3332"/>
      <c r="AE423" s="3332"/>
      <c r="AF423" s="3332"/>
      <c r="AI423" s="3120" t="str">
        <f>"2A:shoguukaizen_code:"&amp;IF(I423="■",1,IF(L423="■",7,IF(O423="■",8,IF(R423="■",9,IF(U423="■","A",0)))))</f>
        <v>2A:shoguukaizen_code:0</v>
      </c>
    </row>
    <row r="424" spans="1:36" s="3120" customFormat="1" ht="18.75" customHeight="1" x14ac:dyDescent="0.2">
      <c r="A424" s="3388"/>
      <c r="B424" s="3387"/>
      <c r="C424" s="3229"/>
      <c r="D424" s="3228"/>
      <c r="E424" s="3183"/>
      <c r="F424" s="3228"/>
      <c r="G424" s="3185"/>
      <c r="H424" s="3265" t="s">
        <v>1286</v>
      </c>
      <c r="I424" s="3253" t="s">
        <v>116</v>
      </c>
      <c r="J424" s="3252" t="s">
        <v>1282</v>
      </c>
      <c r="K424" s="3311"/>
      <c r="L424" s="3386"/>
      <c r="M424" s="3310" t="s">
        <v>116</v>
      </c>
      <c r="N424" s="3252" t="s">
        <v>1289</v>
      </c>
      <c r="O424" s="3309"/>
      <c r="P424" s="3309"/>
      <c r="Q424" s="3310" t="s">
        <v>116</v>
      </c>
      <c r="R424" s="3252" t="s">
        <v>1290</v>
      </c>
      <c r="S424" s="3309"/>
      <c r="T424" s="3309"/>
      <c r="U424" s="3310" t="s">
        <v>116</v>
      </c>
      <c r="V424" s="3252" t="s">
        <v>1291</v>
      </c>
      <c r="W424" s="3309"/>
      <c r="X424" s="3266"/>
      <c r="Y424" s="3310" t="s">
        <v>116</v>
      </c>
      <c r="Z424" s="3252" t="s">
        <v>1225</v>
      </c>
      <c r="AA424" s="3252"/>
      <c r="AB424" s="3308"/>
      <c r="AC424" s="3338"/>
      <c r="AD424" s="3338"/>
      <c r="AE424" s="3338"/>
      <c r="AF424" s="3338"/>
      <c r="AG424" s="3120" t="str">
        <f>"ser_code = '" &amp; IF(A436="■","2A","") &amp; "'"</f>
        <v>ser_code = ''</v>
      </c>
      <c r="AH424" s="3120" t="str">
        <f>"2A:jininkbn_code:"&amp;IF(F435="■",1,IF(F436="■",2,IF(F437="■",3,0)))</f>
        <v>2A:jininkbn_code:0</v>
      </c>
      <c r="AI424" s="3120" t="str">
        <f>"2A:yakan_kinmu_code:" &amp; IF(I424="■",1,IF(M424="■",2,IF(Q424="■",3,IF(U424="■",7,IF(I425="■",5,IF(M425="■",6,0))))))</f>
        <v>2A:yakan_kinmu_code:0</v>
      </c>
      <c r="AJ424" s="3120" t="str">
        <f>"2A:field203:" &amp; IF(Y424="■",1,IF(Y425="■",2,0))</f>
        <v>2A:field203:0</v>
      </c>
    </row>
    <row r="425" spans="1:36" s="3120" customFormat="1" ht="18.75" customHeight="1" x14ac:dyDescent="0.2">
      <c r="A425" s="3384"/>
      <c r="B425" s="3383"/>
      <c r="C425" s="3147"/>
      <c r="D425" s="3146"/>
      <c r="E425" s="3175"/>
      <c r="F425" s="3146"/>
      <c r="G425" s="3145"/>
      <c r="H425" s="3300"/>
      <c r="I425" s="3141" t="s">
        <v>116</v>
      </c>
      <c r="J425" s="3139" t="s">
        <v>1292</v>
      </c>
      <c r="K425" s="3138"/>
      <c r="L425" s="3385"/>
      <c r="M425" s="3140" t="s">
        <v>116</v>
      </c>
      <c r="N425" s="3139" t="s">
        <v>1283</v>
      </c>
      <c r="O425" s="3162"/>
      <c r="P425" s="3162"/>
      <c r="Q425" s="3162"/>
      <c r="R425" s="3162"/>
      <c r="S425" s="3162"/>
      <c r="T425" s="3162"/>
      <c r="U425" s="3162"/>
      <c r="V425" s="3162"/>
      <c r="W425" s="3162"/>
      <c r="X425" s="3161"/>
      <c r="Y425" s="3258" t="s">
        <v>116</v>
      </c>
      <c r="Z425" s="1200" t="s">
        <v>1226</v>
      </c>
      <c r="AA425" s="1201"/>
      <c r="AB425" s="1202"/>
      <c r="AC425" s="3349"/>
      <c r="AD425" s="3349"/>
      <c r="AE425" s="3349"/>
      <c r="AF425" s="3349"/>
      <c r="AG425" s="3120" t="str">
        <f>"2A:sisetukbn_code:"&amp;IF(D436="■","2",0)</f>
        <v>2A:sisetukbn_code:0</v>
      </c>
    </row>
    <row r="426" spans="1:36" s="3120" customFormat="1" ht="18.75" customHeight="1" x14ac:dyDescent="0.2">
      <c r="A426" s="3384"/>
      <c r="B426" s="3383"/>
      <c r="C426" s="3147"/>
      <c r="D426" s="3146"/>
      <c r="E426" s="3175"/>
      <c r="F426" s="3146"/>
      <c r="G426" s="3145"/>
      <c r="H426" s="3304" t="s">
        <v>90</v>
      </c>
      <c r="I426" s="3303" t="s">
        <v>116</v>
      </c>
      <c r="J426" s="3302" t="s">
        <v>1230</v>
      </c>
      <c r="K426" s="3302"/>
      <c r="L426" s="3316"/>
      <c r="M426" s="3301" t="s">
        <v>116</v>
      </c>
      <c r="N426" s="3302" t="s">
        <v>1262</v>
      </c>
      <c r="O426" s="3302"/>
      <c r="P426" s="3316"/>
      <c r="Q426" s="3301" t="s">
        <v>116</v>
      </c>
      <c r="R426" s="3167" t="s">
        <v>1302</v>
      </c>
      <c r="S426" s="3167"/>
      <c r="T426" s="3167"/>
      <c r="U426" s="3209"/>
      <c r="V426" s="3316"/>
      <c r="W426" s="3167"/>
      <c r="X426" s="3208"/>
      <c r="Y426" s="3293"/>
      <c r="Z426" s="1201"/>
      <c r="AA426" s="1201"/>
      <c r="AB426" s="1202"/>
      <c r="AC426" s="3333"/>
      <c r="AD426" s="3333"/>
      <c r="AE426" s="3333"/>
      <c r="AF426" s="3333"/>
      <c r="AI426" s="3120" t="str">
        <f>"2A:"&amp;IF(AND(I426="□",M426="□",Q426="□",I427="□",M427="□"),"ketu_doctor_code:0",IF(I426="■","ketu_doctor_code:1:field197:1:ketu_kangos_code:1:ketu_kshoku_code:1",IF(M426="■","ketu_doctor_code:2","ketu_doctor_code:1")
&amp;IF(Q426="■",":field197:2",":field197:1")
&amp;IF(I427="■",":ketu_kangos_code:2",":ketu_kangos_code:1")
&amp;IF(M427="■",":ketu_kshoku_code:2",":ketu_kshoku_code:1")))</f>
        <v>2A:ketu_doctor_code:0</v>
      </c>
    </row>
    <row r="427" spans="1:36" s="3120" customFormat="1" ht="18.75" customHeight="1" x14ac:dyDescent="0.2">
      <c r="A427" s="3384"/>
      <c r="B427" s="3383"/>
      <c r="C427" s="3147"/>
      <c r="D427" s="3146"/>
      <c r="E427" s="3175"/>
      <c r="F427" s="3146"/>
      <c r="G427" s="3145"/>
      <c r="H427" s="3300"/>
      <c r="I427" s="3141" t="s">
        <v>116</v>
      </c>
      <c r="J427" s="3162" t="s">
        <v>1303</v>
      </c>
      <c r="K427" s="3162"/>
      <c r="L427" s="3162"/>
      <c r="M427" s="3140" t="s">
        <v>116</v>
      </c>
      <c r="N427" s="3162" t="s">
        <v>1304</v>
      </c>
      <c r="O427" s="3385"/>
      <c r="P427" s="3162"/>
      <c r="Q427" s="3162"/>
      <c r="R427" s="3385"/>
      <c r="S427" s="3162"/>
      <c r="T427" s="3162"/>
      <c r="U427" s="3207"/>
      <c r="V427" s="3385"/>
      <c r="W427" s="3162"/>
      <c r="X427" s="3206"/>
      <c r="Y427" s="3293"/>
      <c r="Z427" s="1201"/>
      <c r="AA427" s="1201"/>
      <c r="AB427" s="1202"/>
      <c r="AC427" s="3333"/>
      <c r="AD427" s="3333"/>
      <c r="AE427" s="3333"/>
      <c r="AF427" s="3333"/>
    </row>
    <row r="428" spans="1:36" s="3120" customFormat="1" ht="18.75" customHeight="1" x14ac:dyDescent="0.2">
      <c r="A428" s="834"/>
      <c r="B428" s="3148"/>
      <c r="C428" s="3295"/>
      <c r="D428" s="3294"/>
      <c r="E428" s="3145"/>
      <c r="F428" s="3144"/>
      <c r="G428" s="3175"/>
      <c r="H428" s="3381" t="s">
        <v>1325</v>
      </c>
      <c r="I428" s="3222" t="s">
        <v>116</v>
      </c>
      <c r="J428" s="3217" t="s">
        <v>1228</v>
      </c>
      <c r="K428" s="3221"/>
      <c r="L428" s="3220"/>
      <c r="M428" s="3219" t="s">
        <v>116</v>
      </c>
      <c r="N428" s="3217" t="s">
        <v>1322</v>
      </c>
      <c r="O428" s="3221"/>
      <c r="P428" s="3380"/>
      <c r="Q428" s="3380"/>
      <c r="R428" s="3380"/>
      <c r="S428" s="3380"/>
      <c r="T428" s="3380"/>
      <c r="U428" s="3380"/>
      <c r="V428" s="3380"/>
      <c r="W428" s="3380"/>
      <c r="X428" s="3379"/>
      <c r="Y428" s="3293"/>
      <c r="Z428" s="1201"/>
      <c r="AA428" s="1201"/>
      <c r="AB428" s="1202"/>
      <c r="AC428" s="3333"/>
      <c r="AD428" s="3333"/>
      <c r="AE428" s="3333"/>
      <c r="AF428" s="3333"/>
      <c r="AI428" s="3120" t="str">
        <f>"2A:sintaikousoku_code:" &amp; IF(I428="■",1,IF(M428="■",2,0))</f>
        <v>2A:sintaikousoku_code:0</v>
      </c>
    </row>
    <row r="429" spans="1:36" s="3120" customFormat="1" ht="19.5" customHeight="1" x14ac:dyDescent="0.2">
      <c r="A429" s="834"/>
      <c r="B429" s="3148"/>
      <c r="C429" s="3147"/>
      <c r="D429" s="3146"/>
      <c r="E429" s="3145"/>
      <c r="F429" s="3144"/>
      <c r="G429" s="3175"/>
      <c r="H429" s="3174" t="s">
        <v>1227</v>
      </c>
      <c r="I429" s="3155" t="s">
        <v>116</v>
      </c>
      <c r="J429" s="3137" t="s">
        <v>1228</v>
      </c>
      <c r="K429" s="3171"/>
      <c r="L429" s="3173"/>
      <c r="M429" s="3154" t="s">
        <v>116</v>
      </c>
      <c r="N429" s="3137" t="s">
        <v>1229</v>
      </c>
      <c r="O429" s="3299"/>
      <c r="P429" s="3137"/>
      <c r="Q429" s="3150"/>
      <c r="R429" s="3150"/>
      <c r="S429" s="3150"/>
      <c r="T429" s="3150"/>
      <c r="U429" s="3150"/>
      <c r="V429" s="3150"/>
      <c r="W429" s="3150"/>
      <c r="X429" s="3149"/>
      <c r="Y429" s="1201"/>
      <c r="Z429" s="1201"/>
      <c r="AA429" s="1201"/>
      <c r="AB429" s="1202"/>
      <c r="AC429" s="3333"/>
      <c r="AD429" s="3333"/>
      <c r="AE429" s="3333"/>
      <c r="AF429" s="3333"/>
      <c r="AI429" s="3120" t="str">
        <f>"2A:field223:" &amp; IF(I429="■",1,IF(M429="■",2,0))</f>
        <v>2A:field223:0</v>
      </c>
    </row>
    <row r="430" spans="1:36" s="3120" customFormat="1" ht="19.5" customHeight="1" x14ac:dyDescent="0.2">
      <c r="A430" s="834"/>
      <c r="B430" s="3148"/>
      <c r="C430" s="3147"/>
      <c r="D430" s="3146"/>
      <c r="E430" s="3145"/>
      <c r="F430" s="3144"/>
      <c r="G430" s="3175"/>
      <c r="H430" s="3174" t="s">
        <v>1253</v>
      </c>
      <c r="I430" s="3155" t="s">
        <v>116</v>
      </c>
      <c r="J430" s="3137" t="s">
        <v>1228</v>
      </c>
      <c r="K430" s="3171"/>
      <c r="L430" s="3173"/>
      <c r="M430" s="3154" t="s">
        <v>116</v>
      </c>
      <c r="N430" s="3137" t="s">
        <v>1229</v>
      </c>
      <c r="O430" s="3299"/>
      <c r="P430" s="3137"/>
      <c r="Q430" s="3150"/>
      <c r="R430" s="3150"/>
      <c r="S430" s="3150"/>
      <c r="T430" s="3150"/>
      <c r="U430" s="3150"/>
      <c r="V430" s="3150"/>
      <c r="W430" s="3150"/>
      <c r="X430" s="3149"/>
      <c r="Y430" s="1201"/>
      <c r="Z430" s="1201"/>
      <c r="AA430" s="1201"/>
      <c r="AB430" s="1202"/>
      <c r="AC430" s="3333"/>
      <c r="AD430" s="3333"/>
      <c r="AE430" s="3333"/>
      <c r="AF430" s="3333"/>
      <c r="AI430" s="3120" t="str">
        <f>"2A:field232:" &amp; IF(I430="■",1,IF(M430="■",2,0))</f>
        <v>2A:field232:0</v>
      </c>
    </row>
    <row r="431" spans="1:36" s="1247" customFormat="1" ht="19.5" customHeight="1" x14ac:dyDescent="0.2">
      <c r="A431" s="579"/>
      <c r="B431" s="1250"/>
      <c r="C431" s="581"/>
      <c r="D431" s="1251"/>
      <c r="E431" s="1253"/>
      <c r="F431" s="1249"/>
      <c r="G431" s="583"/>
      <c r="H431" s="3324" t="s">
        <v>2133</v>
      </c>
      <c r="I431" s="3155" t="s">
        <v>116</v>
      </c>
      <c r="J431" s="3320" t="s">
        <v>2131</v>
      </c>
      <c r="K431" s="3323"/>
      <c r="L431" s="3322"/>
      <c r="M431" s="3154" t="s">
        <v>116</v>
      </c>
      <c r="N431" s="3320" t="s">
        <v>2130</v>
      </c>
      <c r="O431" s="3321"/>
      <c r="P431" s="3320"/>
      <c r="Q431" s="3319"/>
      <c r="R431" s="3319"/>
      <c r="S431" s="3319"/>
      <c r="T431" s="3319"/>
      <c r="U431" s="3319"/>
      <c r="V431" s="3319"/>
      <c r="W431" s="3319"/>
      <c r="X431" s="3318"/>
      <c r="Y431" s="1248"/>
      <c r="Z431" s="2"/>
      <c r="AA431" s="584"/>
      <c r="AB431" s="585"/>
      <c r="AC431" s="3333"/>
      <c r="AD431" s="3333"/>
      <c r="AE431" s="3333"/>
      <c r="AF431" s="3333"/>
      <c r="AI431" s="3120" t="str">
        <f>"2A:field242:" &amp; IF(I431="■",1,IF(M431="■",2,0))</f>
        <v>2A:field242:0</v>
      </c>
    </row>
    <row r="432" spans="1:36" s="3120" customFormat="1" ht="18.75" customHeight="1" x14ac:dyDescent="0.2">
      <c r="A432" s="3384"/>
      <c r="B432" s="3383"/>
      <c r="C432" s="3147"/>
      <c r="D432" s="3146"/>
      <c r="E432" s="3175"/>
      <c r="F432" s="3146"/>
      <c r="G432" s="3145"/>
      <c r="H432" s="3151" t="s">
        <v>236</v>
      </c>
      <c r="I432" s="3155" t="s">
        <v>116</v>
      </c>
      <c r="J432" s="3137" t="s">
        <v>1282</v>
      </c>
      <c r="K432" s="3171"/>
      <c r="L432" s="3173"/>
      <c r="M432" s="3154" t="s">
        <v>116</v>
      </c>
      <c r="N432" s="3137" t="s">
        <v>1293</v>
      </c>
      <c r="O432" s="3150"/>
      <c r="P432" s="3150"/>
      <c r="Q432" s="3150"/>
      <c r="R432" s="3150"/>
      <c r="S432" s="3150"/>
      <c r="T432" s="3150"/>
      <c r="U432" s="3150"/>
      <c r="V432" s="3150"/>
      <c r="W432" s="3150"/>
      <c r="X432" s="3149"/>
      <c r="Y432" s="3293"/>
      <c r="Z432" s="1201"/>
      <c r="AA432" s="1201"/>
      <c r="AB432" s="1202"/>
      <c r="AC432" s="3333"/>
      <c r="AD432" s="3333"/>
      <c r="AE432" s="3333"/>
      <c r="AF432" s="3333"/>
      <c r="AI432" s="3120" t="str">
        <f>"2A:field190:" &amp; IF(I432="■",1,IF(M432="■",2,0))</f>
        <v>2A:field190:0</v>
      </c>
    </row>
    <row r="433" spans="1:35" s="3120" customFormat="1" ht="18.75" customHeight="1" x14ac:dyDescent="0.2">
      <c r="A433" s="3384"/>
      <c r="B433" s="3383"/>
      <c r="C433" s="3147"/>
      <c r="D433" s="3146"/>
      <c r="E433" s="3175"/>
      <c r="F433" s="3146"/>
      <c r="G433" s="3145"/>
      <c r="H433" s="3151" t="s">
        <v>1305</v>
      </c>
      <c r="I433" s="3155" t="s">
        <v>116</v>
      </c>
      <c r="J433" s="3137" t="s">
        <v>1282</v>
      </c>
      <c r="K433" s="3171"/>
      <c r="L433" s="3173"/>
      <c r="M433" s="3154" t="s">
        <v>116</v>
      </c>
      <c r="N433" s="3137" t="s">
        <v>1293</v>
      </c>
      <c r="O433" s="3150"/>
      <c r="P433" s="3150"/>
      <c r="Q433" s="3150"/>
      <c r="R433" s="3150"/>
      <c r="S433" s="3150"/>
      <c r="T433" s="3150"/>
      <c r="U433" s="3150"/>
      <c r="V433" s="3150"/>
      <c r="W433" s="3150"/>
      <c r="X433" s="3149"/>
      <c r="Y433" s="3293"/>
      <c r="Z433" s="1201"/>
      <c r="AA433" s="1201"/>
      <c r="AB433" s="1202"/>
      <c r="AC433" s="3333"/>
      <c r="AD433" s="3333"/>
      <c r="AE433" s="3333"/>
      <c r="AF433" s="3333"/>
      <c r="AI433" s="3120" t="str">
        <f>"2A:field191:" &amp; IF(I433="■",1,IF(M433="■",2,0))</f>
        <v>2A:field191:0</v>
      </c>
    </row>
    <row r="434" spans="1:35" s="3120" customFormat="1" ht="18.75" customHeight="1" x14ac:dyDescent="0.2">
      <c r="A434" s="3384"/>
      <c r="B434" s="3383"/>
      <c r="C434" s="3147"/>
      <c r="D434" s="3146"/>
      <c r="E434" s="3175"/>
      <c r="F434" s="3146"/>
      <c r="G434" s="3145"/>
      <c r="H434" s="3151" t="s">
        <v>1256</v>
      </c>
      <c r="I434" s="3155" t="s">
        <v>116</v>
      </c>
      <c r="J434" s="3137" t="s">
        <v>1230</v>
      </c>
      <c r="K434" s="3171"/>
      <c r="L434" s="3154" t="s">
        <v>116</v>
      </c>
      <c r="M434" s="3137" t="s">
        <v>1233</v>
      </c>
      <c r="N434" s="3150"/>
      <c r="O434" s="3150"/>
      <c r="P434" s="3150"/>
      <c r="Q434" s="3150"/>
      <c r="R434" s="3150"/>
      <c r="S434" s="3150"/>
      <c r="T434" s="3150"/>
      <c r="U434" s="3150"/>
      <c r="V434" s="3150"/>
      <c r="W434" s="3150"/>
      <c r="X434" s="3149"/>
      <c r="Y434" s="3293"/>
      <c r="Z434" s="1201"/>
      <c r="AA434" s="1201"/>
      <c r="AB434" s="1202"/>
      <c r="AC434" s="3333"/>
      <c r="AD434" s="3333"/>
      <c r="AE434" s="3333"/>
      <c r="AF434" s="3333"/>
      <c r="AI434" s="3120" t="str">
        <f>"2A:jyakuninti_uke_code:" &amp; IF(I434="■",1,IF(L434="■",2,0))</f>
        <v>2A:jyakuninti_uke_code:0</v>
      </c>
    </row>
    <row r="435" spans="1:35" s="3120" customFormat="1" ht="18.75" customHeight="1" x14ac:dyDescent="0.2">
      <c r="A435" s="3384"/>
      <c r="B435" s="3383"/>
      <c r="C435" s="3147"/>
      <c r="D435" s="3146"/>
      <c r="E435" s="3175"/>
      <c r="F435" s="3258" t="s">
        <v>116</v>
      </c>
      <c r="G435" s="3145" t="s">
        <v>1312</v>
      </c>
      <c r="H435" s="3151" t="s">
        <v>1284</v>
      </c>
      <c r="I435" s="3155" t="s">
        <v>116</v>
      </c>
      <c r="J435" s="3137" t="s">
        <v>1240</v>
      </c>
      <c r="K435" s="3171"/>
      <c r="L435" s="3173"/>
      <c r="M435" s="3154" t="s">
        <v>116</v>
      </c>
      <c r="N435" s="3137" t="s">
        <v>1241</v>
      </c>
      <c r="O435" s="3150"/>
      <c r="P435" s="3150"/>
      <c r="Q435" s="3150"/>
      <c r="R435" s="3150"/>
      <c r="S435" s="3150"/>
      <c r="T435" s="3150"/>
      <c r="U435" s="3150"/>
      <c r="V435" s="3150"/>
      <c r="W435" s="3150"/>
      <c r="X435" s="3149"/>
      <c r="Y435" s="3293"/>
      <c r="Z435" s="1201"/>
      <c r="AA435" s="1201"/>
      <c r="AB435" s="1202"/>
      <c r="AC435" s="3333"/>
      <c r="AD435" s="3333"/>
      <c r="AE435" s="3333"/>
      <c r="AF435" s="3333"/>
      <c r="AI435" s="3120" t="str">
        <f>"2A:sougei_code:" &amp; IF(I435="■",1,IF(M435="■",2,0))</f>
        <v>2A:sougei_code:0</v>
      </c>
    </row>
    <row r="436" spans="1:35" s="3120" customFormat="1" ht="19.5" customHeight="1" x14ac:dyDescent="0.2">
      <c r="A436" s="3158" t="s">
        <v>116</v>
      </c>
      <c r="B436" s="3383" t="s">
        <v>571</v>
      </c>
      <c r="C436" s="3147" t="s">
        <v>924</v>
      </c>
      <c r="D436" s="3258" t="s">
        <v>116</v>
      </c>
      <c r="E436" s="3175" t="s">
        <v>1313</v>
      </c>
      <c r="F436" s="3258" t="s">
        <v>116</v>
      </c>
      <c r="G436" s="3145" t="s">
        <v>1314</v>
      </c>
      <c r="H436" s="3174" t="s">
        <v>1236</v>
      </c>
      <c r="I436" s="3155" t="s">
        <v>116</v>
      </c>
      <c r="J436" s="3137" t="s">
        <v>1230</v>
      </c>
      <c r="K436" s="3137"/>
      <c r="L436" s="3154" t="s">
        <v>116</v>
      </c>
      <c r="M436" s="3137" t="s">
        <v>1233</v>
      </c>
      <c r="N436" s="3137"/>
      <c r="O436" s="3150"/>
      <c r="P436" s="3137"/>
      <c r="Q436" s="3150"/>
      <c r="R436" s="3150"/>
      <c r="S436" s="3150"/>
      <c r="T436" s="3150"/>
      <c r="U436" s="3150"/>
      <c r="V436" s="3150"/>
      <c r="W436" s="3150"/>
      <c r="X436" s="3149"/>
      <c r="Y436" s="1201"/>
      <c r="Z436" s="1201"/>
      <c r="AA436" s="1201"/>
      <c r="AB436" s="1202"/>
      <c r="AC436" s="3333"/>
      <c r="AD436" s="3333"/>
      <c r="AE436" s="3333"/>
      <c r="AF436" s="3333"/>
      <c r="AI436" s="3120" t="str">
        <f>"2A:field224:" &amp; IF(I436="■",1,IF(L436="■",2,0))</f>
        <v>2A:field224:0</v>
      </c>
    </row>
    <row r="437" spans="1:35" s="3120" customFormat="1" ht="18.75" customHeight="1" x14ac:dyDescent="0.2">
      <c r="A437" s="3384"/>
      <c r="B437" s="3383"/>
      <c r="C437" s="3147"/>
      <c r="D437" s="3146"/>
      <c r="E437" s="3175"/>
      <c r="F437" s="3258" t="s">
        <v>116</v>
      </c>
      <c r="G437" s="3145" t="s">
        <v>1316</v>
      </c>
      <c r="H437" s="3151" t="s">
        <v>140</v>
      </c>
      <c r="I437" s="3155" t="s">
        <v>116</v>
      </c>
      <c r="J437" s="3137" t="s">
        <v>1230</v>
      </c>
      <c r="K437" s="3171"/>
      <c r="L437" s="3154" t="s">
        <v>116</v>
      </c>
      <c r="M437" s="3137" t="s">
        <v>1233</v>
      </c>
      <c r="N437" s="3150"/>
      <c r="O437" s="3150"/>
      <c r="P437" s="3150"/>
      <c r="Q437" s="3150"/>
      <c r="R437" s="3150"/>
      <c r="S437" s="3150"/>
      <c r="T437" s="3150"/>
      <c r="U437" s="3150"/>
      <c r="V437" s="3150"/>
      <c r="W437" s="3150"/>
      <c r="X437" s="3149"/>
      <c r="Y437" s="3293"/>
      <c r="Z437" s="1201"/>
      <c r="AA437" s="1201"/>
      <c r="AB437" s="1202"/>
      <c r="AC437" s="3333"/>
      <c r="AD437" s="3333"/>
      <c r="AE437" s="3333"/>
      <c r="AF437" s="3333"/>
      <c r="AI437" s="3120" t="str">
        <f>"2A:ryouyoushoku_code:" &amp; IF(I437="■",1,IF(L437="■",2,0))</f>
        <v>2A:ryouyoushoku_code:0</v>
      </c>
    </row>
    <row r="438" spans="1:35" s="3120" customFormat="1" ht="18.75" customHeight="1" x14ac:dyDescent="0.2">
      <c r="A438" s="3384"/>
      <c r="B438" s="3383"/>
      <c r="C438" s="3147"/>
      <c r="D438" s="3146"/>
      <c r="E438" s="3175"/>
      <c r="F438" s="3146"/>
      <c r="G438" s="3145"/>
      <c r="H438" s="3151" t="s">
        <v>1237</v>
      </c>
      <c r="I438" s="3155" t="s">
        <v>116</v>
      </c>
      <c r="J438" s="3137" t="s">
        <v>1230</v>
      </c>
      <c r="K438" s="3137"/>
      <c r="L438" s="3154" t="s">
        <v>116</v>
      </c>
      <c r="M438" s="3137" t="s">
        <v>1231</v>
      </c>
      <c r="N438" s="3137"/>
      <c r="O438" s="3154" t="s">
        <v>116</v>
      </c>
      <c r="P438" s="3137" t="s">
        <v>1232</v>
      </c>
      <c r="Q438" s="3150"/>
      <c r="R438" s="3150"/>
      <c r="S438" s="3150"/>
      <c r="T438" s="3150"/>
      <c r="U438" s="3150"/>
      <c r="V438" s="3150"/>
      <c r="W438" s="3150"/>
      <c r="X438" s="3149"/>
      <c r="Y438" s="3293"/>
      <c r="Z438" s="1201"/>
      <c r="AA438" s="1201"/>
      <c r="AB438" s="1202"/>
      <c r="AC438" s="3333"/>
      <c r="AD438" s="3333"/>
      <c r="AE438" s="3333"/>
      <c r="AF438" s="3333"/>
      <c r="AI438" s="3120" t="str">
        <f>"2A:ninti_senmoncare_code:" &amp; IF(I438="■",1,IF(O438="■",3,IF(L438="■",2,0)))</f>
        <v>2A:ninti_senmoncare_code:0</v>
      </c>
    </row>
    <row r="439" spans="1:35" s="3120" customFormat="1" ht="18.75" customHeight="1" x14ac:dyDescent="0.2">
      <c r="A439" s="3384"/>
      <c r="B439" s="3383"/>
      <c r="C439" s="3147"/>
      <c r="D439" s="3146"/>
      <c r="E439" s="3175"/>
      <c r="F439" s="3146"/>
      <c r="G439" s="3145"/>
      <c r="H439" s="3151" t="s">
        <v>237</v>
      </c>
      <c r="I439" s="3155" t="s">
        <v>116</v>
      </c>
      <c r="J439" s="3137" t="s">
        <v>1230</v>
      </c>
      <c r="K439" s="3137"/>
      <c r="L439" s="3154" t="s">
        <v>116</v>
      </c>
      <c r="M439" s="3137" t="s">
        <v>1231</v>
      </c>
      <c r="N439" s="3137"/>
      <c r="O439" s="3154" t="s">
        <v>116</v>
      </c>
      <c r="P439" s="3137" t="s">
        <v>1232</v>
      </c>
      <c r="Q439" s="3150"/>
      <c r="R439" s="3150"/>
      <c r="S439" s="3150"/>
      <c r="T439" s="3150"/>
      <c r="U439" s="3150"/>
      <c r="V439" s="3150"/>
      <c r="W439" s="3150"/>
      <c r="X439" s="3149"/>
      <c r="Y439" s="3293"/>
      <c r="Z439" s="1201"/>
      <c r="AA439" s="1201"/>
      <c r="AB439" s="1202"/>
      <c r="AC439" s="3333"/>
      <c r="AD439" s="3333"/>
      <c r="AE439" s="3333"/>
      <c r="AF439" s="3333"/>
      <c r="AI439" s="3120" t="str">
        <f>"2A:field164:" &amp; IF(I439="■",1,IF(L439="■",2,IF(O439="■",3,0)))</f>
        <v>2A:field164:0</v>
      </c>
    </row>
    <row r="440" spans="1:35" s="3120" customFormat="1" ht="18.75" customHeight="1" x14ac:dyDescent="0.2">
      <c r="A440" s="3384"/>
      <c r="B440" s="3383"/>
      <c r="C440" s="3147"/>
      <c r="D440" s="3146"/>
      <c r="E440" s="3175"/>
      <c r="F440" s="3146"/>
      <c r="G440" s="3145"/>
      <c r="H440" s="3304" t="s">
        <v>1315</v>
      </c>
      <c r="I440" s="3303" t="s">
        <v>116</v>
      </c>
      <c r="J440" s="3302" t="s">
        <v>1287</v>
      </c>
      <c r="K440" s="3302"/>
      <c r="L440" s="3209"/>
      <c r="M440" s="3209"/>
      <c r="N440" s="3209"/>
      <c r="O440" s="3209"/>
      <c r="P440" s="3301" t="s">
        <v>116</v>
      </c>
      <c r="Q440" s="3302" t="s">
        <v>1288</v>
      </c>
      <c r="R440" s="3209"/>
      <c r="S440" s="3209"/>
      <c r="T440" s="3209"/>
      <c r="U440" s="3209"/>
      <c r="V440" s="3209"/>
      <c r="W440" s="3209"/>
      <c r="X440" s="3208"/>
      <c r="Y440" s="3293"/>
      <c r="Z440" s="1201"/>
      <c r="AA440" s="1201"/>
      <c r="AB440" s="1202"/>
      <c r="AC440" s="3333"/>
      <c r="AD440" s="3333"/>
      <c r="AE440" s="3333"/>
      <c r="AF440" s="3333"/>
      <c r="AI440" s="3120" t="str">
        <f>"2A:" &amp; IF(AND(I440="□",P440="□",I441="□"),"tokusin_jyusho_code:0:tokusin_yakuzai_code:0:shuudan_comu_code:0",IF(I440="■","tokusin_jyusho_code:2","tokusin_jyusho_code:1")
&amp;IF(P440="■",":tokusin_yakuzai_code:2",":tokusin_yakuzai_code:1")
&amp;IF(I441="■",":shuudan_comu_code:2",":shuudan_comu_code:1"))</f>
        <v>2A:tokusin_jyusho_code:0:tokusin_yakuzai_code:0:shuudan_comu_code:0</v>
      </c>
    </row>
    <row r="441" spans="1:35" s="3120" customFormat="1" ht="18.75" customHeight="1" x14ac:dyDescent="0.2">
      <c r="A441" s="3384"/>
      <c r="B441" s="3383"/>
      <c r="C441" s="3147"/>
      <c r="D441" s="3146"/>
      <c r="E441" s="3175"/>
      <c r="F441" s="3146"/>
      <c r="G441" s="3145"/>
      <c r="H441" s="3300"/>
      <c r="I441" s="3141" t="s">
        <v>116</v>
      </c>
      <c r="J441" s="3139" t="s">
        <v>1294</v>
      </c>
      <c r="K441" s="3207"/>
      <c r="L441" s="3207"/>
      <c r="M441" s="3207"/>
      <c r="N441" s="3207"/>
      <c r="O441" s="3207"/>
      <c r="P441" s="3207"/>
      <c r="Q441" s="3162"/>
      <c r="R441" s="3207"/>
      <c r="S441" s="3207"/>
      <c r="T441" s="3207"/>
      <c r="U441" s="3207"/>
      <c r="V441" s="3207"/>
      <c r="W441" s="3207"/>
      <c r="X441" s="3206"/>
      <c r="Y441" s="3293"/>
      <c r="Z441" s="1201"/>
      <c r="AA441" s="1201"/>
      <c r="AB441" s="1202"/>
      <c r="AC441" s="3333"/>
      <c r="AD441" s="3333"/>
      <c r="AE441" s="3333"/>
      <c r="AF441" s="3333"/>
    </row>
    <row r="442" spans="1:35" s="3120" customFormat="1" ht="18.75" customHeight="1" x14ac:dyDescent="0.2">
      <c r="A442" s="3384"/>
      <c r="B442" s="3383"/>
      <c r="C442" s="3147"/>
      <c r="D442" s="3146"/>
      <c r="E442" s="3175"/>
      <c r="F442" s="3146"/>
      <c r="G442" s="3145"/>
      <c r="H442" s="3304" t="s">
        <v>1300</v>
      </c>
      <c r="I442" s="3303" t="s">
        <v>116</v>
      </c>
      <c r="J442" s="3302" t="s">
        <v>1295</v>
      </c>
      <c r="K442" s="3317"/>
      <c r="L442" s="3316"/>
      <c r="M442" s="3301" t="s">
        <v>116</v>
      </c>
      <c r="N442" s="3302" t="s">
        <v>1296</v>
      </c>
      <c r="O442" s="3209"/>
      <c r="P442" s="3209"/>
      <c r="Q442" s="3301" t="s">
        <v>116</v>
      </c>
      <c r="R442" s="3302" t="s">
        <v>1297</v>
      </c>
      <c r="S442" s="3209"/>
      <c r="T442" s="3209"/>
      <c r="U442" s="3209"/>
      <c r="V442" s="3209"/>
      <c r="W442" s="3209"/>
      <c r="X442" s="3208"/>
      <c r="Y442" s="3293"/>
      <c r="Z442" s="1201"/>
      <c r="AA442" s="1201"/>
      <c r="AB442" s="1202"/>
      <c r="AC442" s="3333"/>
      <c r="AD442" s="3333"/>
      <c r="AE442" s="3333"/>
      <c r="AF442" s="3333"/>
      <c r="AI442" s="3120" t="str">
        <f>"2A:"&amp;IF(AND(I442="□",M442="□",Q442="□",I443="□",Q443="□"),"koriha_rryoho1_code:0:koriha_sryoho_code:0:koriha_gengo_code:0:riha_seisin_code:0:koriha_other_code:0",IF(I442="■","koriha_rryoho1_code:2","koriha_rryoho1_code:1")
&amp;IF(M442="■",":koriha_sryoho_code:2",":koriha_sryoho_code:1")
&amp;IF(Q442="■",":koriha_gengo_code:2",":koriha_gengo_code:1")
&amp;IF(I443="■",":riha_seisin_code:2",":riha_seisin_code:1")
&amp;IF(Q443="■",":koriha_other_code:2",":koriha_other_code:1"))</f>
        <v>2A:koriha_rryoho1_code:0:koriha_sryoho_code:0:koriha_gengo_code:0:riha_seisin_code:0:koriha_other_code:0</v>
      </c>
    </row>
    <row r="443" spans="1:35" s="3120" customFormat="1" ht="18.75" customHeight="1" x14ac:dyDescent="0.2">
      <c r="A443" s="3384"/>
      <c r="B443" s="3383"/>
      <c r="C443" s="3147"/>
      <c r="D443" s="3146"/>
      <c r="E443" s="3175"/>
      <c r="F443" s="3146"/>
      <c r="G443" s="3145"/>
      <c r="H443" s="3300"/>
      <c r="I443" s="3141" t="s">
        <v>116</v>
      </c>
      <c r="J443" s="3139" t="s">
        <v>1298</v>
      </c>
      <c r="K443" s="3207"/>
      <c r="L443" s="3207"/>
      <c r="M443" s="3207"/>
      <c r="N443" s="3207"/>
      <c r="O443" s="3207"/>
      <c r="P443" s="3207"/>
      <c r="Q443" s="3140" t="s">
        <v>116</v>
      </c>
      <c r="R443" s="3139" t="s">
        <v>1299</v>
      </c>
      <c r="S443" s="3162"/>
      <c r="T443" s="3207"/>
      <c r="U443" s="3207"/>
      <c r="V443" s="3207"/>
      <c r="W443" s="3207"/>
      <c r="X443" s="3206"/>
      <c r="Y443" s="3293"/>
      <c r="Z443" s="1201"/>
      <c r="AA443" s="1201"/>
      <c r="AB443" s="1202"/>
      <c r="AC443" s="3333"/>
      <c r="AD443" s="3333"/>
      <c r="AE443" s="3333"/>
      <c r="AF443" s="3333"/>
    </row>
    <row r="444" spans="1:35" s="3120" customFormat="1" ht="18.75" customHeight="1" x14ac:dyDescent="0.2">
      <c r="A444" s="3384"/>
      <c r="B444" s="3383"/>
      <c r="C444" s="3147"/>
      <c r="D444" s="3146"/>
      <c r="E444" s="3175"/>
      <c r="F444" s="3146"/>
      <c r="G444" s="3145"/>
      <c r="H444" s="3296" t="s">
        <v>1285</v>
      </c>
      <c r="I444" s="3155" t="s">
        <v>116</v>
      </c>
      <c r="J444" s="3137" t="s">
        <v>1230</v>
      </c>
      <c r="K444" s="3137"/>
      <c r="L444" s="3154" t="s">
        <v>116</v>
      </c>
      <c r="M444" s="3137" t="s">
        <v>1231</v>
      </c>
      <c r="N444" s="3137"/>
      <c r="O444" s="3154" t="s">
        <v>116</v>
      </c>
      <c r="P444" s="3137" t="s">
        <v>1232</v>
      </c>
      <c r="Q444" s="3150"/>
      <c r="R444" s="3150"/>
      <c r="S444" s="3150"/>
      <c r="T444" s="3150"/>
      <c r="U444" s="3209"/>
      <c r="V444" s="3209"/>
      <c r="W444" s="3209"/>
      <c r="X444" s="3208"/>
      <c r="Y444" s="3293"/>
      <c r="Z444" s="1201"/>
      <c r="AA444" s="1201"/>
      <c r="AB444" s="1202"/>
      <c r="AC444" s="3333"/>
      <c r="AD444" s="3333"/>
      <c r="AE444" s="3333"/>
      <c r="AF444" s="3333"/>
      <c r="AI444" s="3120" t="str">
        <f>"2A:field225:" &amp; IF(I444="■",1,IF(L444="■",2,IF(O444="■",3,0)))</f>
        <v>2A:field225:0</v>
      </c>
    </row>
    <row r="445" spans="1:35" s="3120" customFormat="1" ht="18.75" customHeight="1" x14ac:dyDescent="0.2">
      <c r="A445" s="3384"/>
      <c r="B445" s="3383"/>
      <c r="C445" s="3147"/>
      <c r="D445" s="3146"/>
      <c r="E445" s="3175"/>
      <c r="F445" s="3146"/>
      <c r="G445" s="3145"/>
      <c r="H445" s="3142" t="s">
        <v>238</v>
      </c>
      <c r="I445" s="3155" t="s">
        <v>116</v>
      </c>
      <c r="J445" s="3137" t="s">
        <v>1230</v>
      </c>
      <c r="K445" s="3137"/>
      <c r="L445" s="3154" t="s">
        <v>116</v>
      </c>
      <c r="M445" s="3137" t="s">
        <v>1259</v>
      </c>
      <c r="N445" s="3137"/>
      <c r="O445" s="3154" t="s">
        <v>116</v>
      </c>
      <c r="P445" s="3137" t="s">
        <v>1260</v>
      </c>
      <c r="Q445" s="3153"/>
      <c r="R445" s="3154" t="s">
        <v>116</v>
      </c>
      <c r="S445" s="3137" t="s">
        <v>1261</v>
      </c>
      <c r="T445" s="3153"/>
      <c r="U445" s="3153"/>
      <c r="V445" s="3153"/>
      <c r="W445" s="3153"/>
      <c r="X445" s="3152"/>
      <c r="Y445" s="3293"/>
      <c r="Z445" s="1201"/>
      <c r="AA445" s="1201"/>
      <c r="AB445" s="1202"/>
      <c r="AC445" s="3333"/>
      <c r="AD445" s="3333"/>
      <c r="AE445" s="3333"/>
      <c r="AF445" s="3333"/>
      <c r="AI445" s="3120" t="str">
        <f>"2A:serteikyo_kyoka_code:" &amp; IF(I445="■",1,IF(L445="■",6,IF(O445="■",5,IF(R445="■",7,0))))</f>
        <v>2A:serteikyo_kyoka_code:0</v>
      </c>
    </row>
    <row r="446" spans="1:35" s="3120" customFormat="1" ht="18.75" customHeight="1" x14ac:dyDescent="0.2">
      <c r="A446" s="3384"/>
      <c r="B446" s="3383"/>
      <c r="C446" s="3147"/>
      <c r="D446" s="3146"/>
      <c r="E446" s="3175"/>
      <c r="F446" s="3146"/>
      <c r="G446" s="3145"/>
      <c r="H446" s="3170" t="s">
        <v>2058</v>
      </c>
      <c r="I446" s="3348" t="s">
        <v>116</v>
      </c>
      <c r="J446" s="3347" t="s">
        <v>1230</v>
      </c>
      <c r="K446" s="3347"/>
      <c r="L446" s="3346" t="s">
        <v>116</v>
      </c>
      <c r="M446" s="3347" t="s">
        <v>1233</v>
      </c>
      <c r="N446" s="3347"/>
      <c r="O446" s="3302"/>
      <c r="P446" s="3302"/>
      <c r="Q446" s="3302"/>
      <c r="R446" s="3302"/>
      <c r="S446" s="3302"/>
      <c r="T446" s="3302"/>
      <c r="U446" s="3302"/>
      <c r="V446" s="3302"/>
      <c r="W446" s="3302"/>
      <c r="X446" s="3335"/>
      <c r="Y446" s="3293"/>
      <c r="Z446" s="1201"/>
      <c r="AA446" s="1201"/>
      <c r="AB446" s="1202"/>
      <c r="AC446" s="3333"/>
      <c r="AD446" s="3333"/>
      <c r="AE446" s="3333"/>
      <c r="AF446" s="3333"/>
      <c r="AI446" s="3120" t="str">
        <f>"2A:field221:" &amp; IF(I446="■",1,IF(L446="■",2,0))</f>
        <v>2A:field221:0</v>
      </c>
    </row>
    <row r="447" spans="1:35" s="3120" customFormat="1" ht="18.75" customHeight="1" x14ac:dyDescent="0.2">
      <c r="A447" s="3384"/>
      <c r="B447" s="3383"/>
      <c r="C447" s="3147"/>
      <c r="D447" s="3146"/>
      <c r="E447" s="3175"/>
      <c r="F447" s="3146"/>
      <c r="G447" s="3145"/>
      <c r="H447" s="3165"/>
      <c r="I447" s="3348"/>
      <c r="J447" s="3347"/>
      <c r="K447" s="3347"/>
      <c r="L447" s="3346"/>
      <c r="M447" s="3347"/>
      <c r="N447" s="3347"/>
      <c r="O447" s="3139"/>
      <c r="P447" s="3139"/>
      <c r="Q447" s="3139"/>
      <c r="R447" s="3139"/>
      <c r="S447" s="3139"/>
      <c r="T447" s="3139"/>
      <c r="U447" s="3139"/>
      <c r="V447" s="3139"/>
      <c r="W447" s="3139"/>
      <c r="X447" s="3195"/>
      <c r="Y447" s="3293"/>
      <c r="Z447" s="1201"/>
      <c r="AA447" s="1201"/>
      <c r="AB447" s="1202"/>
      <c r="AC447" s="3333"/>
      <c r="AD447" s="3333"/>
      <c r="AE447" s="3333"/>
      <c r="AF447" s="3333"/>
    </row>
    <row r="448" spans="1:35" s="3120" customFormat="1" ht="18.75" customHeight="1" x14ac:dyDescent="0.2">
      <c r="A448" s="834"/>
      <c r="B448" s="3148"/>
      <c r="C448" s="3147"/>
      <c r="D448" s="3146"/>
      <c r="E448" s="3145"/>
      <c r="F448" s="3144"/>
      <c r="G448" s="3175"/>
      <c r="H448" s="3331" t="s">
        <v>2129</v>
      </c>
      <c r="I448" s="3303" t="s">
        <v>116</v>
      </c>
      <c r="J448" s="3327" t="s">
        <v>1230</v>
      </c>
      <c r="K448" s="3327"/>
      <c r="L448" s="3301" t="s">
        <v>116</v>
      </c>
      <c r="M448" s="3327" t="s">
        <v>2128</v>
      </c>
      <c r="N448" s="3330"/>
      <c r="O448" s="3301" t="s">
        <v>116</v>
      </c>
      <c r="P448" s="3329" t="s">
        <v>2127</v>
      </c>
      <c r="Q448" s="3328"/>
      <c r="R448" s="3301" t="s">
        <v>116</v>
      </c>
      <c r="S448" s="3327" t="s">
        <v>2126</v>
      </c>
      <c r="T448" s="3328"/>
      <c r="U448" s="3301" t="s">
        <v>116</v>
      </c>
      <c r="V448" s="3327" t="s">
        <v>2125</v>
      </c>
      <c r="W448" s="3326"/>
      <c r="X448" s="3325"/>
      <c r="Y448" s="1201"/>
      <c r="Z448" s="1201"/>
      <c r="AA448" s="1201"/>
      <c r="AB448" s="1202"/>
      <c r="AC448" s="3333"/>
      <c r="AD448" s="3333"/>
      <c r="AE448" s="3333"/>
      <c r="AF448" s="3333"/>
      <c r="AI448" s="3120" t="str">
        <f>"2A:shoguukaizen_code:"&amp;IF(I448="■",1,IF(L448="■",7,IF(O448="■",8,IF(R448="■",9,IF(U448="■","A",0)))))</f>
        <v>2A:shoguukaizen_code:0</v>
      </c>
    </row>
    <row r="449" spans="1:36" s="3120" customFormat="1" ht="18.75" customHeight="1" x14ac:dyDescent="0.2">
      <c r="A449" s="3388"/>
      <c r="B449" s="3387"/>
      <c r="C449" s="3229"/>
      <c r="D449" s="3228"/>
      <c r="E449" s="3183"/>
      <c r="F449" s="3228"/>
      <c r="G449" s="3185"/>
      <c r="H449" s="3265" t="s">
        <v>1286</v>
      </c>
      <c r="I449" s="3253" t="s">
        <v>116</v>
      </c>
      <c r="J449" s="3252" t="s">
        <v>1282</v>
      </c>
      <c r="K449" s="3311"/>
      <c r="L449" s="3386"/>
      <c r="M449" s="3310" t="s">
        <v>116</v>
      </c>
      <c r="N449" s="3252" t="s">
        <v>1289</v>
      </c>
      <c r="O449" s="3309"/>
      <c r="P449" s="3309"/>
      <c r="Q449" s="3310" t="s">
        <v>116</v>
      </c>
      <c r="R449" s="3252" t="s">
        <v>1290</v>
      </c>
      <c r="S449" s="3309"/>
      <c r="T449" s="3309"/>
      <c r="U449" s="3310" t="s">
        <v>116</v>
      </c>
      <c r="V449" s="3252" t="s">
        <v>1291</v>
      </c>
      <c r="W449" s="3309"/>
      <c r="X449" s="3266"/>
      <c r="Y449" s="3253" t="s">
        <v>116</v>
      </c>
      <c r="Z449" s="3252" t="s">
        <v>1225</v>
      </c>
      <c r="AA449" s="3252"/>
      <c r="AB449" s="3308"/>
      <c r="AC449" s="3338"/>
      <c r="AD449" s="3338"/>
      <c r="AE449" s="3338"/>
      <c r="AF449" s="3338"/>
      <c r="AG449" s="3120" t="str">
        <f>"ser_code = '" &amp; IF(A458="■","2A","") &amp; "'"</f>
        <v>ser_code = ''</v>
      </c>
      <c r="AH449" s="3120" t="str">
        <f>"2A:jininkbn_code:"&amp;IF(F458="■",1,0)</f>
        <v>2A:jininkbn_code:0</v>
      </c>
      <c r="AI449" s="3120" t="str">
        <f>"2A:yakan_kinmu_code:" &amp; IF(I449="■",1,IF(M449="■",2,IF(Q449="■",3,IF(U449="■",7,IF(I450="■",5,IF(M450="■",6,0))))))</f>
        <v>2A:yakan_kinmu_code:0</v>
      </c>
      <c r="AJ449" s="3120" t="str">
        <f>"2A:field203:" &amp; IF(Y449="■",1,IF(Y450="■",2,0))</f>
        <v>2A:field203:0</v>
      </c>
    </row>
    <row r="450" spans="1:36" s="3120" customFormat="1" ht="18.75" customHeight="1" x14ac:dyDescent="0.2">
      <c r="A450" s="3384"/>
      <c r="B450" s="3383"/>
      <c r="C450" s="3147"/>
      <c r="D450" s="3146"/>
      <c r="E450" s="3175"/>
      <c r="F450" s="3146"/>
      <c r="G450" s="3145"/>
      <c r="H450" s="3300"/>
      <c r="I450" s="3141" t="s">
        <v>116</v>
      </c>
      <c r="J450" s="3139" t="s">
        <v>1292</v>
      </c>
      <c r="K450" s="3138"/>
      <c r="L450" s="3385"/>
      <c r="M450" s="3140" t="s">
        <v>116</v>
      </c>
      <c r="N450" s="3139" t="s">
        <v>1283</v>
      </c>
      <c r="O450" s="3162"/>
      <c r="P450" s="3162"/>
      <c r="Q450" s="3162"/>
      <c r="R450" s="3162"/>
      <c r="S450" s="3162"/>
      <c r="T450" s="3162"/>
      <c r="U450" s="3162"/>
      <c r="V450" s="3162"/>
      <c r="W450" s="3162"/>
      <c r="X450" s="3161"/>
      <c r="Y450" s="3258" t="s">
        <v>116</v>
      </c>
      <c r="Z450" s="1200" t="s">
        <v>1226</v>
      </c>
      <c r="AA450" s="1201"/>
      <c r="AB450" s="1202"/>
      <c r="AC450" s="3349"/>
      <c r="AD450" s="3349"/>
      <c r="AE450" s="3349"/>
      <c r="AF450" s="3349"/>
      <c r="AG450" s="3120" t="str">
        <f>"2A:sisetukbn_code:"&amp;IF(D458="■","3",0)</f>
        <v>2A:sisetukbn_code:0</v>
      </c>
    </row>
    <row r="451" spans="1:36" s="3120" customFormat="1" ht="18.75" customHeight="1" x14ac:dyDescent="0.2">
      <c r="A451" s="3384"/>
      <c r="B451" s="3383"/>
      <c r="C451" s="3147"/>
      <c r="D451" s="3146"/>
      <c r="E451" s="3175"/>
      <c r="F451" s="3146"/>
      <c r="G451" s="3145"/>
      <c r="H451" s="3304" t="s">
        <v>90</v>
      </c>
      <c r="I451" s="3303" t="s">
        <v>116</v>
      </c>
      <c r="J451" s="3302" t="s">
        <v>1230</v>
      </c>
      <c r="K451" s="3302"/>
      <c r="L451" s="3316"/>
      <c r="M451" s="3301" t="s">
        <v>116</v>
      </c>
      <c r="N451" s="3302" t="s">
        <v>1262</v>
      </c>
      <c r="O451" s="3302"/>
      <c r="P451" s="3316"/>
      <c r="Q451" s="3301" t="s">
        <v>116</v>
      </c>
      <c r="R451" s="3167" t="s">
        <v>1302</v>
      </c>
      <c r="S451" s="3167"/>
      <c r="T451" s="3167"/>
      <c r="U451" s="3209"/>
      <c r="V451" s="3316"/>
      <c r="W451" s="3167"/>
      <c r="X451" s="3208"/>
      <c r="Y451" s="3293"/>
      <c r="Z451" s="1201"/>
      <c r="AA451" s="1201"/>
      <c r="AB451" s="1202"/>
      <c r="AC451" s="3333"/>
      <c r="AD451" s="3333"/>
      <c r="AE451" s="3333"/>
      <c r="AF451" s="3333"/>
      <c r="AI451" s="3120" t="str">
        <f>"2A:"&amp;IF(AND(I451="□",M451="□",Q451="□",I452="□",M452="□"),"ketu_doctor_code:0",IF(I451="■","ketu_doctor_code:1:field197:1:ketu_kangos_code:1:ketu_kshoku_code:1",IF(M451="■","ketu_doctor_code:2","ketu_doctor_code:1")
&amp;IF(Q451="■",":field197:2",":field197:1")
&amp;IF(I452="■",":ketu_kangos_code:2",":ketu_kangos_code:1")
&amp;IF(M452="■",":ketu_kshoku_code:2",":ketu_kshoku_code:1")))</f>
        <v>2A:ketu_doctor_code:0</v>
      </c>
    </row>
    <row r="452" spans="1:36" s="3120" customFormat="1" ht="18.75" customHeight="1" x14ac:dyDescent="0.2">
      <c r="A452" s="3384"/>
      <c r="B452" s="3383"/>
      <c r="C452" s="3147"/>
      <c r="D452" s="3146"/>
      <c r="E452" s="3175"/>
      <c r="F452" s="3146"/>
      <c r="G452" s="3145"/>
      <c r="H452" s="3300"/>
      <c r="I452" s="3141" t="s">
        <v>116</v>
      </c>
      <c r="J452" s="3162" t="s">
        <v>1303</v>
      </c>
      <c r="K452" s="3162"/>
      <c r="L452" s="3162"/>
      <c r="M452" s="3140" t="s">
        <v>116</v>
      </c>
      <c r="N452" s="3162" t="s">
        <v>1304</v>
      </c>
      <c r="O452" s="3385"/>
      <c r="P452" s="3162"/>
      <c r="Q452" s="3162"/>
      <c r="R452" s="3385"/>
      <c r="S452" s="3162"/>
      <c r="T452" s="3162"/>
      <c r="U452" s="3207"/>
      <c r="V452" s="3385"/>
      <c r="W452" s="3162"/>
      <c r="X452" s="3206"/>
      <c r="Y452" s="3293"/>
      <c r="Z452" s="1201"/>
      <c r="AA452" s="1201"/>
      <c r="AB452" s="1202"/>
      <c r="AC452" s="3333"/>
      <c r="AD452" s="3333"/>
      <c r="AE452" s="3333"/>
      <c r="AF452" s="3333"/>
    </row>
    <row r="453" spans="1:36" s="3120" customFormat="1" ht="18.75" customHeight="1" x14ac:dyDescent="0.2">
      <c r="A453" s="834"/>
      <c r="B453" s="3148"/>
      <c r="C453" s="3295"/>
      <c r="D453" s="3294"/>
      <c r="E453" s="3145"/>
      <c r="F453" s="3144"/>
      <c r="G453" s="3175"/>
      <c r="H453" s="3381" t="s">
        <v>1325</v>
      </c>
      <c r="I453" s="3222" t="s">
        <v>116</v>
      </c>
      <c r="J453" s="3217" t="s">
        <v>1228</v>
      </c>
      <c r="K453" s="3221"/>
      <c r="L453" s="3220"/>
      <c r="M453" s="3219" t="s">
        <v>116</v>
      </c>
      <c r="N453" s="3217" t="s">
        <v>1322</v>
      </c>
      <c r="O453" s="3221"/>
      <c r="P453" s="3380"/>
      <c r="Q453" s="3380"/>
      <c r="R453" s="3380"/>
      <c r="S453" s="3380"/>
      <c r="T453" s="3380"/>
      <c r="U453" s="3380"/>
      <c r="V453" s="3380"/>
      <c r="W453" s="3380"/>
      <c r="X453" s="3379"/>
      <c r="Y453" s="3293"/>
      <c r="Z453" s="1201"/>
      <c r="AA453" s="1201"/>
      <c r="AB453" s="1202"/>
      <c r="AC453" s="3333"/>
      <c r="AD453" s="3333"/>
      <c r="AE453" s="3333"/>
      <c r="AF453" s="3333"/>
      <c r="AI453" s="3120" t="str">
        <f>"2A:sintaikousoku_code:" &amp; IF(I453="■",1,IF(M453="■",2,0))</f>
        <v>2A:sintaikousoku_code:0</v>
      </c>
    </row>
    <row r="454" spans="1:36" s="3120" customFormat="1" ht="19.5" customHeight="1" x14ac:dyDescent="0.2">
      <c r="A454" s="834"/>
      <c r="B454" s="3148"/>
      <c r="C454" s="3147"/>
      <c r="D454" s="3146"/>
      <c r="E454" s="3145"/>
      <c r="F454" s="3144"/>
      <c r="G454" s="3175"/>
      <c r="H454" s="3174" t="s">
        <v>1227</v>
      </c>
      <c r="I454" s="3155" t="s">
        <v>116</v>
      </c>
      <c r="J454" s="3137" t="s">
        <v>1228</v>
      </c>
      <c r="K454" s="3171"/>
      <c r="L454" s="3173"/>
      <c r="M454" s="3154" t="s">
        <v>116</v>
      </c>
      <c r="N454" s="3137" t="s">
        <v>1229</v>
      </c>
      <c r="O454" s="3299"/>
      <c r="P454" s="3137"/>
      <c r="Q454" s="3150"/>
      <c r="R454" s="3150"/>
      <c r="S454" s="3150"/>
      <c r="T454" s="3150"/>
      <c r="U454" s="3150"/>
      <c r="V454" s="3150"/>
      <c r="W454" s="3150"/>
      <c r="X454" s="3149"/>
      <c r="Y454" s="1201"/>
      <c r="Z454" s="1201"/>
      <c r="AA454" s="1201"/>
      <c r="AB454" s="1202"/>
      <c r="AC454" s="3333"/>
      <c r="AD454" s="3333"/>
      <c r="AE454" s="3333"/>
      <c r="AF454" s="3333"/>
      <c r="AI454" s="3120" t="str">
        <f>"2A:field223:" &amp; IF(I454="■",1,IF(M454="■",2,0))</f>
        <v>2A:field223:0</v>
      </c>
    </row>
    <row r="455" spans="1:36" s="3120" customFormat="1" ht="18.75" customHeight="1" x14ac:dyDescent="0.2">
      <c r="A455" s="3384"/>
      <c r="B455" s="3383"/>
      <c r="C455" s="3147"/>
      <c r="D455" s="3146"/>
      <c r="E455" s="3175"/>
      <c r="F455" s="3146"/>
      <c r="G455" s="3145"/>
      <c r="H455" s="3174" t="s">
        <v>1253</v>
      </c>
      <c r="I455" s="3155" t="s">
        <v>116</v>
      </c>
      <c r="J455" s="3137" t="s">
        <v>1228</v>
      </c>
      <c r="K455" s="3171"/>
      <c r="L455" s="3173"/>
      <c r="M455" s="3154" t="s">
        <v>116</v>
      </c>
      <c r="N455" s="3137" t="s">
        <v>1229</v>
      </c>
      <c r="O455" s="3299"/>
      <c r="P455" s="3137"/>
      <c r="Q455" s="3150"/>
      <c r="R455" s="3150"/>
      <c r="S455" s="3150"/>
      <c r="T455" s="3150"/>
      <c r="U455" s="3150"/>
      <c r="V455" s="3150"/>
      <c r="W455" s="3150"/>
      <c r="X455" s="3149"/>
      <c r="Y455" s="1201"/>
      <c r="Z455" s="1201"/>
      <c r="AA455" s="1201"/>
      <c r="AB455" s="1202"/>
      <c r="AC455" s="3333"/>
      <c r="AD455" s="3333"/>
      <c r="AE455" s="3333"/>
      <c r="AF455" s="3333"/>
      <c r="AI455" s="3120" t="str">
        <f>"2A:field232:" &amp; IF(I455="■",1,IF(M455="■",2,0))</f>
        <v>2A:field232:0</v>
      </c>
    </row>
    <row r="456" spans="1:36" s="3120" customFormat="1" ht="18.75" customHeight="1" x14ac:dyDescent="0.2">
      <c r="A456" s="3384"/>
      <c r="B456" s="3383"/>
      <c r="C456" s="3147"/>
      <c r="D456" s="3146"/>
      <c r="E456" s="3175"/>
      <c r="F456" s="3146"/>
      <c r="G456" s="3145"/>
      <c r="H456" s="3151" t="s">
        <v>236</v>
      </c>
      <c r="I456" s="3155" t="s">
        <v>116</v>
      </c>
      <c r="J456" s="3137" t="s">
        <v>1282</v>
      </c>
      <c r="K456" s="3171"/>
      <c r="L456" s="3173"/>
      <c r="M456" s="3154" t="s">
        <v>116</v>
      </c>
      <c r="N456" s="3137" t="s">
        <v>1293</v>
      </c>
      <c r="O456" s="3150"/>
      <c r="P456" s="3150"/>
      <c r="Q456" s="3150"/>
      <c r="R456" s="3150"/>
      <c r="S456" s="3150"/>
      <c r="T456" s="3150"/>
      <c r="U456" s="3150"/>
      <c r="V456" s="3150"/>
      <c r="W456" s="3150"/>
      <c r="X456" s="3149"/>
      <c r="Y456" s="3293"/>
      <c r="Z456" s="1201"/>
      <c r="AA456" s="1201"/>
      <c r="AB456" s="1202"/>
      <c r="AC456" s="3333"/>
      <c r="AD456" s="3333"/>
      <c r="AE456" s="3333"/>
      <c r="AF456" s="3333"/>
      <c r="AI456" s="3120" t="str">
        <f>"2A:field190:" &amp; IF(I456="■",1,IF(M456="■",2,0))</f>
        <v>2A:field190:0</v>
      </c>
    </row>
    <row r="457" spans="1:36" s="3120" customFormat="1" ht="18.75" customHeight="1" x14ac:dyDescent="0.2">
      <c r="A457" s="3384"/>
      <c r="B457" s="3383"/>
      <c r="C457" s="3147"/>
      <c r="D457" s="3146"/>
      <c r="E457" s="3175"/>
      <c r="F457" s="3146"/>
      <c r="G457" s="3145"/>
      <c r="H457" s="3151" t="s">
        <v>1305</v>
      </c>
      <c r="I457" s="3155" t="s">
        <v>116</v>
      </c>
      <c r="J457" s="3137" t="s">
        <v>1282</v>
      </c>
      <c r="K457" s="3171"/>
      <c r="L457" s="3173"/>
      <c r="M457" s="3154" t="s">
        <v>116</v>
      </c>
      <c r="N457" s="3137" t="s">
        <v>1293</v>
      </c>
      <c r="O457" s="3150"/>
      <c r="P457" s="3150"/>
      <c r="Q457" s="3150"/>
      <c r="R457" s="3150"/>
      <c r="S457" s="3150"/>
      <c r="T457" s="3150"/>
      <c r="U457" s="3150"/>
      <c r="V457" s="3150"/>
      <c r="W457" s="3150"/>
      <c r="X457" s="3149"/>
      <c r="Y457" s="3293"/>
      <c r="Z457" s="1201"/>
      <c r="AA457" s="1201"/>
      <c r="AB457" s="1202"/>
      <c r="AC457" s="3333"/>
      <c r="AD457" s="3333"/>
      <c r="AE457" s="3333"/>
      <c r="AF457" s="3333"/>
      <c r="AI457" s="3120" t="str">
        <f>"2A:field191:" &amp; IF(I457="■",1,IF(M457="■",2,0))</f>
        <v>2A:field191:0</v>
      </c>
    </row>
    <row r="458" spans="1:36" s="3120" customFormat="1" ht="18.75" customHeight="1" x14ac:dyDescent="0.2">
      <c r="A458" s="3158" t="s">
        <v>116</v>
      </c>
      <c r="B458" s="3383" t="s">
        <v>571</v>
      </c>
      <c r="C458" s="3147" t="s">
        <v>924</v>
      </c>
      <c r="D458" s="3258" t="s">
        <v>116</v>
      </c>
      <c r="E458" s="3175" t="s">
        <v>1317</v>
      </c>
      <c r="F458" s="3258" t="s">
        <v>116</v>
      </c>
      <c r="G458" s="3145" t="s">
        <v>1318</v>
      </c>
      <c r="H458" s="3151" t="s">
        <v>1256</v>
      </c>
      <c r="I458" s="3155" t="s">
        <v>116</v>
      </c>
      <c r="J458" s="3137" t="s">
        <v>1230</v>
      </c>
      <c r="K458" s="3171"/>
      <c r="L458" s="3154" t="s">
        <v>116</v>
      </c>
      <c r="M458" s="3137" t="s">
        <v>1233</v>
      </c>
      <c r="N458" s="3150"/>
      <c r="O458" s="3150"/>
      <c r="P458" s="3150"/>
      <c r="Q458" s="3150"/>
      <c r="R458" s="3150"/>
      <c r="S458" s="3150"/>
      <c r="T458" s="3150"/>
      <c r="U458" s="3150"/>
      <c r="V458" s="3150"/>
      <c r="W458" s="3150"/>
      <c r="X458" s="3149"/>
      <c r="Y458" s="3293"/>
      <c r="Z458" s="1201"/>
      <c r="AA458" s="1201"/>
      <c r="AB458" s="1202"/>
      <c r="AC458" s="3333"/>
      <c r="AD458" s="3333"/>
      <c r="AE458" s="3333"/>
      <c r="AF458" s="3333"/>
      <c r="AI458" s="3120" t="str">
        <f>"2A:jyakuninti_uke_code:" &amp; IF(I458="■",1,IF(L458="■",2,0))</f>
        <v>2A:jyakuninti_uke_code:0</v>
      </c>
    </row>
    <row r="459" spans="1:36" s="3120" customFormat="1" ht="18.75" customHeight="1" x14ac:dyDescent="0.2">
      <c r="A459" s="3384"/>
      <c r="B459" s="3383"/>
      <c r="C459" s="3147"/>
      <c r="D459" s="3146"/>
      <c r="E459" s="3175"/>
      <c r="F459" s="3146"/>
      <c r="G459" s="3145"/>
      <c r="H459" s="3151" t="s">
        <v>1284</v>
      </c>
      <c r="I459" s="3155" t="s">
        <v>116</v>
      </c>
      <c r="J459" s="3137" t="s">
        <v>1240</v>
      </c>
      <c r="K459" s="3171"/>
      <c r="L459" s="3173"/>
      <c r="M459" s="3154" t="s">
        <v>116</v>
      </c>
      <c r="N459" s="3137" t="s">
        <v>1241</v>
      </c>
      <c r="O459" s="3150"/>
      <c r="P459" s="3150"/>
      <c r="Q459" s="3150"/>
      <c r="R459" s="3150"/>
      <c r="S459" s="3150"/>
      <c r="T459" s="3150"/>
      <c r="U459" s="3150"/>
      <c r="V459" s="3150"/>
      <c r="W459" s="3150"/>
      <c r="X459" s="3149"/>
      <c r="Y459" s="3293"/>
      <c r="Z459" s="1201"/>
      <c r="AA459" s="1201"/>
      <c r="AB459" s="1202"/>
      <c r="AC459" s="3333"/>
      <c r="AD459" s="3333"/>
      <c r="AE459" s="3333"/>
      <c r="AF459" s="3333"/>
      <c r="AI459" s="3120" t="str">
        <f>"2A:sougei_code:" &amp; IF(I459="■",1,IF(M459="■",2,0))</f>
        <v>2A:sougei_code:0</v>
      </c>
    </row>
    <row r="460" spans="1:36" s="3120" customFormat="1" ht="19.5" customHeight="1" x14ac:dyDescent="0.2">
      <c r="A460" s="3384"/>
      <c r="B460" s="3383"/>
      <c r="C460" s="3147"/>
      <c r="D460" s="3146"/>
      <c r="E460" s="3175"/>
      <c r="F460" s="3146"/>
      <c r="G460" s="3145"/>
      <c r="H460" s="3174" t="s">
        <v>1236</v>
      </c>
      <c r="I460" s="3155" t="s">
        <v>116</v>
      </c>
      <c r="J460" s="3137" t="s">
        <v>1230</v>
      </c>
      <c r="K460" s="3137"/>
      <c r="L460" s="3154" t="s">
        <v>116</v>
      </c>
      <c r="M460" s="3137" t="s">
        <v>1233</v>
      </c>
      <c r="N460" s="3137"/>
      <c r="O460" s="3150"/>
      <c r="P460" s="3137"/>
      <c r="Q460" s="3150"/>
      <c r="R460" s="3150"/>
      <c r="S460" s="3150"/>
      <c r="T460" s="3150"/>
      <c r="U460" s="3150"/>
      <c r="V460" s="3150"/>
      <c r="W460" s="3150"/>
      <c r="X460" s="3149"/>
      <c r="Y460" s="1201"/>
      <c r="Z460" s="1201"/>
      <c r="AA460" s="1201"/>
      <c r="AB460" s="1202"/>
      <c r="AC460" s="3333"/>
      <c r="AD460" s="3333"/>
      <c r="AE460" s="3333"/>
      <c r="AF460" s="3333"/>
      <c r="AI460" s="3120" t="str">
        <f>"2A:field224:" &amp; IF(I460="■",1,IF(L460="■",2,0))</f>
        <v>2A:field224:0</v>
      </c>
    </row>
    <row r="461" spans="1:36" s="3120" customFormat="1" ht="18.75" customHeight="1" x14ac:dyDescent="0.2">
      <c r="A461" s="3384"/>
      <c r="B461" s="3383"/>
      <c r="C461" s="3147"/>
      <c r="D461" s="3146"/>
      <c r="E461" s="3175"/>
      <c r="F461" s="3146"/>
      <c r="G461" s="3145"/>
      <c r="H461" s="3151" t="s">
        <v>140</v>
      </c>
      <c r="I461" s="3155" t="s">
        <v>116</v>
      </c>
      <c r="J461" s="3137" t="s">
        <v>1230</v>
      </c>
      <c r="K461" s="3171"/>
      <c r="L461" s="3154" t="s">
        <v>116</v>
      </c>
      <c r="M461" s="3137" t="s">
        <v>1233</v>
      </c>
      <c r="N461" s="3150"/>
      <c r="O461" s="3150"/>
      <c r="P461" s="3150"/>
      <c r="Q461" s="3150"/>
      <c r="R461" s="3150"/>
      <c r="S461" s="3150"/>
      <c r="T461" s="3150"/>
      <c r="U461" s="3150"/>
      <c r="V461" s="3150"/>
      <c r="W461" s="3150"/>
      <c r="X461" s="3149"/>
      <c r="Y461" s="3293"/>
      <c r="Z461" s="1201"/>
      <c r="AA461" s="1201"/>
      <c r="AB461" s="1202"/>
      <c r="AC461" s="3333"/>
      <c r="AD461" s="3333"/>
      <c r="AE461" s="3333"/>
      <c r="AF461" s="3333"/>
      <c r="AI461" s="3120" t="str">
        <f>"2A:ryouyoushoku_code:" &amp; IF(I461="■",1,IF(L461="■",2,0))</f>
        <v>2A:ryouyoushoku_code:0</v>
      </c>
    </row>
    <row r="462" spans="1:36" s="3120" customFormat="1" ht="18.75" customHeight="1" x14ac:dyDescent="0.2">
      <c r="A462" s="3384"/>
      <c r="B462" s="3383"/>
      <c r="C462" s="3147"/>
      <c r="D462" s="3146"/>
      <c r="E462" s="3175"/>
      <c r="F462" s="3146"/>
      <c r="G462" s="3145"/>
      <c r="H462" s="3151" t="s">
        <v>1237</v>
      </c>
      <c r="I462" s="3155" t="s">
        <v>116</v>
      </c>
      <c r="J462" s="3137" t="s">
        <v>1230</v>
      </c>
      <c r="K462" s="3137"/>
      <c r="L462" s="3154" t="s">
        <v>116</v>
      </c>
      <c r="M462" s="3137" t="s">
        <v>1231</v>
      </c>
      <c r="N462" s="3137"/>
      <c r="O462" s="3154" t="s">
        <v>116</v>
      </c>
      <c r="P462" s="3137" t="s">
        <v>1232</v>
      </c>
      <c r="Q462" s="3150"/>
      <c r="R462" s="3150"/>
      <c r="S462" s="3150"/>
      <c r="T462" s="3150"/>
      <c r="U462" s="3150"/>
      <c r="V462" s="3150"/>
      <c r="W462" s="3150"/>
      <c r="X462" s="3149"/>
      <c r="Y462" s="3293"/>
      <c r="Z462" s="1201"/>
      <c r="AA462" s="1201"/>
      <c r="AB462" s="1202"/>
      <c r="AC462" s="3333"/>
      <c r="AD462" s="3333"/>
      <c r="AE462" s="3333"/>
      <c r="AF462" s="3333"/>
      <c r="AI462" s="3120" t="str">
        <f>"2A:ninti_senmoncare_code:" &amp; IF(I462="■",1,IF(O462="■",3,IF(L462="■",2,0)))</f>
        <v>2A:ninti_senmoncare_code:0</v>
      </c>
    </row>
    <row r="463" spans="1:36" s="3120" customFormat="1" ht="18.75" customHeight="1" x14ac:dyDescent="0.2">
      <c r="A463" s="3384"/>
      <c r="B463" s="3383"/>
      <c r="C463" s="3147"/>
      <c r="D463" s="3146"/>
      <c r="E463" s="3175"/>
      <c r="F463" s="3146"/>
      <c r="G463" s="3145"/>
      <c r="H463" s="3151" t="s">
        <v>244</v>
      </c>
      <c r="I463" s="3155" t="s">
        <v>116</v>
      </c>
      <c r="J463" s="3137" t="s">
        <v>1230</v>
      </c>
      <c r="K463" s="3137"/>
      <c r="L463" s="3154" t="s">
        <v>116</v>
      </c>
      <c r="M463" s="3137" t="s">
        <v>1231</v>
      </c>
      <c r="N463" s="3137"/>
      <c r="O463" s="3154" t="s">
        <v>116</v>
      </c>
      <c r="P463" s="3137" t="s">
        <v>1232</v>
      </c>
      <c r="Q463" s="3150"/>
      <c r="R463" s="3150"/>
      <c r="S463" s="3150"/>
      <c r="T463" s="3150"/>
      <c r="U463" s="3150"/>
      <c r="V463" s="3150"/>
      <c r="W463" s="3150"/>
      <c r="X463" s="3149"/>
      <c r="Y463" s="3293"/>
      <c r="Z463" s="1201"/>
      <c r="AA463" s="1201"/>
      <c r="AB463" s="1202"/>
      <c r="AC463" s="3333"/>
      <c r="AD463" s="3333"/>
      <c r="AE463" s="3333"/>
      <c r="AF463" s="3333"/>
      <c r="AI463" s="3120" t="str">
        <f>"2A:field164:" &amp; IF(I463="■",1,IF(L463="■",2,IF(O463="■",3,0)))</f>
        <v>2A:field164:0</v>
      </c>
    </row>
    <row r="464" spans="1:36" s="3120" customFormat="1" ht="18.75" customHeight="1" x14ac:dyDescent="0.2">
      <c r="A464" s="3384"/>
      <c r="B464" s="3383"/>
      <c r="C464" s="3147"/>
      <c r="D464" s="3146"/>
      <c r="E464" s="3175"/>
      <c r="F464" s="3146"/>
      <c r="G464" s="3145"/>
      <c r="H464" s="3296" t="s">
        <v>1285</v>
      </c>
      <c r="I464" s="3155" t="s">
        <v>116</v>
      </c>
      <c r="J464" s="3137" t="s">
        <v>1230</v>
      </c>
      <c r="K464" s="3137"/>
      <c r="L464" s="3154" t="s">
        <v>116</v>
      </c>
      <c r="M464" s="3137" t="s">
        <v>1231</v>
      </c>
      <c r="N464" s="3137"/>
      <c r="O464" s="3154" t="s">
        <v>116</v>
      </c>
      <c r="P464" s="3137" t="s">
        <v>1232</v>
      </c>
      <c r="Q464" s="3150"/>
      <c r="R464" s="3150"/>
      <c r="S464" s="3150"/>
      <c r="T464" s="3150"/>
      <c r="U464" s="3209"/>
      <c r="V464" s="3209"/>
      <c r="W464" s="3209"/>
      <c r="X464" s="3208"/>
      <c r="Y464" s="3293"/>
      <c r="Z464" s="1201"/>
      <c r="AA464" s="1201"/>
      <c r="AB464" s="1202"/>
      <c r="AC464" s="3333"/>
      <c r="AD464" s="3333"/>
      <c r="AE464" s="3333"/>
      <c r="AF464" s="3333"/>
      <c r="AI464" s="3120" t="str">
        <f>"2A:field225:" &amp; IF(I464="■",1,IF(L464="■",2,IF(O464="■",3,0)))</f>
        <v>2A:field225:0</v>
      </c>
    </row>
    <row r="465" spans="1:36" s="3120" customFormat="1" ht="18.75" customHeight="1" x14ac:dyDescent="0.2">
      <c r="A465" s="3384"/>
      <c r="B465" s="3383"/>
      <c r="C465" s="3147"/>
      <c r="D465" s="3146"/>
      <c r="E465" s="3175"/>
      <c r="F465" s="3146"/>
      <c r="G465" s="3145"/>
      <c r="H465" s="3142" t="s">
        <v>238</v>
      </c>
      <c r="I465" s="3155" t="s">
        <v>116</v>
      </c>
      <c r="J465" s="3137" t="s">
        <v>1230</v>
      </c>
      <c r="K465" s="3137"/>
      <c r="L465" s="3154" t="s">
        <v>116</v>
      </c>
      <c r="M465" s="3137" t="s">
        <v>1259</v>
      </c>
      <c r="N465" s="3137"/>
      <c r="O465" s="3154" t="s">
        <v>116</v>
      </c>
      <c r="P465" s="3137" t="s">
        <v>1260</v>
      </c>
      <c r="Q465" s="3153"/>
      <c r="R465" s="3154" t="s">
        <v>116</v>
      </c>
      <c r="S465" s="3137" t="s">
        <v>1261</v>
      </c>
      <c r="T465" s="3153"/>
      <c r="U465" s="3153"/>
      <c r="V465" s="3153"/>
      <c r="W465" s="3153"/>
      <c r="X465" s="3152"/>
      <c r="Y465" s="3293"/>
      <c r="Z465" s="1201"/>
      <c r="AA465" s="1201"/>
      <c r="AB465" s="1202"/>
      <c r="AC465" s="3333"/>
      <c r="AD465" s="3333"/>
      <c r="AE465" s="3333"/>
      <c r="AF465" s="3333"/>
      <c r="AI465" s="3120" t="str">
        <f>"2A:serteikyo_kyoka_code:" &amp; IF(I465="■",1,IF(L465="■",6,IF(O465="■",5,IF(R465="■",7,0))))</f>
        <v>2A:serteikyo_kyoka_code:0</v>
      </c>
    </row>
    <row r="466" spans="1:36" s="3120" customFormat="1" ht="18.75" customHeight="1" x14ac:dyDescent="0.2">
      <c r="A466" s="3384"/>
      <c r="B466" s="3383"/>
      <c r="C466" s="3147"/>
      <c r="D466" s="3146"/>
      <c r="E466" s="3175"/>
      <c r="F466" s="3146"/>
      <c r="G466" s="3145"/>
      <c r="H466" s="3170" t="s">
        <v>2058</v>
      </c>
      <c r="I466" s="3348" t="s">
        <v>116</v>
      </c>
      <c r="J466" s="3347" t="s">
        <v>1230</v>
      </c>
      <c r="K466" s="3347"/>
      <c r="L466" s="3346" t="s">
        <v>116</v>
      </c>
      <c r="M466" s="3347" t="s">
        <v>1233</v>
      </c>
      <c r="N466" s="3347"/>
      <c r="O466" s="3302"/>
      <c r="P466" s="3302"/>
      <c r="Q466" s="3302"/>
      <c r="R466" s="3302"/>
      <c r="S466" s="3302"/>
      <c r="T466" s="3302"/>
      <c r="U466" s="3302"/>
      <c r="V466" s="3302"/>
      <c r="W466" s="3302"/>
      <c r="X466" s="3335"/>
      <c r="Y466" s="3293"/>
      <c r="Z466" s="1201"/>
      <c r="AA466" s="1201"/>
      <c r="AB466" s="1202"/>
      <c r="AC466" s="3333"/>
      <c r="AD466" s="3333"/>
      <c r="AE466" s="3333"/>
      <c r="AF466" s="3333"/>
      <c r="AI466" s="3120" t="str">
        <f>"2A:field221:" &amp; IF(I466="■",1,IF(L466="■",2,0))</f>
        <v>2A:field221:0</v>
      </c>
    </row>
    <row r="467" spans="1:36" s="3120" customFormat="1" ht="18.75" customHeight="1" x14ac:dyDescent="0.2">
      <c r="A467" s="3384"/>
      <c r="B467" s="3383"/>
      <c r="C467" s="3147"/>
      <c r="D467" s="3146"/>
      <c r="E467" s="3175"/>
      <c r="F467" s="3146"/>
      <c r="G467" s="3145"/>
      <c r="H467" s="3165"/>
      <c r="I467" s="3348"/>
      <c r="J467" s="3347"/>
      <c r="K467" s="3347"/>
      <c r="L467" s="3346"/>
      <c r="M467" s="3347"/>
      <c r="N467" s="3347"/>
      <c r="O467" s="3139"/>
      <c r="P467" s="3139"/>
      <c r="Q467" s="3139"/>
      <c r="R467" s="3139"/>
      <c r="S467" s="3139"/>
      <c r="T467" s="3139"/>
      <c r="U467" s="3139"/>
      <c r="V467" s="3139"/>
      <c r="W467" s="3139"/>
      <c r="X467" s="3195"/>
      <c r="Y467" s="3293"/>
      <c r="Z467" s="1201"/>
      <c r="AA467" s="1201"/>
      <c r="AB467" s="1202"/>
      <c r="AC467" s="3333"/>
      <c r="AD467" s="3333"/>
      <c r="AE467" s="3333"/>
      <c r="AF467" s="3333"/>
    </row>
    <row r="468" spans="1:36" s="3120" customFormat="1" ht="18.75" customHeight="1" x14ac:dyDescent="0.2">
      <c r="A468" s="835"/>
      <c r="B468" s="3135"/>
      <c r="C468" s="3134"/>
      <c r="D468" s="3133"/>
      <c r="E468" s="3132"/>
      <c r="F468" s="3131"/>
      <c r="G468" s="3189"/>
      <c r="H468" s="3289" t="s">
        <v>2129</v>
      </c>
      <c r="I468" s="3128" t="s">
        <v>116</v>
      </c>
      <c r="J468" s="3285" t="s">
        <v>1230</v>
      </c>
      <c r="K468" s="3285"/>
      <c r="L468" s="3127" t="s">
        <v>116</v>
      </c>
      <c r="M468" s="3285" t="s">
        <v>2128</v>
      </c>
      <c r="N468" s="3288"/>
      <c r="O468" s="3127" t="s">
        <v>116</v>
      </c>
      <c r="P468" s="3287" t="s">
        <v>2127</v>
      </c>
      <c r="Q468" s="3286"/>
      <c r="R468" s="3127" t="s">
        <v>116</v>
      </c>
      <c r="S468" s="3285" t="s">
        <v>2126</v>
      </c>
      <c r="T468" s="3286"/>
      <c r="U468" s="3127" t="s">
        <v>116</v>
      </c>
      <c r="V468" s="3285" t="s">
        <v>2125</v>
      </c>
      <c r="W468" s="3284"/>
      <c r="X468" s="3283"/>
      <c r="Y468" s="3282"/>
      <c r="Z468" s="3282"/>
      <c r="AA468" s="3282"/>
      <c r="AB468" s="3281"/>
      <c r="AC468" s="3332"/>
      <c r="AD468" s="3332"/>
      <c r="AE468" s="3332"/>
      <c r="AF468" s="3332"/>
      <c r="AI468" s="3120" t="str">
        <f>"2A:shoguukaizen_code:"&amp;IF(I468="■",1,IF(L468="■",7,IF(O468="■",8,IF(R468="■",9,IF(U468="■","A",0)))))</f>
        <v>2A:shoguukaizen_code:0</v>
      </c>
    </row>
    <row r="469" spans="1:36" s="3120" customFormat="1" ht="18.75" customHeight="1" x14ac:dyDescent="0.2">
      <c r="A469" s="3388"/>
      <c r="B469" s="3387"/>
      <c r="C469" s="3229"/>
      <c r="D469" s="3228"/>
      <c r="E469" s="3183"/>
      <c r="F469" s="3228"/>
      <c r="G469" s="3185"/>
      <c r="H469" s="3265" t="s">
        <v>1286</v>
      </c>
      <c r="I469" s="3253" t="s">
        <v>116</v>
      </c>
      <c r="J469" s="3252" t="s">
        <v>1282</v>
      </c>
      <c r="K469" s="3311"/>
      <c r="L469" s="3386"/>
      <c r="M469" s="3310" t="s">
        <v>116</v>
      </c>
      <c r="N469" s="3252" t="s">
        <v>1289</v>
      </c>
      <c r="O469" s="3309"/>
      <c r="P469" s="3309"/>
      <c r="Q469" s="3310" t="s">
        <v>116</v>
      </c>
      <c r="R469" s="3252" t="s">
        <v>1290</v>
      </c>
      <c r="S469" s="3309"/>
      <c r="T469" s="3309"/>
      <c r="U469" s="3310" t="s">
        <v>116</v>
      </c>
      <c r="V469" s="3252" t="s">
        <v>1291</v>
      </c>
      <c r="W469" s="3309"/>
      <c r="X469" s="3266"/>
      <c r="Y469" s="3253" t="s">
        <v>116</v>
      </c>
      <c r="Z469" s="3252" t="s">
        <v>1225</v>
      </c>
      <c r="AA469" s="3252"/>
      <c r="AB469" s="3308"/>
      <c r="AC469" s="3338"/>
      <c r="AD469" s="3338"/>
      <c r="AE469" s="3338"/>
      <c r="AF469" s="3338"/>
      <c r="AG469" s="3120" t="str">
        <f>"ser_code = '" &amp; IF(A479="■","2A","") &amp; "'"</f>
        <v>ser_code = ''</v>
      </c>
      <c r="AH469" s="3120" t="str">
        <f>"2A:jininkbn_code:"&amp;IF(F479="■",2,0)</f>
        <v>2A:jininkbn_code:0</v>
      </c>
      <c r="AI469" s="3120" t="str">
        <f>"2A:yakan_kinmu_code:" &amp; IF(I469="■",1,IF(M469="■",2,IF(Q469="■",3,IF(U469="■",7,IF(I470="■",5,IF(M470="■",6,0))))))</f>
        <v>2A:yakan_kinmu_code:0</v>
      </c>
      <c r="AJ469" s="3120" t="str">
        <f>"2A:field203:" &amp; IF(Y469="■",1,IF(Y470="■",2,0))</f>
        <v>2A:field203:0</v>
      </c>
    </row>
    <row r="470" spans="1:36" s="3120" customFormat="1" ht="18.75" customHeight="1" x14ac:dyDescent="0.2">
      <c r="A470" s="3384"/>
      <c r="B470" s="3383"/>
      <c r="C470" s="3147"/>
      <c r="D470" s="3146"/>
      <c r="E470" s="3175"/>
      <c r="F470" s="3146"/>
      <c r="G470" s="3145"/>
      <c r="H470" s="3300"/>
      <c r="I470" s="3141" t="s">
        <v>116</v>
      </c>
      <c r="J470" s="3139" t="s">
        <v>1292</v>
      </c>
      <c r="K470" s="3138"/>
      <c r="L470" s="3385"/>
      <c r="M470" s="3140" t="s">
        <v>116</v>
      </c>
      <c r="N470" s="3139" t="s">
        <v>1283</v>
      </c>
      <c r="O470" s="3162"/>
      <c r="P470" s="3162"/>
      <c r="Q470" s="3162"/>
      <c r="R470" s="3162"/>
      <c r="S470" s="3162"/>
      <c r="T470" s="3162"/>
      <c r="U470" s="3162"/>
      <c r="V470" s="3162"/>
      <c r="W470" s="3162"/>
      <c r="X470" s="3161"/>
      <c r="Y470" s="3258" t="s">
        <v>116</v>
      </c>
      <c r="Z470" s="1200" t="s">
        <v>1226</v>
      </c>
      <c r="AA470" s="1201"/>
      <c r="AB470" s="1202"/>
      <c r="AC470" s="3349"/>
      <c r="AD470" s="3349"/>
      <c r="AE470" s="3349"/>
      <c r="AF470" s="3349"/>
      <c r="AG470" s="3120" t="str">
        <f>"2A:sisetukbn_code:"&amp;IF(D479="■","3",0)</f>
        <v>2A:sisetukbn_code:0</v>
      </c>
    </row>
    <row r="471" spans="1:36" s="3120" customFormat="1" ht="18.75" customHeight="1" x14ac:dyDescent="0.2">
      <c r="A471" s="3384"/>
      <c r="B471" s="3383"/>
      <c r="C471" s="3147"/>
      <c r="D471" s="3146"/>
      <c r="E471" s="3175"/>
      <c r="F471" s="3146"/>
      <c r="G471" s="3145"/>
      <c r="H471" s="3304" t="s">
        <v>90</v>
      </c>
      <c r="I471" s="3303" t="s">
        <v>116</v>
      </c>
      <c r="J471" s="3302" t="s">
        <v>1230</v>
      </c>
      <c r="K471" s="3302"/>
      <c r="L471" s="3316"/>
      <c r="M471" s="3301" t="s">
        <v>116</v>
      </c>
      <c r="N471" s="3302" t="s">
        <v>1262</v>
      </c>
      <c r="O471" s="3302"/>
      <c r="P471" s="3316"/>
      <c r="Q471" s="3301" t="s">
        <v>116</v>
      </c>
      <c r="R471" s="3167" t="s">
        <v>1302</v>
      </c>
      <c r="S471" s="3167"/>
      <c r="T471" s="3167"/>
      <c r="U471" s="3209"/>
      <c r="V471" s="3316"/>
      <c r="W471" s="3167"/>
      <c r="X471" s="3208"/>
      <c r="Y471" s="3293"/>
      <c r="Z471" s="1201"/>
      <c r="AA471" s="1201"/>
      <c r="AB471" s="1202"/>
      <c r="AC471" s="3333"/>
      <c r="AD471" s="3333"/>
      <c r="AE471" s="3333"/>
      <c r="AF471" s="3333"/>
      <c r="AI471" s="3120" t="str">
        <f>"2A:"&amp;IF(AND(I471="□",M471="□",Q471="□",I472="□",M472="□"),"ketu_doctor_code:0",IF(I471="■","ketu_doctor_code:1:field197:1:ketu_kangos_code:1:ketu_kshoku_code:1",IF(M471="■","ketu_doctor_code:2","ketu_doctor_code:1")
&amp;IF(Q471="■",":field197:2",":field197:1")
&amp;IF(I472="■",":ketu_kangos_code:2",":ketu_kangos_code:1")
&amp;IF(M472="■",":ketu_kshoku_code:2",":ketu_kshoku_code:1")))</f>
        <v>2A:ketu_doctor_code:0</v>
      </c>
    </row>
    <row r="472" spans="1:36" s="3120" customFormat="1" ht="18.75" customHeight="1" x14ac:dyDescent="0.2">
      <c r="A472" s="3384"/>
      <c r="B472" s="3383"/>
      <c r="C472" s="3147"/>
      <c r="D472" s="3146"/>
      <c r="E472" s="3175"/>
      <c r="F472" s="3146"/>
      <c r="G472" s="3145"/>
      <c r="H472" s="3300"/>
      <c r="I472" s="3141" t="s">
        <v>116</v>
      </c>
      <c r="J472" s="3162" t="s">
        <v>1303</v>
      </c>
      <c r="K472" s="3162"/>
      <c r="L472" s="3162"/>
      <c r="M472" s="3140" t="s">
        <v>116</v>
      </c>
      <c r="N472" s="3162" t="s">
        <v>1304</v>
      </c>
      <c r="O472" s="3385"/>
      <c r="P472" s="3162"/>
      <c r="Q472" s="3162"/>
      <c r="R472" s="3385"/>
      <c r="S472" s="3162"/>
      <c r="T472" s="3162"/>
      <c r="U472" s="3207"/>
      <c r="V472" s="3385"/>
      <c r="W472" s="3162"/>
      <c r="X472" s="3206"/>
      <c r="Y472" s="3293"/>
      <c r="Z472" s="1201"/>
      <c r="AA472" s="1201"/>
      <c r="AB472" s="1202"/>
      <c r="AC472" s="3333"/>
      <c r="AD472" s="3333"/>
      <c r="AE472" s="3333"/>
      <c r="AF472" s="3333"/>
    </row>
    <row r="473" spans="1:36" s="3120" customFormat="1" ht="18.75" customHeight="1" x14ac:dyDescent="0.2">
      <c r="A473" s="834"/>
      <c r="B473" s="3148"/>
      <c r="C473" s="3295"/>
      <c r="D473" s="3294"/>
      <c r="E473" s="3145"/>
      <c r="F473" s="3144"/>
      <c r="G473" s="3175"/>
      <c r="H473" s="3381" t="s">
        <v>1325</v>
      </c>
      <c r="I473" s="3222" t="s">
        <v>116</v>
      </c>
      <c r="J473" s="3217" t="s">
        <v>1228</v>
      </c>
      <c r="K473" s="3221"/>
      <c r="L473" s="3220"/>
      <c r="M473" s="3219" t="s">
        <v>116</v>
      </c>
      <c r="N473" s="3217" t="s">
        <v>1322</v>
      </c>
      <c r="O473" s="3221"/>
      <c r="P473" s="3380"/>
      <c r="Q473" s="3380"/>
      <c r="R473" s="3380"/>
      <c r="S473" s="3380"/>
      <c r="T473" s="3380"/>
      <c r="U473" s="3380"/>
      <c r="V473" s="3380"/>
      <c r="W473" s="3380"/>
      <c r="X473" s="3379"/>
      <c r="Y473" s="3293"/>
      <c r="Z473" s="1201"/>
      <c r="AA473" s="1201"/>
      <c r="AB473" s="1202"/>
      <c r="AC473" s="3333"/>
      <c r="AD473" s="3333"/>
      <c r="AE473" s="3333"/>
      <c r="AF473" s="3333"/>
      <c r="AI473" s="3120" t="str">
        <f>"2A:sintaikousoku_code:" &amp; IF(I473="■",1,IF(M473="■",2,0))</f>
        <v>2A:sintaikousoku_code:0</v>
      </c>
    </row>
    <row r="474" spans="1:36" s="3120" customFormat="1" ht="19.5" customHeight="1" x14ac:dyDescent="0.2">
      <c r="A474" s="834"/>
      <c r="B474" s="3148"/>
      <c r="C474" s="3147"/>
      <c r="D474" s="3146"/>
      <c r="E474" s="3145"/>
      <c r="F474" s="3144"/>
      <c r="G474" s="3175"/>
      <c r="H474" s="3174" t="s">
        <v>1227</v>
      </c>
      <c r="I474" s="3155" t="s">
        <v>116</v>
      </c>
      <c r="J474" s="3137" t="s">
        <v>1228</v>
      </c>
      <c r="K474" s="3171"/>
      <c r="L474" s="3173"/>
      <c r="M474" s="3154" t="s">
        <v>116</v>
      </c>
      <c r="N474" s="3137" t="s">
        <v>1229</v>
      </c>
      <c r="O474" s="3299"/>
      <c r="P474" s="3137"/>
      <c r="Q474" s="3150"/>
      <c r="R474" s="3150"/>
      <c r="S474" s="3150"/>
      <c r="T474" s="3150"/>
      <c r="U474" s="3150"/>
      <c r="V474" s="3150"/>
      <c r="W474" s="3150"/>
      <c r="X474" s="3149"/>
      <c r="Y474" s="1201"/>
      <c r="Z474" s="1201"/>
      <c r="AA474" s="1201"/>
      <c r="AB474" s="1202"/>
      <c r="AC474" s="3333"/>
      <c r="AD474" s="3333"/>
      <c r="AE474" s="3333"/>
      <c r="AF474" s="3333"/>
      <c r="AI474" s="3120" t="str">
        <f>"2A:field223:" &amp; IF(I474="■",1,IF(M474="■",2,0))</f>
        <v>2A:field223:0</v>
      </c>
    </row>
    <row r="475" spans="1:36" s="3120" customFormat="1" ht="18.75" customHeight="1" x14ac:dyDescent="0.2">
      <c r="A475" s="3384"/>
      <c r="B475" s="3383"/>
      <c r="C475" s="3147"/>
      <c r="D475" s="3146"/>
      <c r="E475" s="3175"/>
      <c r="F475" s="3146"/>
      <c r="G475" s="3145"/>
      <c r="H475" s="3174" t="s">
        <v>1253</v>
      </c>
      <c r="I475" s="3155" t="s">
        <v>116</v>
      </c>
      <c r="J475" s="3137" t="s">
        <v>1228</v>
      </c>
      <c r="K475" s="3171"/>
      <c r="L475" s="3173"/>
      <c r="M475" s="3154" t="s">
        <v>116</v>
      </c>
      <c r="N475" s="3137" t="s">
        <v>1229</v>
      </c>
      <c r="O475" s="3299"/>
      <c r="P475" s="3137"/>
      <c r="Q475" s="3150"/>
      <c r="R475" s="3150"/>
      <c r="S475" s="3150"/>
      <c r="T475" s="3150"/>
      <c r="U475" s="3150"/>
      <c r="V475" s="3150"/>
      <c r="W475" s="3150"/>
      <c r="X475" s="3149"/>
      <c r="Y475" s="1201"/>
      <c r="Z475" s="1201"/>
      <c r="AA475" s="1201"/>
      <c r="AB475" s="1202"/>
      <c r="AC475" s="3333"/>
      <c r="AD475" s="3333"/>
      <c r="AE475" s="3333"/>
      <c r="AF475" s="3333"/>
      <c r="AI475" s="3120" t="str">
        <f>"2A:field232:" &amp; IF(I475="■",1,IF(M475="■",2,0))</f>
        <v>2A:field232:0</v>
      </c>
    </row>
    <row r="476" spans="1:36" s="1247" customFormat="1" ht="19.5" customHeight="1" x14ac:dyDescent="0.2">
      <c r="A476" s="579"/>
      <c r="B476" s="1250"/>
      <c r="C476" s="581"/>
      <c r="D476" s="1251"/>
      <c r="E476" s="1253"/>
      <c r="F476" s="1249"/>
      <c r="G476" s="583"/>
      <c r="H476" s="3324" t="s">
        <v>2133</v>
      </c>
      <c r="I476" s="3155" t="s">
        <v>116</v>
      </c>
      <c r="J476" s="3320" t="s">
        <v>2131</v>
      </c>
      <c r="K476" s="3323"/>
      <c r="L476" s="3322"/>
      <c r="M476" s="3154" t="s">
        <v>116</v>
      </c>
      <c r="N476" s="3320" t="s">
        <v>2130</v>
      </c>
      <c r="O476" s="3321"/>
      <c r="P476" s="3320"/>
      <c r="Q476" s="3319"/>
      <c r="R476" s="3319"/>
      <c r="S476" s="3319"/>
      <c r="T476" s="3319"/>
      <c r="U476" s="3319"/>
      <c r="V476" s="3319"/>
      <c r="W476" s="3319"/>
      <c r="X476" s="3318"/>
      <c r="Y476" s="1248"/>
      <c r="Z476" s="2"/>
      <c r="AA476" s="584"/>
      <c r="AB476" s="585"/>
      <c r="AC476" s="3333"/>
      <c r="AD476" s="3333"/>
      <c r="AE476" s="3333"/>
      <c r="AF476" s="3333"/>
      <c r="AI476" s="3120" t="str">
        <f>"2A:field242:" &amp; IF(I476="■",1,IF(M476="■",2,0))</f>
        <v>2A:field242:0</v>
      </c>
    </row>
    <row r="477" spans="1:36" s="3120" customFormat="1" ht="18.75" customHeight="1" x14ac:dyDescent="0.2">
      <c r="A477" s="3384"/>
      <c r="B477" s="3383"/>
      <c r="C477" s="3147"/>
      <c r="D477" s="3146"/>
      <c r="E477" s="3175"/>
      <c r="F477" s="3146"/>
      <c r="G477" s="3145"/>
      <c r="H477" s="3151" t="s">
        <v>236</v>
      </c>
      <c r="I477" s="3155" t="s">
        <v>116</v>
      </c>
      <c r="J477" s="3137" t="s">
        <v>1282</v>
      </c>
      <c r="K477" s="3171"/>
      <c r="L477" s="3173"/>
      <c r="M477" s="3154" t="s">
        <v>116</v>
      </c>
      <c r="N477" s="3137" t="s">
        <v>1293</v>
      </c>
      <c r="O477" s="3150"/>
      <c r="P477" s="3150"/>
      <c r="Q477" s="3150"/>
      <c r="R477" s="3150"/>
      <c r="S477" s="3150"/>
      <c r="T477" s="3150"/>
      <c r="U477" s="3150"/>
      <c r="V477" s="3150"/>
      <c r="W477" s="3150"/>
      <c r="X477" s="3149"/>
      <c r="Y477" s="3293"/>
      <c r="Z477" s="1201"/>
      <c r="AA477" s="1201"/>
      <c r="AB477" s="1202"/>
      <c r="AC477" s="3333"/>
      <c r="AD477" s="3333"/>
      <c r="AE477" s="3333"/>
      <c r="AF477" s="3333"/>
      <c r="AI477" s="3120" t="str">
        <f>"2A:field190:" &amp; IF(I477="■",1,IF(M477="■",2,0))</f>
        <v>2A:field190:0</v>
      </c>
    </row>
    <row r="478" spans="1:36" s="3120" customFormat="1" ht="18.75" customHeight="1" x14ac:dyDescent="0.2">
      <c r="A478" s="3384"/>
      <c r="B478" s="3383"/>
      <c r="C478" s="3147"/>
      <c r="D478" s="3146"/>
      <c r="E478" s="3175"/>
      <c r="F478" s="3146"/>
      <c r="G478" s="3145"/>
      <c r="H478" s="3151" t="s">
        <v>1305</v>
      </c>
      <c r="I478" s="3155" t="s">
        <v>116</v>
      </c>
      <c r="J478" s="3137" t="s">
        <v>1282</v>
      </c>
      <c r="K478" s="3171"/>
      <c r="L478" s="3173"/>
      <c r="M478" s="3154" t="s">
        <v>116</v>
      </c>
      <c r="N478" s="3137" t="s">
        <v>1293</v>
      </c>
      <c r="O478" s="3150"/>
      <c r="P478" s="3150"/>
      <c r="Q478" s="3150"/>
      <c r="R478" s="3150"/>
      <c r="S478" s="3150"/>
      <c r="T478" s="3150"/>
      <c r="U478" s="3150"/>
      <c r="V478" s="3150"/>
      <c r="W478" s="3150"/>
      <c r="X478" s="3149"/>
      <c r="Y478" s="3293"/>
      <c r="Z478" s="1201"/>
      <c r="AA478" s="1201"/>
      <c r="AB478" s="1202"/>
      <c r="AC478" s="3333"/>
      <c r="AD478" s="3333"/>
      <c r="AE478" s="3333"/>
      <c r="AF478" s="3333"/>
      <c r="AI478" s="3120" t="str">
        <f>"2A:field191:" &amp; IF(I478="■",1,IF(M478="■",2,0))</f>
        <v>2A:field191:0</v>
      </c>
    </row>
    <row r="479" spans="1:36" s="3120" customFormat="1" ht="18.75" customHeight="1" x14ac:dyDescent="0.2">
      <c r="A479" s="3158" t="s">
        <v>116</v>
      </c>
      <c r="B479" s="3383" t="s">
        <v>571</v>
      </c>
      <c r="C479" s="3147" t="s">
        <v>924</v>
      </c>
      <c r="D479" s="3258" t="s">
        <v>116</v>
      </c>
      <c r="E479" s="3175" t="s">
        <v>1317</v>
      </c>
      <c r="F479" s="3258" t="s">
        <v>116</v>
      </c>
      <c r="G479" s="3145" t="s">
        <v>1301</v>
      </c>
      <c r="H479" s="3151" t="s">
        <v>1256</v>
      </c>
      <c r="I479" s="3155" t="s">
        <v>116</v>
      </c>
      <c r="J479" s="3137" t="s">
        <v>1230</v>
      </c>
      <c r="K479" s="3171"/>
      <c r="L479" s="3154" t="s">
        <v>116</v>
      </c>
      <c r="M479" s="3137" t="s">
        <v>1233</v>
      </c>
      <c r="N479" s="3150"/>
      <c r="O479" s="3150"/>
      <c r="P479" s="3150"/>
      <c r="Q479" s="3150"/>
      <c r="R479" s="3150"/>
      <c r="S479" s="3150"/>
      <c r="T479" s="3150"/>
      <c r="U479" s="3150"/>
      <c r="V479" s="3150"/>
      <c r="W479" s="3150"/>
      <c r="X479" s="3149"/>
      <c r="Y479" s="3293"/>
      <c r="Z479" s="1201"/>
      <c r="AA479" s="1201"/>
      <c r="AB479" s="1202"/>
      <c r="AC479" s="3333"/>
      <c r="AD479" s="3333"/>
      <c r="AE479" s="3333"/>
      <c r="AF479" s="3333"/>
      <c r="AI479" s="3120" t="str">
        <f>"2A:jyakuninti_uke_code:" &amp; IF(I479="■",1,IF(L479="■",2,0))</f>
        <v>2A:jyakuninti_uke_code:0</v>
      </c>
    </row>
    <row r="480" spans="1:36" s="3120" customFormat="1" ht="18.75" customHeight="1" x14ac:dyDescent="0.2">
      <c r="A480" s="3384"/>
      <c r="B480" s="3383"/>
      <c r="C480" s="3147"/>
      <c r="D480" s="3146"/>
      <c r="E480" s="3175"/>
      <c r="F480" s="3146"/>
      <c r="G480" s="3145"/>
      <c r="H480" s="3151" t="s">
        <v>1284</v>
      </c>
      <c r="I480" s="3155" t="s">
        <v>116</v>
      </c>
      <c r="J480" s="3137" t="s">
        <v>1240</v>
      </c>
      <c r="K480" s="3171"/>
      <c r="L480" s="3173"/>
      <c r="M480" s="3154" t="s">
        <v>116</v>
      </c>
      <c r="N480" s="3137" t="s">
        <v>1241</v>
      </c>
      <c r="O480" s="3150"/>
      <c r="P480" s="3150"/>
      <c r="Q480" s="3150"/>
      <c r="R480" s="3150"/>
      <c r="S480" s="3150"/>
      <c r="T480" s="3150"/>
      <c r="U480" s="3150"/>
      <c r="V480" s="3150"/>
      <c r="W480" s="3150"/>
      <c r="X480" s="3149"/>
      <c r="Y480" s="3293"/>
      <c r="Z480" s="1201"/>
      <c r="AA480" s="1201"/>
      <c r="AB480" s="1202"/>
      <c r="AC480" s="3333"/>
      <c r="AD480" s="3333"/>
      <c r="AE480" s="3333"/>
      <c r="AF480" s="3333"/>
      <c r="AI480" s="3120" t="str">
        <f>"2A:sougei_code:" &amp; IF(I480="■",1,IF(M480="■",2,0))</f>
        <v>2A:sougei_code:0</v>
      </c>
    </row>
    <row r="481" spans="1:36" s="3120" customFormat="1" ht="19.5" customHeight="1" x14ac:dyDescent="0.2">
      <c r="A481" s="3384"/>
      <c r="B481" s="3383"/>
      <c r="C481" s="3147"/>
      <c r="D481" s="3146"/>
      <c r="E481" s="3175"/>
      <c r="F481" s="3146"/>
      <c r="G481" s="3145"/>
      <c r="H481" s="3174" t="s">
        <v>1236</v>
      </c>
      <c r="I481" s="3155" t="s">
        <v>116</v>
      </c>
      <c r="J481" s="3137" t="s">
        <v>1230</v>
      </c>
      <c r="K481" s="3137"/>
      <c r="L481" s="3154" t="s">
        <v>116</v>
      </c>
      <c r="M481" s="3137" t="s">
        <v>1233</v>
      </c>
      <c r="N481" s="3137"/>
      <c r="O481" s="3150"/>
      <c r="P481" s="3137"/>
      <c r="Q481" s="3150"/>
      <c r="R481" s="3150"/>
      <c r="S481" s="3150"/>
      <c r="T481" s="3150"/>
      <c r="U481" s="3150"/>
      <c r="V481" s="3150"/>
      <c r="W481" s="3150"/>
      <c r="X481" s="3149"/>
      <c r="Y481" s="1201"/>
      <c r="Z481" s="1201"/>
      <c r="AA481" s="1201"/>
      <c r="AB481" s="1202"/>
      <c r="AC481" s="3333"/>
      <c r="AD481" s="3333"/>
      <c r="AE481" s="3333"/>
      <c r="AF481" s="3333"/>
      <c r="AI481" s="3120" t="str">
        <f>"2A:field224:" &amp; IF(I481="■",1,IF(L481="■",2,0))</f>
        <v>2A:field224:0</v>
      </c>
    </row>
    <row r="482" spans="1:36" s="3120" customFormat="1" ht="18.75" customHeight="1" x14ac:dyDescent="0.2">
      <c r="A482" s="3384"/>
      <c r="B482" s="3383"/>
      <c r="C482" s="3147"/>
      <c r="D482" s="3146"/>
      <c r="E482" s="3175"/>
      <c r="F482" s="3146"/>
      <c r="G482" s="3145"/>
      <c r="H482" s="3151" t="s">
        <v>140</v>
      </c>
      <c r="I482" s="3155" t="s">
        <v>116</v>
      </c>
      <c r="J482" s="3137" t="s">
        <v>1230</v>
      </c>
      <c r="K482" s="3171"/>
      <c r="L482" s="3154" t="s">
        <v>116</v>
      </c>
      <c r="M482" s="3137" t="s">
        <v>1233</v>
      </c>
      <c r="N482" s="3150"/>
      <c r="O482" s="3150"/>
      <c r="P482" s="3150"/>
      <c r="Q482" s="3150"/>
      <c r="R482" s="3150"/>
      <c r="S482" s="3150"/>
      <c r="T482" s="3150"/>
      <c r="U482" s="3150"/>
      <c r="V482" s="3150"/>
      <c r="W482" s="3150"/>
      <c r="X482" s="3149"/>
      <c r="Y482" s="3293"/>
      <c r="Z482" s="1201"/>
      <c r="AA482" s="1201"/>
      <c r="AB482" s="1202"/>
      <c r="AC482" s="3333"/>
      <c r="AD482" s="3333"/>
      <c r="AE482" s="3333"/>
      <c r="AF482" s="3333"/>
      <c r="AI482" s="3120" t="str">
        <f>"2A:ryouyoushoku_code:" &amp; IF(I482="■",1,IF(L482="■",2,0))</f>
        <v>2A:ryouyoushoku_code:0</v>
      </c>
    </row>
    <row r="483" spans="1:36" s="3120" customFormat="1" ht="18.75" customHeight="1" x14ac:dyDescent="0.2">
      <c r="A483" s="3384"/>
      <c r="B483" s="3383"/>
      <c r="C483" s="3147"/>
      <c r="D483" s="3146"/>
      <c r="E483" s="3175"/>
      <c r="F483" s="3146"/>
      <c r="G483" s="3145"/>
      <c r="H483" s="3151" t="s">
        <v>1237</v>
      </c>
      <c r="I483" s="3155" t="s">
        <v>116</v>
      </c>
      <c r="J483" s="3137" t="s">
        <v>1230</v>
      </c>
      <c r="K483" s="3137"/>
      <c r="L483" s="3154" t="s">
        <v>116</v>
      </c>
      <c r="M483" s="3137" t="s">
        <v>1231</v>
      </c>
      <c r="N483" s="3137"/>
      <c r="O483" s="3154" t="s">
        <v>116</v>
      </c>
      <c r="P483" s="3137" t="s">
        <v>1232</v>
      </c>
      <c r="Q483" s="3150"/>
      <c r="R483" s="3150"/>
      <c r="S483" s="3150"/>
      <c r="T483" s="3150"/>
      <c r="U483" s="3150"/>
      <c r="V483" s="3150"/>
      <c r="W483" s="3150"/>
      <c r="X483" s="3149"/>
      <c r="Y483" s="3293"/>
      <c r="Z483" s="1201"/>
      <c r="AA483" s="1201"/>
      <c r="AB483" s="1202"/>
      <c r="AC483" s="3333"/>
      <c r="AD483" s="3333"/>
      <c r="AE483" s="3333"/>
      <c r="AF483" s="3333"/>
      <c r="AI483" s="3120" t="str">
        <f>"2A:ninti_senmoncare_code:" &amp; IF(I483="■",1,IF(O483="■",3,IF(L483="■",2,0)))</f>
        <v>2A:ninti_senmoncare_code:0</v>
      </c>
    </row>
    <row r="484" spans="1:36" s="3120" customFormat="1" ht="18.75" customHeight="1" x14ac:dyDescent="0.2">
      <c r="A484" s="3384"/>
      <c r="B484" s="3383"/>
      <c r="C484" s="3147"/>
      <c r="D484" s="3146"/>
      <c r="E484" s="3175"/>
      <c r="F484" s="3146"/>
      <c r="G484" s="3145"/>
      <c r="H484" s="3151" t="s">
        <v>244</v>
      </c>
      <c r="I484" s="3155" t="s">
        <v>116</v>
      </c>
      <c r="J484" s="3137" t="s">
        <v>1230</v>
      </c>
      <c r="K484" s="3137"/>
      <c r="L484" s="3154" t="s">
        <v>116</v>
      </c>
      <c r="M484" s="3137" t="s">
        <v>1231</v>
      </c>
      <c r="N484" s="3137"/>
      <c r="O484" s="3154" t="s">
        <v>116</v>
      </c>
      <c r="P484" s="3137" t="s">
        <v>1232</v>
      </c>
      <c r="Q484" s="3150"/>
      <c r="R484" s="3150"/>
      <c r="S484" s="3150"/>
      <c r="T484" s="3150"/>
      <c r="U484" s="3150"/>
      <c r="V484" s="3150"/>
      <c r="W484" s="3150"/>
      <c r="X484" s="3149"/>
      <c r="Y484" s="3293"/>
      <c r="Z484" s="1201"/>
      <c r="AA484" s="1201"/>
      <c r="AB484" s="1202"/>
      <c r="AC484" s="3333"/>
      <c r="AD484" s="3333"/>
      <c r="AE484" s="3333"/>
      <c r="AF484" s="3333"/>
      <c r="AI484" s="3120" t="str">
        <f>"2A:field164:" &amp; IF(I484="■",1,IF(L484="■",2,IF(O484="■",3,0)))</f>
        <v>2A:field164:0</v>
      </c>
    </row>
    <row r="485" spans="1:36" s="3120" customFormat="1" ht="18.75" customHeight="1" x14ac:dyDescent="0.2">
      <c r="A485" s="3384"/>
      <c r="B485" s="3383"/>
      <c r="C485" s="3147"/>
      <c r="D485" s="3146"/>
      <c r="E485" s="3175"/>
      <c r="F485" s="3146"/>
      <c r="G485" s="3145"/>
      <c r="H485" s="3296" t="s">
        <v>1285</v>
      </c>
      <c r="I485" s="3155" t="s">
        <v>116</v>
      </c>
      <c r="J485" s="3137" t="s">
        <v>1230</v>
      </c>
      <c r="K485" s="3137"/>
      <c r="L485" s="3154" t="s">
        <v>116</v>
      </c>
      <c r="M485" s="3137" t="s">
        <v>1231</v>
      </c>
      <c r="N485" s="3137"/>
      <c r="O485" s="3154" t="s">
        <v>116</v>
      </c>
      <c r="P485" s="3137" t="s">
        <v>1232</v>
      </c>
      <c r="Q485" s="3150"/>
      <c r="R485" s="3150"/>
      <c r="S485" s="3150"/>
      <c r="T485" s="3150"/>
      <c r="U485" s="3209"/>
      <c r="V485" s="3209"/>
      <c r="W485" s="3209"/>
      <c r="X485" s="3208"/>
      <c r="Y485" s="3293"/>
      <c r="Z485" s="1201"/>
      <c r="AA485" s="1201"/>
      <c r="AB485" s="1202"/>
      <c r="AC485" s="3333"/>
      <c r="AD485" s="3333"/>
      <c r="AE485" s="3333"/>
      <c r="AF485" s="3333"/>
      <c r="AI485" s="3120" t="str">
        <f>"2A:field225:" &amp; IF(I485="■",1,IF(L485="■",2,IF(O485="■",3,0)))</f>
        <v>2A:field225:0</v>
      </c>
    </row>
    <row r="486" spans="1:36" s="3120" customFormat="1" ht="18.75" customHeight="1" x14ac:dyDescent="0.2">
      <c r="A486" s="3384"/>
      <c r="B486" s="3383"/>
      <c r="C486" s="3147"/>
      <c r="D486" s="3146"/>
      <c r="E486" s="3175"/>
      <c r="F486" s="3146"/>
      <c r="G486" s="3145"/>
      <c r="H486" s="3142" t="s">
        <v>238</v>
      </c>
      <c r="I486" s="3155" t="s">
        <v>116</v>
      </c>
      <c r="J486" s="3137" t="s">
        <v>1230</v>
      </c>
      <c r="K486" s="3137"/>
      <c r="L486" s="3154" t="s">
        <v>116</v>
      </c>
      <c r="M486" s="3137" t="s">
        <v>1259</v>
      </c>
      <c r="N486" s="3137"/>
      <c r="O486" s="3154" t="s">
        <v>116</v>
      </c>
      <c r="P486" s="3137" t="s">
        <v>1260</v>
      </c>
      <c r="Q486" s="3153"/>
      <c r="R486" s="3154" t="s">
        <v>116</v>
      </c>
      <c r="S486" s="3137" t="s">
        <v>1261</v>
      </c>
      <c r="T486" s="3153"/>
      <c r="U486" s="3153"/>
      <c r="V486" s="3153"/>
      <c r="W486" s="3153"/>
      <c r="X486" s="3152"/>
      <c r="Y486" s="3293"/>
      <c r="Z486" s="1201"/>
      <c r="AA486" s="1201"/>
      <c r="AB486" s="1202"/>
      <c r="AC486" s="3333"/>
      <c r="AD486" s="3333"/>
      <c r="AE486" s="3333"/>
      <c r="AF486" s="3333"/>
      <c r="AI486" s="3120" t="str">
        <f>"2A:serteikyo_kyoka_code:" &amp; IF(I486="■",1,IF(L486="■",6,IF(O486="■",5,IF(R486="■",7,0))))</f>
        <v>2A:serteikyo_kyoka_code:0</v>
      </c>
    </row>
    <row r="487" spans="1:36" s="3120" customFormat="1" ht="18.75" customHeight="1" x14ac:dyDescent="0.2">
      <c r="A487" s="3384"/>
      <c r="B487" s="3383"/>
      <c r="C487" s="3147"/>
      <c r="D487" s="3146"/>
      <c r="E487" s="3175"/>
      <c r="F487" s="3146"/>
      <c r="G487" s="3145"/>
      <c r="H487" s="3170" t="s">
        <v>2058</v>
      </c>
      <c r="I487" s="3348" t="s">
        <v>116</v>
      </c>
      <c r="J487" s="3347" t="s">
        <v>1230</v>
      </c>
      <c r="K487" s="3347"/>
      <c r="L487" s="3346" t="s">
        <v>116</v>
      </c>
      <c r="M487" s="3347" t="s">
        <v>1233</v>
      </c>
      <c r="N487" s="3347"/>
      <c r="O487" s="3302"/>
      <c r="P487" s="3302"/>
      <c r="Q487" s="3302"/>
      <c r="R487" s="3302"/>
      <c r="S487" s="3302"/>
      <c r="T487" s="3302"/>
      <c r="U487" s="3302"/>
      <c r="V487" s="3302"/>
      <c r="W487" s="3302"/>
      <c r="X487" s="3335"/>
      <c r="Y487" s="3293"/>
      <c r="Z487" s="1201"/>
      <c r="AA487" s="1201"/>
      <c r="AB487" s="1202"/>
      <c r="AC487" s="3333"/>
      <c r="AD487" s="3333"/>
      <c r="AE487" s="3333"/>
      <c r="AF487" s="3333"/>
      <c r="AI487" s="3120" t="str">
        <f>"2A:field221:" &amp; IF(I487="■",1,IF(L487="■",2,0))</f>
        <v>2A:field221:0</v>
      </c>
    </row>
    <row r="488" spans="1:36" s="3120" customFormat="1" ht="18.75" customHeight="1" x14ac:dyDescent="0.2">
      <c r="A488" s="3384"/>
      <c r="B488" s="3383"/>
      <c r="C488" s="3147"/>
      <c r="D488" s="3146"/>
      <c r="E488" s="3175"/>
      <c r="F488" s="3146"/>
      <c r="G488" s="3145"/>
      <c r="H488" s="3165"/>
      <c r="I488" s="3348"/>
      <c r="J488" s="3347"/>
      <c r="K488" s="3347"/>
      <c r="L488" s="3346"/>
      <c r="M488" s="3347"/>
      <c r="N488" s="3347"/>
      <c r="O488" s="3139"/>
      <c r="P488" s="3139"/>
      <c r="Q488" s="3139"/>
      <c r="R488" s="3139"/>
      <c r="S488" s="3139"/>
      <c r="T488" s="3139"/>
      <c r="U488" s="3139"/>
      <c r="V488" s="3139"/>
      <c r="W488" s="3139"/>
      <c r="X488" s="3195"/>
      <c r="Y488" s="3293"/>
      <c r="Z488" s="1201"/>
      <c r="AA488" s="1201"/>
      <c r="AB488" s="1202"/>
      <c r="AC488" s="3333"/>
      <c r="AD488" s="3333"/>
      <c r="AE488" s="3333"/>
      <c r="AF488" s="3333"/>
    </row>
    <row r="489" spans="1:36" s="3120" customFormat="1" ht="18.75" customHeight="1" x14ac:dyDescent="0.2">
      <c r="A489" s="834"/>
      <c r="B489" s="3148"/>
      <c r="C489" s="3147"/>
      <c r="D489" s="3146"/>
      <c r="E489" s="3145"/>
      <c r="F489" s="3144"/>
      <c r="G489" s="3175"/>
      <c r="H489" s="3331" t="s">
        <v>2129</v>
      </c>
      <c r="I489" s="3303" t="s">
        <v>116</v>
      </c>
      <c r="J489" s="3327" t="s">
        <v>1230</v>
      </c>
      <c r="K489" s="3327"/>
      <c r="L489" s="3301" t="s">
        <v>116</v>
      </c>
      <c r="M489" s="3327" t="s">
        <v>2128</v>
      </c>
      <c r="N489" s="3330"/>
      <c r="O489" s="3301" t="s">
        <v>116</v>
      </c>
      <c r="P489" s="3329" t="s">
        <v>2127</v>
      </c>
      <c r="Q489" s="3328"/>
      <c r="R489" s="3301" t="s">
        <v>116</v>
      </c>
      <c r="S489" s="3327" t="s">
        <v>2126</v>
      </c>
      <c r="T489" s="3328"/>
      <c r="U489" s="3301" t="s">
        <v>116</v>
      </c>
      <c r="V489" s="3327" t="s">
        <v>2125</v>
      </c>
      <c r="W489" s="3326"/>
      <c r="X489" s="3325"/>
      <c r="Y489" s="1201"/>
      <c r="Z489" s="1201"/>
      <c r="AA489" s="1201"/>
      <c r="AB489" s="1202"/>
      <c r="AC489" s="3333"/>
      <c r="AD489" s="3333"/>
      <c r="AE489" s="3333"/>
      <c r="AF489" s="3333"/>
      <c r="AI489" s="3120" t="str">
        <f>"2A:shoguukaizen_code:"&amp;IF(I489="■",1,IF(L489="■",7,IF(O489="■",8,IF(R489="■",9,IF(U489="■","A",0)))))</f>
        <v>2A:shoguukaizen_code:0</v>
      </c>
    </row>
    <row r="490" spans="1:36" s="3120" customFormat="1" ht="18.75" customHeight="1" x14ac:dyDescent="0.2">
      <c r="A490" s="3388"/>
      <c r="B490" s="3387"/>
      <c r="C490" s="3229"/>
      <c r="D490" s="3228"/>
      <c r="E490" s="3185"/>
      <c r="F490" s="3184"/>
      <c r="G490" s="3185"/>
      <c r="H490" s="3265" t="s">
        <v>1286</v>
      </c>
      <c r="I490" s="3253" t="s">
        <v>116</v>
      </c>
      <c r="J490" s="3252" t="s">
        <v>1282</v>
      </c>
      <c r="K490" s="3311"/>
      <c r="L490" s="3386"/>
      <c r="M490" s="3310" t="s">
        <v>116</v>
      </c>
      <c r="N490" s="3252" t="s">
        <v>1289</v>
      </c>
      <c r="O490" s="3309"/>
      <c r="P490" s="3309"/>
      <c r="Q490" s="3310" t="s">
        <v>116</v>
      </c>
      <c r="R490" s="3252" t="s">
        <v>1290</v>
      </c>
      <c r="S490" s="3309"/>
      <c r="T490" s="3309"/>
      <c r="U490" s="3310" t="s">
        <v>116</v>
      </c>
      <c r="V490" s="3252" t="s">
        <v>1291</v>
      </c>
      <c r="W490" s="3309"/>
      <c r="X490" s="3266"/>
      <c r="Y490" s="3310" t="s">
        <v>116</v>
      </c>
      <c r="Z490" s="3252" t="s">
        <v>1225</v>
      </c>
      <c r="AA490" s="3252"/>
      <c r="AB490" s="3308"/>
      <c r="AC490" s="3338"/>
      <c r="AD490" s="3338"/>
      <c r="AE490" s="3338"/>
      <c r="AF490" s="3338"/>
      <c r="AG490" s="3120" t="str">
        <f>"ser_code = '" &amp; IF(A502="■","2A","") &amp; "'"</f>
        <v>ser_code = ''</v>
      </c>
      <c r="AH490" s="3120" t="str">
        <f>"2A:jininkbn_code:"&amp;IF(F502="■",1,IF(F503="■",2,0))</f>
        <v>2A:jininkbn_code:0</v>
      </c>
      <c r="AI490" s="3120" t="str">
        <f>"2A:yakan_kinmu_code:" &amp; IF(I490="■",1,IF(M490="■",2,IF(Q490="■",3,IF(U490="■",7,IF(I491="■",5,IF(M491="■",6,0))))))</f>
        <v>2A:yakan_kinmu_code:0</v>
      </c>
      <c r="AJ490" s="3120" t="str">
        <f>"2A:field203:" &amp; IF(Y490="■",1,IF(Y491="■",2,0))</f>
        <v>2A:field203:0</v>
      </c>
    </row>
    <row r="491" spans="1:36" s="3120" customFormat="1" ht="18.75" customHeight="1" x14ac:dyDescent="0.2">
      <c r="A491" s="3384"/>
      <c r="B491" s="3383"/>
      <c r="C491" s="3147"/>
      <c r="D491" s="3146"/>
      <c r="E491" s="3145"/>
      <c r="F491" s="3144"/>
      <c r="G491" s="3145"/>
      <c r="H491" s="3300"/>
      <c r="I491" s="3141" t="s">
        <v>116</v>
      </c>
      <c r="J491" s="3139" t="s">
        <v>1292</v>
      </c>
      <c r="K491" s="3138"/>
      <c r="L491" s="3385"/>
      <c r="M491" s="3140" t="s">
        <v>116</v>
      </c>
      <c r="N491" s="3139" t="s">
        <v>1283</v>
      </c>
      <c r="O491" s="3162"/>
      <c r="P491" s="3162"/>
      <c r="Q491" s="3162"/>
      <c r="R491" s="3162"/>
      <c r="S491" s="3162"/>
      <c r="T491" s="3162"/>
      <c r="U491" s="3162"/>
      <c r="V491" s="3162"/>
      <c r="W491" s="3162"/>
      <c r="X491" s="3161"/>
      <c r="Y491" s="3258" t="s">
        <v>116</v>
      </c>
      <c r="Z491" s="1200" t="s">
        <v>1226</v>
      </c>
      <c r="AA491" s="1201"/>
      <c r="AB491" s="1202"/>
      <c r="AC491" s="3349"/>
      <c r="AD491" s="3349"/>
      <c r="AE491" s="3349"/>
      <c r="AF491" s="3349"/>
      <c r="AG491" s="3120" t="str">
        <f>"2A:sisetukbn_code:"&amp;IF(D502="■","4",0)</f>
        <v>2A:sisetukbn_code:0</v>
      </c>
    </row>
    <row r="492" spans="1:36" s="3120" customFormat="1" ht="18.75" customHeight="1" x14ac:dyDescent="0.2">
      <c r="A492" s="3384"/>
      <c r="B492" s="3383"/>
      <c r="C492" s="3147"/>
      <c r="D492" s="3146"/>
      <c r="E492" s="3145"/>
      <c r="F492" s="3144"/>
      <c r="G492" s="3145"/>
      <c r="H492" s="3304" t="s">
        <v>90</v>
      </c>
      <c r="I492" s="3303" t="s">
        <v>116</v>
      </c>
      <c r="J492" s="3302" t="s">
        <v>1230</v>
      </c>
      <c r="K492" s="3302"/>
      <c r="L492" s="3316"/>
      <c r="M492" s="3301" t="s">
        <v>116</v>
      </c>
      <c r="N492" s="3302" t="s">
        <v>1262</v>
      </c>
      <c r="O492" s="3302"/>
      <c r="P492" s="3316"/>
      <c r="Q492" s="3301" t="s">
        <v>116</v>
      </c>
      <c r="R492" s="3167" t="s">
        <v>1302</v>
      </c>
      <c r="S492" s="3167"/>
      <c r="T492" s="3167"/>
      <c r="U492" s="3209"/>
      <c r="V492" s="3316"/>
      <c r="W492" s="3167"/>
      <c r="X492" s="3208"/>
      <c r="Y492" s="3293"/>
      <c r="Z492" s="1201"/>
      <c r="AA492" s="1201"/>
      <c r="AB492" s="1202"/>
      <c r="AC492" s="3333"/>
      <c r="AD492" s="3333"/>
      <c r="AE492" s="3333"/>
      <c r="AF492" s="3333"/>
      <c r="AI492" s="3120" t="str">
        <f>"2A:"&amp;IF(AND(I492="□",M492="□",Q492="□",I493="□",M493="□"),"ketu_doctor_code:0",IF(I492="■","ketu_doctor_code:1:field197:1:ketu_kangos_code:1:ketu_kshoku_code:1",IF(M492="■","ketu_doctor_code:2","ketu_doctor_code:1")
&amp;IF(Q492="■",":field197:2",":field197:1")
&amp;IF(I493="■",":ketu_kangos_code:2",":ketu_kangos_code:1")
&amp;IF(M493="■",":ketu_kshoku_code:2",":ketu_kshoku_code:1")))</f>
        <v>2A:ketu_doctor_code:0</v>
      </c>
    </row>
    <row r="493" spans="1:36" s="3120" customFormat="1" ht="18.75" customHeight="1" x14ac:dyDescent="0.2">
      <c r="A493" s="3384"/>
      <c r="B493" s="3383"/>
      <c r="C493" s="3147"/>
      <c r="D493" s="3146"/>
      <c r="E493" s="3145"/>
      <c r="F493" s="3144"/>
      <c r="G493" s="3145"/>
      <c r="H493" s="3300"/>
      <c r="I493" s="3141" t="s">
        <v>116</v>
      </c>
      <c r="J493" s="3162" t="s">
        <v>1303</v>
      </c>
      <c r="K493" s="3162"/>
      <c r="L493" s="3162"/>
      <c r="M493" s="3140" t="s">
        <v>116</v>
      </c>
      <c r="N493" s="3162" t="s">
        <v>1304</v>
      </c>
      <c r="O493" s="3385"/>
      <c r="P493" s="3162"/>
      <c r="Q493" s="3162"/>
      <c r="R493" s="3385"/>
      <c r="S493" s="3162"/>
      <c r="T493" s="3162"/>
      <c r="U493" s="3207"/>
      <c r="V493" s="3385"/>
      <c r="W493" s="3162"/>
      <c r="X493" s="3206"/>
      <c r="Y493" s="3293"/>
      <c r="Z493" s="1201"/>
      <c r="AA493" s="1201"/>
      <c r="AB493" s="1202"/>
      <c r="AC493" s="3333"/>
      <c r="AD493" s="3333"/>
      <c r="AE493" s="3333"/>
      <c r="AF493" s="3333"/>
    </row>
    <row r="494" spans="1:36" s="3120" customFormat="1" ht="18.75" customHeight="1" x14ac:dyDescent="0.2">
      <c r="A494" s="3384"/>
      <c r="B494" s="3383"/>
      <c r="C494" s="3147"/>
      <c r="D494" s="3146"/>
      <c r="E494" s="3145"/>
      <c r="F494" s="3144"/>
      <c r="G494" s="3145"/>
      <c r="H494" s="3151" t="s">
        <v>91</v>
      </c>
      <c r="I494" s="3155" t="s">
        <v>116</v>
      </c>
      <c r="J494" s="3137" t="s">
        <v>1240</v>
      </c>
      <c r="K494" s="3171"/>
      <c r="L494" s="3173"/>
      <c r="M494" s="3154" t="s">
        <v>116</v>
      </c>
      <c r="N494" s="3137" t="s">
        <v>1241</v>
      </c>
      <c r="O494" s="3150"/>
      <c r="P494" s="3150"/>
      <c r="Q494" s="3150"/>
      <c r="R494" s="3150"/>
      <c r="S494" s="3150"/>
      <c r="T494" s="3150"/>
      <c r="U494" s="3150"/>
      <c r="V494" s="3150"/>
      <c r="W494" s="3150"/>
      <c r="X494" s="3149"/>
      <c r="Y494" s="3293"/>
      <c r="Z494" s="1201"/>
      <c r="AA494" s="1201"/>
      <c r="AB494" s="1202"/>
      <c r="AC494" s="3333"/>
      <c r="AD494" s="3333"/>
      <c r="AE494" s="3333"/>
      <c r="AF494" s="3333"/>
      <c r="AI494" s="3120" t="str">
        <f>"2A:unitcare_code:" &amp; IF(I494="■",1,IF(M494="■",2,0))</f>
        <v>2A:unitcare_code:0</v>
      </c>
    </row>
    <row r="495" spans="1:36" s="3120" customFormat="1" ht="18.75" customHeight="1" x14ac:dyDescent="0.2">
      <c r="A495" s="834"/>
      <c r="B495" s="3148"/>
      <c r="C495" s="3295"/>
      <c r="D495" s="3294"/>
      <c r="E495" s="3145"/>
      <c r="F495" s="3144"/>
      <c r="G495" s="3175"/>
      <c r="H495" s="3381" t="s">
        <v>1325</v>
      </c>
      <c r="I495" s="3222" t="s">
        <v>116</v>
      </c>
      <c r="J495" s="3217" t="s">
        <v>1228</v>
      </c>
      <c r="K495" s="3221"/>
      <c r="L495" s="3220"/>
      <c r="M495" s="3219" t="s">
        <v>116</v>
      </c>
      <c r="N495" s="3217" t="s">
        <v>1322</v>
      </c>
      <c r="O495" s="3221"/>
      <c r="P495" s="3380"/>
      <c r="Q495" s="3380"/>
      <c r="R495" s="3380"/>
      <c r="S495" s="3380"/>
      <c r="T495" s="3380"/>
      <c r="U495" s="3380"/>
      <c r="V495" s="3380"/>
      <c r="W495" s="3380"/>
      <c r="X495" s="3379"/>
      <c r="Y495" s="3293"/>
      <c r="Z495" s="1201"/>
      <c r="AA495" s="1201"/>
      <c r="AB495" s="1202"/>
      <c r="AC495" s="3333"/>
      <c r="AD495" s="3333"/>
      <c r="AE495" s="3333"/>
      <c r="AF495" s="3333"/>
      <c r="AI495" s="3120" t="str">
        <f>"2A:sintaikousoku_code:" &amp; IF(I495="■",1,IF(M495="■",2,0))</f>
        <v>2A:sintaikousoku_code:0</v>
      </c>
    </row>
    <row r="496" spans="1:36" s="3120" customFormat="1" ht="19.5" customHeight="1" x14ac:dyDescent="0.2">
      <c r="A496" s="834"/>
      <c r="B496" s="3148"/>
      <c r="C496" s="3147"/>
      <c r="D496" s="3146"/>
      <c r="E496" s="3145"/>
      <c r="F496" s="3144"/>
      <c r="G496" s="3175"/>
      <c r="H496" s="3174" t="s">
        <v>1227</v>
      </c>
      <c r="I496" s="3155" t="s">
        <v>116</v>
      </c>
      <c r="J496" s="3137" t="s">
        <v>1228</v>
      </c>
      <c r="K496" s="3171"/>
      <c r="L496" s="3173"/>
      <c r="M496" s="3154" t="s">
        <v>116</v>
      </c>
      <c r="N496" s="3137" t="s">
        <v>1229</v>
      </c>
      <c r="O496" s="3299"/>
      <c r="P496" s="3137"/>
      <c r="Q496" s="3150"/>
      <c r="R496" s="3150"/>
      <c r="S496" s="3150"/>
      <c r="T496" s="3150"/>
      <c r="U496" s="3150"/>
      <c r="V496" s="3150"/>
      <c r="W496" s="3150"/>
      <c r="X496" s="3149"/>
      <c r="Y496" s="1201"/>
      <c r="Z496" s="1201"/>
      <c r="AA496" s="1201"/>
      <c r="AB496" s="1202"/>
      <c r="AC496" s="3333"/>
      <c r="AD496" s="3333"/>
      <c r="AE496" s="3333"/>
      <c r="AF496" s="3333"/>
      <c r="AI496" s="3120" t="str">
        <f>"2A:field223:" &amp; IF(I496="■",1,IF(M496="■",2,0))</f>
        <v>2A:field223:0</v>
      </c>
    </row>
    <row r="497" spans="1:35" s="3120" customFormat="1" ht="19.5" customHeight="1" x14ac:dyDescent="0.2">
      <c r="A497" s="834"/>
      <c r="B497" s="3148"/>
      <c r="C497" s="3147"/>
      <c r="D497" s="3146"/>
      <c r="E497" s="3145"/>
      <c r="F497" s="3144"/>
      <c r="G497" s="3175"/>
      <c r="H497" s="3174" t="s">
        <v>1253</v>
      </c>
      <c r="I497" s="3155" t="s">
        <v>116</v>
      </c>
      <c r="J497" s="3137" t="s">
        <v>1228</v>
      </c>
      <c r="K497" s="3171"/>
      <c r="L497" s="3173"/>
      <c r="M497" s="3154" t="s">
        <v>116</v>
      </c>
      <c r="N497" s="3137" t="s">
        <v>1229</v>
      </c>
      <c r="O497" s="3299"/>
      <c r="P497" s="3137"/>
      <c r="Q497" s="3150"/>
      <c r="R497" s="3150"/>
      <c r="S497" s="3150"/>
      <c r="T497" s="3150"/>
      <c r="U497" s="3150"/>
      <c r="V497" s="3150"/>
      <c r="W497" s="3150"/>
      <c r="X497" s="3149"/>
      <c r="Y497" s="1201"/>
      <c r="Z497" s="1201"/>
      <c r="AA497" s="1201"/>
      <c r="AB497" s="1202"/>
      <c r="AC497" s="3333"/>
      <c r="AD497" s="3333"/>
      <c r="AE497" s="3333"/>
      <c r="AF497" s="3333"/>
      <c r="AI497" s="3120" t="str">
        <f>"2A:field232:" &amp; IF(I497="■",1,IF(M497="■",2,0))</f>
        <v>2A:field232:0</v>
      </c>
    </row>
    <row r="498" spans="1:35" s="3120" customFormat="1" ht="18.75" customHeight="1" x14ac:dyDescent="0.2">
      <c r="A498" s="3384"/>
      <c r="B498" s="3383"/>
      <c r="C498" s="3147"/>
      <c r="D498" s="3146"/>
      <c r="E498" s="3145"/>
      <c r="F498" s="3144"/>
      <c r="G498" s="3145"/>
      <c r="H498" s="3151" t="s">
        <v>236</v>
      </c>
      <c r="I498" s="3155" t="s">
        <v>116</v>
      </c>
      <c r="J498" s="3137" t="s">
        <v>1282</v>
      </c>
      <c r="K498" s="3171"/>
      <c r="L498" s="3173"/>
      <c r="M498" s="3154" t="s">
        <v>116</v>
      </c>
      <c r="N498" s="3137" t="s">
        <v>1293</v>
      </c>
      <c r="O498" s="3150"/>
      <c r="P498" s="3150"/>
      <c r="Q498" s="3150"/>
      <c r="R498" s="3150"/>
      <c r="S498" s="3150"/>
      <c r="T498" s="3150"/>
      <c r="U498" s="3150"/>
      <c r="V498" s="3150"/>
      <c r="W498" s="3150"/>
      <c r="X498" s="3149"/>
      <c r="Y498" s="3293"/>
      <c r="Z498" s="1201"/>
      <c r="AA498" s="1201"/>
      <c r="AB498" s="1202"/>
      <c r="AC498" s="3333"/>
      <c r="AD498" s="3333"/>
      <c r="AE498" s="3333"/>
      <c r="AF498" s="3333"/>
      <c r="AI498" s="3120" t="str">
        <f>"2A:field190:" &amp; IF(I498="■",1,IF(M498="■",2,0))</f>
        <v>2A:field190:0</v>
      </c>
    </row>
    <row r="499" spans="1:35" s="3120" customFormat="1" ht="18.75" customHeight="1" x14ac:dyDescent="0.2">
      <c r="A499" s="3384"/>
      <c r="B499" s="3383"/>
      <c r="C499" s="3147"/>
      <c r="D499" s="3146"/>
      <c r="E499" s="3145"/>
      <c r="F499" s="3144"/>
      <c r="G499" s="3145"/>
      <c r="H499" s="3151" t="s">
        <v>1305</v>
      </c>
      <c r="I499" s="3155" t="s">
        <v>116</v>
      </c>
      <c r="J499" s="3137" t="s">
        <v>1282</v>
      </c>
      <c r="K499" s="3171"/>
      <c r="L499" s="3173"/>
      <c r="M499" s="3154" t="s">
        <v>116</v>
      </c>
      <c r="N499" s="3137" t="s">
        <v>1293</v>
      </c>
      <c r="O499" s="3150"/>
      <c r="P499" s="3150"/>
      <c r="Q499" s="3150"/>
      <c r="R499" s="3150"/>
      <c r="S499" s="3150"/>
      <c r="T499" s="3150"/>
      <c r="U499" s="3150"/>
      <c r="V499" s="3150"/>
      <c r="W499" s="3150"/>
      <c r="X499" s="3149"/>
      <c r="Y499" s="3293"/>
      <c r="Z499" s="1201"/>
      <c r="AA499" s="1201"/>
      <c r="AB499" s="1202"/>
      <c r="AC499" s="3333"/>
      <c r="AD499" s="3333"/>
      <c r="AE499" s="3333"/>
      <c r="AF499" s="3333"/>
      <c r="AI499" s="3120" t="str">
        <f>"2A:field191:" &amp; IF(I499="■",1,IF(M499="■",2,0))</f>
        <v>2A:field191:0</v>
      </c>
    </row>
    <row r="500" spans="1:35" s="3120" customFormat="1" ht="18.75" customHeight="1" x14ac:dyDescent="0.2">
      <c r="A500" s="3384"/>
      <c r="B500" s="3383"/>
      <c r="C500" s="3147"/>
      <c r="D500" s="3146"/>
      <c r="E500" s="3145"/>
      <c r="F500" s="3144"/>
      <c r="G500" s="3145"/>
      <c r="H500" s="3151" t="s">
        <v>1256</v>
      </c>
      <c r="I500" s="3155" t="s">
        <v>116</v>
      </c>
      <c r="J500" s="3137" t="s">
        <v>1230</v>
      </c>
      <c r="K500" s="3171"/>
      <c r="L500" s="3154" t="s">
        <v>116</v>
      </c>
      <c r="M500" s="3137" t="s">
        <v>1233</v>
      </c>
      <c r="N500" s="3150"/>
      <c r="O500" s="3150"/>
      <c r="P500" s="3150"/>
      <c r="Q500" s="3150"/>
      <c r="R500" s="3150"/>
      <c r="S500" s="3150"/>
      <c r="T500" s="3150"/>
      <c r="U500" s="3150"/>
      <c r="V500" s="3150"/>
      <c r="W500" s="3150"/>
      <c r="X500" s="3149"/>
      <c r="Y500" s="3293"/>
      <c r="Z500" s="1201"/>
      <c r="AA500" s="1201"/>
      <c r="AB500" s="1202"/>
      <c r="AC500" s="3333"/>
      <c r="AD500" s="3333"/>
      <c r="AE500" s="3333"/>
      <c r="AF500" s="3333"/>
      <c r="AI500" s="3120" t="str">
        <f>"2A:jyakuninti_uke_code:" &amp; IF(I500="■",1,IF(L500="■",2,0))</f>
        <v>2A:jyakuninti_uke_code:0</v>
      </c>
    </row>
    <row r="501" spans="1:35" s="3120" customFormat="1" ht="18.75" customHeight="1" x14ac:dyDescent="0.2">
      <c r="A501" s="3384"/>
      <c r="B501" s="3383"/>
      <c r="C501" s="3147"/>
      <c r="D501" s="3146"/>
      <c r="E501" s="3145"/>
      <c r="F501" s="3144"/>
      <c r="G501" s="3145"/>
      <c r="H501" s="3151" t="s">
        <v>1284</v>
      </c>
      <c r="I501" s="3155" t="s">
        <v>116</v>
      </c>
      <c r="J501" s="3137" t="s">
        <v>1240</v>
      </c>
      <c r="K501" s="3171"/>
      <c r="L501" s="3173"/>
      <c r="M501" s="3154" t="s">
        <v>116</v>
      </c>
      <c r="N501" s="3137" t="s">
        <v>1241</v>
      </c>
      <c r="O501" s="3150"/>
      <c r="P501" s="3150"/>
      <c r="Q501" s="3150"/>
      <c r="R501" s="3150"/>
      <c r="S501" s="3150"/>
      <c r="T501" s="3150"/>
      <c r="U501" s="3150"/>
      <c r="V501" s="3150"/>
      <c r="W501" s="3150"/>
      <c r="X501" s="3149"/>
      <c r="Y501" s="3293"/>
      <c r="Z501" s="1201"/>
      <c r="AA501" s="1201"/>
      <c r="AB501" s="1202"/>
      <c r="AC501" s="3333"/>
      <c r="AD501" s="3333"/>
      <c r="AE501" s="3333"/>
      <c r="AF501" s="3333"/>
      <c r="AI501" s="3120" t="str">
        <f>"2A:sougei_code:" &amp; IF(I501="■",1,IF(M501="■",2,0))</f>
        <v>2A:sougei_code:0</v>
      </c>
    </row>
    <row r="502" spans="1:35" s="3120" customFormat="1" ht="19.5" customHeight="1" x14ac:dyDescent="0.2">
      <c r="A502" s="3158" t="s">
        <v>116</v>
      </c>
      <c r="B502" s="3383" t="s">
        <v>571</v>
      </c>
      <c r="C502" s="3147" t="s">
        <v>924</v>
      </c>
      <c r="D502" s="3258" t="s">
        <v>116</v>
      </c>
      <c r="E502" s="3145" t="s">
        <v>1319</v>
      </c>
      <c r="F502" s="3258" t="s">
        <v>116</v>
      </c>
      <c r="G502" s="3145" t="s">
        <v>1307</v>
      </c>
      <c r="H502" s="3174" t="s">
        <v>1236</v>
      </c>
      <c r="I502" s="3155" t="s">
        <v>116</v>
      </c>
      <c r="J502" s="3137" t="s">
        <v>1230</v>
      </c>
      <c r="K502" s="3137"/>
      <c r="L502" s="3154" t="s">
        <v>116</v>
      </c>
      <c r="M502" s="3137" t="s">
        <v>1233</v>
      </c>
      <c r="N502" s="3137"/>
      <c r="O502" s="3150"/>
      <c r="P502" s="3137"/>
      <c r="Q502" s="3150"/>
      <c r="R502" s="3150"/>
      <c r="S502" s="3150"/>
      <c r="T502" s="3150"/>
      <c r="U502" s="3150"/>
      <c r="V502" s="3150"/>
      <c r="W502" s="3150"/>
      <c r="X502" s="3149"/>
      <c r="Y502" s="1201"/>
      <c r="Z502" s="1201"/>
      <c r="AA502" s="1201"/>
      <c r="AB502" s="1202"/>
      <c r="AC502" s="3333"/>
      <c r="AD502" s="3333"/>
      <c r="AE502" s="3333"/>
      <c r="AF502" s="3333"/>
      <c r="AI502" s="3120" t="str">
        <f>"2A:field224:" &amp; IF(I502="■",1,IF(L502="■",2,0))</f>
        <v>2A:field224:0</v>
      </c>
    </row>
    <row r="503" spans="1:35" s="3120" customFormat="1" ht="18.75" customHeight="1" x14ac:dyDescent="0.2">
      <c r="A503" s="3384"/>
      <c r="B503" s="3383"/>
      <c r="C503" s="3147"/>
      <c r="D503" s="3146"/>
      <c r="E503" s="3145"/>
      <c r="F503" s="3258" t="s">
        <v>116</v>
      </c>
      <c r="G503" s="3145" t="s">
        <v>1309</v>
      </c>
      <c r="H503" s="3151" t="s">
        <v>140</v>
      </c>
      <c r="I503" s="3155" t="s">
        <v>116</v>
      </c>
      <c r="J503" s="3137" t="s">
        <v>1230</v>
      </c>
      <c r="K503" s="3171"/>
      <c r="L503" s="3154" t="s">
        <v>116</v>
      </c>
      <c r="M503" s="3137" t="s">
        <v>1233</v>
      </c>
      <c r="N503" s="3150"/>
      <c r="O503" s="3150"/>
      <c r="P503" s="3150"/>
      <c r="Q503" s="3150"/>
      <c r="R503" s="3150"/>
      <c r="S503" s="3150"/>
      <c r="T503" s="3150"/>
      <c r="U503" s="3150"/>
      <c r="V503" s="3150"/>
      <c r="W503" s="3150"/>
      <c r="X503" s="3149"/>
      <c r="Y503" s="3293"/>
      <c r="Z503" s="1201"/>
      <c r="AA503" s="1201"/>
      <c r="AB503" s="1202"/>
      <c r="AC503" s="3333"/>
      <c r="AD503" s="3333"/>
      <c r="AE503" s="3333"/>
      <c r="AF503" s="3333"/>
      <c r="AI503" s="3120" t="str">
        <f>"2A:ryouyoushoku_code:" &amp; IF(I503="■",1,IF(L503="■",2,0))</f>
        <v>2A:ryouyoushoku_code:0</v>
      </c>
    </row>
    <row r="504" spans="1:35" s="3120" customFormat="1" ht="18.75" customHeight="1" x14ac:dyDescent="0.2">
      <c r="A504" s="3384"/>
      <c r="B504" s="3383"/>
      <c r="C504" s="3147"/>
      <c r="D504" s="3146"/>
      <c r="E504" s="3145"/>
      <c r="F504" s="3146"/>
      <c r="G504" s="3145"/>
      <c r="H504" s="3151" t="s">
        <v>1237</v>
      </c>
      <c r="I504" s="3155" t="s">
        <v>116</v>
      </c>
      <c r="J504" s="3137" t="s">
        <v>1230</v>
      </c>
      <c r="K504" s="3137"/>
      <c r="L504" s="3154" t="s">
        <v>116</v>
      </c>
      <c r="M504" s="3137" t="s">
        <v>1231</v>
      </c>
      <c r="N504" s="3137"/>
      <c r="O504" s="3154" t="s">
        <v>116</v>
      </c>
      <c r="P504" s="3137" t="s">
        <v>1232</v>
      </c>
      <c r="Q504" s="3150"/>
      <c r="R504" s="3150"/>
      <c r="S504" s="3150"/>
      <c r="T504" s="3150"/>
      <c r="U504" s="3150"/>
      <c r="V504" s="3150"/>
      <c r="W504" s="3150"/>
      <c r="X504" s="3149"/>
      <c r="Y504" s="3293"/>
      <c r="Z504" s="1201"/>
      <c r="AA504" s="1201"/>
      <c r="AB504" s="1202"/>
      <c r="AC504" s="3333"/>
      <c r="AD504" s="3333"/>
      <c r="AE504" s="3333"/>
      <c r="AF504" s="3333"/>
      <c r="AI504" s="3120" t="str">
        <f>"2A:ninti_senmoncare_code:" &amp; IF(I504="■",1,IF(O504="■",3,IF(L504="■",2,0)))</f>
        <v>2A:ninti_senmoncare_code:0</v>
      </c>
    </row>
    <row r="505" spans="1:35" s="3120" customFormat="1" ht="18.75" customHeight="1" x14ac:dyDescent="0.2">
      <c r="A505" s="3384"/>
      <c r="B505" s="3383"/>
      <c r="C505" s="3147"/>
      <c r="D505" s="3146"/>
      <c r="E505" s="3145"/>
      <c r="F505" s="3146"/>
      <c r="G505" s="3145"/>
      <c r="H505" s="3151" t="s">
        <v>237</v>
      </c>
      <c r="I505" s="3155" t="s">
        <v>116</v>
      </c>
      <c r="J505" s="3137" t="s">
        <v>1230</v>
      </c>
      <c r="K505" s="3137"/>
      <c r="L505" s="3154" t="s">
        <v>116</v>
      </c>
      <c r="M505" s="3137" t="s">
        <v>1231</v>
      </c>
      <c r="N505" s="3137"/>
      <c r="O505" s="3154" t="s">
        <v>116</v>
      </c>
      <c r="P505" s="3137" t="s">
        <v>1232</v>
      </c>
      <c r="Q505" s="3150"/>
      <c r="R505" s="3150"/>
      <c r="S505" s="3150"/>
      <c r="T505" s="3150"/>
      <c r="U505" s="3150"/>
      <c r="V505" s="3150"/>
      <c r="W505" s="3150"/>
      <c r="X505" s="3149"/>
      <c r="Y505" s="3293"/>
      <c r="Z505" s="1201"/>
      <c r="AA505" s="1201"/>
      <c r="AB505" s="1202"/>
      <c r="AC505" s="3333"/>
      <c r="AD505" s="3333"/>
      <c r="AE505" s="3333"/>
      <c r="AF505" s="3333"/>
      <c r="AI505" s="3120" t="str">
        <f>"2A:field164:" &amp; IF(I505="■",1,IF(L505="■",2,IF(O505="■",3,0)))</f>
        <v>2A:field164:0</v>
      </c>
    </row>
    <row r="506" spans="1:35" s="3120" customFormat="1" ht="18.75" customHeight="1" x14ac:dyDescent="0.2">
      <c r="A506" s="3384"/>
      <c r="B506" s="3383"/>
      <c r="C506" s="3147"/>
      <c r="D506" s="3146"/>
      <c r="E506" s="3145"/>
      <c r="F506" s="3144"/>
      <c r="G506" s="3145"/>
      <c r="H506" s="3304" t="s">
        <v>1310</v>
      </c>
      <c r="I506" s="3303" t="s">
        <v>116</v>
      </c>
      <c r="J506" s="3302" t="s">
        <v>1287</v>
      </c>
      <c r="K506" s="3302"/>
      <c r="L506" s="3209"/>
      <c r="M506" s="3209"/>
      <c r="N506" s="3209"/>
      <c r="O506" s="3209"/>
      <c r="P506" s="3301" t="s">
        <v>116</v>
      </c>
      <c r="Q506" s="3302" t="s">
        <v>1288</v>
      </c>
      <c r="R506" s="3209"/>
      <c r="S506" s="3209"/>
      <c r="T506" s="3209"/>
      <c r="U506" s="3209"/>
      <c r="V506" s="3209"/>
      <c r="W506" s="3209"/>
      <c r="X506" s="3208"/>
      <c r="Y506" s="3293"/>
      <c r="Z506" s="1201"/>
      <c r="AA506" s="1201"/>
      <c r="AB506" s="1202"/>
      <c r="AC506" s="3333"/>
      <c r="AD506" s="3333"/>
      <c r="AE506" s="3333"/>
      <c r="AF506" s="3333"/>
      <c r="AI506" s="3120" t="str">
        <f>"2A:" &amp; IF(AND(I506="□",P506="□",I507="□"),"tokusin_jyusho_code:0:tokusin_yakuzai_code:0:shuudan_comu_code:0",IF(I506="■","tokusin_jyusho_code:2","tokusin_jyusho_code:1")
&amp;IF(P506="■",":tokusin_yakuzai_code:2",":tokusin_yakuzai_code:1")
&amp;IF(I507="■",":shuudan_comu_code:2",":shuudan_comu_code:1"))</f>
        <v>2A:tokusin_jyusho_code:0:tokusin_yakuzai_code:0:shuudan_comu_code:0</v>
      </c>
    </row>
    <row r="507" spans="1:35" s="3120" customFormat="1" ht="18.75" customHeight="1" x14ac:dyDescent="0.2">
      <c r="A507" s="3384"/>
      <c r="B507" s="3383"/>
      <c r="C507" s="3147"/>
      <c r="D507" s="3146"/>
      <c r="E507" s="3145"/>
      <c r="F507" s="3144"/>
      <c r="G507" s="3145"/>
      <c r="H507" s="3300"/>
      <c r="I507" s="3141" t="s">
        <v>116</v>
      </c>
      <c r="J507" s="3139" t="s">
        <v>1294</v>
      </c>
      <c r="K507" s="3207"/>
      <c r="L507" s="3207"/>
      <c r="M507" s="3207"/>
      <c r="N507" s="3207"/>
      <c r="O507" s="3207"/>
      <c r="P507" s="3207"/>
      <c r="Q507" s="3162"/>
      <c r="R507" s="3207"/>
      <c r="S507" s="3207"/>
      <c r="T507" s="3207"/>
      <c r="U507" s="3207"/>
      <c r="V507" s="3207"/>
      <c r="W507" s="3207"/>
      <c r="X507" s="3206"/>
      <c r="Y507" s="3293"/>
      <c r="Z507" s="1201"/>
      <c r="AA507" s="1201"/>
      <c r="AB507" s="1202"/>
      <c r="AC507" s="3333"/>
      <c r="AD507" s="3333"/>
      <c r="AE507" s="3333"/>
      <c r="AF507" s="3333"/>
    </row>
    <row r="508" spans="1:35" s="3120" customFormat="1" ht="18.75" customHeight="1" x14ac:dyDescent="0.2">
      <c r="A508" s="3384"/>
      <c r="B508" s="3383"/>
      <c r="C508" s="3147"/>
      <c r="D508" s="3146"/>
      <c r="E508" s="3145"/>
      <c r="F508" s="3144"/>
      <c r="G508" s="3145"/>
      <c r="H508" s="3304" t="s">
        <v>1300</v>
      </c>
      <c r="I508" s="3303" t="s">
        <v>116</v>
      </c>
      <c r="J508" s="3302" t="s">
        <v>1295</v>
      </c>
      <c r="K508" s="3317"/>
      <c r="L508" s="3316"/>
      <c r="M508" s="3301" t="s">
        <v>116</v>
      </c>
      <c r="N508" s="3302" t="s">
        <v>1296</v>
      </c>
      <c r="O508" s="3209"/>
      <c r="P508" s="3209"/>
      <c r="Q508" s="3301" t="s">
        <v>116</v>
      </c>
      <c r="R508" s="3302" t="s">
        <v>1297</v>
      </c>
      <c r="S508" s="3209"/>
      <c r="T508" s="3209"/>
      <c r="U508" s="3209"/>
      <c r="V508" s="3209"/>
      <c r="W508" s="3209"/>
      <c r="X508" s="3208"/>
      <c r="Y508" s="3293"/>
      <c r="Z508" s="1201"/>
      <c r="AA508" s="1201"/>
      <c r="AB508" s="1202"/>
      <c r="AC508" s="3333"/>
      <c r="AD508" s="3333"/>
      <c r="AE508" s="3333"/>
      <c r="AF508" s="3333"/>
      <c r="AI508" s="3120" t="str">
        <f>"2A:"&amp;IF(AND(I508="□",M508="□",Q508="□",I509="□",Q509="□"),"koriha_rryoho1_code:0:koriha_sryoho_code:0:koriha_gengo_code:0:riha_seisin_code:0:koriha_other_code:0",IF(I508="■","koriha_rryoho1_code:2","koriha_rryoho1_code:1")
&amp;IF(M508="■",":koriha_sryoho_code:2",":koriha_sryoho_code:1")
&amp;IF(Q508="■",":koriha_gengo_code:2",":koriha_gengo_code:1")
&amp;IF(I509="■",":riha_seisin_code:2",":riha_seisin_code:1")
&amp;IF(Q509="■",":koriha_other_code:2",":koriha_other_code:1"))</f>
        <v>2A:koriha_rryoho1_code:0:koriha_sryoho_code:0:koriha_gengo_code:0:riha_seisin_code:0:koriha_other_code:0</v>
      </c>
    </row>
    <row r="509" spans="1:35" s="3120" customFormat="1" ht="18.75" customHeight="1" x14ac:dyDescent="0.2">
      <c r="A509" s="3384"/>
      <c r="B509" s="3383"/>
      <c r="C509" s="3147"/>
      <c r="D509" s="3146"/>
      <c r="E509" s="3145"/>
      <c r="F509" s="3144"/>
      <c r="G509" s="3145"/>
      <c r="H509" s="3300"/>
      <c r="I509" s="3141" t="s">
        <v>116</v>
      </c>
      <c r="J509" s="3139" t="s">
        <v>1298</v>
      </c>
      <c r="K509" s="3207"/>
      <c r="L509" s="3207"/>
      <c r="M509" s="3207"/>
      <c r="N509" s="3207"/>
      <c r="O509" s="3207"/>
      <c r="P509" s="3207"/>
      <c r="Q509" s="3140" t="s">
        <v>116</v>
      </c>
      <c r="R509" s="3139" t="s">
        <v>1299</v>
      </c>
      <c r="S509" s="3162"/>
      <c r="T509" s="3207"/>
      <c r="U509" s="3207"/>
      <c r="V509" s="3207"/>
      <c r="W509" s="3207"/>
      <c r="X509" s="3206"/>
      <c r="Y509" s="3293"/>
      <c r="Z509" s="1201"/>
      <c r="AA509" s="1201"/>
      <c r="AB509" s="1202"/>
      <c r="AC509" s="3333"/>
      <c r="AD509" s="3333"/>
      <c r="AE509" s="3333"/>
      <c r="AF509" s="3333"/>
    </row>
    <row r="510" spans="1:35" s="3120" customFormat="1" ht="18.75" customHeight="1" x14ac:dyDescent="0.2">
      <c r="A510" s="3384"/>
      <c r="B510" s="3383"/>
      <c r="C510" s="3147"/>
      <c r="D510" s="3146"/>
      <c r="E510" s="3145"/>
      <c r="F510" s="3144"/>
      <c r="G510" s="3145"/>
      <c r="H510" s="3296" t="s">
        <v>1285</v>
      </c>
      <c r="I510" s="3155" t="s">
        <v>116</v>
      </c>
      <c r="J510" s="3137" t="s">
        <v>1230</v>
      </c>
      <c r="K510" s="3137"/>
      <c r="L510" s="3154" t="s">
        <v>116</v>
      </c>
      <c r="M510" s="3137" t="s">
        <v>1231</v>
      </c>
      <c r="N510" s="3137"/>
      <c r="O510" s="3154" t="s">
        <v>116</v>
      </c>
      <c r="P510" s="3137" t="s">
        <v>1232</v>
      </c>
      <c r="Q510" s="3150"/>
      <c r="R510" s="3150"/>
      <c r="S510" s="3150"/>
      <c r="T510" s="3150"/>
      <c r="U510" s="3209"/>
      <c r="V510" s="3209"/>
      <c r="W510" s="3209"/>
      <c r="X510" s="3208"/>
      <c r="Y510" s="3293"/>
      <c r="Z510" s="1201"/>
      <c r="AA510" s="1201"/>
      <c r="AB510" s="1202"/>
      <c r="AC510" s="3333"/>
      <c r="AD510" s="3333"/>
      <c r="AE510" s="3333"/>
      <c r="AF510" s="3333"/>
      <c r="AI510" s="3120" t="str">
        <f>"2A:field225:" &amp; IF(I510="■",1,IF(L510="■",2,IF(O510="■",3,0)))</f>
        <v>2A:field225:0</v>
      </c>
    </row>
    <row r="511" spans="1:35" s="3120" customFormat="1" ht="18.75" customHeight="1" x14ac:dyDescent="0.2">
      <c r="A511" s="3384"/>
      <c r="B511" s="3383"/>
      <c r="C511" s="3147"/>
      <c r="D511" s="3146"/>
      <c r="E511" s="3145"/>
      <c r="F511" s="3144"/>
      <c r="G511" s="3145"/>
      <c r="H511" s="3142" t="s">
        <v>238</v>
      </c>
      <c r="I511" s="3155" t="s">
        <v>116</v>
      </c>
      <c r="J511" s="3137" t="s">
        <v>1230</v>
      </c>
      <c r="K511" s="3137"/>
      <c r="L511" s="3154" t="s">
        <v>116</v>
      </c>
      <c r="M511" s="3137" t="s">
        <v>1259</v>
      </c>
      <c r="N511" s="3137"/>
      <c r="O511" s="3154" t="s">
        <v>116</v>
      </c>
      <c r="P511" s="3137" t="s">
        <v>1260</v>
      </c>
      <c r="Q511" s="3153"/>
      <c r="R511" s="3154" t="s">
        <v>116</v>
      </c>
      <c r="S511" s="3137" t="s">
        <v>1261</v>
      </c>
      <c r="T511" s="3153"/>
      <c r="U511" s="3153"/>
      <c r="V511" s="3153"/>
      <c r="W511" s="3153"/>
      <c r="X511" s="3152"/>
      <c r="Y511" s="3293"/>
      <c r="Z511" s="1201"/>
      <c r="AA511" s="1201"/>
      <c r="AB511" s="1202"/>
      <c r="AC511" s="3333"/>
      <c r="AD511" s="3333"/>
      <c r="AE511" s="3333"/>
      <c r="AF511" s="3333"/>
      <c r="AI511" s="3120" t="str">
        <f>"2A:serteikyo_kyoka_code:" &amp; IF(I511="■",1,IF(L511="■",6,IF(O511="■",5,IF(R511="■",7,0))))</f>
        <v>2A:serteikyo_kyoka_code:0</v>
      </c>
    </row>
    <row r="512" spans="1:35" s="3120" customFormat="1" ht="18.75" customHeight="1" x14ac:dyDescent="0.2">
      <c r="A512" s="3384"/>
      <c r="B512" s="3383"/>
      <c r="C512" s="3147"/>
      <c r="D512" s="3146"/>
      <c r="E512" s="3145"/>
      <c r="F512" s="3144"/>
      <c r="G512" s="3145"/>
      <c r="H512" s="3170" t="s">
        <v>2058</v>
      </c>
      <c r="I512" s="3348" t="s">
        <v>116</v>
      </c>
      <c r="J512" s="3347" t="s">
        <v>1230</v>
      </c>
      <c r="K512" s="3347"/>
      <c r="L512" s="3346" t="s">
        <v>116</v>
      </c>
      <c r="M512" s="3347" t="s">
        <v>1233</v>
      </c>
      <c r="N512" s="3347"/>
      <c r="O512" s="3302"/>
      <c r="P512" s="3302"/>
      <c r="Q512" s="3302"/>
      <c r="R512" s="3302"/>
      <c r="S512" s="3302"/>
      <c r="T512" s="3302"/>
      <c r="U512" s="3302"/>
      <c r="V512" s="3302"/>
      <c r="W512" s="3302"/>
      <c r="X512" s="3335"/>
      <c r="Y512" s="3293"/>
      <c r="Z512" s="1201"/>
      <c r="AA512" s="1201"/>
      <c r="AB512" s="1202"/>
      <c r="AC512" s="3333"/>
      <c r="AD512" s="3333"/>
      <c r="AE512" s="3333"/>
      <c r="AF512" s="3333"/>
      <c r="AI512" s="3120" t="str">
        <f>"2A:field221:" &amp; IF(I512="■",1,IF(L512="■",2,0))</f>
        <v>2A:field221:0</v>
      </c>
    </row>
    <row r="513" spans="1:36" s="3120" customFormat="1" ht="18.75" customHeight="1" x14ac:dyDescent="0.2">
      <c r="A513" s="3384"/>
      <c r="B513" s="3383"/>
      <c r="C513" s="3147"/>
      <c r="D513" s="3146"/>
      <c r="E513" s="3145"/>
      <c r="F513" s="3144"/>
      <c r="G513" s="3145"/>
      <c r="H513" s="3165"/>
      <c r="I513" s="3348"/>
      <c r="J513" s="3347"/>
      <c r="K513" s="3347"/>
      <c r="L513" s="3346"/>
      <c r="M513" s="3347"/>
      <c r="N513" s="3347"/>
      <c r="O513" s="3139"/>
      <c r="P513" s="3139"/>
      <c r="Q513" s="3139"/>
      <c r="R513" s="3139"/>
      <c r="S513" s="3139"/>
      <c r="T513" s="3139"/>
      <c r="U513" s="3139"/>
      <c r="V513" s="3139"/>
      <c r="W513" s="3139"/>
      <c r="X513" s="3195"/>
      <c r="Y513" s="3293"/>
      <c r="Z513" s="1201"/>
      <c r="AA513" s="1201"/>
      <c r="AB513" s="1202"/>
      <c r="AC513" s="3333"/>
      <c r="AD513" s="3333"/>
      <c r="AE513" s="3333"/>
      <c r="AF513" s="3333"/>
    </row>
    <row r="514" spans="1:36" s="3120" customFormat="1" ht="18.75" customHeight="1" x14ac:dyDescent="0.2">
      <c r="A514" s="835"/>
      <c r="B514" s="3135"/>
      <c r="C514" s="3134"/>
      <c r="D514" s="3133"/>
      <c r="E514" s="3132"/>
      <c r="F514" s="3131"/>
      <c r="G514" s="3189"/>
      <c r="H514" s="3289" t="s">
        <v>2129</v>
      </c>
      <c r="I514" s="3128" t="s">
        <v>116</v>
      </c>
      <c r="J514" s="3285" t="s">
        <v>1230</v>
      </c>
      <c r="K514" s="3285"/>
      <c r="L514" s="3127" t="s">
        <v>116</v>
      </c>
      <c r="M514" s="3285" t="s">
        <v>2128</v>
      </c>
      <c r="N514" s="3288"/>
      <c r="O514" s="3127" t="s">
        <v>116</v>
      </c>
      <c r="P514" s="3287" t="s">
        <v>2127</v>
      </c>
      <c r="Q514" s="3286"/>
      <c r="R514" s="3127" t="s">
        <v>116</v>
      </c>
      <c r="S514" s="3285" t="s">
        <v>2126</v>
      </c>
      <c r="T514" s="3286"/>
      <c r="U514" s="3127" t="s">
        <v>116</v>
      </c>
      <c r="V514" s="3285" t="s">
        <v>2125</v>
      </c>
      <c r="W514" s="3284"/>
      <c r="X514" s="3283"/>
      <c r="Y514" s="3282"/>
      <c r="Z514" s="3282"/>
      <c r="AA514" s="3282"/>
      <c r="AB514" s="3281"/>
      <c r="AC514" s="3332"/>
      <c r="AD514" s="3332"/>
      <c r="AE514" s="3332"/>
      <c r="AF514" s="3332"/>
      <c r="AI514" s="3120" t="str">
        <f>"2A:shoguukaizen_code:"&amp;IF(I514="■",1,IF(L514="■",7,IF(O514="■",8,IF(R514="■",9,IF(U514="■","A",0)))))</f>
        <v>2A:shoguukaizen_code:0</v>
      </c>
    </row>
    <row r="515" spans="1:36" s="3120" customFormat="1" ht="18.75" customHeight="1" x14ac:dyDescent="0.2">
      <c r="A515" s="3388"/>
      <c r="B515" s="3387"/>
      <c r="C515" s="3229"/>
      <c r="D515" s="3228"/>
      <c r="E515" s="3185"/>
      <c r="F515" s="3184"/>
      <c r="G515" s="3185"/>
      <c r="H515" s="3265" t="s">
        <v>1286</v>
      </c>
      <c r="I515" s="3253" t="s">
        <v>116</v>
      </c>
      <c r="J515" s="3252" t="s">
        <v>1282</v>
      </c>
      <c r="K515" s="3311"/>
      <c r="L515" s="3386"/>
      <c r="M515" s="3310" t="s">
        <v>116</v>
      </c>
      <c r="N515" s="3252" t="s">
        <v>1289</v>
      </c>
      <c r="O515" s="3309"/>
      <c r="P515" s="3309"/>
      <c r="Q515" s="3310" t="s">
        <v>116</v>
      </c>
      <c r="R515" s="3252" t="s">
        <v>1290</v>
      </c>
      <c r="S515" s="3309"/>
      <c r="T515" s="3309"/>
      <c r="U515" s="3310" t="s">
        <v>116</v>
      </c>
      <c r="V515" s="3252" t="s">
        <v>1291</v>
      </c>
      <c r="W515" s="3309"/>
      <c r="X515" s="3266"/>
      <c r="Y515" s="3253" t="s">
        <v>116</v>
      </c>
      <c r="Z515" s="3252" t="s">
        <v>1225</v>
      </c>
      <c r="AA515" s="3252"/>
      <c r="AB515" s="3308"/>
      <c r="AC515" s="3338"/>
      <c r="AD515" s="3338"/>
      <c r="AE515" s="3338"/>
      <c r="AF515" s="3338"/>
      <c r="AG515" s="3120" t="str">
        <f>"ser_code = '" &amp; IF(A527="■","2A","") &amp; "'"</f>
        <v>ser_code = ''</v>
      </c>
      <c r="AI515" s="3120" t="str">
        <f>"2A:yakan_kinmu_code:" &amp; IF(I515="■",1,IF(M515="■",2,IF(Q515="■",3,IF(U515="■",7,IF(I516="■",5,IF(M516="■",6,0))))))</f>
        <v>2A:yakan_kinmu_code:0</v>
      </c>
      <c r="AJ515" s="3120" t="str">
        <f>"2A:field203:" &amp; IF(Y515="■",1,IF(Y516="■",2,0))</f>
        <v>2A:field203:0</v>
      </c>
    </row>
    <row r="516" spans="1:36" s="3120" customFormat="1" ht="18.75" customHeight="1" x14ac:dyDescent="0.2">
      <c r="A516" s="3384"/>
      <c r="B516" s="3383"/>
      <c r="C516" s="3147"/>
      <c r="D516" s="3146"/>
      <c r="E516" s="3145"/>
      <c r="F516" s="3144"/>
      <c r="G516" s="3145"/>
      <c r="H516" s="3300"/>
      <c r="I516" s="3141" t="s">
        <v>116</v>
      </c>
      <c r="J516" s="3139" t="s">
        <v>1292</v>
      </c>
      <c r="K516" s="3138"/>
      <c r="L516" s="3385"/>
      <c r="M516" s="3140" t="s">
        <v>116</v>
      </c>
      <c r="N516" s="3139" t="s">
        <v>1283</v>
      </c>
      <c r="O516" s="3162"/>
      <c r="P516" s="3162"/>
      <c r="Q516" s="3162"/>
      <c r="R516" s="3162"/>
      <c r="S516" s="3162"/>
      <c r="T516" s="3162"/>
      <c r="U516" s="3162"/>
      <c r="V516" s="3162"/>
      <c r="W516" s="3162"/>
      <c r="X516" s="3161"/>
      <c r="Y516" s="3258" t="s">
        <v>116</v>
      </c>
      <c r="Z516" s="1200" t="s">
        <v>1226</v>
      </c>
      <c r="AA516" s="1201"/>
      <c r="AB516" s="1202"/>
      <c r="AC516" s="3349"/>
      <c r="AD516" s="3349"/>
      <c r="AE516" s="3349"/>
      <c r="AF516" s="3349"/>
      <c r="AG516" s="3120" t="str">
        <f>"2A:sisetukbn_code:"&amp;IF(D527="■","5",0)</f>
        <v>2A:sisetukbn_code:0</v>
      </c>
    </row>
    <row r="517" spans="1:36" s="3120" customFormat="1" ht="18.75" customHeight="1" x14ac:dyDescent="0.2">
      <c r="A517" s="3384"/>
      <c r="B517" s="3383"/>
      <c r="C517" s="3147"/>
      <c r="D517" s="3146"/>
      <c r="E517" s="3145"/>
      <c r="F517" s="3144"/>
      <c r="G517" s="3145"/>
      <c r="H517" s="3304" t="s">
        <v>90</v>
      </c>
      <c r="I517" s="3303" t="s">
        <v>116</v>
      </c>
      <c r="J517" s="3302" t="s">
        <v>1230</v>
      </c>
      <c r="K517" s="3302"/>
      <c r="L517" s="3316"/>
      <c r="M517" s="3301" t="s">
        <v>116</v>
      </c>
      <c r="N517" s="3302" t="s">
        <v>1262</v>
      </c>
      <c r="O517" s="3302"/>
      <c r="P517" s="3316"/>
      <c r="Q517" s="3301" t="s">
        <v>116</v>
      </c>
      <c r="R517" s="3167" t="s">
        <v>1302</v>
      </c>
      <c r="S517" s="3167"/>
      <c r="T517" s="3167"/>
      <c r="U517" s="3209"/>
      <c r="V517" s="3316"/>
      <c r="W517" s="3167"/>
      <c r="X517" s="3208"/>
      <c r="Y517" s="3293"/>
      <c r="Z517" s="1201"/>
      <c r="AA517" s="1201"/>
      <c r="AB517" s="1202"/>
      <c r="AC517" s="3333"/>
      <c r="AD517" s="3333"/>
      <c r="AE517" s="3333"/>
      <c r="AF517" s="3333"/>
      <c r="AI517" s="3120" t="str">
        <f>"2A:"&amp;IF(AND(I517="□",M517="□",Q517="□",I518="□",M518="□"),"ketu_doctor_code:0",IF(I517="■","ketu_doctor_code:1:field197:1:ketu_kangos_code:1:ketu_kshoku_code:1",IF(M517="■","ketu_doctor_code:2","ketu_doctor_code:1")
&amp;IF(Q517="■",":field197:2",":field197:1")
&amp;IF(I518="■",":ketu_kangos_code:2",":ketu_kangos_code:1")
&amp;IF(M518="■",":ketu_kshoku_code:2",":ketu_kshoku_code:1")))</f>
        <v>2A:ketu_doctor_code:0</v>
      </c>
    </row>
    <row r="518" spans="1:36" s="3120" customFormat="1" ht="18.75" customHeight="1" x14ac:dyDescent="0.2">
      <c r="A518" s="3384"/>
      <c r="B518" s="3383"/>
      <c r="C518" s="3147"/>
      <c r="D518" s="3146"/>
      <c r="E518" s="3145"/>
      <c r="F518" s="3144"/>
      <c r="G518" s="3145"/>
      <c r="H518" s="3300"/>
      <c r="I518" s="3141" t="s">
        <v>116</v>
      </c>
      <c r="J518" s="3162" t="s">
        <v>1303</v>
      </c>
      <c r="K518" s="3162"/>
      <c r="L518" s="3162"/>
      <c r="M518" s="3140" t="s">
        <v>116</v>
      </c>
      <c r="N518" s="3162" t="s">
        <v>1304</v>
      </c>
      <c r="O518" s="3385"/>
      <c r="P518" s="3162"/>
      <c r="Q518" s="3162"/>
      <c r="R518" s="3385"/>
      <c r="S518" s="3162"/>
      <c r="T518" s="3162"/>
      <c r="U518" s="3207"/>
      <c r="V518" s="3385"/>
      <c r="W518" s="3162"/>
      <c r="X518" s="3206"/>
      <c r="Y518" s="3293"/>
      <c r="Z518" s="1201"/>
      <c r="AA518" s="1201"/>
      <c r="AB518" s="1202"/>
      <c r="AC518" s="3333"/>
      <c r="AD518" s="3333"/>
      <c r="AE518" s="3333"/>
      <c r="AF518" s="3333"/>
    </row>
    <row r="519" spans="1:36" s="3120" customFormat="1" ht="18.75" customHeight="1" x14ac:dyDescent="0.2">
      <c r="A519" s="3384"/>
      <c r="B519" s="3383"/>
      <c r="C519" s="3147"/>
      <c r="D519" s="3146"/>
      <c r="E519" s="3145"/>
      <c r="F519" s="3144"/>
      <c r="G519" s="3145"/>
      <c r="H519" s="3151" t="s">
        <v>91</v>
      </c>
      <c r="I519" s="3155" t="s">
        <v>116</v>
      </c>
      <c r="J519" s="3137" t="s">
        <v>1240</v>
      </c>
      <c r="K519" s="3171"/>
      <c r="L519" s="3173"/>
      <c r="M519" s="3154" t="s">
        <v>116</v>
      </c>
      <c r="N519" s="3137" t="s">
        <v>1241</v>
      </c>
      <c r="O519" s="3150"/>
      <c r="P519" s="3150"/>
      <c r="Q519" s="3150"/>
      <c r="R519" s="3150"/>
      <c r="S519" s="3150"/>
      <c r="T519" s="3150"/>
      <c r="U519" s="3150"/>
      <c r="V519" s="3150"/>
      <c r="W519" s="3150"/>
      <c r="X519" s="3149"/>
      <c r="Y519" s="3293"/>
      <c r="Z519" s="1201"/>
      <c r="AA519" s="1201"/>
      <c r="AB519" s="1202"/>
      <c r="AC519" s="3333"/>
      <c r="AD519" s="3333"/>
      <c r="AE519" s="3333"/>
      <c r="AF519" s="3333"/>
      <c r="AI519" s="3120" t="str">
        <f>"2A:unitcare_code:" &amp; IF(I519="■",1,IF(M519="■",2,0))</f>
        <v>2A:unitcare_code:0</v>
      </c>
    </row>
    <row r="520" spans="1:36" s="3120" customFormat="1" ht="18.75" customHeight="1" x14ac:dyDescent="0.2">
      <c r="A520" s="834"/>
      <c r="B520" s="3148"/>
      <c r="C520" s="3295"/>
      <c r="D520" s="3294"/>
      <c r="E520" s="3145"/>
      <c r="F520" s="3144"/>
      <c r="G520" s="3175"/>
      <c r="H520" s="3381" t="s">
        <v>1325</v>
      </c>
      <c r="I520" s="3222" t="s">
        <v>116</v>
      </c>
      <c r="J520" s="3217" t="s">
        <v>1228</v>
      </c>
      <c r="K520" s="3221"/>
      <c r="L520" s="3220"/>
      <c r="M520" s="3219" t="s">
        <v>116</v>
      </c>
      <c r="N520" s="3217" t="s">
        <v>1322</v>
      </c>
      <c r="O520" s="3221"/>
      <c r="P520" s="3380"/>
      <c r="Q520" s="3380"/>
      <c r="R520" s="3380"/>
      <c r="S520" s="3380"/>
      <c r="T520" s="3380"/>
      <c r="U520" s="3380"/>
      <c r="V520" s="3380"/>
      <c r="W520" s="3380"/>
      <c r="X520" s="3379"/>
      <c r="Y520" s="3293"/>
      <c r="Z520" s="1201"/>
      <c r="AA520" s="1201"/>
      <c r="AB520" s="1202"/>
      <c r="AC520" s="3333"/>
      <c r="AD520" s="3333"/>
      <c r="AE520" s="3333"/>
      <c r="AF520" s="3333"/>
      <c r="AI520" s="3120" t="str">
        <f>"2A:sintaikousoku_code:" &amp; IF(I520="■",1,IF(M520="■",2,0))</f>
        <v>2A:sintaikousoku_code:0</v>
      </c>
    </row>
    <row r="521" spans="1:36" s="3120" customFormat="1" ht="19.5" customHeight="1" x14ac:dyDescent="0.2">
      <c r="A521" s="834"/>
      <c r="B521" s="3148"/>
      <c r="C521" s="3147"/>
      <c r="D521" s="3146"/>
      <c r="E521" s="3145"/>
      <c r="F521" s="3144"/>
      <c r="G521" s="3175"/>
      <c r="H521" s="3174" t="s">
        <v>1227</v>
      </c>
      <c r="I521" s="3155" t="s">
        <v>116</v>
      </c>
      <c r="J521" s="3137" t="s">
        <v>1228</v>
      </c>
      <c r="K521" s="3171"/>
      <c r="L521" s="3173"/>
      <c r="M521" s="3154" t="s">
        <v>116</v>
      </c>
      <c r="N521" s="3137" t="s">
        <v>1229</v>
      </c>
      <c r="O521" s="3299"/>
      <c r="P521" s="3137"/>
      <c r="Q521" s="3150"/>
      <c r="R521" s="3150"/>
      <c r="S521" s="3150"/>
      <c r="T521" s="3150"/>
      <c r="U521" s="3150"/>
      <c r="V521" s="3150"/>
      <c r="W521" s="3150"/>
      <c r="X521" s="3149"/>
      <c r="Y521" s="1201"/>
      <c r="Z521" s="1201"/>
      <c r="AA521" s="1201"/>
      <c r="AB521" s="1202"/>
      <c r="AC521" s="3333"/>
      <c r="AD521" s="3333"/>
      <c r="AE521" s="3333"/>
      <c r="AF521" s="3333"/>
      <c r="AI521" s="3120" t="str">
        <f>"2A:field223:" &amp; IF(I521="■",1,IF(M521="■",2,0))</f>
        <v>2A:field223:0</v>
      </c>
    </row>
    <row r="522" spans="1:36" s="3120" customFormat="1" ht="19.5" customHeight="1" x14ac:dyDescent="0.2">
      <c r="A522" s="834"/>
      <c r="B522" s="3148"/>
      <c r="C522" s="3147"/>
      <c r="D522" s="3146"/>
      <c r="E522" s="3145"/>
      <c r="F522" s="3144"/>
      <c r="G522" s="3175"/>
      <c r="H522" s="3174" t="s">
        <v>1253</v>
      </c>
      <c r="I522" s="3155" t="s">
        <v>116</v>
      </c>
      <c r="J522" s="3137" t="s">
        <v>1228</v>
      </c>
      <c r="K522" s="3171"/>
      <c r="L522" s="3173"/>
      <c r="M522" s="3154" t="s">
        <v>116</v>
      </c>
      <c r="N522" s="3137" t="s">
        <v>1229</v>
      </c>
      <c r="O522" s="3299"/>
      <c r="P522" s="3137"/>
      <c r="Q522" s="3150"/>
      <c r="R522" s="3150"/>
      <c r="S522" s="3150"/>
      <c r="T522" s="3150"/>
      <c r="U522" s="3150"/>
      <c r="V522" s="3150"/>
      <c r="W522" s="3150"/>
      <c r="X522" s="3149"/>
      <c r="Y522" s="1201"/>
      <c r="Z522" s="1201"/>
      <c r="AA522" s="1201"/>
      <c r="AB522" s="1202"/>
      <c r="AC522" s="3333"/>
      <c r="AD522" s="3333"/>
      <c r="AE522" s="3333"/>
      <c r="AF522" s="3333"/>
      <c r="AI522" s="3120" t="str">
        <f>"2A:field232:" &amp; IF(I522="■",1,IF(M522="■",2,0))</f>
        <v>2A:field232:0</v>
      </c>
    </row>
    <row r="523" spans="1:36" s="3120" customFormat="1" ht="18.75" customHeight="1" x14ac:dyDescent="0.2">
      <c r="A523" s="3384"/>
      <c r="B523" s="3383"/>
      <c r="C523" s="3147"/>
      <c r="D523" s="3146"/>
      <c r="E523" s="3145"/>
      <c r="F523" s="3144"/>
      <c r="G523" s="3145"/>
      <c r="H523" s="3151" t="s">
        <v>236</v>
      </c>
      <c r="I523" s="3155" t="s">
        <v>116</v>
      </c>
      <c r="J523" s="3137" t="s">
        <v>1282</v>
      </c>
      <c r="K523" s="3171"/>
      <c r="L523" s="3173"/>
      <c r="M523" s="3154" t="s">
        <v>116</v>
      </c>
      <c r="N523" s="3137" t="s">
        <v>1293</v>
      </c>
      <c r="O523" s="3150"/>
      <c r="P523" s="3150"/>
      <c r="Q523" s="3150"/>
      <c r="R523" s="3150"/>
      <c r="S523" s="3150"/>
      <c r="T523" s="3150"/>
      <c r="U523" s="3150"/>
      <c r="V523" s="3150"/>
      <c r="W523" s="3150"/>
      <c r="X523" s="3149"/>
      <c r="Y523" s="3293"/>
      <c r="Z523" s="1201"/>
      <c r="AA523" s="1201"/>
      <c r="AB523" s="1202"/>
      <c r="AC523" s="3333"/>
      <c r="AD523" s="3333"/>
      <c r="AE523" s="3333"/>
      <c r="AF523" s="3333"/>
      <c r="AI523" s="3120" t="str">
        <f>"2A:field190:" &amp; IF(I523="■",1,IF(M523="■",2,0))</f>
        <v>2A:field190:0</v>
      </c>
    </row>
    <row r="524" spans="1:36" s="3120" customFormat="1" ht="18.75" customHeight="1" x14ac:dyDescent="0.2">
      <c r="A524" s="3384"/>
      <c r="B524" s="3383"/>
      <c r="C524" s="3147"/>
      <c r="D524" s="3146"/>
      <c r="E524" s="3145"/>
      <c r="F524" s="3144"/>
      <c r="G524" s="3145"/>
      <c r="H524" s="3151" t="s">
        <v>1305</v>
      </c>
      <c r="I524" s="3155" t="s">
        <v>116</v>
      </c>
      <c r="J524" s="3137" t="s">
        <v>1282</v>
      </c>
      <c r="K524" s="3171"/>
      <c r="L524" s="3173"/>
      <c r="M524" s="3154" t="s">
        <v>116</v>
      </c>
      <c r="N524" s="3137" t="s">
        <v>1293</v>
      </c>
      <c r="O524" s="3150"/>
      <c r="P524" s="3150"/>
      <c r="Q524" s="3150"/>
      <c r="R524" s="3150"/>
      <c r="S524" s="3150"/>
      <c r="T524" s="3150"/>
      <c r="U524" s="3150"/>
      <c r="V524" s="3150"/>
      <c r="W524" s="3150"/>
      <c r="X524" s="3149"/>
      <c r="Y524" s="3293"/>
      <c r="Z524" s="1201"/>
      <c r="AA524" s="1201"/>
      <c r="AB524" s="1202"/>
      <c r="AC524" s="3333"/>
      <c r="AD524" s="3333"/>
      <c r="AE524" s="3333"/>
      <c r="AF524" s="3333"/>
      <c r="AI524" s="3120" t="str">
        <f>"2A:field191:" &amp; IF(I524="■",1,IF(M524="■",2,0))</f>
        <v>2A:field191:0</v>
      </c>
    </row>
    <row r="525" spans="1:36" s="3120" customFormat="1" ht="18.75" customHeight="1" x14ac:dyDescent="0.2">
      <c r="A525" s="3384"/>
      <c r="B525" s="3383"/>
      <c r="C525" s="3147"/>
      <c r="D525" s="3146"/>
      <c r="E525" s="3145"/>
      <c r="F525" s="3144"/>
      <c r="G525" s="3145"/>
      <c r="H525" s="3151" t="s">
        <v>1256</v>
      </c>
      <c r="I525" s="3155" t="s">
        <v>116</v>
      </c>
      <c r="J525" s="3137" t="s">
        <v>1230</v>
      </c>
      <c r="K525" s="3171"/>
      <c r="L525" s="3154" t="s">
        <v>116</v>
      </c>
      <c r="M525" s="3137" t="s">
        <v>1233</v>
      </c>
      <c r="N525" s="3150"/>
      <c r="O525" s="3150"/>
      <c r="P525" s="3150"/>
      <c r="Q525" s="3150"/>
      <c r="R525" s="3150"/>
      <c r="S525" s="3150"/>
      <c r="T525" s="3150"/>
      <c r="U525" s="3150"/>
      <c r="V525" s="3150"/>
      <c r="W525" s="3150"/>
      <c r="X525" s="3149"/>
      <c r="Y525" s="3293"/>
      <c r="Z525" s="1201"/>
      <c r="AA525" s="1201"/>
      <c r="AB525" s="1202"/>
      <c r="AC525" s="3333"/>
      <c r="AD525" s="3333"/>
      <c r="AE525" s="3333"/>
      <c r="AF525" s="3333"/>
      <c r="AI525" s="3120" t="str">
        <f>"2A:jyakuninti_uke_code:" &amp; IF(I525="■",1,IF(L525="■",2,0))</f>
        <v>2A:jyakuninti_uke_code:0</v>
      </c>
    </row>
    <row r="526" spans="1:36" s="3120" customFormat="1" ht="18.75" customHeight="1" x14ac:dyDescent="0.2">
      <c r="A526" s="3384"/>
      <c r="B526" s="3383"/>
      <c r="C526" s="3147"/>
      <c r="D526" s="3146"/>
      <c r="E526" s="3145"/>
      <c r="F526" s="3144"/>
      <c r="G526" s="3145"/>
      <c r="H526" s="3151" t="s">
        <v>1284</v>
      </c>
      <c r="I526" s="3155" t="s">
        <v>116</v>
      </c>
      <c r="J526" s="3137" t="s">
        <v>1240</v>
      </c>
      <c r="K526" s="3171"/>
      <c r="L526" s="3173"/>
      <c r="M526" s="3154" t="s">
        <v>116</v>
      </c>
      <c r="N526" s="3137" t="s">
        <v>1241</v>
      </c>
      <c r="O526" s="3150"/>
      <c r="P526" s="3150"/>
      <c r="Q526" s="3150"/>
      <c r="R526" s="3150"/>
      <c r="S526" s="3150"/>
      <c r="T526" s="3150"/>
      <c r="U526" s="3150"/>
      <c r="V526" s="3150"/>
      <c r="W526" s="3150"/>
      <c r="X526" s="3149"/>
      <c r="Y526" s="3293"/>
      <c r="Z526" s="1201"/>
      <c r="AA526" s="1201"/>
      <c r="AB526" s="1202"/>
      <c r="AC526" s="3333"/>
      <c r="AD526" s="3333"/>
      <c r="AE526" s="3333"/>
      <c r="AF526" s="3333"/>
      <c r="AI526" s="3120" t="str">
        <f>"2A:sougei_code:" &amp; IF(I526="■",1,IF(M526="■",2,0))</f>
        <v>2A:sougei_code:0</v>
      </c>
    </row>
    <row r="527" spans="1:36" s="3120" customFormat="1" ht="19.5" customHeight="1" x14ac:dyDescent="0.2">
      <c r="A527" s="3158" t="s">
        <v>116</v>
      </c>
      <c r="B527" s="3383" t="s">
        <v>571</v>
      </c>
      <c r="C527" s="3147" t="s">
        <v>924</v>
      </c>
      <c r="D527" s="3258" t="s">
        <v>116</v>
      </c>
      <c r="E527" s="3145" t="s">
        <v>1320</v>
      </c>
      <c r="F527" s="3144"/>
      <c r="G527" s="3175"/>
      <c r="H527" s="3174" t="s">
        <v>1236</v>
      </c>
      <c r="I527" s="3155" t="s">
        <v>116</v>
      </c>
      <c r="J527" s="3137" t="s">
        <v>1230</v>
      </c>
      <c r="K527" s="3137"/>
      <c r="L527" s="3154" t="s">
        <v>116</v>
      </c>
      <c r="M527" s="3137" t="s">
        <v>1233</v>
      </c>
      <c r="N527" s="3137"/>
      <c r="O527" s="3150"/>
      <c r="P527" s="3137"/>
      <c r="Q527" s="3150"/>
      <c r="R527" s="3150"/>
      <c r="S527" s="3150"/>
      <c r="T527" s="3150"/>
      <c r="U527" s="3150"/>
      <c r="V527" s="3150"/>
      <c r="W527" s="3150"/>
      <c r="X527" s="3149"/>
      <c r="Y527" s="1201"/>
      <c r="Z527" s="1201"/>
      <c r="AA527" s="1201"/>
      <c r="AB527" s="1202"/>
      <c r="AC527" s="3333"/>
      <c r="AD527" s="3333"/>
      <c r="AE527" s="3333"/>
      <c r="AF527" s="3333"/>
      <c r="AI527" s="3120" t="str">
        <f>"2A:field224:" &amp; IF(I527="■",1,IF(L527="■",2,0))</f>
        <v>2A:field224:0</v>
      </c>
    </row>
    <row r="528" spans="1:36" s="3120" customFormat="1" ht="18.75" customHeight="1" x14ac:dyDescent="0.2">
      <c r="A528" s="3384"/>
      <c r="B528" s="3383"/>
      <c r="C528" s="3147"/>
      <c r="D528" s="3146"/>
      <c r="E528" s="3145"/>
      <c r="F528" s="3144"/>
      <c r="G528" s="3145"/>
      <c r="H528" s="3151" t="s">
        <v>140</v>
      </c>
      <c r="I528" s="3155" t="s">
        <v>116</v>
      </c>
      <c r="J528" s="3137" t="s">
        <v>1230</v>
      </c>
      <c r="K528" s="3171"/>
      <c r="L528" s="3154" t="s">
        <v>116</v>
      </c>
      <c r="M528" s="3137" t="s">
        <v>1233</v>
      </c>
      <c r="N528" s="3150"/>
      <c r="O528" s="3150"/>
      <c r="P528" s="3150"/>
      <c r="Q528" s="3150"/>
      <c r="R528" s="3150"/>
      <c r="S528" s="3150"/>
      <c r="T528" s="3150"/>
      <c r="U528" s="3150"/>
      <c r="V528" s="3150"/>
      <c r="W528" s="3150"/>
      <c r="X528" s="3149"/>
      <c r="Y528" s="3293"/>
      <c r="Z528" s="1201"/>
      <c r="AA528" s="1201"/>
      <c r="AB528" s="1202"/>
      <c r="AC528" s="3333"/>
      <c r="AD528" s="3333"/>
      <c r="AE528" s="3333"/>
      <c r="AF528" s="3333"/>
      <c r="AI528" s="3120" t="str">
        <f>"2A:ryouyoushoku_code:" &amp; IF(I528="■",1,IF(L528="■",2,0))</f>
        <v>2A:ryouyoushoku_code:0</v>
      </c>
    </row>
    <row r="529" spans="1:36" s="3120" customFormat="1" ht="18.75" customHeight="1" x14ac:dyDescent="0.2">
      <c r="A529" s="3384"/>
      <c r="B529" s="3383"/>
      <c r="C529" s="3147"/>
      <c r="D529" s="3146"/>
      <c r="E529" s="3145"/>
      <c r="F529" s="3144"/>
      <c r="G529" s="3145"/>
      <c r="H529" s="3151" t="s">
        <v>1237</v>
      </c>
      <c r="I529" s="3155" t="s">
        <v>116</v>
      </c>
      <c r="J529" s="3137" t="s">
        <v>1230</v>
      </c>
      <c r="K529" s="3137"/>
      <c r="L529" s="3154" t="s">
        <v>116</v>
      </c>
      <c r="M529" s="3137" t="s">
        <v>1231</v>
      </c>
      <c r="N529" s="3137"/>
      <c r="O529" s="3154" t="s">
        <v>116</v>
      </c>
      <c r="P529" s="3137" t="s">
        <v>1232</v>
      </c>
      <c r="Q529" s="3150"/>
      <c r="R529" s="3150"/>
      <c r="S529" s="3150"/>
      <c r="T529" s="3150"/>
      <c r="U529" s="3150"/>
      <c r="V529" s="3150"/>
      <c r="W529" s="3150"/>
      <c r="X529" s="3149"/>
      <c r="Y529" s="3293"/>
      <c r="Z529" s="1201"/>
      <c r="AA529" s="1201"/>
      <c r="AB529" s="1202"/>
      <c r="AC529" s="3333"/>
      <c r="AD529" s="3333"/>
      <c r="AE529" s="3333"/>
      <c r="AF529" s="3333"/>
      <c r="AI529" s="3120" t="str">
        <f>"2A:ninti_senmoncare_code:" &amp; IF(I529="■",1,IF(O529="■",3,IF(L529="■",2,0)))</f>
        <v>2A:ninti_senmoncare_code:0</v>
      </c>
    </row>
    <row r="530" spans="1:36" s="3120" customFormat="1" ht="18.75" customHeight="1" x14ac:dyDescent="0.2">
      <c r="A530" s="3384"/>
      <c r="B530" s="3383"/>
      <c r="C530" s="3147"/>
      <c r="D530" s="3146"/>
      <c r="E530" s="3145"/>
      <c r="F530" s="3144"/>
      <c r="G530" s="3145"/>
      <c r="H530" s="3151" t="s">
        <v>237</v>
      </c>
      <c r="I530" s="3155" t="s">
        <v>116</v>
      </c>
      <c r="J530" s="3137" t="s">
        <v>1230</v>
      </c>
      <c r="K530" s="3137"/>
      <c r="L530" s="3154" t="s">
        <v>116</v>
      </c>
      <c r="M530" s="3137" t="s">
        <v>1231</v>
      </c>
      <c r="N530" s="3137"/>
      <c r="O530" s="3154" t="s">
        <v>116</v>
      </c>
      <c r="P530" s="3137" t="s">
        <v>1232</v>
      </c>
      <c r="Q530" s="3150"/>
      <c r="R530" s="3150"/>
      <c r="S530" s="3150"/>
      <c r="T530" s="3150"/>
      <c r="U530" s="3150"/>
      <c r="V530" s="3150"/>
      <c r="W530" s="3150"/>
      <c r="X530" s="3149"/>
      <c r="Y530" s="3293"/>
      <c r="Z530" s="1201"/>
      <c r="AA530" s="1201"/>
      <c r="AB530" s="1202"/>
      <c r="AC530" s="3333"/>
      <c r="AD530" s="3333"/>
      <c r="AE530" s="3333"/>
      <c r="AF530" s="3333"/>
      <c r="AI530" s="3120" t="str">
        <f>"2A:field164:" &amp; IF(I530="■",1,IF(L530="■",2,IF(O530="■",3,0)))</f>
        <v>2A:field164:0</v>
      </c>
    </row>
    <row r="531" spans="1:36" s="3120" customFormat="1" ht="18.75" customHeight="1" x14ac:dyDescent="0.2">
      <c r="A531" s="3384"/>
      <c r="B531" s="3383"/>
      <c r="C531" s="3147"/>
      <c r="D531" s="3146"/>
      <c r="E531" s="3145"/>
      <c r="F531" s="3144"/>
      <c r="G531" s="3145"/>
      <c r="H531" s="3304" t="s">
        <v>1310</v>
      </c>
      <c r="I531" s="3303" t="s">
        <v>116</v>
      </c>
      <c r="J531" s="3302" t="s">
        <v>1287</v>
      </c>
      <c r="K531" s="3302"/>
      <c r="L531" s="3209"/>
      <c r="M531" s="3209"/>
      <c r="N531" s="3209"/>
      <c r="O531" s="3209"/>
      <c r="P531" s="3301" t="s">
        <v>116</v>
      </c>
      <c r="Q531" s="3302" t="s">
        <v>1288</v>
      </c>
      <c r="R531" s="3209"/>
      <c r="S531" s="3209"/>
      <c r="T531" s="3209"/>
      <c r="U531" s="3209"/>
      <c r="V531" s="3209"/>
      <c r="W531" s="3209"/>
      <c r="X531" s="3208"/>
      <c r="Y531" s="3293"/>
      <c r="Z531" s="1201"/>
      <c r="AA531" s="1201"/>
      <c r="AB531" s="1202"/>
      <c r="AC531" s="3333"/>
      <c r="AD531" s="3333"/>
      <c r="AE531" s="3333"/>
      <c r="AF531" s="3333"/>
      <c r="AI531" s="3120" t="str">
        <f>"2A:" &amp; IF(AND(I531="□",P531="□",I532="□"),"tokusin_jyusho_code:0:tokusin_yakuzai_code:0:shuudan_comu_code:0",IF(I531="■","tokusin_jyusho_code:2","tokusin_jyusho_code:1")
&amp;IF(P531="■",":tokusin_yakuzai_code:2",":tokusin_yakuzai_code:1")
&amp;IF(I532="■",":shuudan_comu_code:2",":shuudan_comu_code:1"))</f>
        <v>2A:tokusin_jyusho_code:0:tokusin_yakuzai_code:0:shuudan_comu_code:0</v>
      </c>
    </row>
    <row r="532" spans="1:36" s="3120" customFormat="1" ht="18.75" customHeight="1" x14ac:dyDescent="0.2">
      <c r="A532" s="3384"/>
      <c r="B532" s="3383"/>
      <c r="C532" s="3147"/>
      <c r="D532" s="3146"/>
      <c r="E532" s="3145"/>
      <c r="F532" s="3144"/>
      <c r="G532" s="3145"/>
      <c r="H532" s="3300"/>
      <c r="I532" s="3141" t="s">
        <v>116</v>
      </c>
      <c r="J532" s="3139" t="s">
        <v>1294</v>
      </c>
      <c r="K532" s="3207"/>
      <c r="L532" s="3207"/>
      <c r="M532" s="3207"/>
      <c r="N532" s="3207"/>
      <c r="O532" s="3207"/>
      <c r="P532" s="3207"/>
      <c r="Q532" s="3162"/>
      <c r="R532" s="3207"/>
      <c r="S532" s="3207"/>
      <c r="T532" s="3207"/>
      <c r="U532" s="3207"/>
      <c r="V532" s="3207"/>
      <c r="W532" s="3207"/>
      <c r="X532" s="3206"/>
      <c r="Y532" s="3293"/>
      <c r="Z532" s="1201"/>
      <c r="AA532" s="1201"/>
      <c r="AB532" s="1202"/>
      <c r="AC532" s="3333"/>
      <c r="AD532" s="3333"/>
      <c r="AE532" s="3333"/>
      <c r="AF532" s="3333"/>
    </row>
    <row r="533" spans="1:36" s="3120" customFormat="1" ht="18.75" customHeight="1" x14ac:dyDescent="0.2">
      <c r="A533" s="3384"/>
      <c r="B533" s="3383"/>
      <c r="C533" s="3147"/>
      <c r="D533" s="3146"/>
      <c r="E533" s="3145"/>
      <c r="F533" s="3144"/>
      <c r="G533" s="3145"/>
      <c r="H533" s="3304" t="s">
        <v>1300</v>
      </c>
      <c r="I533" s="3303" t="s">
        <v>116</v>
      </c>
      <c r="J533" s="3302" t="s">
        <v>1295</v>
      </c>
      <c r="K533" s="3317"/>
      <c r="L533" s="3316"/>
      <c r="M533" s="3301" t="s">
        <v>116</v>
      </c>
      <c r="N533" s="3302" t="s">
        <v>1296</v>
      </c>
      <c r="O533" s="3209"/>
      <c r="P533" s="3209"/>
      <c r="Q533" s="3301" t="s">
        <v>116</v>
      </c>
      <c r="R533" s="3302" t="s">
        <v>1297</v>
      </c>
      <c r="S533" s="3209"/>
      <c r="T533" s="3209"/>
      <c r="U533" s="3209"/>
      <c r="V533" s="3209"/>
      <c r="W533" s="3209"/>
      <c r="X533" s="3208"/>
      <c r="Y533" s="3293"/>
      <c r="Z533" s="1201"/>
      <c r="AA533" s="1201"/>
      <c r="AB533" s="1202"/>
      <c r="AC533" s="3333"/>
      <c r="AD533" s="3333"/>
      <c r="AE533" s="3333"/>
      <c r="AF533" s="3333"/>
      <c r="AI533" s="3120" t="str">
        <f>"2A:"&amp;IF(AND(I533="□",M533="□",Q533="□",I534="□",Q534="□"),"koriha_rryoho1_code:0:koriha_sryoho_code:0:koriha_gengo_code:0:riha_seisin_code:0:koriha_other_code:0",IF(I533="■","koriha_rryoho1_code:2","koriha_rryoho1_code:1")
&amp;IF(M533="■",":koriha_sryoho_code:2",":koriha_sryoho_code:1")
&amp;IF(Q533="■",":koriha_gengo_code:2",":koriha_gengo_code:1")
&amp;IF(I534="■",":riha_seisin_code:2",":riha_seisin_code:1")
&amp;IF(Q534="■",":koriha_other_code:2",":koriha_other_code:1"))</f>
        <v>2A:koriha_rryoho1_code:0:koriha_sryoho_code:0:koriha_gengo_code:0:riha_seisin_code:0:koriha_other_code:0</v>
      </c>
    </row>
    <row r="534" spans="1:36" s="3120" customFormat="1" ht="18.75" customHeight="1" x14ac:dyDescent="0.2">
      <c r="A534" s="3384"/>
      <c r="B534" s="3383"/>
      <c r="C534" s="3147"/>
      <c r="D534" s="3146"/>
      <c r="E534" s="3145"/>
      <c r="F534" s="3144"/>
      <c r="G534" s="3145"/>
      <c r="H534" s="3300"/>
      <c r="I534" s="3141" t="s">
        <v>116</v>
      </c>
      <c r="J534" s="3139" t="s">
        <v>1298</v>
      </c>
      <c r="K534" s="3207"/>
      <c r="L534" s="3207"/>
      <c r="M534" s="3207"/>
      <c r="N534" s="3207"/>
      <c r="O534" s="3207"/>
      <c r="P534" s="3207"/>
      <c r="Q534" s="3140" t="s">
        <v>116</v>
      </c>
      <c r="R534" s="3139" t="s">
        <v>1299</v>
      </c>
      <c r="S534" s="3162"/>
      <c r="T534" s="3207"/>
      <c r="U534" s="3207"/>
      <c r="V534" s="3207"/>
      <c r="W534" s="3207"/>
      <c r="X534" s="3206"/>
      <c r="Y534" s="3293"/>
      <c r="Z534" s="1201"/>
      <c r="AA534" s="1201"/>
      <c r="AB534" s="1202"/>
      <c r="AC534" s="3333"/>
      <c r="AD534" s="3333"/>
      <c r="AE534" s="3333"/>
      <c r="AF534" s="3333"/>
    </row>
    <row r="535" spans="1:36" s="3120" customFormat="1" ht="18.75" customHeight="1" x14ac:dyDescent="0.2">
      <c r="A535" s="3384"/>
      <c r="B535" s="3383"/>
      <c r="C535" s="3147"/>
      <c r="D535" s="3146"/>
      <c r="E535" s="3145"/>
      <c r="F535" s="3144"/>
      <c r="G535" s="3145"/>
      <c r="H535" s="3296" t="s">
        <v>1285</v>
      </c>
      <c r="I535" s="3155" t="s">
        <v>116</v>
      </c>
      <c r="J535" s="3137" t="s">
        <v>1230</v>
      </c>
      <c r="K535" s="3137"/>
      <c r="L535" s="3154" t="s">
        <v>116</v>
      </c>
      <c r="M535" s="3137" t="s">
        <v>1231</v>
      </c>
      <c r="N535" s="3137"/>
      <c r="O535" s="3154" t="s">
        <v>116</v>
      </c>
      <c r="P535" s="3137" t="s">
        <v>1232</v>
      </c>
      <c r="Q535" s="3150"/>
      <c r="R535" s="3150"/>
      <c r="S535" s="3150"/>
      <c r="T535" s="3150"/>
      <c r="U535" s="3209"/>
      <c r="V535" s="3209"/>
      <c r="W535" s="3209"/>
      <c r="X535" s="3208"/>
      <c r="Y535" s="3293"/>
      <c r="Z535" s="1201"/>
      <c r="AA535" s="1201"/>
      <c r="AB535" s="1202"/>
      <c r="AC535" s="3333"/>
      <c r="AD535" s="3333"/>
      <c r="AE535" s="3333"/>
      <c r="AF535" s="3333"/>
      <c r="AI535" s="3120" t="str">
        <f>"2A:field225:" &amp; IF(I535="■",1,IF(L535="■",2,IF(O535="■",3,0)))</f>
        <v>2A:field225:0</v>
      </c>
    </row>
    <row r="536" spans="1:36" s="3120" customFormat="1" ht="18.75" customHeight="1" x14ac:dyDescent="0.2">
      <c r="A536" s="3384"/>
      <c r="B536" s="3383"/>
      <c r="C536" s="3147"/>
      <c r="D536" s="3146"/>
      <c r="E536" s="3145"/>
      <c r="F536" s="3144"/>
      <c r="G536" s="3145"/>
      <c r="H536" s="3142" t="s">
        <v>238</v>
      </c>
      <c r="I536" s="3155" t="s">
        <v>116</v>
      </c>
      <c r="J536" s="3137" t="s">
        <v>1230</v>
      </c>
      <c r="K536" s="3137"/>
      <c r="L536" s="3154" t="s">
        <v>116</v>
      </c>
      <c r="M536" s="3137" t="s">
        <v>1259</v>
      </c>
      <c r="N536" s="3137"/>
      <c r="O536" s="3154" t="s">
        <v>116</v>
      </c>
      <c r="P536" s="3137" t="s">
        <v>1260</v>
      </c>
      <c r="Q536" s="3153"/>
      <c r="R536" s="3154" t="s">
        <v>116</v>
      </c>
      <c r="S536" s="3137" t="s">
        <v>1261</v>
      </c>
      <c r="T536" s="3153"/>
      <c r="U536" s="3153"/>
      <c r="V536" s="3153"/>
      <c r="W536" s="3153"/>
      <c r="X536" s="3152"/>
      <c r="Y536" s="3293"/>
      <c r="Z536" s="1201"/>
      <c r="AA536" s="1201"/>
      <c r="AB536" s="1202"/>
      <c r="AC536" s="3333"/>
      <c r="AD536" s="3333"/>
      <c r="AE536" s="3333"/>
      <c r="AF536" s="3333"/>
      <c r="AI536" s="3120" t="str">
        <f>"2A:serteikyo_kyoka_code:" &amp; IF(I536="■",1,IF(L536="■",6,IF(O536="■",5,IF(R536="■",7,0))))</f>
        <v>2A:serteikyo_kyoka_code:0</v>
      </c>
    </row>
    <row r="537" spans="1:36" s="3120" customFormat="1" ht="18.75" customHeight="1" x14ac:dyDescent="0.2">
      <c r="A537" s="3384"/>
      <c r="B537" s="3383"/>
      <c r="C537" s="3147"/>
      <c r="D537" s="3146"/>
      <c r="E537" s="3145"/>
      <c r="F537" s="3144"/>
      <c r="G537" s="3145"/>
      <c r="H537" s="3170" t="s">
        <v>2058</v>
      </c>
      <c r="I537" s="3348" t="s">
        <v>116</v>
      </c>
      <c r="J537" s="3347" t="s">
        <v>1230</v>
      </c>
      <c r="K537" s="3347"/>
      <c r="L537" s="3346" t="s">
        <v>116</v>
      </c>
      <c r="M537" s="3347" t="s">
        <v>1233</v>
      </c>
      <c r="N537" s="3347"/>
      <c r="O537" s="3302"/>
      <c r="P537" s="3302"/>
      <c r="Q537" s="3302"/>
      <c r="R537" s="3302"/>
      <c r="S537" s="3302"/>
      <c r="T537" s="3302"/>
      <c r="U537" s="3302"/>
      <c r="V537" s="3302"/>
      <c r="W537" s="3302"/>
      <c r="X537" s="3335"/>
      <c r="Y537" s="3293"/>
      <c r="Z537" s="1201"/>
      <c r="AA537" s="1201"/>
      <c r="AB537" s="1202"/>
      <c r="AC537" s="3333"/>
      <c r="AD537" s="3333"/>
      <c r="AE537" s="3333"/>
      <c r="AF537" s="3333"/>
      <c r="AI537" s="3120" t="str">
        <f>"2A:field221:" &amp; IF(I537="■",1,IF(L537="■",2,0))</f>
        <v>2A:field221:0</v>
      </c>
    </row>
    <row r="538" spans="1:36" s="3120" customFormat="1" ht="18.75" customHeight="1" x14ac:dyDescent="0.2">
      <c r="A538" s="3384"/>
      <c r="B538" s="3383"/>
      <c r="C538" s="3147"/>
      <c r="D538" s="3146"/>
      <c r="E538" s="3145"/>
      <c r="F538" s="3144"/>
      <c r="G538" s="3145"/>
      <c r="H538" s="3165"/>
      <c r="I538" s="3348"/>
      <c r="J538" s="3347"/>
      <c r="K538" s="3347"/>
      <c r="L538" s="3346"/>
      <c r="M538" s="3347"/>
      <c r="N538" s="3347"/>
      <c r="O538" s="3139"/>
      <c r="P538" s="3139"/>
      <c r="Q538" s="3139"/>
      <c r="R538" s="3139"/>
      <c r="S538" s="3139"/>
      <c r="T538" s="3139"/>
      <c r="U538" s="3139"/>
      <c r="V538" s="3139"/>
      <c r="W538" s="3139"/>
      <c r="X538" s="3195"/>
      <c r="Y538" s="3293"/>
      <c r="Z538" s="1201"/>
      <c r="AA538" s="1201"/>
      <c r="AB538" s="1202"/>
      <c r="AC538" s="3333"/>
      <c r="AD538" s="3333"/>
      <c r="AE538" s="3333"/>
      <c r="AF538" s="3333"/>
    </row>
    <row r="539" spans="1:36" s="3120" customFormat="1" ht="18.75" customHeight="1" x14ac:dyDescent="0.2">
      <c r="A539" s="834"/>
      <c r="B539" s="3148"/>
      <c r="C539" s="3147"/>
      <c r="D539" s="3146"/>
      <c r="E539" s="3145"/>
      <c r="F539" s="3144"/>
      <c r="G539" s="3175"/>
      <c r="H539" s="3331" t="s">
        <v>2129</v>
      </c>
      <c r="I539" s="3303" t="s">
        <v>116</v>
      </c>
      <c r="J539" s="3327" t="s">
        <v>1230</v>
      </c>
      <c r="K539" s="3327"/>
      <c r="L539" s="3301" t="s">
        <v>116</v>
      </c>
      <c r="M539" s="3327" t="s">
        <v>2128</v>
      </c>
      <c r="N539" s="3330"/>
      <c r="O539" s="3301" t="s">
        <v>116</v>
      </c>
      <c r="P539" s="3329" t="s">
        <v>2127</v>
      </c>
      <c r="Q539" s="3328"/>
      <c r="R539" s="3301" t="s">
        <v>116</v>
      </c>
      <c r="S539" s="3327" t="s">
        <v>2126</v>
      </c>
      <c r="T539" s="3328"/>
      <c r="U539" s="3301" t="s">
        <v>116</v>
      </c>
      <c r="V539" s="3327" t="s">
        <v>2125</v>
      </c>
      <c r="W539" s="3326"/>
      <c r="X539" s="3325"/>
      <c r="Y539" s="1201"/>
      <c r="Z539" s="1201"/>
      <c r="AA539" s="1201"/>
      <c r="AB539" s="1202"/>
      <c r="AC539" s="3333"/>
      <c r="AD539" s="3333"/>
      <c r="AE539" s="3333"/>
      <c r="AF539" s="3333"/>
      <c r="AI539" s="3120" t="str">
        <f>"2A:shoguukaizen_code:"&amp;IF(I539="■",1,IF(L539="■",7,IF(O539="■",8,IF(R539="■",9,IF(U539="■","A",0)))))</f>
        <v>2A:shoguukaizen_code:0</v>
      </c>
    </row>
    <row r="540" spans="1:36" s="3120" customFormat="1" ht="18.75" customHeight="1" x14ac:dyDescent="0.2">
      <c r="A540" s="3388"/>
      <c r="B540" s="3387"/>
      <c r="C540" s="3229"/>
      <c r="D540" s="3228"/>
      <c r="E540" s="3185"/>
      <c r="F540" s="3184"/>
      <c r="G540" s="3185"/>
      <c r="H540" s="3265" t="s">
        <v>1286</v>
      </c>
      <c r="I540" s="3253" t="s">
        <v>116</v>
      </c>
      <c r="J540" s="3252" t="s">
        <v>1282</v>
      </c>
      <c r="K540" s="3311"/>
      <c r="L540" s="3386"/>
      <c r="M540" s="3310" t="s">
        <v>116</v>
      </c>
      <c r="N540" s="3252" t="s">
        <v>1289</v>
      </c>
      <c r="O540" s="3309"/>
      <c r="P540" s="3309"/>
      <c r="Q540" s="3310" t="s">
        <v>116</v>
      </c>
      <c r="R540" s="3252" t="s">
        <v>1290</v>
      </c>
      <c r="S540" s="3309"/>
      <c r="T540" s="3309"/>
      <c r="U540" s="3310" t="s">
        <v>116</v>
      </c>
      <c r="V540" s="3252" t="s">
        <v>1291</v>
      </c>
      <c r="W540" s="3309"/>
      <c r="X540" s="3266"/>
      <c r="Y540" s="3310" t="s">
        <v>116</v>
      </c>
      <c r="Z540" s="3252" t="s">
        <v>1225</v>
      </c>
      <c r="AA540" s="3252"/>
      <c r="AB540" s="3308"/>
      <c r="AC540" s="3338"/>
      <c r="AD540" s="3338"/>
      <c r="AE540" s="3338"/>
      <c r="AF540" s="3338"/>
      <c r="AG540" s="3120" t="str">
        <f>"ser_code = '" &amp; IF(A550="■","2A","") &amp; "'"</f>
        <v>ser_code = ''</v>
      </c>
      <c r="AH540" s="3120" t="str">
        <f>"2A:jininkbn_code:"&amp;IF(F550="■",1,IF(F551="■",2,0))</f>
        <v>2A:jininkbn_code:0</v>
      </c>
      <c r="AI540" s="3120" t="str">
        <f>"2A:yakan_kinmu_code:" &amp; IF(I540="■",1,IF(M540="■",2,IF(Q540="■",3,IF(U540="■",7,IF(I541="■",5,IF(M541="■",6,0))))))</f>
        <v>2A:yakan_kinmu_code:0</v>
      </c>
      <c r="AJ540" s="3120" t="str">
        <f>"2A:field203:" &amp; IF(Y540="■",1,IF(Y541="■",2,0))</f>
        <v>2A:field203:0</v>
      </c>
    </row>
    <row r="541" spans="1:36" s="3120" customFormat="1" ht="18.75" customHeight="1" x14ac:dyDescent="0.2">
      <c r="A541" s="3384"/>
      <c r="B541" s="3383"/>
      <c r="C541" s="3147"/>
      <c r="D541" s="3146"/>
      <c r="E541" s="3145"/>
      <c r="F541" s="3144"/>
      <c r="G541" s="3145"/>
      <c r="H541" s="3300"/>
      <c r="I541" s="3141" t="s">
        <v>116</v>
      </c>
      <c r="J541" s="3139" t="s">
        <v>1292</v>
      </c>
      <c r="K541" s="3138"/>
      <c r="L541" s="3385"/>
      <c r="M541" s="3140" t="s">
        <v>116</v>
      </c>
      <c r="N541" s="3139" t="s">
        <v>1283</v>
      </c>
      <c r="O541" s="3162"/>
      <c r="P541" s="3162"/>
      <c r="Q541" s="3162"/>
      <c r="R541" s="3162"/>
      <c r="S541" s="3162"/>
      <c r="T541" s="3162"/>
      <c r="U541" s="3162"/>
      <c r="V541" s="3162"/>
      <c r="W541" s="3162"/>
      <c r="X541" s="3161"/>
      <c r="Y541" s="3258" t="s">
        <v>116</v>
      </c>
      <c r="Z541" s="1200" t="s">
        <v>1226</v>
      </c>
      <c r="AA541" s="1201"/>
      <c r="AB541" s="1202"/>
      <c r="AC541" s="3349"/>
      <c r="AD541" s="3349"/>
      <c r="AE541" s="3349"/>
      <c r="AF541" s="3349"/>
      <c r="AG541" s="3120" t="str">
        <f>"2A:sisetukbn_code:"&amp;IF(D550="■","6",0)</f>
        <v>2A:sisetukbn_code:0</v>
      </c>
    </row>
    <row r="542" spans="1:36" s="3120" customFormat="1" ht="18.75" customHeight="1" x14ac:dyDescent="0.2">
      <c r="A542" s="3384"/>
      <c r="B542" s="3383"/>
      <c r="C542" s="3147"/>
      <c r="D542" s="3146"/>
      <c r="E542" s="3145"/>
      <c r="F542" s="3144"/>
      <c r="G542" s="3145"/>
      <c r="H542" s="3304" t="s">
        <v>90</v>
      </c>
      <c r="I542" s="3303" t="s">
        <v>116</v>
      </c>
      <c r="J542" s="3302" t="s">
        <v>1230</v>
      </c>
      <c r="K542" s="3302"/>
      <c r="L542" s="3316"/>
      <c r="M542" s="3301" t="s">
        <v>116</v>
      </c>
      <c r="N542" s="3302" t="s">
        <v>1262</v>
      </c>
      <c r="O542" s="3302"/>
      <c r="P542" s="3316"/>
      <c r="Q542" s="3301" t="s">
        <v>116</v>
      </c>
      <c r="R542" s="3167" t="s">
        <v>1302</v>
      </c>
      <c r="S542" s="3167"/>
      <c r="T542" s="3167"/>
      <c r="U542" s="3209"/>
      <c r="V542" s="3316"/>
      <c r="W542" s="3167"/>
      <c r="X542" s="3208"/>
      <c r="Y542" s="3293"/>
      <c r="Z542" s="1201"/>
      <c r="AA542" s="1201"/>
      <c r="AB542" s="1202"/>
      <c r="AC542" s="3333"/>
      <c r="AD542" s="3333"/>
      <c r="AE542" s="3333"/>
      <c r="AF542" s="3333"/>
      <c r="AI542" s="3120" t="str">
        <f>"2A:"&amp;IF(AND(I542="□",M542="□",Q542="□",I543="□",M543="□"),"ketu_doctor_code:0",IF(I542="■","ketu_doctor_code:1:field197:1:ketu_kangos_code:1:ketu_kshoku_code:1",IF(M542="■","ketu_doctor_code:2","ketu_doctor_code:1")
&amp;IF(Q542="■",":field197:2",":field197:1")
&amp;IF(I543="■",":ketu_kangos_code:2",":ketu_kangos_code:1")
&amp;IF(M543="■",":ketu_kshoku_code:2",":ketu_kshoku_code:1")))</f>
        <v>2A:ketu_doctor_code:0</v>
      </c>
    </row>
    <row r="543" spans="1:36" s="3120" customFormat="1" ht="18.75" customHeight="1" x14ac:dyDescent="0.2">
      <c r="A543" s="3384"/>
      <c r="B543" s="3383"/>
      <c r="C543" s="3147"/>
      <c r="D543" s="3146"/>
      <c r="E543" s="3145"/>
      <c r="F543" s="3144"/>
      <c r="G543" s="3145"/>
      <c r="H543" s="3300"/>
      <c r="I543" s="3141" t="s">
        <v>116</v>
      </c>
      <c r="J543" s="3162" t="s">
        <v>1303</v>
      </c>
      <c r="K543" s="3162"/>
      <c r="L543" s="3162"/>
      <c r="M543" s="3140" t="s">
        <v>116</v>
      </c>
      <c r="N543" s="3162" t="s">
        <v>1304</v>
      </c>
      <c r="O543" s="3385"/>
      <c r="P543" s="3162"/>
      <c r="Q543" s="3162"/>
      <c r="R543" s="3385"/>
      <c r="S543" s="3162"/>
      <c r="T543" s="3162"/>
      <c r="U543" s="3207"/>
      <c r="V543" s="3385"/>
      <c r="W543" s="3162"/>
      <c r="X543" s="3206"/>
      <c r="Y543" s="3293"/>
      <c r="Z543" s="1201"/>
      <c r="AA543" s="1201"/>
      <c r="AB543" s="1202"/>
      <c r="AC543" s="3333"/>
      <c r="AD543" s="3333"/>
      <c r="AE543" s="3333"/>
      <c r="AF543" s="3333"/>
    </row>
    <row r="544" spans="1:36" s="3120" customFormat="1" ht="18.75" customHeight="1" x14ac:dyDescent="0.2">
      <c r="A544" s="3384"/>
      <c r="B544" s="3383"/>
      <c r="C544" s="3147"/>
      <c r="D544" s="3146"/>
      <c r="E544" s="3145"/>
      <c r="F544" s="3144"/>
      <c r="G544" s="3145"/>
      <c r="H544" s="3151" t="s">
        <v>91</v>
      </c>
      <c r="I544" s="3155" t="s">
        <v>116</v>
      </c>
      <c r="J544" s="3137" t="s">
        <v>1240</v>
      </c>
      <c r="K544" s="3171"/>
      <c r="L544" s="3173"/>
      <c r="M544" s="3154" t="s">
        <v>116</v>
      </c>
      <c r="N544" s="3137" t="s">
        <v>1241</v>
      </c>
      <c r="O544" s="3150"/>
      <c r="P544" s="3150"/>
      <c r="Q544" s="3150"/>
      <c r="R544" s="3150"/>
      <c r="S544" s="3150"/>
      <c r="T544" s="3150"/>
      <c r="U544" s="3150"/>
      <c r="V544" s="3150"/>
      <c r="W544" s="3150"/>
      <c r="X544" s="3149"/>
      <c r="Y544" s="3293"/>
      <c r="Z544" s="1201"/>
      <c r="AA544" s="1201"/>
      <c r="AB544" s="1202"/>
      <c r="AC544" s="3333"/>
      <c r="AD544" s="3333"/>
      <c r="AE544" s="3333"/>
      <c r="AF544" s="3333"/>
      <c r="AI544" s="3120" t="str">
        <f>"2A:unitcare_code:" &amp; IF(I544="■",1,IF(M544="■",2,0))</f>
        <v>2A:unitcare_code:0</v>
      </c>
    </row>
    <row r="545" spans="1:35" s="3120" customFormat="1" ht="18.75" customHeight="1" x14ac:dyDescent="0.2">
      <c r="A545" s="834"/>
      <c r="B545" s="3148"/>
      <c r="C545" s="3295"/>
      <c r="D545" s="3294"/>
      <c r="E545" s="3145"/>
      <c r="F545" s="3144"/>
      <c r="G545" s="3175"/>
      <c r="H545" s="3381" t="s">
        <v>1325</v>
      </c>
      <c r="I545" s="3222" t="s">
        <v>116</v>
      </c>
      <c r="J545" s="3217" t="s">
        <v>1228</v>
      </c>
      <c r="K545" s="3221"/>
      <c r="L545" s="3220"/>
      <c r="M545" s="3219" t="s">
        <v>116</v>
      </c>
      <c r="N545" s="3217" t="s">
        <v>1322</v>
      </c>
      <c r="O545" s="3221"/>
      <c r="P545" s="3380"/>
      <c r="Q545" s="3380"/>
      <c r="R545" s="3380"/>
      <c r="S545" s="3380"/>
      <c r="T545" s="3380"/>
      <c r="U545" s="3380"/>
      <c r="V545" s="3380"/>
      <c r="W545" s="3380"/>
      <c r="X545" s="3379"/>
      <c r="Y545" s="3293"/>
      <c r="Z545" s="1201"/>
      <c r="AA545" s="1201"/>
      <c r="AB545" s="1202"/>
      <c r="AC545" s="3333"/>
      <c r="AD545" s="3333"/>
      <c r="AE545" s="3333"/>
      <c r="AF545" s="3333"/>
      <c r="AI545" s="3120" t="str">
        <f>"2A:sintaikousoku_code:" &amp; IF(I545="■",1,IF(M545="■",2,0))</f>
        <v>2A:sintaikousoku_code:0</v>
      </c>
    </row>
    <row r="546" spans="1:35" s="3120" customFormat="1" ht="19.5" customHeight="1" x14ac:dyDescent="0.2">
      <c r="A546" s="834"/>
      <c r="B546" s="3148"/>
      <c r="C546" s="3147"/>
      <c r="D546" s="3146"/>
      <c r="E546" s="3145"/>
      <c r="F546" s="3144"/>
      <c r="G546" s="3175"/>
      <c r="H546" s="3174" t="s">
        <v>1227</v>
      </c>
      <c r="I546" s="3155" t="s">
        <v>116</v>
      </c>
      <c r="J546" s="3137" t="s">
        <v>1228</v>
      </c>
      <c r="K546" s="3171"/>
      <c r="L546" s="3173"/>
      <c r="M546" s="3154" t="s">
        <v>116</v>
      </c>
      <c r="N546" s="3137" t="s">
        <v>1229</v>
      </c>
      <c r="O546" s="3299"/>
      <c r="P546" s="3137"/>
      <c r="Q546" s="3150"/>
      <c r="R546" s="3150"/>
      <c r="S546" s="3150"/>
      <c r="T546" s="3150"/>
      <c r="U546" s="3150"/>
      <c r="V546" s="3150"/>
      <c r="W546" s="3150"/>
      <c r="X546" s="3149"/>
      <c r="Y546" s="1201"/>
      <c r="Z546" s="1201"/>
      <c r="AA546" s="1201"/>
      <c r="AB546" s="1202"/>
      <c r="AC546" s="3333"/>
      <c r="AD546" s="3333"/>
      <c r="AE546" s="3333"/>
      <c r="AF546" s="3333"/>
      <c r="AI546" s="3120" t="str">
        <f>"2A:field223:" &amp; IF(I546="■",1,IF(M546="■",2,0))</f>
        <v>2A:field223:0</v>
      </c>
    </row>
    <row r="547" spans="1:35" s="3120" customFormat="1" ht="19.5" customHeight="1" x14ac:dyDescent="0.2">
      <c r="A547" s="834"/>
      <c r="B547" s="3148"/>
      <c r="C547" s="3147"/>
      <c r="D547" s="3146"/>
      <c r="E547" s="3145"/>
      <c r="F547" s="3144"/>
      <c r="G547" s="3175"/>
      <c r="H547" s="3174" t="s">
        <v>1253</v>
      </c>
      <c r="I547" s="3155" t="s">
        <v>116</v>
      </c>
      <c r="J547" s="3137" t="s">
        <v>1228</v>
      </c>
      <c r="K547" s="3171"/>
      <c r="L547" s="3173"/>
      <c r="M547" s="3154" t="s">
        <v>116</v>
      </c>
      <c r="N547" s="3137" t="s">
        <v>1229</v>
      </c>
      <c r="O547" s="3299"/>
      <c r="P547" s="3137"/>
      <c r="Q547" s="3150"/>
      <c r="R547" s="3150"/>
      <c r="S547" s="3150"/>
      <c r="T547" s="3150"/>
      <c r="U547" s="3150"/>
      <c r="V547" s="3150"/>
      <c r="W547" s="3150"/>
      <c r="X547" s="3149"/>
      <c r="Y547" s="1201"/>
      <c r="Z547" s="1201"/>
      <c r="AA547" s="1201"/>
      <c r="AB547" s="1202"/>
      <c r="AC547" s="3333"/>
      <c r="AD547" s="3333"/>
      <c r="AE547" s="3333"/>
      <c r="AF547" s="3333"/>
      <c r="AI547" s="3120" t="str">
        <f>"2A:field232:" &amp; IF(I547="■",1,IF(M547="■",2,0))</f>
        <v>2A:field232:0</v>
      </c>
    </row>
    <row r="548" spans="1:35" s="3120" customFormat="1" ht="18.75" customHeight="1" x14ac:dyDescent="0.2">
      <c r="A548" s="3384"/>
      <c r="B548" s="3383"/>
      <c r="C548" s="3147"/>
      <c r="D548" s="3146"/>
      <c r="E548" s="3145"/>
      <c r="F548" s="3144"/>
      <c r="G548" s="3145"/>
      <c r="H548" s="3151" t="s">
        <v>236</v>
      </c>
      <c r="I548" s="3155" t="s">
        <v>116</v>
      </c>
      <c r="J548" s="3137" t="s">
        <v>1282</v>
      </c>
      <c r="K548" s="3171"/>
      <c r="L548" s="3173"/>
      <c r="M548" s="3154" t="s">
        <v>116</v>
      </c>
      <c r="N548" s="3137" t="s">
        <v>1293</v>
      </c>
      <c r="O548" s="3150"/>
      <c r="P548" s="3150"/>
      <c r="Q548" s="3150"/>
      <c r="R548" s="3150"/>
      <c r="S548" s="3150"/>
      <c r="T548" s="3150"/>
      <c r="U548" s="3150"/>
      <c r="V548" s="3150"/>
      <c r="W548" s="3150"/>
      <c r="X548" s="3149"/>
      <c r="Y548" s="3293"/>
      <c r="Z548" s="1201"/>
      <c r="AA548" s="1201"/>
      <c r="AB548" s="1202"/>
      <c r="AC548" s="3333"/>
      <c r="AD548" s="3333"/>
      <c r="AE548" s="3333"/>
      <c r="AF548" s="3333"/>
      <c r="AI548" s="3120" t="str">
        <f>"2A:field190:" &amp; IF(I548="■",1,IF(M548="■",2,0))</f>
        <v>2A:field190:0</v>
      </c>
    </row>
    <row r="549" spans="1:35" s="3120" customFormat="1" ht="18.75" customHeight="1" x14ac:dyDescent="0.2">
      <c r="A549" s="3384"/>
      <c r="B549" s="3383"/>
      <c r="C549" s="3147"/>
      <c r="D549" s="3146"/>
      <c r="E549" s="3145"/>
      <c r="F549" s="3144"/>
      <c r="G549" s="3145"/>
      <c r="H549" s="3151" t="s">
        <v>1305</v>
      </c>
      <c r="I549" s="3155" t="s">
        <v>116</v>
      </c>
      <c r="J549" s="3137" t="s">
        <v>1282</v>
      </c>
      <c r="K549" s="3171"/>
      <c r="L549" s="3173"/>
      <c r="M549" s="3154" t="s">
        <v>116</v>
      </c>
      <c r="N549" s="3137" t="s">
        <v>1293</v>
      </c>
      <c r="O549" s="3150"/>
      <c r="P549" s="3150"/>
      <c r="Q549" s="3150"/>
      <c r="R549" s="3150"/>
      <c r="S549" s="3150"/>
      <c r="T549" s="3150"/>
      <c r="U549" s="3150"/>
      <c r="V549" s="3150"/>
      <c r="W549" s="3150"/>
      <c r="X549" s="3149"/>
      <c r="Y549" s="3293"/>
      <c r="Z549" s="1201"/>
      <c r="AA549" s="1201"/>
      <c r="AB549" s="1202"/>
      <c r="AC549" s="3333"/>
      <c r="AD549" s="3333"/>
      <c r="AE549" s="3333"/>
      <c r="AF549" s="3333"/>
      <c r="AI549" s="3120" t="str">
        <f>"2A:field191:" &amp; IF(I549="■",1,IF(M549="■",2,0))</f>
        <v>2A:field191:0</v>
      </c>
    </row>
    <row r="550" spans="1:35" s="3120" customFormat="1" ht="18.75" customHeight="1" x14ac:dyDescent="0.2">
      <c r="A550" s="3158" t="s">
        <v>116</v>
      </c>
      <c r="B550" s="3383" t="s">
        <v>571</v>
      </c>
      <c r="C550" s="3147" t="s">
        <v>924</v>
      </c>
      <c r="D550" s="3258" t="s">
        <v>116</v>
      </c>
      <c r="E550" s="3145" t="s">
        <v>1321</v>
      </c>
      <c r="F550" s="3258" t="s">
        <v>116</v>
      </c>
      <c r="G550" s="3145" t="s">
        <v>1318</v>
      </c>
      <c r="H550" s="3151" t="s">
        <v>1256</v>
      </c>
      <c r="I550" s="3155" t="s">
        <v>116</v>
      </c>
      <c r="J550" s="3137" t="s">
        <v>1230</v>
      </c>
      <c r="K550" s="3171"/>
      <c r="L550" s="3154" t="s">
        <v>116</v>
      </c>
      <c r="M550" s="3137" t="s">
        <v>1233</v>
      </c>
      <c r="N550" s="3150"/>
      <c r="O550" s="3150"/>
      <c r="P550" s="3150"/>
      <c r="Q550" s="3150"/>
      <c r="R550" s="3150"/>
      <c r="S550" s="3150"/>
      <c r="T550" s="3150"/>
      <c r="U550" s="3150"/>
      <c r="V550" s="3150"/>
      <c r="W550" s="3150"/>
      <c r="X550" s="3149"/>
      <c r="Y550" s="3293"/>
      <c r="Z550" s="1201"/>
      <c r="AA550" s="1201"/>
      <c r="AB550" s="1202"/>
      <c r="AC550" s="3333"/>
      <c r="AD550" s="3333"/>
      <c r="AE550" s="3333"/>
      <c r="AF550" s="3333"/>
      <c r="AI550" s="3120" t="str">
        <f>"2A:jyakuninti_uke_code:" &amp; IF(I550="■",1,IF(L550="■",2,0))</f>
        <v>2A:jyakuninti_uke_code:0</v>
      </c>
    </row>
    <row r="551" spans="1:35" s="3120" customFormat="1" ht="18.75" customHeight="1" x14ac:dyDescent="0.2">
      <c r="A551" s="3384"/>
      <c r="B551" s="3383"/>
      <c r="C551" s="3147"/>
      <c r="D551" s="3146"/>
      <c r="E551" s="3145"/>
      <c r="F551" s="3258" t="s">
        <v>116</v>
      </c>
      <c r="G551" s="3145" t="s">
        <v>1301</v>
      </c>
      <c r="H551" s="3151" t="s">
        <v>1284</v>
      </c>
      <c r="I551" s="3155" t="s">
        <v>116</v>
      </c>
      <c r="J551" s="3137" t="s">
        <v>1240</v>
      </c>
      <c r="K551" s="3171"/>
      <c r="L551" s="3173"/>
      <c r="M551" s="3154" t="s">
        <v>116</v>
      </c>
      <c r="N551" s="3137" t="s">
        <v>1241</v>
      </c>
      <c r="O551" s="3150"/>
      <c r="P551" s="3150"/>
      <c r="Q551" s="3150"/>
      <c r="R551" s="3150"/>
      <c r="S551" s="3150"/>
      <c r="T551" s="3150"/>
      <c r="U551" s="3150"/>
      <c r="V551" s="3150"/>
      <c r="W551" s="3150"/>
      <c r="X551" s="3149"/>
      <c r="Y551" s="3293"/>
      <c r="Z551" s="1201"/>
      <c r="AA551" s="1201"/>
      <c r="AB551" s="1202"/>
      <c r="AC551" s="3333"/>
      <c r="AD551" s="3333"/>
      <c r="AE551" s="3333"/>
      <c r="AF551" s="3333"/>
      <c r="AI551" s="3120" t="str">
        <f>"2A:sougei_code:" &amp; IF(I551="■",1,IF(M551="■",2,0))</f>
        <v>2A:sougei_code:0</v>
      </c>
    </row>
    <row r="552" spans="1:35" s="3120" customFormat="1" ht="19.5" customHeight="1" x14ac:dyDescent="0.2">
      <c r="A552" s="3384"/>
      <c r="B552" s="3383"/>
      <c r="C552" s="3147"/>
      <c r="D552" s="3146"/>
      <c r="E552" s="3145"/>
      <c r="F552" s="3146"/>
      <c r="G552" s="3145"/>
      <c r="H552" s="3174" t="s">
        <v>1236</v>
      </c>
      <c r="I552" s="3155" t="s">
        <v>116</v>
      </c>
      <c r="J552" s="3137" t="s">
        <v>1230</v>
      </c>
      <c r="K552" s="3137"/>
      <c r="L552" s="3154" t="s">
        <v>116</v>
      </c>
      <c r="M552" s="3137" t="s">
        <v>1233</v>
      </c>
      <c r="N552" s="3137"/>
      <c r="O552" s="3150"/>
      <c r="P552" s="3137"/>
      <c r="Q552" s="3150"/>
      <c r="R552" s="3150"/>
      <c r="S552" s="3150"/>
      <c r="T552" s="3150"/>
      <c r="U552" s="3150"/>
      <c r="V552" s="3150"/>
      <c r="W552" s="3150"/>
      <c r="X552" s="3149"/>
      <c r="Y552" s="1201"/>
      <c r="Z552" s="1201"/>
      <c r="AA552" s="1201"/>
      <c r="AB552" s="1202"/>
      <c r="AC552" s="3333"/>
      <c r="AD552" s="3333"/>
      <c r="AE552" s="3333"/>
      <c r="AF552" s="3333"/>
      <c r="AI552" s="3120" t="str">
        <f>"2A:field224:" &amp; IF(I552="■",1,IF(L552="■",2,0))</f>
        <v>2A:field224:0</v>
      </c>
    </row>
    <row r="553" spans="1:35" s="3120" customFormat="1" ht="18.75" customHeight="1" x14ac:dyDescent="0.2">
      <c r="A553" s="3384"/>
      <c r="B553" s="3383"/>
      <c r="C553" s="3147"/>
      <c r="D553" s="3146"/>
      <c r="E553" s="3145"/>
      <c r="F553" s="3146"/>
      <c r="G553" s="3145"/>
      <c r="H553" s="3151" t="s">
        <v>140</v>
      </c>
      <c r="I553" s="3155" t="s">
        <v>116</v>
      </c>
      <c r="J553" s="3137" t="s">
        <v>1230</v>
      </c>
      <c r="K553" s="3171"/>
      <c r="L553" s="3154" t="s">
        <v>116</v>
      </c>
      <c r="M553" s="3137" t="s">
        <v>1233</v>
      </c>
      <c r="N553" s="3150"/>
      <c r="O553" s="3150"/>
      <c r="P553" s="3150"/>
      <c r="Q553" s="3150"/>
      <c r="R553" s="3150"/>
      <c r="S553" s="3150"/>
      <c r="T553" s="3150"/>
      <c r="U553" s="3150"/>
      <c r="V553" s="3150"/>
      <c r="W553" s="3150"/>
      <c r="X553" s="3149"/>
      <c r="Y553" s="3293"/>
      <c r="Z553" s="1201"/>
      <c r="AA553" s="1201"/>
      <c r="AB553" s="1202"/>
      <c r="AC553" s="3333"/>
      <c r="AD553" s="3333"/>
      <c r="AE553" s="3333"/>
      <c r="AF553" s="3333"/>
      <c r="AI553" s="3120" t="str">
        <f>"2A:ryouyoushoku_code:" &amp; IF(I553="■",1,IF(L553="■",2,0))</f>
        <v>2A:ryouyoushoku_code:0</v>
      </c>
    </row>
    <row r="554" spans="1:35" s="3120" customFormat="1" ht="18.75" customHeight="1" x14ac:dyDescent="0.2">
      <c r="A554" s="3384"/>
      <c r="B554" s="3383"/>
      <c r="C554" s="3147"/>
      <c r="D554" s="3146"/>
      <c r="E554" s="3145"/>
      <c r="F554" s="3146"/>
      <c r="G554" s="3145"/>
      <c r="H554" s="3151" t="s">
        <v>1237</v>
      </c>
      <c r="I554" s="3155" t="s">
        <v>116</v>
      </c>
      <c r="J554" s="3137" t="s">
        <v>1230</v>
      </c>
      <c r="K554" s="3137"/>
      <c r="L554" s="3154" t="s">
        <v>116</v>
      </c>
      <c r="M554" s="3137" t="s">
        <v>1231</v>
      </c>
      <c r="N554" s="3137"/>
      <c r="O554" s="3154" t="s">
        <v>116</v>
      </c>
      <c r="P554" s="3137" t="s">
        <v>1232</v>
      </c>
      <c r="Q554" s="3150"/>
      <c r="R554" s="3150"/>
      <c r="S554" s="3150"/>
      <c r="T554" s="3150"/>
      <c r="U554" s="3150"/>
      <c r="V554" s="3150"/>
      <c r="W554" s="3150"/>
      <c r="X554" s="3149"/>
      <c r="Y554" s="3293"/>
      <c r="Z554" s="1201"/>
      <c r="AA554" s="1201"/>
      <c r="AB554" s="1202"/>
      <c r="AC554" s="3333"/>
      <c r="AD554" s="3333"/>
      <c r="AE554" s="3333"/>
      <c r="AF554" s="3333"/>
      <c r="AI554" s="3120" t="str">
        <f>"2A:ninti_senmoncare_code:" &amp; IF(I554="■",1,IF(O554="■",3,IF(L554="■",2,0)))</f>
        <v>2A:ninti_senmoncare_code:0</v>
      </c>
    </row>
    <row r="555" spans="1:35" s="3120" customFormat="1" ht="18.75" customHeight="1" x14ac:dyDescent="0.2">
      <c r="A555" s="3384"/>
      <c r="B555" s="3383"/>
      <c r="C555" s="3147"/>
      <c r="D555" s="3146"/>
      <c r="E555" s="3145"/>
      <c r="F555" s="3144"/>
      <c r="G555" s="3145"/>
      <c r="H555" s="3151" t="s">
        <v>244</v>
      </c>
      <c r="I555" s="3155" t="s">
        <v>116</v>
      </c>
      <c r="J555" s="3137" t="s">
        <v>1230</v>
      </c>
      <c r="K555" s="3137"/>
      <c r="L555" s="3154" t="s">
        <v>116</v>
      </c>
      <c r="M555" s="3137" t="s">
        <v>1231</v>
      </c>
      <c r="N555" s="3137"/>
      <c r="O555" s="3154" t="s">
        <v>116</v>
      </c>
      <c r="P555" s="3137" t="s">
        <v>1232</v>
      </c>
      <c r="Q555" s="3150"/>
      <c r="R555" s="3150"/>
      <c r="S555" s="3150"/>
      <c r="T555" s="3150"/>
      <c r="U555" s="3150"/>
      <c r="V555" s="3150"/>
      <c r="W555" s="3150"/>
      <c r="X555" s="3149"/>
      <c r="Y555" s="3293"/>
      <c r="Z555" s="1201"/>
      <c r="AA555" s="1201"/>
      <c r="AB555" s="1202"/>
      <c r="AC555" s="3333"/>
      <c r="AD555" s="3333"/>
      <c r="AE555" s="3333"/>
      <c r="AF555" s="3333"/>
      <c r="AI555" s="3120" t="str">
        <f>"2A:field164:" &amp; IF(I555="■",1,IF(L555="■",2,IF(O555="■",3,0)))</f>
        <v>2A:field164:0</v>
      </c>
    </row>
    <row r="556" spans="1:35" s="3120" customFormat="1" ht="18.75" customHeight="1" x14ac:dyDescent="0.2">
      <c r="A556" s="3384"/>
      <c r="B556" s="3383"/>
      <c r="C556" s="3147"/>
      <c r="D556" s="3146"/>
      <c r="E556" s="3145"/>
      <c r="F556" s="3144"/>
      <c r="G556" s="3145"/>
      <c r="H556" s="3296" t="s">
        <v>1285</v>
      </c>
      <c r="I556" s="3155" t="s">
        <v>116</v>
      </c>
      <c r="J556" s="3137" t="s">
        <v>1230</v>
      </c>
      <c r="K556" s="3137"/>
      <c r="L556" s="3154" t="s">
        <v>116</v>
      </c>
      <c r="M556" s="3137" t="s">
        <v>1231</v>
      </c>
      <c r="N556" s="3137"/>
      <c r="O556" s="3154" t="s">
        <v>116</v>
      </c>
      <c r="P556" s="3137" t="s">
        <v>1232</v>
      </c>
      <c r="Q556" s="3150"/>
      <c r="R556" s="3150"/>
      <c r="S556" s="3150"/>
      <c r="T556" s="3150"/>
      <c r="U556" s="3209"/>
      <c r="V556" s="3209"/>
      <c r="W556" s="3209"/>
      <c r="X556" s="3208"/>
      <c r="Y556" s="3293"/>
      <c r="Z556" s="1201"/>
      <c r="AA556" s="1201"/>
      <c r="AB556" s="1202"/>
      <c r="AC556" s="3333"/>
      <c r="AD556" s="3333"/>
      <c r="AE556" s="3333"/>
      <c r="AF556" s="3333"/>
      <c r="AI556" s="3120" t="str">
        <f>"2A:field225:" &amp; IF(I556="■",1,IF(L556="■",2,IF(O556="■",3,0)))</f>
        <v>2A:field225:0</v>
      </c>
    </row>
    <row r="557" spans="1:35" s="3120" customFormat="1" ht="18.75" customHeight="1" x14ac:dyDescent="0.2">
      <c r="A557" s="3384"/>
      <c r="B557" s="3383"/>
      <c r="C557" s="3147"/>
      <c r="D557" s="3146"/>
      <c r="E557" s="3145"/>
      <c r="F557" s="3144"/>
      <c r="G557" s="3145"/>
      <c r="H557" s="3142" t="s">
        <v>238</v>
      </c>
      <c r="I557" s="3155" t="s">
        <v>116</v>
      </c>
      <c r="J557" s="3137" t="s">
        <v>1230</v>
      </c>
      <c r="K557" s="3137"/>
      <c r="L557" s="3154" t="s">
        <v>116</v>
      </c>
      <c r="M557" s="3137" t="s">
        <v>1259</v>
      </c>
      <c r="N557" s="3137"/>
      <c r="O557" s="3154" t="s">
        <v>116</v>
      </c>
      <c r="P557" s="3137" t="s">
        <v>1260</v>
      </c>
      <c r="Q557" s="3153"/>
      <c r="R557" s="3154" t="s">
        <v>116</v>
      </c>
      <c r="S557" s="3137" t="s">
        <v>1261</v>
      </c>
      <c r="T557" s="3153"/>
      <c r="U557" s="3153"/>
      <c r="V557" s="3153"/>
      <c r="W557" s="3153"/>
      <c r="X557" s="3152"/>
      <c r="Y557" s="3293"/>
      <c r="Z557" s="1201"/>
      <c r="AA557" s="1201"/>
      <c r="AB557" s="1202"/>
      <c r="AC557" s="3333"/>
      <c r="AD557" s="3333"/>
      <c r="AE557" s="3333"/>
      <c r="AF557" s="3333"/>
      <c r="AI557" s="3120" t="str">
        <f>"2A:serteikyo_kyoka_code:" &amp; IF(I557="■",1,IF(L557="■",6,IF(O557="■",5,IF(R557="■",7,0))))</f>
        <v>2A:serteikyo_kyoka_code:0</v>
      </c>
    </row>
    <row r="558" spans="1:35" s="3120" customFormat="1" ht="18.75" customHeight="1" x14ac:dyDescent="0.2">
      <c r="A558" s="3384"/>
      <c r="B558" s="3383"/>
      <c r="C558" s="3147"/>
      <c r="D558" s="3146"/>
      <c r="E558" s="3145"/>
      <c r="F558" s="3144"/>
      <c r="G558" s="3145"/>
      <c r="H558" s="3170" t="s">
        <v>2058</v>
      </c>
      <c r="I558" s="3348" t="s">
        <v>116</v>
      </c>
      <c r="J558" s="3347" t="s">
        <v>1230</v>
      </c>
      <c r="K558" s="3347"/>
      <c r="L558" s="3346" t="s">
        <v>116</v>
      </c>
      <c r="M558" s="3347" t="s">
        <v>1233</v>
      </c>
      <c r="N558" s="3347"/>
      <c r="O558" s="3302"/>
      <c r="P558" s="3302"/>
      <c r="Q558" s="3302"/>
      <c r="R558" s="3302"/>
      <c r="S558" s="3302"/>
      <c r="T558" s="3302"/>
      <c r="U558" s="3302"/>
      <c r="V558" s="3302"/>
      <c r="W558" s="3302"/>
      <c r="X558" s="3335"/>
      <c r="Y558" s="3293"/>
      <c r="Z558" s="1201"/>
      <c r="AA558" s="1201"/>
      <c r="AB558" s="1202"/>
      <c r="AC558" s="3333"/>
      <c r="AD558" s="3333"/>
      <c r="AE558" s="3333"/>
      <c r="AF558" s="3333"/>
      <c r="AI558" s="3120" t="str">
        <f>"2A:field221:" &amp; IF(I558="■",1,IF(L558="■",2,0))</f>
        <v>2A:field221:0</v>
      </c>
    </row>
    <row r="559" spans="1:35" s="3120" customFormat="1" ht="18.75" customHeight="1" x14ac:dyDescent="0.2">
      <c r="A559" s="3384"/>
      <c r="B559" s="3383"/>
      <c r="C559" s="3147"/>
      <c r="D559" s="3146"/>
      <c r="E559" s="3145"/>
      <c r="F559" s="3144"/>
      <c r="G559" s="3145"/>
      <c r="H559" s="3165"/>
      <c r="I559" s="3348"/>
      <c r="J559" s="3347"/>
      <c r="K559" s="3347"/>
      <c r="L559" s="3346"/>
      <c r="M559" s="3347"/>
      <c r="N559" s="3347"/>
      <c r="O559" s="3139"/>
      <c r="P559" s="3139"/>
      <c r="Q559" s="3139"/>
      <c r="R559" s="3139"/>
      <c r="S559" s="3139"/>
      <c r="T559" s="3139"/>
      <c r="U559" s="3139"/>
      <c r="V559" s="3139"/>
      <c r="W559" s="3139"/>
      <c r="X559" s="3195"/>
      <c r="Y559" s="3293"/>
      <c r="Z559" s="1201"/>
      <c r="AA559" s="1201"/>
      <c r="AB559" s="1202"/>
      <c r="AC559" s="3333"/>
      <c r="AD559" s="3333"/>
      <c r="AE559" s="3333"/>
      <c r="AF559" s="3333"/>
    </row>
    <row r="560" spans="1:35" s="3120" customFormat="1" ht="18.75" customHeight="1" x14ac:dyDescent="0.2">
      <c r="A560" s="835"/>
      <c r="B560" s="3135"/>
      <c r="C560" s="3134"/>
      <c r="D560" s="3133"/>
      <c r="E560" s="3132"/>
      <c r="F560" s="3131"/>
      <c r="G560" s="3189"/>
      <c r="H560" s="3289" t="s">
        <v>2129</v>
      </c>
      <c r="I560" s="3128" t="s">
        <v>116</v>
      </c>
      <c r="J560" s="3285" t="s">
        <v>1230</v>
      </c>
      <c r="K560" s="3285"/>
      <c r="L560" s="3127" t="s">
        <v>116</v>
      </c>
      <c r="M560" s="3285" t="s">
        <v>2128</v>
      </c>
      <c r="N560" s="3288"/>
      <c r="O560" s="3127" t="s">
        <v>116</v>
      </c>
      <c r="P560" s="3287" t="s">
        <v>2127</v>
      </c>
      <c r="Q560" s="3286"/>
      <c r="R560" s="3127" t="s">
        <v>116</v>
      </c>
      <c r="S560" s="3285" t="s">
        <v>2126</v>
      </c>
      <c r="T560" s="3286"/>
      <c r="U560" s="3127" t="s">
        <v>116</v>
      </c>
      <c r="V560" s="3285" t="s">
        <v>2125</v>
      </c>
      <c r="W560" s="3284"/>
      <c r="X560" s="3283"/>
      <c r="Y560" s="3282"/>
      <c r="Z560" s="3282"/>
      <c r="AA560" s="3282"/>
      <c r="AB560" s="3281"/>
      <c r="AC560" s="3332"/>
      <c r="AD560" s="3332"/>
      <c r="AE560" s="3332"/>
      <c r="AF560" s="3332"/>
      <c r="AI560" s="3120" t="str">
        <f>"2A:shoguukaizen_code:"&amp;IF(I560="■",1,IF(L560="■",7,IF(O560="■",8,IF(R560="■",9,IF(U560="■","A",0)))))</f>
        <v>2A:shoguukaizen_code:0</v>
      </c>
    </row>
    <row r="561" spans="1:37" s="3120" customFormat="1" ht="18.75" hidden="1" customHeight="1" x14ac:dyDescent="0.2">
      <c r="A561" s="3188"/>
      <c r="B561" s="3187"/>
      <c r="C561" s="3229"/>
      <c r="D561" s="3228"/>
      <c r="E561" s="3185"/>
      <c r="F561" s="3184"/>
      <c r="G561" s="3185"/>
      <c r="H561" s="3382" t="s">
        <v>90</v>
      </c>
      <c r="I561" s="3181" t="s">
        <v>116</v>
      </c>
      <c r="J561" s="3180" t="s">
        <v>1230</v>
      </c>
      <c r="K561" s="3180"/>
      <c r="L561" s="3225"/>
      <c r="M561" s="3179" t="s">
        <v>116</v>
      </c>
      <c r="N561" s="3180" t="s">
        <v>2103</v>
      </c>
      <c r="O561" s="3180"/>
      <c r="P561" s="3225"/>
      <c r="Q561" s="3179" t="s">
        <v>116</v>
      </c>
      <c r="R561" s="3178" t="s">
        <v>2102</v>
      </c>
      <c r="S561" s="3178"/>
      <c r="T561" s="3226"/>
      <c r="U561" s="3226"/>
      <c r="V561" s="3226"/>
      <c r="W561" s="3226"/>
      <c r="X561" s="3339"/>
      <c r="Y561" s="3253" t="s">
        <v>116</v>
      </c>
      <c r="Z561" s="3252" t="s">
        <v>1225</v>
      </c>
      <c r="AA561" s="3252"/>
      <c r="AB561" s="3308"/>
      <c r="AC561" s="3253" t="s">
        <v>116</v>
      </c>
      <c r="AD561" s="3252" t="s">
        <v>1225</v>
      </c>
      <c r="AE561" s="3252"/>
      <c r="AF561" s="3308"/>
      <c r="AG561" s="3120" t="str">
        <f>"ser_code = '" &amp; IF(A569="■",33,"") &amp; "'"</f>
        <v>ser_code = ''</v>
      </c>
      <c r="AH561" s="3120" t="str">
        <f>"33:jininkbn_code:"&amp;IF(F568="■",1,IF(F569="■",2,0))</f>
        <v>33:jininkbn_code:0</v>
      </c>
      <c r="AI561" s="3120" t="str">
        <f>"33:"&amp;IF(AND(I561="□",M561="□",Q561="□"),"ketu_kangos_code:0",IF(I561="■","ketu_kangos_code:1:ketu_kshoku_code:1",IF(M561="■","ketu_kangos_code:2","ketu_kangos_code:1")&amp;IF(Q561="■",":ketu_kshoku_code:2",":ketu_kshoku_code:1")))</f>
        <v>33:ketu_kangos_code:0</v>
      </c>
      <c r="AJ561" s="3120" t="str">
        <f>"33:field203:" &amp; IF(Y561="■",1,IF(Y562="■",2,0))</f>
        <v>33:field203:0</v>
      </c>
      <c r="AK561" s="3120" t="str">
        <f>"33:waribiki_code:" &amp; IF(AC561="■",1,IF(AC562="■",2,0))</f>
        <v>33:waribiki_code:0</v>
      </c>
    </row>
    <row r="562" spans="1:37" s="3120" customFormat="1" ht="18.75" hidden="1" customHeight="1" x14ac:dyDescent="0.2">
      <c r="A562" s="834"/>
      <c r="B562" s="3148"/>
      <c r="C562" s="3147"/>
      <c r="D562" s="3146"/>
      <c r="E562" s="3145"/>
      <c r="F562" s="3144"/>
      <c r="G562" s="3145"/>
      <c r="H562" s="3243" t="s">
        <v>2067</v>
      </c>
      <c r="I562" s="3155" t="s">
        <v>116</v>
      </c>
      <c r="J562" s="3137" t="s">
        <v>1228</v>
      </c>
      <c r="K562" s="3171"/>
      <c r="L562" s="3173"/>
      <c r="M562" s="3154" t="s">
        <v>116</v>
      </c>
      <c r="N562" s="3137" t="s">
        <v>1322</v>
      </c>
      <c r="O562" s="3150"/>
      <c r="P562" s="3150"/>
      <c r="Q562" s="3137"/>
      <c r="R562" s="3137"/>
      <c r="S562" s="3137"/>
      <c r="T562" s="3137"/>
      <c r="U562" s="3137"/>
      <c r="V562" s="3137"/>
      <c r="W562" s="3137"/>
      <c r="X562" s="3136"/>
      <c r="Y562" s="3158" t="s">
        <v>116</v>
      </c>
      <c r="Z562" s="1200" t="s">
        <v>1226</v>
      </c>
      <c r="AA562" s="1201"/>
      <c r="AB562" s="1202"/>
      <c r="AC562" s="3158" t="s">
        <v>116</v>
      </c>
      <c r="AD562" s="1200" t="s">
        <v>1226</v>
      </c>
      <c r="AE562" s="1201"/>
      <c r="AF562" s="1202"/>
      <c r="AG562" s="3120" t="str">
        <f>"33:sisetukbn_code:" &amp; IF(D567="■",1,IF(D568="■",2,IF(D569="■",3,IF(D570="■",5,IF(D571="■",6,IF(D572="■",7,0))))))</f>
        <v>33:sisetukbn_code:0</v>
      </c>
      <c r="AI562" s="3120" t="str">
        <f>"33:sintaikousoku_code:" &amp; IF(I562="■",1,IF(M562="■",2,0))</f>
        <v>33:sintaikousoku_code:0</v>
      </c>
    </row>
    <row r="563" spans="1:37" s="3120" customFormat="1" ht="19.5" hidden="1" customHeight="1" x14ac:dyDescent="0.2">
      <c r="A563" s="834"/>
      <c r="B563" s="3148"/>
      <c r="C563" s="3147"/>
      <c r="D563" s="3146"/>
      <c r="E563" s="3145"/>
      <c r="F563" s="3144"/>
      <c r="G563" s="3175"/>
      <c r="H563" s="3174" t="s">
        <v>1227</v>
      </c>
      <c r="I563" s="3155" t="s">
        <v>116</v>
      </c>
      <c r="J563" s="3137" t="s">
        <v>1228</v>
      </c>
      <c r="K563" s="3171"/>
      <c r="L563" s="3173"/>
      <c r="M563" s="3154" t="s">
        <v>116</v>
      </c>
      <c r="N563" s="3137" t="s">
        <v>1229</v>
      </c>
      <c r="O563" s="3299"/>
      <c r="P563" s="3137"/>
      <c r="Q563" s="3150"/>
      <c r="R563" s="3150"/>
      <c r="S563" s="3150"/>
      <c r="T563" s="3150"/>
      <c r="U563" s="3150"/>
      <c r="V563" s="3150"/>
      <c r="W563" s="3150"/>
      <c r="X563" s="3149"/>
      <c r="Y563" s="1201"/>
      <c r="Z563" s="1201"/>
      <c r="AA563" s="1201"/>
      <c r="AB563" s="1202"/>
      <c r="AC563" s="3293"/>
      <c r="AD563" s="1201"/>
      <c r="AE563" s="1201"/>
      <c r="AF563" s="1202"/>
      <c r="AI563" s="3120" t="str">
        <f>"33:field223:" &amp; IF(I563="■",1,IF(M563="■",2,0))</f>
        <v>33:field223:0</v>
      </c>
    </row>
    <row r="564" spans="1:37" s="3120" customFormat="1" ht="19.5" hidden="1" customHeight="1" x14ac:dyDescent="0.2">
      <c r="A564" s="834"/>
      <c r="B564" s="3148"/>
      <c r="C564" s="3147"/>
      <c r="D564" s="3146"/>
      <c r="E564" s="3145"/>
      <c r="F564" s="3144"/>
      <c r="G564" s="3175"/>
      <c r="H564" s="3174" t="s">
        <v>1253</v>
      </c>
      <c r="I564" s="3155" t="s">
        <v>116</v>
      </c>
      <c r="J564" s="3137" t="s">
        <v>1228</v>
      </c>
      <c r="K564" s="3171"/>
      <c r="L564" s="3173"/>
      <c r="M564" s="3154" t="s">
        <v>116</v>
      </c>
      <c r="N564" s="3137" t="s">
        <v>1229</v>
      </c>
      <c r="O564" s="3299"/>
      <c r="P564" s="3137"/>
      <c r="Q564" s="3150"/>
      <c r="R564" s="3150"/>
      <c r="S564" s="3150"/>
      <c r="T564" s="3150"/>
      <c r="U564" s="3150"/>
      <c r="V564" s="3150"/>
      <c r="W564" s="3150"/>
      <c r="X564" s="3149"/>
      <c r="Y564" s="1201"/>
      <c r="Z564" s="1201"/>
      <c r="AA564" s="1201"/>
      <c r="AB564" s="1202"/>
      <c r="AC564" s="3293"/>
      <c r="AD564" s="1201"/>
      <c r="AE564" s="1201"/>
      <c r="AF564" s="1202"/>
      <c r="AI564" s="3120" t="str">
        <f>"33:field232:" &amp; IF(I564="■",1,IF(M564="■",2,0))</f>
        <v>33:field232:0</v>
      </c>
    </row>
    <row r="565" spans="1:37" s="3120" customFormat="1" ht="18.75" hidden="1" customHeight="1" x14ac:dyDescent="0.2">
      <c r="A565" s="834"/>
      <c r="B565" s="3148"/>
      <c r="C565" s="3147"/>
      <c r="D565" s="3146"/>
      <c r="E565" s="3145"/>
      <c r="F565" s="3144"/>
      <c r="G565" s="3145"/>
      <c r="H565" s="3243" t="s">
        <v>2214</v>
      </c>
      <c r="I565" s="3155" t="s">
        <v>116</v>
      </c>
      <c r="J565" s="3137" t="s">
        <v>1230</v>
      </c>
      <c r="K565" s="3137"/>
      <c r="L565" s="3154" t="s">
        <v>116</v>
      </c>
      <c r="M565" s="3137" t="s">
        <v>1231</v>
      </c>
      <c r="N565" s="3137"/>
      <c r="O565" s="3154" t="s">
        <v>116</v>
      </c>
      <c r="P565" s="3137" t="s">
        <v>1232</v>
      </c>
      <c r="Q565" s="3137"/>
      <c r="R565" s="3137"/>
      <c r="S565" s="3137"/>
      <c r="T565" s="3137"/>
      <c r="U565" s="3137"/>
      <c r="V565" s="3137"/>
      <c r="W565" s="3137"/>
      <c r="X565" s="3136"/>
      <c r="Y565" s="3293"/>
      <c r="Z565" s="1201"/>
      <c r="AA565" s="1201"/>
      <c r="AB565" s="1202"/>
      <c r="AC565" s="3293"/>
      <c r="AD565" s="1201"/>
      <c r="AE565" s="1201"/>
      <c r="AF565" s="1202"/>
      <c r="AI565" s="3120" t="str">
        <f>"33:field165:" &amp; IF(I565="■",1,IF(L565="■",2,IF(O565="■",3,0)))</f>
        <v>33:field165:0</v>
      </c>
    </row>
    <row r="566" spans="1:37" s="3120" customFormat="1" ht="37.5" hidden="1" customHeight="1" x14ac:dyDescent="0.2">
      <c r="A566" s="834"/>
      <c r="B566" s="3148"/>
      <c r="C566" s="3147"/>
      <c r="D566" s="3146"/>
      <c r="E566" s="3145"/>
      <c r="F566" s="3144"/>
      <c r="G566" s="3145"/>
      <c r="H566" s="3159" t="s">
        <v>2213</v>
      </c>
      <c r="I566" s="3155" t="s">
        <v>116</v>
      </c>
      <c r="J566" s="3137" t="s">
        <v>1230</v>
      </c>
      <c r="K566" s="3171"/>
      <c r="L566" s="3154" t="s">
        <v>116</v>
      </c>
      <c r="M566" s="3137" t="s">
        <v>1233</v>
      </c>
      <c r="N566" s="3137"/>
      <c r="O566" s="3137"/>
      <c r="P566" s="3137"/>
      <c r="Q566" s="3137"/>
      <c r="R566" s="3137"/>
      <c r="S566" s="3137"/>
      <c r="T566" s="3137"/>
      <c r="U566" s="3137"/>
      <c r="V566" s="3137"/>
      <c r="W566" s="3137"/>
      <c r="X566" s="3136"/>
      <c r="Y566" s="3293"/>
      <c r="Z566" s="1201"/>
      <c r="AA566" s="1201"/>
      <c r="AB566" s="1202"/>
      <c r="AC566" s="3293"/>
      <c r="AD566" s="1201"/>
      <c r="AE566" s="1201"/>
      <c r="AF566" s="1202"/>
      <c r="AI566" s="3120" t="str">
        <f>"33:field214:" &amp; IF(I566="■",1,IF(L566="■",2,0))</f>
        <v>33:field214:0</v>
      </c>
    </row>
    <row r="567" spans="1:37" s="3120" customFormat="1" ht="18.75" hidden="1" customHeight="1" x14ac:dyDescent="0.2">
      <c r="A567" s="834"/>
      <c r="B567" s="3148"/>
      <c r="C567" s="3147"/>
      <c r="D567" s="3158" t="s">
        <v>116</v>
      </c>
      <c r="E567" s="3145" t="s">
        <v>2205</v>
      </c>
      <c r="F567" s="3144"/>
      <c r="G567" s="3145"/>
      <c r="H567" s="3142" t="s">
        <v>2177</v>
      </c>
      <c r="I567" s="3155" t="s">
        <v>116</v>
      </c>
      <c r="J567" s="3137" t="s">
        <v>1230</v>
      </c>
      <c r="K567" s="3137"/>
      <c r="L567" s="3154" t="s">
        <v>116</v>
      </c>
      <c r="M567" s="3137" t="s">
        <v>1239</v>
      </c>
      <c r="N567" s="3137"/>
      <c r="O567" s="3154" t="s">
        <v>116</v>
      </c>
      <c r="P567" s="3137" t="s">
        <v>2090</v>
      </c>
      <c r="Q567" s="3137"/>
      <c r="R567" s="3137"/>
      <c r="S567" s="3137"/>
      <c r="T567" s="3137"/>
      <c r="U567" s="3137"/>
      <c r="V567" s="3137"/>
      <c r="W567" s="3137"/>
      <c r="X567" s="3136"/>
      <c r="Y567" s="3293"/>
      <c r="Z567" s="1201"/>
      <c r="AA567" s="1201"/>
      <c r="AB567" s="1202"/>
      <c r="AC567" s="3293"/>
      <c r="AD567" s="1201"/>
      <c r="AE567" s="1201"/>
      <c r="AF567" s="1202"/>
      <c r="AI567" s="3120" t="str">
        <f>"33:field185:" &amp; IF(I567="■",1,IF(L567="■",3,IF(O567="■",2,0)))</f>
        <v>33:field185:0</v>
      </c>
    </row>
    <row r="568" spans="1:37" s="3120" customFormat="1" ht="18.75" hidden="1" customHeight="1" x14ac:dyDescent="0.2">
      <c r="A568" s="834"/>
      <c r="B568" s="3148"/>
      <c r="C568" s="3147"/>
      <c r="D568" s="3158" t="s">
        <v>116</v>
      </c>
      <c r="E568" s="3145" t="s">
        <v>2202</v>
      </c>
      <c r="F568" s="3158" t="s">
        <v>116</v>
      </c>
      <c r="G568" s="3145" t="s">
        <v>2212</v>
      </c>
      <c r="H568" s="3142" t="s">
        <v>2174</v>
      </c>
      <c r="I568" s="3155" t="s">
        <v>116</v>
      </c>
      <c r="J568" s="3137" t="s">
        <v>1230</v>
      </c>
      <c r="K568" s="3171"/>
      <c r="L568" s="3154" t="s">
        <v>116</v>
      </c>
      <c r="M568" s="3137" t="s">
        <v>1233</v>
      </c>
      <c r="N568" s="3137"/>
      <c r="O568" s="3137"/>
      <c r="P568" s="3137"/>
      <c r="Q568" s="3137"/>
      <c r="R568" s="3137"/>
      <c r="S568" s="3137"/>
      <c r="T568" s="3137"/>
      <c r="U568" s="3137"/>
      <c r="V568" s="3137"/>
      <c r="W568" s="3137"/>
      <c r="X568" s="3136"/>
      <c r="Y568" s="3293"/>
      <c r="Z568" s="1201"/>
      <c r="AA568" s="1201"/>
      <c r="AB568" s="1202"/>
      <c r="AC568" s="3293"/>
      <c r="AD568" s="1201"/>
      <c r="AE568" s="1201"/>
      <c r="AF568" s="1202"/>
      <c r="AI568" s="3120" t="str">
        <f>"33:kobetu_kunren_code:" &amp; IF(I568="■",1,IF(L568="■",2,0))</f>
        <v>33:kobetu_kunren_code:0</v>
      </c>
    </row>
    <row r="569" spans="1:37" s="3120" customFormat="1" ht="18.75" hidden="1" customHeight="1" x14ac:dyDescent="0.2">
      <c r="A569" s="3158" t="s">
        <v>116</v>
      </c>
      <c r="B569" s="3148">
        <v>33</v>
      </c>
      <c r="C569" s="3147" t="s">
        <v>2211</v>
      </c>
      <c r="D569" s="3158" t="s">
        <v>116</v>
      </c>
      <c r="E569" s="3145" t="s">
        <v>2210</v>
      </c>
      <c r="F569" s="3158" t="s">
        <v>116</v>
      </c>
      <c r="G569" s="3145" t="s">
        <v>2209</v>
      </c>
      <c r="H569" s="3142" t="s">
        <v>2169</v>
      </c>
      <c r="I569" s="3155" t="s">
        <v>116</v>
      </c>
      <c r="J569" s="3137" t="s">
        <v>1230</v>
      </c>
      <c r="K569" s="3171"/>
      <c r="L569" s="3154" t="s">
        <v>116</v>
      </c>
      <c r="M569" s="3137" t="s">
        <v>1233</v>
      </c>
      <c r="N569" s="3137"/>
      <c r="O569" s="3137"/>
      <c r="P569" s="3137"/>
      <c r="Q569" s="3137"/>
      <c r="R569" s="3137"/>
      <c r="S569" s="3137"/>
      <c r="T569" s="3137"/>
      <c r="U569" s="3137"/>
      <c r="V569" s="3137"/>
      <c r="W569" s="3137"/>
      <c r="X569" s="3136"/>
      <c r="Y569" s="3293"/>
      <c r="Z569" s="1201"/>
      <c r="AA569" s="1201"/>
      <c r="AB569" s="1202"/>
      <c r="AC569" s="3293"/>
      <c r="AD569" s="1201"/>
      <c r="AE569" s="1201"/>
      <c r="AF569" s="1202"/>
      <c r="AI569" s="3120" t="str">
        <f>"33:field186:" &amp; IF(I569="■",1,IF(L569="■",2,0))</f>
        <v>33:field186:0</v>
      </c>
    </row>
    <row r="570" spans="1:37" s="3120" customFormat="1" ht="18.75" hidden="1" customHeight="1" x14ac:dyDescent="0.2">
      <c r="A570" s="834"/>
      <c r="B570" s="3148"/>
      <c r="C570" s="3147"/>
      <c r="D570" s="3158" t="s">
        <v>116</v>
      </c>
      <c r="E570" s="3145" t="s">
        <v>2199</v>
      </c>
      <c r="F570" s="3144"/>
      <c r="G570" s="3145" t="s">
        <v>2208</v>
      </c>
      <c r="H570" s="3243" t="s">
        <v>2204</v>
      </c>
      <c r="I570" s="3155" t="s">
        <v>116</v>
      </c>
      <c r="J570" s="3137" t="s">
        <v>1230</v>
      </c>
      <c r="K570" s="3137"/>
      <c r="L570" s="3154" t="s">
        <v>116</v>
      </c>
      <c r="M570" s="3137" t="s">
        <v>2173</v>
      </c>
      <c r="N570" s="3137"/>
      <c r="O570" s="3154" t="s">
        <v>116</v>
      </c>
      <c r="P570" s="3137" t="s">
        <v>2203</v>
      </c>
      <c r="Q570" s="3137"/>
      <c r="R570" s="3137"/>
      <c r="S570" s="3137"/>
      <c r="T570" s="3137"/>
      <c r="U570" s="3137"/>
      <c r="V570" s="3171"/>
      <c r="W570" s="3171"/>
      <c r="X570" s="3297"/>
      <c r="Y570" s="3293"/>
      <c r="Z570" s="1201"/>
      <c r="AA570" s="1201"/>
      <c r="AB570" s="1202"/>
      <c r="AC570" s="3293"/>
      <c r="AD570" s="1201"/>
      <c r="AE570" s="1201"/>
      <c r="AF570" s="1202"/>
      <c r="AI570" s="3120" t="str">
        <f>"33:yakankango_code:" &amp; IF(I570="■",1,IF(L570="■",3,IF(O570="■",2,0)))</f>
        <v>33:yakankango_code:0</v>
      </c>
    </row>
    <row r="571" spans="1:37" s="3120" customFormat="1" ht="18.75" hidden="1" customHeight="1" x14ac:dyDescent="0.2">
      <c r="A571" s="834"/>
      <c r="B571" s="3148"/>
      <c r="C571" s="3147"/>
      <c r="D571" s="3158" t="s">
        <v>116</v>
      </c>
      <c r="E571" s="3145" t="s">
        <v>2198</v>
      </c>
      <c r="F571" s="3144"/>
      <c r="G571" s="3145"/>
      <c r="H571" s="3243" t="s">
        <v>2201</v>
      </c>
      <c r="I571" s="3155" t="s">
        <v>116</v>
      </c>
      <c r="J571" s="3137" t="s">
        <v>1230</v>
      </c>
      <c r="K571" s="3171"/>
      <c r="L571" s="3154" t="s">
        <v>116</v>
      </c>
      <c r="M571" s="3137" t="s">
        <v>1233</v>
      </c>
      <c r="N571" s="3171"/>
      <c r="O571" s="3171"/>
      <c r="P571" s="3171"/>
      <c r="Q571" s="3171"/>
      <c r="R571" s="3171"/>
      <c r="S571" s="3171"/>
      <c r="T571" s="3171"/>
      <c r="U571" s="3171"/>
      <c r="V571" s="3171"/>
      <c r="W571" s="3171"/>
      <c r="X571" s="3297"/>
      <c r="Y571" s="3293"/>
      <c r="Z571" s="1201"/>
      <c r="AA571" s="1201"/>
      <c r="AB571" s="1202"/>
      <c r="AC571" s="3293"/>
      <c r="AD571" s="1201"/>
      <c r="AE571" s="1201"/>
      <c r="AF571" s="1202"/>
      <c r="AI571" s="3120" t="str">
        <f>"33:jyakuninti_uke_code:" &amp; IF(I571="■",1,IF(L571="■",2,0))</f>
        <v>33:jyakuninti_uke_code:0</v>
      </c>
    </row>
    <row r="572" spans="1:37" s="3120" customFormat="1" ht="18.75" hidden="1" customHeight="1" x14ac:dyDescent="0.2">
      <c r="A572" s="834"/>
      <c r="B572" s="3148"/>
      <c r="C572" s="3147"/>
      <c r="D572" s="3158" t="s">
        <v>116</v>
      </c>
      <c r="E572" s="3145" t="s">
        <v>2207</v>
      </c>
      <c r="F572" s="3144"/>
      <c r="G572" s="3145"/>
      <c r="H572" s="3142" t="s">
        <v>797</v>
      </c>
      <c r="I572" s="3155" t="s">
        <v>116</v>
      </c>
      <c r="J572" s="3137" t="s">
        <v>1230</v>
      </c>
      <c r="K572" s="3171"/>
      <c r="L572" s="3154" t="s">
        <v>116</v>
      </c>
      <c r="M572" s="3137" t="s">
        <v>1233</v>
      </c>
      <c r="N572" s="3137"/>
      <c r="O572" s="3137"/>
      <c r="P572" s="3137"/>
      <c r="Q572" s="3137"/>
      <c r="R572" s="3137"/>
      <c r="S572" s="3137"/>
      <c r="T572" s="3137"/>
      <c r="U572" s="3137"/>
      <c r="V572" s="3137"/>
      <c r="W572" s="3137"/>
      <c r="X572" s="3136"/>
      <c r="Y572" s="3293"/>
      <c r="Z572" s="1201"/>
      <c r="AA572" s="1201"/>
      <c r="AB572" s="1202"/>
      <c r="AC572" s="3293"/>
      <c r="AD572" s="1201"/>
      <c r="AE572" s="1201"/>
      <c r="AF572" s="1202"/>
      <c r="AI572" s="3120" t="str">
        <f>"33:field212:" &amp; IF(I572="■",1,IF(L572="■",2,0))</f>
        <v>33:field212:0</v>
      </c>
    </row>
    <row r="573" spans="1:37" s="3120" customFormat="1" ht="18.75" hidden="1" customHeight="1" x14ac:dyDescent="0.2">
      <c r="A573" s="834"/>
      <c r="B573" s="3148"/>
      <c r="C573" s="3147"/>
      <c r="D573" s="3146"/>
      <c r="E573" s="3145"/>
      <c r="F573" s="3144"/>
      <c r="G573" s="3145"/>
      <c r="H573" s="3151" t="s">
        <v>2206</v>
      </c>
      <c r="I573" s="3155" t="s">
        <v>116</v>
      </c>
      <c r="J573" s="3137" t="s">
        <v>1230</v>
      </c>
      <c r="K573" s="3171"/>
      <c r="L573" s="3154" t="s">
        <v>116</v>
      </c>
      <c r="M573" s="3137" t="s">
        <v>1233</v>
      </c>
      <c r="N573" s="3171"/>
      <c r="O573" s="3171"/>
      <c r="P573" s="3171"/>
      <c r="Q573" s="3171"/>
      <c r="R573" s="3171"/>
      <c r="S573" s="3171"/>
      <c r="T573" s="3171"/>
      <c r="U573" s="3171"/>
      <c r="V573" s="3171"/>
      <c r="W573" s="3171"/>
      <c r="X573" s="3297"/>
      <c r="Y573" s="3293"/>
      <c r="Z573" s="1201"/>
      <c r="AA573" s="1201"/>
      <c r="AB573" s="1202"/>
      <c r="AC573" s="3293"/>
      <c r="AD573" s="1201"/>
      <c r="AE573" s="1201"/>
      <c r="AF573" s="1202"/>
      <c r="AI573" s="3120" t="str">
        <f>"33:terminal_code:" &amp; IF(I573="■",1,IF(L573="■",2,0))</f>
        <v>33:terminal_code:0</v>
      </c>
    </row>
    <row r="574" spans="1:37" s="3120" customFormat="1" ht="18.75" hidden="1" customHeight="1" x14ac:dyDescent="0.2">
      <c r="A574" s="834"/>
      <c r="B574" s="3148"/>
      <c r="C574" s="3147"/>
      <c r="D574" s="3146"/>
      <c r="E574" s="3145"/>
      <c r="F574" s="3144"/>
      <c r="G574" s="3145"/>
      <c r="H574" s="3243" t="s">
        <v>1237</v>
      </c>
      <c r="I574" s="3155" t="s">
        <v>116</v>
      </c>
      <c r="J574" s="3137" t="s">
        <v>1230</v>
      </c>
      <c r="K574" s="3137"/>
      <c r="L574" s="3154" t="s">
        <v>116</v>
      </c>
      <c r="M574" s="3137" t="s">
        <v>1231</v>
      </c>
      <c r="N574" s="3137"/>
      <c r="O574" s="3154" t="s">
        <v>116</v>
      </c>
      <c r="P574" s="3137" t="s">
        <v>1232</v>
      </c>
      <c r="Q574" s="3171"/>
      <c r="R574" s="3171"/>
      <c r="S574" s="3171"/>
      <c r="T574" s="3171"/>
      <c r="U574" s="3171"/>
      <c r="V574" s="3171"/>
      <c r="W574" s="3171"/>
      <c r="X574" s="3297"/>
      <c r="Y574" s="3293"/>
      <c r="Z574" s="1201"/>
      <c r="AA574" s="1201"/>
      <c r="AB574" s="1202"/>
      <c r="AC574" s="3293"/>
      <c r="AD574" s="1201"/>
      <c r="AE574" s="1201"/>
      <c r="AF574" s="1202"/>
      <c r="AI574" s="3120" t="str">
        <f>"33:ninti_senmoncare_code:" &amp; IF(I574="■",1,IF(O574="■",3,IF(L574="■",2,0)))</f>
        <v>33:ninti_senmoncare_code:0</v>
      </c>
    </row>
    <row r="575" spans="1:37" s="3120" customFormat="1" ht="18.75" hidden="1" customHeight="1" x14ac:dyDescent="0.2">
      <c r="A575" s="834"/>
      <c r="B575" s="3148"/>
      <c r="C575" s="3147"/>
      <c r="D575" s="3146"/>
      <c r="E575" s="3145"/>
      <c r="F575" s="3144"/>
      <c r="G575" s="3145"/>
      <c r="H575" s="3151" t="s">
        <v>1323</v>
      </c>
      <c r="I575" s="3155" t="s">
        <v>116</v>
      </c>
      <c r="J575" s="3137" t="s">
        <v>1230</v>
      </c>
      <c r="K575" s="3137"/>
      <c r="L575" s="3154" t="s">
        <v>116</v>
      </c>
      <c r="M575" s="3139" t="s">
        <v>1233</v>
      </c>
      <c r="N575" s="3137"/>
      <c r="O575" s="3137"/>
      <c r="P575" s="3137"/>
      <c r="Q575" s="3171"/>
      <c r="R575" s="3171"/>
      <c r="S575" s="3171"/>
      <c r="T575" s="3171"/>
      <c r="U575" s="3171"/>
      <c r="V575" s="3171"/>
      <c r="W575" s="3171"/>
      <c r="X575" s="3297"/>
      <c r="Y575" s="3293"/>
      <c r="Z575" s="1201"/>
      <c r="AA575" s="1201"/>
      <c r="AB575" s="1202"/>
      <c r="AC575" s="3293"/>
      <c r="AD575" s="1201"/>
      <c r="AE575" s="1201"/>
      <c r="AF575" s="1202"/>
      <c r="AI575" s="3120" t="str">
        <f>"33:field226:" &amp; IF(I575="■",1,IF(L575="■",2,0))</f>
        <v>33:field226:0</v>
      </c>
    </row>
    <row r="576" spans="1:37" s="3120" customFormat="1" ht="18.75" hidden="1" customHeight="1" x14ac:dyDescent="0.2">
      <c r="A576" s="834"/>
      <c r="B576" s="3148"/>
      <c r="C576" s="3295"/>
      <c r="D576" s="3146"/>
      <c r="E576" s="3145"/>
      <c r="F576" s="3144"/>
      <c r="G576" s="3145"/>
      <c r="H576" s="3151" t="s">
        <v>1324</v>
      </c>
      <c r="I576" s="3155" t="s">
        <v>116</v>
      </c>
      <c r="J576" s="3137" t="s">
        <v>1230</v>
      </c>
      <c r="K576" s="3137"/>
      <c r="L576" s="3154" t="s">
        <v>116</v>
      </c>
      <c r="M576" s="3139" t="s">
        <v>1233</v>
      </c>
      <c r="N576" s="3137"/>
      <c r="O576" s="3137"/>
      <c r="P576" s="3137"/>
      <c r="Q576" s="3171"/>
      <c r="R576" s="3171"/>
      <c r="S576" s="3171"/>
      <c r="T576" s="3171"/>
      <c r="U576" s="3171"/>
      <c r="V576" s="3171"/>
      <c r="W576" s="3171"/>
      <c r="X576" s="3297"/>
      <c r="Y576" s="3293"/>
      <c r="Z576" s="1201"/>
      <c r="AA576" s="1201"/>
      <c r="AB576" s="1202"/>
      <c r="AC576" s="3293"/>
      <c r="AD576" s="1201"/>
      <c r="AE576" s="1201"/>
      <c r="AF576" s="1202"/>
      <c r="AI576" s="3120" t="str">
        <f>"33:field227:" &amp; IF(I576="■",1,IF(L576="■",2,0))</f>
        <v>33:field227:0</v>
      </c>
    </row>
    <row r="577" spans="1:37" s="3120" customFormat="1" ht="18.75" hidden="1" customHeight="1" x14ac:dyDescent="0.2">
      <c r="A577" s="834"/>
      <c r="B577" s="3148"/>
      <c r="C577" s="3147"/>
      <c r="D577" s="3146"/>
      <c r="E577" s="3145"/>
      <c r="F577" s="3144"/>
      <c r="G577" s="3145"/>
      <c r="H577" s="3296" t="s">
        <v>1285</v>
      </c>
      <c r="I577" s="3155" t="s">
        <v>116</v>
      </c>
      <c r="J577" s="3137" t="s">
        <v>1230</v>
      </c>
      <c r="K577" s="3137"/>
      <c r="L577" s="3154" t="s">
        <v>116</v>
      </c>
      <c r="M577" s="3137" t="s">
        <v>1231</v>
      </c>
      <c r="N577" s="3137"/>
      <c r="O577" s="3154" t="s">
        <v>116</v>
      </c>
      <c r="P577" s="3137" t="s">
        <v>1232</v>
      </c>
      <c r="Q577" s="3150"/>
      <c r="R577" s="3150"/>
      <c r="S577" s="3150"/>
      <c r="T577" s="3150"/>
      <c r="U577" s="3209"/>
      <c r="V577" s="3209"/>
      <c r="W577" s="3209"/>
      <c r="X577" s="3208"/>
      <c r="Y577" s="3293"/>
      <c r="Z577" s="1201"/>
      <c r="AA577" s="1201"/>
      <c r="AB577" s="1202"/>
      <c r="AC577" s="3293"/>
      <c r="AD577" s="1201"/>
      <c r="AE577" s="1201"/>
      <c r="AF577" s="1202"/>
      <c r="AI577" s="3120" t="str">
        <f>"33:field225:" &amp; IF(I577="■",1,IF(L577="■",2,IF(O577="■",3,0)))</f>
        <v>33:field225:0</v>
      </c>
    </row>
    <row r="578" spans="1:37" s="3120" customFormat="1" ht="18.75" hidden="1" customHeight="1" x14ac:dyDescent="0.2">
      <c r="A578" s="834"/>
      <c r="B578" s="3148"/>
      <c r="C578" s="3147"/>
      <c r="D578" s="3146"/>
      <c r="E578" s="3145"/>
      <c r="F578" s="3144"/>
      <c r="G578" s="3145"/>
      <c r="H578" s="3159" t="s">
        <v>2197</v>
      </c>
      <c r="I578" s="3155" t="s">
        <v>116</v>
      </c>
      <c r="J578" s="3137" t="s">
        <v>1230</v>
      </c>
      <c r="K578" s="3137"/>
      <c r="L578" s="3154" t="s">
        <v>116</v>
      </c>
      <c r="M578" s="3137" t="s">
        <v>1259</v>
      </c>
      <c r="N578" s="3137"/>
      <c r="O578" s="3154" t="s">
        <v>116</v>
      </c>
      <c r="P578" s="3137" t="s">
        <v>2090</v>
      </c>
      <c r="Q578" s="3153"/>
      <c r="R578" s="3154" t="s">
        <v>116</v>
      </c>
      <c r="S578" s="3137" t="s">
        <v>1261</v>
      </c>
      <c r="T578" s="3137"/>
      <c r="U578" s="3137"/>
      <c r="V578" s="3137"/>
      <c r="W578" s="3137"/>
      <c r="X578" s="3136"/>
      <c r="Y578" s="3293"/>
      <c r="Z578" s="1201"/>
      <c r="AA578" s="1201"/>
      <c r="AB578" s="1202"/>
      <c r="AC578" s="3293"/>
      <c r="AD578" s="1201"/>
      <c r="AE578" s="1201"/>
      <c r="AF578" s="1202"/>
      <c r="AI578" s="3120" t="str">
        <f>"33:serteikyo_kyoka_code:" &amp; IF(I578="■",1,IF(L578="■",6,IF(O578="■",2,IF(R578="■",7,0))))</f>
        <v>33:serteikyo_kyoka_code:0</v>
      </c>
    </row>
    <row r="579" spans="1:37" s="3120" customFormat="1" ht="18.75" hidden="1" customHeight="1" x14ac:dyDescent="0.2">
      <c r="A579" s="834"/>
      <c r="B579" s="3148"/>
      <c r="C579" s="3147"/>
      <c r="D579" s="3146"/>
      <c r="E579" s="3145"/>
      <c r="F579" s="3144"/>
      <c r="G579" s="3175"/>
      <c r="H579" s="3331" t="s">
        <v>2129</v>
      </c>
      <c r="I579" s="3303" t="s">
        <v>116</v>
      </c>
      <c r="J579" s="3327" t="s">
        <v>1230</v>
      </c>
      <c r="K579" s="3327"/>
      <c r="L579" s="3301" t="s">
        <v>116</v>
      </c>
      <c r="M579" s="3327" t="s">
        <v>2128</v>
      </c>
      <c r="N579" s="3330"/>
      <c r="O579" s="3301" t="s">
        <v>116</v>
      </c>
      <c r="P579" s="3329" t="s">
        <v>2127</v>
      </c>
      <c r="Q579" s="3328"/>
      <c r="R579" s="3301" t="s">
        <v>116</v>
      </c>
      <c r="S579" s="3327" t="s">
        <v>2126</v>
      </c>
      <c r="T579" s="3328"/>
      <c r="U579" s="3301" t="s">
        <v>116</v>
      </c>
      <c r="V579" s="3327" t="s">
        <v>2125</v>
      </c>
      <c r="W579" s="3326"/>
      <c r="X579" s="3325"/>
      <c r="Y579" s="1201"/>
      <c r="Z579" s="1201"/>
      <c r="AA579" s="1201"/>
      <c r="AB579" s="1202"/>
      <c r="AC579" s="3293"/>
      <c r="AD579" s="1201"/>
      <c r="AE579" s="1201"/>
      <c r="AF579" s="1202"/>
      <c r="AI579" s="3120" t="str">
        <f>"33:shoguukaizen_code:"&amp;IF(I579="■",1,IF(L579="■",7,IF(O579="■",8,IF(R579="■",9,IF(U579="■","A",0)))))</f>
        <v>33:shoguukaizen_code:0</v>
      </c>
    </row>
    <row r="580" spans="1:37" s="3120" customFormat="1" ht="18.75" hidden="1" customHeight="1" x14ac:dyDescent="0.2">
      <c r="A580" s="3188"/>
      <c r="B580" s="3187"/>
      <c r="C580" s="3186"/>
      <c r="D580" s="3184"/>
      <c r="E580" s="3185"/>
      <c r="F580" s="3184"/>
      <c r="G580" s="3183"/>
      <c r="H580" s="3382" t="s">
        <v>90</v>
      </c>
      <c r="I580" s="3181" t="s">
        <v>116</v>
      </c>
      <c r="J580" s="3180" t="s">
        <v>1230</v>
      </c>
      <c r="K580" s="3180"/>
      <c r="L580" s="3225"/>
      <c r="M580" s="3179" t="s">
        <v>116</v>
      </c>
      <c r="N580" s="3180" t="s">
        <v>2103</v>
      </c>
      <c r="O580" s="3180"/>
      <c r="P580" s="3225"/>
      <c r="Q580" s="3179" t="s">
        <v>116</v>
      </c>
      <c r="R580" s="3178" t="s">
        <v>2102</v>
      </c>
      <c r="S580" s="3178"/>
      <c r="T580" s="3226"/>
      <c r="U580" s="3226"/>
      <c r="V580" s="3226"/>
      <c r="W580" s="3226"/>
      <c r="X580" s="3339"/>
      <c r="Y580" s="3253" t="s">
        <v>116</v>
      </c>
      <c r="Z580" s="3252" t="s">
        <v>1225</v>
      </c>
      <c r="AA580" s="3252"/>
      <c r="AB580" s="3308"/>
      <c r="AC580" s="3253" t="s">
        <v>116</v>
      </c>
      <c r="AD580" s="3252" t="s">
        <v>1225</v>
      </c>
      <c r="AE580" s="3252"/>
      <c r="AF580" s="3308"/>
      <c r="AG580" s="3120" t="str">
        <f>"ser_code = '" &amp; IF(A585="■",27,"") &amp; "'"</f>
        <v>ser_code = ''</v>
      </c>
      <c r="AI580" s="3120" t="str">
        <f>"27:"&amp;IF(AND(I580="□",M580="□",Q580="□"),"ketu_kangos_code:0",IF(I580="■","ketu_kangos_code:1:ketu_kshoku_code:1",IF(M580="■","ketu_kangos_code:2","ketu_kangos_code:1")&amp;IF(Q580="■",":ketu_kshoku_code:2",":ketu_kshoku_code:1")))</f>
        <v>27:ketu_kangos_code:0</v>
      </c>
      <c r="AJ580" s="3120" t="str">
        <f>"27:field203:" &amp; IF(Y580="■",1,IF(Y581="■",2,0))</f>
        <v>27:field203:0</v>
      </c>
      <c r="AK580" s="3120" t="str">
        <f>"27:waribiki_code:" &amp; IF(AC580="■",1,IF(AC581="■",2,0))</f>
        <v>27:waribiki_code:0</v>
      </c>
    </row>
    <row r="581" spans="1:37" s="3120" customFormat="1" ht="18.75" hidden="1" customHeight="1" x14ac:dyDescent="0.2">
      <c r="A581" s="834"/>
      <c r="B581" s="3148"/>
      <c r="C581" s="3295"/>
      <c r="D581" s="3294"/>
      <c r="E581" s="3145"/>
      <c r="F581" s="3144"/>
      <c r="G581" s="3175"/>
      <c r="H581" s="3381" t="s">
        <v>1325</v>
      </c>
      <c r="I581" s="3222" t="s">
        <v>116</v>
      </c>
      <c r="J581" s="3217" t="s">
        <v>1228</v>
      </c>
      <c r="K581" s="3221"/>
      <c r="L581" s="3220"/>
      <c r="M581" s="3219" t="s">
        <v>116</v>
      </c>
      <c r="N581" s="3217" t="s">
        <v>1322</v>
      </c>
      <c r="O581" s="3221"/>
      <c r="P581" s="3380"/>
      <c r="Q581" s="3380"/>
      <c r="R581" s="3380"/>
      <c r="S581" s="3380"/>
      <c r="T581" s="3380"/>
      <c r="U581" s="3380"/>
      <c r="V581" s="3380"/>
      <c r="W581" s="3380"/>
      <c r="X581" s="3379"/>
      <c r="Y581" s="3158" t="s">
        <v>116</v>
      </c>
      <c r="Z581" s="1200" t="s">
        <v>1226</v>
      </c>
      <c r="AA581" s="1201"/>
      <c r="AB581" s="1202"/>
      <c r="AC581" s="3158" t="s">
        <v>116</v>
      </c>
      <c r="AD581" s="1200" t="s">
        <v>1226</v>
      </c>
      <c r="AE581" s="1201"/>
      <c r="AF581" s="1202"/>
      <c r="AG581" s="3120" t="str">
        <f>"27:sisetukbn_code:" &amp; IF(D584="■",1,IF(D585="■",2,IF(D586="■",5,IF(D587="■",6,0))))</f>
        <v>27:sisetukbn_code:0</v>
      </c>
      <c r="AI581" s="3120" t="str">
        <f>"2A:sintaikousoku_code:" &amp; IF(I581="■",1,IF(M581="■",2,0))</f>
        <v>2A:sintaikousoku_code:0</v>
      </c>
    </row>
    <row r="582" spans="1:37" s="3120" customFormat="1" ht="19.5" hidden="1" customHeight="1" x14ac:dyDescent="0.2">
      <c r="A582" s="834"/>
      <c r="B582" s="3148"/>
      <c r="C582" s="3160"/>
      <c r="D582" s="1199"/>
      <c r="E582" s="3145"/>
      <c r="F582" s="3144"/>
      <c r="G582" s="3175"/>
      <c r="H582" s="3174" t="s">
        <v>1227</v>
      </c>
      <c r="I582" s="3155" t="s">
        <v>116</v>
      </c>
      <c r="J582" s="3137" t="s">
        <v>1228</v>
      </c>
      <c r="K582" s="3171"/>
      <c r="L582" s="3173"/>
      <c r="M582" s="3154" t="s">
        <v>116</v>
      </c>
      <c r="N582" s="3137" t="s">
        <v>1229</v>
      </c>
      <c r="O582" s="3299"/>
      <c r="P582" s="3137"/>
      <c r="Q582" s="3150"/>
      <c r="R582" s="3150"/>
      <c r="S582" s="3150"/>
      <c r="T582" s="3150"/>
      <c r="U582" s="3150"/>
      <c r="V582" s="3150"/>
      <c r="W582" s="3150"/>
      <c r="X582" s="3149"/>
      <c r="Y582" s="1199"/>
      <c r="Z582" s="1200"/>
      <c r="AA582" s="1201"/>
      <c r="AB582" s="1202"/>
      <c r="AC582" s="1199"/>
      <c r="AD582" s="1200"/>
      <c r="AE582" s="1201"/>
      <c r="AF582" s="1202"/>
      <c r="AI582" s="3120" t="str">
        <f>"27:field223:" &amp; IF(I582="■",1,IF(M582="■",2,0))</f>
        <v>27:field223:0</v>
      </c>
    </row>
    <row r="583" spans="1:37" s="3120" customFormat="1" ht="19.5" hidden="1" customHeight="1" x14ac:dyDescent="0.2">
      <c r="A583" s="834"/>
      <c r="B583" s="3148"/>
      <c r="C583" s="3160"/>
      <c r="D583" s="1199"/>
      <c r="E583" s="3145"/>
      <c r="F583" s="3144"/>
      <c r="G583" s="3175"/>
      <c r="H583" s="3174" t="s">
        <v>1253</v>
      </c>
      <c r="I583" s="3155" t="s">
        <v>116</v>
      </c>
      <c r="J583" s="3137" t="s">
        <v>1228</v>
      </c>
      <c r="K583" s="3171"/>
      <c r="L583" s="3173"/>
      <c r="M583" s="3154" t="s">
        <v>116</v>
      </c>
      <c r="N583" s="3137" t="s">
        <v>1229</v>
      </c>
      <c r="O583" s="3299"/>
      <c r="P583" s="3137"/>
      <c r="Q583" s="3150"/>
      <c r="R583" s="3150"/>
      <c r="S583" s="3150"/>
      <c r="T583" s="3150"/>
      <c r="U583" s="3150"/>
      <c r="V583" s="3150"/>
      <c r="W583" s="3150"/>
      <c r="X583" s="3149"/>
      <c r="Y583" s="1199"/>
      <c r="Z583" s="1200"/>
      <c r="AA583" s="1201"/>
      <c r="AB583" s="1202"/>
      <c r="AC583" s="1199"/>
      <c r="AD583" s="1200"/>
      <c r="AE583" s="1201"/>
      <c r="AF583" s="1202"/>
      <c r="AI583" s="3120" t="str">
        <f>"27:field232:" &amp; IF(I583="■",1,IF(M583="■",2,0))</f>
        <v>27:field232:0</v>
      </c>
    </row>
    <row r="584" spans="1:37" s="3120" customFormat="1" ht="18.75" hidden="1" customHeight="1" x14ac:dyDescent="0.2">
      <c r="A584" s="834"/>
      <c r="B584" s="3148"/>
      <c r="C584" s="3160"/>
      <c r="D584" s="3158" t="s">
        <v>116</v>
      </c>
      <c r="E584" s="3145" t="s">
        <v>2205</v>
      </c>
      <c r="F584" s="3144"/>
      <c r="G584" s="3175"/>
      <c r="H584" s="3243" t="s">
        <v>2204</v>
      </c>
      <c r="I584" s="3155" t="s">
        <v>116</v>
      </c>
      <c r="J584" s="3137" t="s">
        <v>1230</v>
      </c>
      <c r="K584" s="3137"/>
      <c r="L584" s="3154" t="s">
        <v>116</v>
      </c>
      <c r="M584" s="3137" t="s">
        <v>2173</v>
      </c>
      <c r="N584" s="3137"/>
      <c r="O584" s="3154" t="s">
        <v>116</v>
      </c>
      <c r="P584" s="3137" t="s">
        <v>2203</v>
      </c>
      <c r="Q584" s="3137"/>
      <c r="R584" s="3137"/>
      <c r="S584" s="3137"/>
      <c r="T584" s="3137"/>
      <c r="U584" s="3137"/>
      <c r="V584" s="3171"/>
      <c r="W584" s="3171"/>
      <c r="X584" s="3297"/>
      <c r="Y584" s="3293"/>
      <c r="Z584" s="1201"/>
      <c r="AA584" s="1201"/>
      <c r="AB584" s="1202"/>
      <c r="AC584" s="3293"/>
      <c r="AD584" s="1201"/>
      <c r="AE584" s="1201"/>
      <c r="AF584" s="1202"/>
      <c r="AI584" s="3120" t="str">
        <f>"27:yakankango_code:" &amp; IF(I584="■",1,IF(L584="■",3,IF(O584="■",2,0)))</f>
        <v>27:yakankango_code:0</v>
      </c>
    </row>
    <row r="585" spans="1:37" s="3120" customFormat="1" ht="18.75" hidden="1" customHeight="1" x14ac:dyDescent="0.2">
      <c r="A585" s="3158" t="s">
        <v>116</v>
      </c>
      <c r="B585" s="3148">
        <v>27</v>
      </c>
      <c r="C585" s="3160" t="s">
        <v>601</v>
      </c>
      <c r="D585" s="3158" t="s">
        <v>116</v>
      </c>
      <c r="E585" s="3145" t="s">
        <v>2202</v>
      </c>
      <c r="F585" s="3144"/>
      <c r="G585" s="3175"/>
      <c r="H585" s="3243" t="s">
        <v>2201</v>
      </c>
      <c r="I585" s="3155" t="s">
        <v>116</v>
      </c>
      <c r="J585" s="3137" t="s">
        <v>1230</v>
      </c>
      <c r="K585" s="3171"/>
      <c r="L585" s="3154" t="s">
        <v>116</v>
      </c>
      <c r="M585" s="3137" t="s">
        <v>1233</v>
      </c>
      <c r="N585" s="3137"/>
      <c r="O585" s="3171"/>
      <c r="P585" s="3171"/>
      <c r="Q585" s="3171"/>
      <c r="R585" s="3171"/>
      <c r="S585" s="3171"/>
      <c r="T585" s="3171"/>
      <c r="U585" s="3171"/>
      <c r="V585" s="3171"/>
      <c r="W585" s="3171"/>
      <c r="X585" s="3297"/>
      <c r="Y585" s="3293"/>
      <c r="Z585" s="1201"/>
      <c r="AA585" s="1201"/>
      <c r="AB585" s="1202"/>
      <c r="AC585" s="3293"/>
      <c r="AD585" s="1201"/>
      <c r="AE585" s="1201"/>
      <c r="AF585" s="1202"/>
      <c r="AI585" s="3120" t="str">
        <f>"27:jyakuninti_uke_code:" &amp; IF(I585="■",1,IF(L585="■",2,0))</f>
        <v>27:jyakuninti_uke_code:0</v>
      </c>
    </row>
    <row r="586" spans="1:37" s="3120" customFormat="1" ht="18.75" hidden="1" customHeight="1" x14ac:dyDescent="0.2">
      <c r="A586" s="834"/>
      <c r="B586" s="3148"/>
      <c r="C586" s="3160" t="s">
        <v>2200</v>
      </c>
      <c r="D586" s="3158" t="s">
        <v>116</v>
      </c>
      <c r="E586" s="3145" t="s">
        <v>2199</v>
      </c>
      <c r="F586" s="3144"/>
      <c r="G586" s="3145"/>
      <c r="H586" s="3151" t="s">
        <v>1323</v>
      </c>
      <c r="I586" s="3155" t="s">
        <v>116</v>
      </c>
      <c r="J586" s="3137" t="s">
        <v>1230</v>
      </c>
      <c r="K586" s="3137"/>
      <c r="L586" s="3154" t="s">
        <v>116</v>
      </c>
      <c r="M586" s="3139" t="s">
        <v>1233</v>
      </c>
      <c r="N586" s="3137"/>
      <c r="O586" s="3137"/>
      <c r="P586" s="3137"/>
      <c r="Q586" s="3171"/>
      <c r="R586" s="3171"/>
      <c r="S586" s="3171"/>
      <c r="T586" s="3171"/>
      <c r="U586" s="3171"/>
      <c r="V586" s="3171"/>
      <c r="W586" s="3171"/>
      <c r="X586" s="3297"/>
      <c r="Y586" s="3293"/>
      <c r="Z586" s="1201"/>
      <c r="AA586" s="1201"/>
      <c r="AB586" s="1202"/>
      <c r="AC586" s="3293"/>
      <c r="AD586" s="1201"/>
      <c r="AE586" s="1201"/>
      <c r="AF586" s="1202"/>
      <c r="AI586" s="3120" t="str">
        <f>"27:field226:" &amp; IF(I586="■",1,IF(L586="■",2,0))</f>
        <v>27:field226:0</v>
      </c>
    </row>
    <row r="587" spans="1:37" s="3120" customFormat="1" ht="18.75" hidden="1" customHeight="1" x14ac:dyDescent="0.2">
      <c r="A587" s="834"/>
      <c r="B587" s="3148"/>
      <c r="C587" s="3160"/>
      <c r="D587" s="3158" t="s">
        <v>116</v>
      </c>
      <c r="E587" s="3145" t="s">
        <v>2198</v>
      </c>
      <c r="F587" s="3144"/>
      <c r="G587" s="3145"/>
      <c r="H587" s="3151" t="s">
        <v>1324</v>
      </c>
      <c r="I587" s="3155" t="s">
        <v>116</v>
      </c>
      <c r="J587" s="3137" t="s">
        <v>1230</v>
      </c>
      <c r="K587" s="3137"/>
      <c r="L587" s="3154" t="s">
        <v>116</v>
      </c>
      <c r="M587" s="3139" t="s">
        <v>1233</v>
      </c>
      <c r="N587" s="3137"/>
      <c r="O587" s="3137"/>
      <c r="P587" s="3137"/>
      <c r="Q587" s="3171"/>
      <c r="R587" s="3171"/>
      <c r="S587" s="3171"/>
      <c r="T587" s="3171"/>
      <c r="U587" s="3171"/>
      <c r="V587" s="3171"/>
      <c r="W587" s="3171"/>
      <c r="X587" s="3297"/>
      <c r="Y587" s="3293"/>
      <c r="Z587" s="1201"/>
      <c r="AA587" s="1201"/>
      <c r="AB587" s="1202"/>
      <c r="AC587" s="3293"/>
      <c r="AD587" s="1201"/>
      <c r="AE587" s="1201"/>
      <c r="AF587" s="1202"/>
      <c r="AI587" s="3120" t="str">
        <f>"27:field227:" &amp; IF(I587="■",1,IF(L587="■",2,0))</f>
        <v>27:field227:0</v>
      </c>
    </row>
    <row r="588" spans="1:37" s="3120" customFormat="1" ht="18.75" hidden="1" customHeight="1" x14ac:dyDescent="0.2">
      <c r="A588" s="834"/>
      <c r="B588" s="3148"/>
      <c r="C588" s="3160"/>
      <c r="D588" s="3294"/>
      <c r="E588" s="3145"/>
      <c r="F588" s="3144"/>
      <c r="G588" s="3175"/>
      <c r="H588" s="3296" t="s">
        <v>1285</v>
      </c>
      <c r="I588" s="3155" t="s">
        <v>116</v>
      </c>
      <c r="J588" s="3137" t="s">
        <v>1230</v>
      </c>
      <c r="K588" s="3137"/>
      <c r="L588" s="3154" t="s">
        <v>116</v>
      </c>
      <c r="M588" s="3137" t="s">
        <v>1231</v>
      </c>
      <c r="N588" s="3137"/>
      <c r="O588" s="3154" t="s">
        <v>116</v>
      </c>
      <c r="P588" s="3137" t="s">
        <v>1232</v>
      </c>
      <c r="Q588" s="3150"/>
      <c r="R588" s="3150"/>
      <c r="S588" s="3150"/>
      <c r="T588" s="3150"/>
      <c r="U588" s="3209"/>
      <c r="V588" s="3209"/>
      <c r="W588" s="3209"/>
      <c r="X588" s="3208"/>
      <c r="Y588" s="3293"/>
      <c r="Z588" s="1201"/>
      <c r="AA588" s="1201"/>
      <c r="AB588" s="1202"/>
      <c r="AC588" s="3293"/>
      <c r="AD588" s="1201"/>
      <c r="AE588" s="1201"/>
      <c r="AF588" s="1202"/>
      <c r="AI588" s="3120" t="str">
        <f>"27:field225:" &amp; IF(I588="■",1,IF(L588="■",2,IF(O588="■",3,0)))</f>
        <v>27:field225:0</v>
      </c>
    </row>
    <row r="589" spans="1:37" s="3120" customFormat="1" ht="18.75" hidden="1" customHeight="1" x14ac:dyDescent="0.2">
      <c r="A589" s="834"/>
      <c r="B589" s="3148"/>
      <c r="C589" s="3160"/>
      <c r="D589" s="3294"/>
      <c r="E589" s="3145"/>
      <c r="F589" s="3144"/>
      <c r="G589" s="3175"/>
      <c r="H589" s="3159" t="s">
        <v>2197</v>
      </c>
      <c r="I589" s="3155" t="s">
        <v>116</v>
      </c>
      <c r="J589" s="3137" t="s">
        <v>1230</v>
      </c>
      <c r="K589" s="3137"/>
      <c r="L589" s="3154" t="s">
        <v>116</v>
      </c>
      <c r="M589" s="3137" t="s">
        <v>1259</v>
      </c>
      <c r="N589" s="3137"/>
      <c r="O589" s="3154" t="s">
        <v>116</v>
      </c>
      <c r="P589" s="3137" t="s">
        <v>2090</v>
      </c>
      <c r="Q589" s="3153"/>
      <c r="R589" s="3154" t="s">
        <v>116</v>
      </c>
      <c r="S589" s="3137" t="s">
        <v>1261</v>
      </c>
      <c r="T589" s="3137"/>
      <c r="U589" s="3137"/>
      <c r="V589" s="3137"/>
      <c r="W589" s="3137"/>
      <c r="X589" s="3136"/>
      <c r="Y589" s="3293"/>
      <c r="Z589" s="1201"/>
      <c r="AA589" s="1201"/>
      <c r="AB589" s="1202"/>
      <c r="AC589" s="3293"/>
      <c r="AD589" s="1201"/>
      <c r="AE589" s="1201"/>
      <c r="AF589" s="1202"/>
      <c r="AI589" s="3120" t="str">
        <f>"27:serteikyo_kyoka_code:" &amp; IF(I589="■",1,IF(L589="■",6,IF(O589="■",2,IF(R589="■",7,0))))</f>
        <v>27:serteikyo_kyoka_code:0</v>
      </c>
    </row>
    <row r="590" spans="1:37" s="3120" customFormat="1" ht="18.75" hidden="1" customHeight="1" x14ac:dyDescent="0.2">
      <c r="A590" s="835"/>
      <c r="B590" s="3135"/>
      <c r="C590" s="3378"/>
      <c r="D590" s="3133"/>
      <c r="E590" s="3132"/>
      <c r="F590" s="3131"/>
      <c r="G590" s="3189"/>
      <c r="H590" s="3289" t="s">
        <v>2129</v>
      </c>
      <c r="I590" s="3128" t="s">
        <v>116</v>
      </c>
      <c r="J590" s="3285" t="s">
        <v>1230</v>
      </c>
      <c r="K590" s="3285"/>
      <c r="L590" s="3127" t="s">
        <v>116</v>
      </c>
      <c r="M590" s="3285" t="s">
        <v>2128</v>
      </c>
      <c r="N590" s="3288"/>
      <c r="O590" s="3127" t="s">
        <v>116</v>
      </c>
      <c r="P590" s="3287" t="s">
        <v>2127</v>
      </c>
      <c r="Q590" s="3286"/>
      <c r="R590" s="3127" t="s">
        <v>116</v>
      </c>
      <c r="S590" s="3285" t="s">
        <v>2126</v>
      </c>
      <c r="T590" s="3286"/>
      <c r="U590" s="3127" t="s">
        <v>116</v>
      </c>
      <c r="V590" s="3285" t="s">
        <v>2125</v>
      </c>
      <c r="W590" s="3284"/>
      <c r="X590" s="3283"/>
      <c r="Y590" s="3282"/>
      <c r="Z590" s="3282"/>
      <c r="AA590" s="3282"/>
      <c r="AB590" s="3281"/>
      <c r="AC590" s="3340"/>
      <c r="AD590" s="3282"/>
      <c r="AE590" s="3282"/>
      <c r="AF590" s="3281"/>
      <c r="AI590" s="3120" t="str">
        <f>"27:shoguukaizen_code:"&amp;IF(I590="■",1,IF(L590="■",7,IF(O590="■",8,IF(R590="■",9,IF(U590="■","A",0)))))</f>
        <v>27:shoguukaizen_code:0</v>
      </c>
    </row>
    <row r="591" spans="1:37" s="3120" customFormat="1" ht="19.5" hidden="1" customHeight="1" x14ac:dyDescent="0.2">
      <c r="A591" s="834"/>
      <c r="B591" s="3148"/>
      <c r="C591" s="3147"/>
      <c r="D591" s="3146"/>
      <c r="E591" s="3145"/>
      <c r="F591" s="3144"/>
      <c r="G591" s="3175"/>
      <c r="H591" s="3377" t="s">
        <v>1253</v>
      </c>
      <c r="I591" s="3376" t="s">
        <v>116</v>
      </c>
      <c r="J591" s="3372" t="s">
        <v>1228</v>
      </c>
      <c r="K591" s="3375"/>
      <c r="L591" s="3374"/>
      <c r="M591" s="3373" t="s">
        <v>116</v>
      </c>
      <c r="N591" s="3372" t="s">
        <v>1229</v>
      </c>
      <c r="O591" s="3371"/>
      <c r="P591" s="3370"/>
      <c r="Q591" s="3369"/>
      <c r="R591" s="3369"/>
      <c r="S591" s="3369"/>
      <c r="T591" s="3369"/>
      <c r="U591" s="3369"/>
      <c r="V591" s="3369"/>
      <c r="W591" s="3369"/>
      <c r="X591" s="3368"/>
      <c r="Y591" s="3158" t="s">
        <v>116</v>
      </c>
      <c r="Z591" s="1200" t="s">
        <v>1225</v>
      </c>
      <c r="AA591" s="1201"/>
      <c r="AB591" s="1202"/>
      <c r="AC591" s="3367"/>
      <c r="AD591" s="3364"/>
      <c r="AE591" s="3364"/>
      <c r="AF591" s="3363"/>
      <c r="AG591" s="3120" t="str">
        <f>"ser_code = '" &amp; IF(A593="■",17,"") &amp; "'"</f>
        <v>ser_code = ''</v>
      </c>
      <c r="AI591" s="3120" t="str">
        <f>"17:field232:" &amp; IF(I591="■",1,IF(M591="■",2,0))</f>
        <v>17:field232:0</v>
      </c>
      <c r="AJ591" s="3120" t="str">
        <f>"17:field203:" &amp; IF(Y591="■",1,IF(Y592="■",2,0))</f>
        <v>17:field203:0</v>
      </c>
    </row>
    <row r="592" spans="1:37" s="3120" customFormat="1" ht="18.75" hidden="1" customHeight="1" x14ac:dyDescent="0.2">
      <c r="A592" s="834"/>
      <c r="B592" s="3148"/>
      <c r="C592" s="3147"/>
      <c r="D592" s="3146"/>
      <c r="E592" s="3145"/>
      <c r="F592" s="3144"/>
      <c r="G592" s="3175"/>
      <c r="H592" s="3213" t="s">
        <v>2196</v>
      </c>
      <c r="I592" s="3141" t="s">
        <v>116</v>
      </c>
      <c r="J592" s="3139" t="s">
        <v>1230</v>
      </c>
      <c r="K592" s="3138"/>
      <c r="L592" s="3140" t="s">
        <v>116</v>
      </c>
      <c r="M592" s="3139" t="s">
        <v>1233</v>
      </c>
      <c r="N592" s="3138"/>
      <c r="O592" s="3138"/>
      <c r="P592" s="3138"/>
      <c r="Q592" s="3138"/>
      <c r="R592" s="3138"/>
      <c r="S592" s="3138"/>
      <c r="T592" s="3138"/>
      <c r="U592" s="3138"/>
      <c r="V592" s="3138"/>
      <c r="W592" s="3138"/>
      <c r="X592" s="3212"/>
      <c r="Y592" s="3158" t="s">
        <v>116</v>
      </c>
      <c r="Z592" s="1200" t="s">
        <v>1226</v>
      </c>
      <c r="AA592" s="1200"/>
      <c r="AB592" s="1202"/>
      <c r="AC592" s="3365"/>
      <c r="AD592" s="3364"/>
      <c r="AE592" s="3364"/>
      <c r="AF592" s="3363"/>
      <c r="AI592" s="3120" t="str">
        <f>"17:tokutiiki_code:" &amp; IF(I592="■",1,IF(L592="■",2,0))</f>
        <v>17:tokutiiki_code:0</v>
      </c>
    </row>
    <row r="593" spans="1:37" s="3120" customFormat="1" ht="18.75" hidden="1" customHeight="1" x14ac:dyDescent="0.2">
      <c r="A593" s="3158" t="s">
        <v>116</v>
      </c>
      <c r="B593" s="3148">
        <v>17</v>
      </c>
      <c r="C593" s="3147" t="s">
        <v>5</v>
      </c>
      <c r="D593" s="3146"/>
      <c r="E593" s="3145"/>
      <c r="F593" s="3144"/>
      <c r="G593" s="3175"/>
      <c r="H593" s="3170" t="s">
        <v>1243</v>
      </c>
      <c r="I593" s="3211" t="s">
        <v>116</v>
      </c>
      <c r="J593" s="3210" t="s">
        <v>1234</v>
      </c>
      <c r="K593" s="3210"/>
      <c r="L593" s="3210"/>
      <c r="M593" s="3211" t="s">
        <v>116</v>
      </c>
      <c r="N593" s="3210" t="s">
        <v>1235</v>
      </c>
      <c r="O593" s="3210"/>
      <c r="P593" s="3210"/>
      <c r="Q593" s="3209"/>
      <c r="R593" s="3209"/>
      <c r="S593" s="3209"/>
      <c r="T593" s="3209"/>
      <c r="U593" s="3209"/>
      <c r="V593" s="3209"/>
      <c r="W593" s="3209"/>
      <c r="X593" s="3208"/>
      <c r="Y593" s="3293"/>
      <c r="Z593" s="1200"/>
      <c r="AA593" s="1201"/>
      <c r="AB593" s="1202"/>
      <c r="AC593" s="3365"/>
      <c r="AD593" s="3364"/>
      <c r="AE593" s="3364"/>
      <c r="AF593" s="3363"/>
      <c r="AI593" s="3120" t="str">
        <f>"17:chuusankanti_tiiki_code:" &amp; IF(I593="■",1,IF(M593="■",2,0))</f>
        <v>17:chuusankanti_tiiki_code:0</v>
      </c>
    </row>
    <row r="594" spans="1:37" s="3120" customFormat="1" ht="18.75" hidden="1" customHeight="1" x14ac:dyDescent="0.2">
      <c r="A594" s="834"/>
      <c r="B594" s="3148"/>
      <c r="C594" s="3147"/>
      <c r="D594" s="3146"/>
      <c r="E594" s="3145"/>
      <c r="F594" s="3144"/>
      <c r="G594" s="3175"/>
      <c r="H594" s="3165"/>
      <c r="I594" s="3164"/>
      <c r="J594" s="3163"/>
      <c r="K594" s="3163"/>
      <c r="L594" s="3163"/>
      <c r="M594" s="3164"/>
      <c r="N594" s="3163"/>
      <c r="O594" s="3163"/>
      <c r="P594" s="3163"/>
      <c r="Q594" s="3138"/>
      <c r="R594" s="3138"/>
      <c r="S594" s="3138"/>
      <c r="T594" s="3138"/>
      <c r="U594" s="3138"/>
      <c r="V594" s="3138"/>
      <c r="W594" s="3138"/>
      <c r="X594" s="3212"/>
      <c r="Y594" s="3293"/>
      <c r="Z594" s="1201"/>
      <c r="AA594" s="1201"/>
      <c r="AB594" s="1202"/>
      <c r="AC594" s="3365"/>
      <c r="AD594" s="3364"/>
      <c r="AE594" s="3364"/>
      <c r="AF594" s="3363"/>
    </row>
    <row r="595" spans="1:37" s="3120" customFormat="1" ht="18.75" hidden="1" customHeight="1" x14ac:dyDescent="0.2">
      <c r="A595" s="834"/>
      <c r="B595" s="3148"/>
      <c r="C595" s="3147"/>
      <c r="D595" s="3146"/>
      <c r="E595" s="3145"/>
      <c r="F595" s="3144"/>
      <c r="G595" s="3175"/>
      <c r="H595" s="3170" t="s">
        <v>1244</v>
      </c>
      <c r="I595" s="3366" t="s">
        <v>116</v>
      </c>
      <c r="J595" s="3210" t="s">
        <v>1234</v>
      </c>
      <c r="K595" s="3210"/>
      <c r="L595" s="3210"/>
      <c r="M595" s="3211" t="s">
        <v>116</v>
      </c>
      <c r="N595" s="3210" t="s">
        <v>1235</v>
      </c>
      <c r="O595" s="3210"/>
      <c r="P595" s="3210"/>
      <c r="Q595" s="3209"/>
      <c r="R595" s="3209"/>
      <c r="S595" s="3209"/>
      <c r="T595" s="3209"/>
      <c r="U595" s="3209"/>
      <c r="V595" s="3209"/>
      <c r="W595" s="3209"/>
      <c r="X595" s="3208"/>
      <c r="Y595" s="3293"/>
      <c r="Z595" s="1201"/>
      <c r="AA595" s="1201"/>
      <c r="AB595" s="1202"/>
      <c r="AC595" s="3365"/>
      <c r="AD595" s="3364"/>
      <c r="AE595" s="3364"/>
      <c r="AF595" s="3363"/>
      <c r="AI595" s="3120" t="str">
        <f>"17:chuusankanti_kibo_code:" &amp; IF(I595="■",1,IF(M595="■",2,0))</f>
        <v>17:chuusankanti_kibo_code:0</v>
      </c>
    </row>
    <row r="596" spans="1:37" s="3120" customFormat="1" ht="18.75" hidden="1" customHeight="1" x14ac:dyDescent="0.2">
      <c r="A596" s="835"/>
      <c r="B596" s="3135"/>
      <c r="C596" s="3134"/>
      <c r="D596" s="3133"/>
      <c r="E596" s="3132"/>
      <c r="F596" s="3131"/>
      <c r="G596" s="3189"/>
      <c r="H596" s="3362"/>
      <c r="I596" s="3361"/>
      <c r="J596" s="3345"/>
      <c r="K596" s="3345"/>
      <c r="L596" s="3345"/>
      <c r="M596" s="3360"/>
      <c r="N596" s="3345"/>
      <c r="O596" s="3345"/>
      <c r="P596" s="3345"/>
      <c r="Q596" s="3191"/>
      <c r="R596" s="3191"/>
      <c r="S596" s="3191"/>
      <c r="T596" s="3191"/>
      <c r="U596" s="3191"/>
      <c r="V596" s="3191"/>
      <c r="W596" s="3191"/>
      <c r="X596" s="3130"/>
      <c r="Y596" s="3340"/>
      <c r="Z596" s="3282"/>
      <c r="AA596" s="3282"/>
      <c r="AB596" s="3281"/>
      <c r="AC596" s="3359"/>
      <c r="AD596" s="3358"/>
      <c r="AE596" s="3358"/>
      <c r="AF596" s="3357"/>
    </row>
    <row r="597" spans="1:37" s="3120" customFormat="1" ht="18.75" hidden="1" customHeight="1" x14ac:dyDescent="0.2">
      <c r="A597" s="3188"/>
      <c r="B597" s="3187"/>
      <c r="C597" s="3229"/>
      <c r="D597" s="3228"/>
      <c r="E597" s="3185"/>
      <c r="F597" s="3356"/>
      <c r="G597" s="3183"/>
      <c r="H597" s="3355" t="s">
        <v>2195</v>
      </c>
      <c r="I597" s="3354" t="s">
        <v>116</v>
      </c>
      <c r="J597" s="3352" t="s">
        <v>1230</v>
      </c>
      <c r="K597" s="3352"/>
      <c r="L597" s="3353" t="s">
        <v>116</v>
      </c>
      <c r="M597" s="3352" t="s">
        <v>1233</v>
      </c>
      <c r="N597" s="3352"/>
      <c r="O597" s="3352"/>
      <c r="P597" s="3311"/>
      <c r="Q597" s="3311"/>
      <c r="R597" s="3311"/>
      <c r="S597" s="3311"/>
      <c r="T597" s="3311"/>
      <c r="U597" s="3311"/>
      <c r="V597" s="3311"/>
      <c r="W597" s="3311"/>
      <c r="X597" s="3351"/>
      <c r="Y597" s="3253" t="s">
        <v>116</v>
      </c>
      <c r="Z597" s="3252" t="s">
        <v>1225</v>
      </c>
      <c r="AA597" s="3252"/>
      <c r="AB597" s="3308"/>
      <c r="AC597" s="3338"/>
      <c r="AD597" s="3338"/>
      <c r="AE597" s="3338"/>
      <c r="AF597" s="3338"/>
      <c r="AG597" s="3120" t="str">
        <f>"ser_code = '" &amp; IF(A602="■",43,"") &amp; "'"</f>
        <v>ser_code = ''</v>
      </c>
      <c r="AI597" s="3120" t="str">
        <f>"43:field213:" &amp; IF(I597="■",1,IF(L597="■",2,0))</f>
        <v>43:field213:0</v>
      </c>
      <c r="AJ597" s="3120" t="str">
        <f>"43:field203:" &amp; IF(Y597="■",1,IF(Y598="■",2,0))</f>
        <v>43:field203:0</v>
      </c>
    </row>
    <row r="598" spans="1:37" s="3120" customFormat="1" ht="18.75" hidden="1" customHeight="1" x14ac:dyDescent="0.2">
      <c r="A598" s="834"/>
      <c r="B598" s="3148"/>
      <c r="C598" s="3147"/>
      <c r="D598" s="3146"/>
      <c r="E598" s="3145"/>
      <c r="F598" s="3344"/>
      <c r="G598" s="3175"/>
      <c r="H598" s="3203"/>
      <c r="I598" s="3202"/>
      <c r="J598" s="3168"/>
      <c r="K598" s="3168"/>
      <c r="L598" s="3201"/>
      <c r="M598" s="3168"/>
      <c r="N598" s="3168"/>
      <c r="O598" s="3168"/>
      <c r="P598" s="3350"/>
      <c r="Q598" s="3350"/>
      <c r="R598" s="3350"/>
      <c r="S598" s="3350"/>
      <c r="T598" s="3350"/>
      <c r="U598" s="3350"/>
      <c r="V598" s="3350"/>
      <c r="W598" s="3350"/>
      <c r="X598" s="3143"/>
      <c r="Y598" s="3158" t="s">
        <v>116</v>
      </c>
      <c r="Z598" s="1200" t="s">
        <v>1226</v>
      </c>
      <c r="AA598" s="1200"/>
      <c r="AB598" s="1202"/>
      <c r="AC598" s="3349"/>
      <c r="AD598" s="3349"/>
      <c r="AE598" s="3349"/>
      <c r="AF598" s="3349"/>
    </row>
    <row r="599" spans="1:37" s="3120" customFormat="1" ht="18.75" hidden="1" customHeight="1" x14ac:dyDescent="0.2">
      <c r="A599" s="834"/>
      <c r="B599" s="3148"/>
      <c r="C599" s="3147"/>
      <c r="D599" s="3146"/>
      <c r="E599" s="3145"/>
      <c r="F599" s="3344"/>
      <c r="G599" s="3143"/>
      <c r="H599" s="3151" t="s">
        <v>2106</v>
      </c>
      <c r="I599" s="3155" t="s">
        <v>116</v>
      </c>
      <c r="J599" s="3137" t="s">
        <v>1230</v>
      </c>
      <c r="K599" s="3171"/>
      <c r="L599" s="3154" t="s">
        <v>116</v>
      </c>
      <c r="M599" s="3137" t="s">
        <v>1233</v>
      </c>
      <c r="N599" s="3171"/>
      <c r="O599" s="3171"/>
      <c r="P599" s="3171"/>
      <c r="Q599" s="3171"/>
      <c r="R599" s="3171"/>
      <c r="S599" s="3171"/>
      <c r="T599" s="3171"/>
      <c r="U599" s="3171"/>
      <c r="V599" s="3171"/>
      <c r="W599" s="3171"/>
      <c r="X599" s="3297"/>
      <c r="Y599" s="1201"/>
      <c r="Z599" s="1200"/>
      <c r="AA599" s="1201"/>
      <c r="AB599" s="1202"/>
      <c r="AC599" s="3333"/>
      <c r="AD599" s="3333"/>
      <c r="AE599" s="3333"/>
      <c r="AF599" s="3333"/>
      <c r="AI599" s="3120" t="str">
        <f>"43:tokutiiki_code:" &amp; IF(I599="■",1,IF(L599="■",2,0))</f>
        <v>43:tokutiiki_code:0</v>
      </c>
    </row>
    <row r="600" spans="1:37" s="3120" customFormat="1" ht="18.75" hidden="1" customHeight="1" x14ac:dyDescent="0.2">
      <c r="A600" s="834"/>
      <c r="B600" s="3148"/>
      <c r="C600" s="3147"/>
      <c r="D600" s="3146"/>
      <c r="E600" s="3145"/>
      <c r="F600" s="3344"/>
      <c r="G600" s="3143"/>
      <c r="H600" s="3170" t="s">
        <v>1243</v>
      </c>
      <c r="I600" s="3211" t="s">
        <v>116</v>
      </c>
      <c r="J600" s="3210" t="s">
        <v>1234</v>
      </c>
      <c r="K600" s="3210"/>
      <c r="L600" s="3210"/>
      <c r="M600" s="3211" t="s">
        <v>116</v>
      </c>
      <c r="N600" s="3210" t="s">
        <v>1235</v>
      </c>
      <c r="O600" s="3210"/>
      <c r="P600" s="3210"/>
      <c r="Q600" s="3209"/>
      <c r="R600" s="3209"/>
      <c r="S600" s="3209"/>
      <c r="T600" s="3209"/>
      <c r="U600" s="3209"/>
      <c r="V600" s="3209"/>
      <c r="W600" s="3209"/>
      <c r="X600" s="3208"/>
      <c r="Y600" s="1201"/>
      <c r="Z600" s="1200"/>
      <c r="AA600" s="1201"/>
      <c r="AB600" s="1202"/>
      <c r="AC600" s="3333"/>
      <c r="AD600" s="3333"/>
      <c r="AE600" s="3333"/>
      <c r="AF600" s="3333"/>
      <c r="AI600" s="3120" t="str">
        <f>"43:chuusankanti_tiiki_code:" &amp; IF(I600="■",1,IF(M600="■",2,0))</f>
        <v>43:chuusankanti_tiiki_code:0</v>
      </c>
    </row>
    <row r="601" spans="1:37" s="3120" customFormat="1" ht="18.75" hidden="1" customHeight="1" x14ac:dyDescent="0.2">
      <c r="A601" s="834"/>
      <c r="B601" s="3148"/>
      <c r="C601" s="3147"/>
      <c r="D601" s="3146"/>
      <c r="E601" s="3145"/>
      <c r="F601" s="3344"/>
      <c r="G601" s="3143"/>
      <c r="H601" s="3165"/>
      <c r="I601" s="3164"/>
      <c r="J601" s="3163"/>
      <c r="K601" s="3163"/>
      <c r="L601" s="3163"/>
      <c r="M601" s="3164"/>
      <c r="N601" s="3163"/>
      <c r="O601" s="3163"/>
      <c r="P601" s="3163"/>
      <c r="Q601" s="3138"/>
      <c r="R601" s="3138"/>
      <c r="S601" s="3138"/>
      <c r="T601" s="3138"/>
      <c r="U601" s="3138"/>
      <c r="V601" s="3138"/>
      <c r="W601" s="3138"/>
      <c r="X601" s="3212"/>
      <c r="Y601" s="3293"/>
      <c r="Z601" s="1201"/>
      <c r="AA601" s="1201"/>
      <c r="AB601" s="1202"/>
      <c r="AC601" s="3333"/>
      <c r="AD601" s="3333"/>
      <c r="AE601" s="3333"/>
      <c r="AF601" s="3333"/>
    </row>
    <row r="602" spans="1:37" s="3120" customFormat="1" ht="18.75" hidden="1" customHeight="1" x14ac:dyDescent="0.2">
      <c r="A602" s="3158" t="s">
        <v>116</v>
      </c>
      <c r="B602" s="3148">
        <v>43</v>
      </c>
      <c r="C602" s="3147" t="s">
        <v>2194</v>
      </c>
      <c r="D602" s="3146"/>
      <c r="E602" s="3145"/>
      <c r="F602" s="3344"/>
      <c r="G602" s="3143"/>
      <c r="H602" s="3170" t="s">
        <v>1244</v>
      </c>
      <c r="I602" s="3348" t="s">
        <v>116</v>
      </c>
      <c r="J602" s="3347" t="s">
        <v>1234</v>
      </c>
      <c r="K602" s="3347"/>
      <c r="L602" s="3347"/>
      <c r="M602" s="3346" t="s">
        <v>116</v>
      </c>
      <c r="N602" s="3210" t="s">
        <v>1235</v>
      </c>
      <c r="O602" s="3210"/>
      <c r="P602" s="3210"/>
      <c r="Q602" s="3209"/>
      <c r="R602" s="3209"/>
      <c r="S602" s="3209"/>
      <c r="T602" s="3209"/>
      <c r="U602" s="3209"/>
      <c r="V602" s="3209"/>
      <c r="W602" s="3209"/>
      <c r="X602" s="3208"/>
      <c r="Y602" s="3293"/>
      <c r="Z602" s="1201"/>
      <c r="AA602" s="1201"/>
      <c r="AB602" s="1202"/>
      <c r="AC602" s="3333"/>
      <c r="AD602" s="3333"/>
      <c r="AE602" s="3333"/>
      <c r="AF602" s="3333"/>
      <c r="AI602" s="3120" t="str">
        <f>"43:chuusankanti_kibo_code:" &amp; IF(I602="■",1,IF(M602="■",2,0))</f>
        <v>43:chuusankanti_kibo_code:0</v>
      </c>
    </row>
    <row r="603" spans="1:37" s="3120" customFormat="1" ht="18.75" hidden="1" customHeight="1" x14ac:dyDescent="0.2">
      <c r="A603" s="834"/>
      <c r="B603" s="3148"/>
      <c r="C603" s="3147"/>
      <c r="D603" s="3146"/>
      <c r="E603" s="3145"/>
      <c r="F603" s="3344"/>
      <c r="G603" s="3143"/>
      <c r="H603" s="3165"/>
      <c r="I603" s="3348"/>
      <c r="J603" s="3347"/>
      <c r="K603" s="3347"/>
      <c r="L603" s="3347"/>
      <c r="M603" s="3346"/>
      <c r="N603" s="3345"/>
      <c r="O603" s="3345"/>
      <c r="P603" s="3345"/>
      <c r="Q603" s="3138"/>
      <c r="R603" s="3138"/>
      <c r="S603" s="3138"/>
      <c r="T603" s="3138"/>
      <c r="U603" s="3138"/>
      <c r="V603" s="3138"/>
      <c r="W603" s="3138"/>
      <c r="X603" s="3212"/>
      <c r="Y603" s="3293"/>
      <c r="Z603" s="1201"/>
      <c r="AA603" s="1201"/>
      <c r="AB603" s="1202"/>
      <c r="AC603" s="3333"/>
      <c r="AD603" s="3333"/>
      <c r="AE603" s="3333"/>
      <c r="AF603" s="3333"/>
    </row>
    <row r="604" spans="1:37" s="3120" customFormat="1" ht="18.75" hidden="1" customHeight="1" x14ac:dyDescent="0.2">
      <c r="A604" s="834"/>
      <c r="B604" s="3148"/>
      <c r="C604" s="3147"/>
      <c r="D604" s="3146"/>
      <c r="E604" s="3145"/>
      <c r="F604" s="3344"/>
      <c r="G604" s="3143"/>
      <c r="H604" s="3151" t="s">
        <v>2193</v>
      </c>
      <c r="I604" s="3155" t="s">
        <v>116</v>
      </c>
      <c r="J604" s="3137" t="s">
        <v>1230</v>
      </c>
      <c r="K604" s="3171"/>
      <c r="L604" s="3154" t="s">
        <v>116</v>
      </c>
      <c r="M604" s="3137" t="s">
        <v>1233</v>
      </c>
      <c r="N604" s="3171"/>
      <c r="O604" s="3171"/>
      <c r="P604" s="3171"/>
      <c r="Q604" s="3171"/>
      <c r="R604" s="3171"/>
      <c r="S604" s="3171"/>
      <c r="T604" s="3171"/>
      <c r="U604" s="3171"/>
      <c r="V604" s="3171"/>
      <c r="W604" s="3171"/>
      <c r="X604" s="3297"/>
      <c r="Y604" s="3293"/>
      <c r="Z604" s="1201"/>
      <c r="AA604" s="1201"/>
      <c r="AB604" s="1202"/>
      <c r="AC604" s="3333"/>
      <c r="AD604" s="3333"/>
      <c r="AE604" s="3333"/>
      <c r="AF604" s="3333"/>
      <c r="AI604" s="3120" t="str">
        <f>"43:field162:" &amp; IF(I604="■",1,IF(L604="■",2,0))</f>
        <v>43:field162:0</v>
      </c>
    </row>
    <row r="605" spans="1:37" s="3120" customFormat="1" ht="18.75" hidden="1" customHeight="1" x14ac:dyDescent="0.2">
      <c r="A605" s="834"/>
      <c r="B605" s="3148"/>
      <c r="C605" s="3147"/>
      <c r="D605" s="3146"/>
      <c r="E605" s="3145"/>
      <c r="F605" s="3344"/>
      <c r="G605" s="3143"/>
      <c r="H605" s="3151" t="s">
        <v>2192</v>
      </c>
      <c r="I605" s="3155" t="s">
        <v>116</v>
      </c>
      <c r="J605" s="3137" t="s">
        <v>1230</v>
      </c>
      <c r="K605" s="3137"/>
      <c r="L605" s="3154" t="s">
        <v>116</v>
      </c>
      <c r="M605" s="3137" t="s">
        <v>1231</v>
      </c>
      <c r="N605" s="3137"/>
      <c r="O605" s="3154" t="s">
        <v>116</v>
      </c>
      <c r="P605" s="3137" t="s">
        <v>1232</v>
      </c>
      <c r="Q605" s="3153"/>
      <c r="R605" s="3154" t="s">
        <v>116</v>
      </c>
      <c r="S605" s="3137" t="s">
        <v>2191</v>
      </c>
      <c r="T605" s="3171"/>
      <c r="U605" s="3154" t="s">
        <v>116</v>
      </c>
      <c r="V605" s="3137" t="s">
        <v>2190</v>
      </c>
      <c r="W605" s="3171"/>
      <c r="X605" s="3297"/>
      <c r="Y605" s="3293"/>
      <c r="Z605" s="1201"/>
      <c r="AA605" s="1201"/>
      <c r="AB605" s="1202"/>
      <c r="AC605" s="3333"/>
      <c r="AD605" s="3333"/>
      <c r="AE605" s="3333"/>
      <c r="AF605" s="3333"/>
      <c r="AI605" s="3120" t="str">
        <f>"43:tokuseibi_code:" &amp; IF(I605="■",1,IF(L605="■",2,IF(O605="■",3,IF(R605="■",4,IF(U605="■",5,0)))))</f>
        <v>43:tokuseibi_code:0</v>
      </c>
    </row>
    <row r="606" spans="1:37" s="3120" customFormat="1" ht="18.75" hidden="1" customHeight="1" x14ac:dyDescent="0.2">
      <c r="A606" s="834"/>
      <c r="B606" s="3148"/>
      <c r="C606" s="3147"/>
      <c r="D606" s="3146"/>
      <c r="E606" s="3145"/>
      <c r="F606" s="3344"/>
      <c r="G606" s="3143"/>
      <c r="H606" s="3142" t="s">
        <v>2189</v>
      </c>
      <c r="I606" s="3155" t="s">
        <v>116</v>
      </c>
      <c r="J606" s="3137" t="s">
        <v>1230</v>
      </c>
      <c r="K606" s="3171"/>
      <c r="L606" s="3154" t="s">
        <v>116</v>
      </c>
      <c r="M606" s="3137" t="s">
        <v>1233</v>
      </c>
      <c r="N606" s="3171"/>
      <c r="O606" s="3171"/>
      <c r="P606" s="3171"/>
      <c r="Q606" s="3171"/>
      <c r="R606" s="3171"/>
      <c r="S606" s="3171"/>
      <c r="T606" s="3171"/>
      <c r="U606" s="3171"/>
      <c r="V606" s="3171"/>
      <c r="W606" s="3171"/>
      <c r="X606" s="3297"/>
      <c r="Y606" s="3293"/>
      <c r="Z606" s="1201"/>
      <c r="AA606" s="1201"/>
      <c r="AB606" s="1202"/>
      <c r="AC606" s="3333"/>
      <c r="AD606" s="3333"/>
      <c r="AE606" s="3333"/>
      <c r="AF606" s="3333"/>
      <c r="AI606" s="3120" t="str">
        <f>"43:field192:" &amp; IF(I606="■",1,IF(L606="■",2,0))</f>
        <v>43:field192:0</v>
      </c>
    </row>
    <row r="607" spans="1:37" s="3120" customFormat="1" ht="18.75" hidden="1" customHeight="1" x14ac:dyDescent="0.2">
      <c r="A607" s="835"/>
      <c r="B607" s="3135"/>
      <c r="C607" s="3134"/>
      <c r="D607" s="3133"/>
      <c r="E607" s="3132"/>
      <c r="F607" s="3343"/>
      <c r="G607" s="3130"/>
      <c r="H607" s="3342" t="s">
        <v>2188</v>
      </c>
      <c r="I607" s="3128" t="s">
        <v>116</v>
      </c>
      <c r="J607" s="3125" t="s">
        <v>1230</v>
      </c>
      <c r="K607" s="3126"/>
      <c r="L607" s="3127" t="s">
        <v>116</v>
      </c>
      <c r="M607" s="3125" t="s">
        <v>1233</v>
      </c>
      <c r="N607" s="3126"/>
      <c r="O607" s="3126"/>
      <c r="P607" s="3126"/>
      <c r="Q607" s="3126"/>
      <c r="R607" s="3126"/>
      <c r="S607" s="3126"/>
      <c r="T607" s="3126"/>
      <c r="U607" s="3126"/>
      <c r="V607" s="3126"/>
      <c r="W607" s="3126"/>
      <c r="X607" s="3341"/>
      <c r="Y607" s="3340"/>
      <c r="Z607" s="3282"/>
      <c r="AA607" s="3282"/>
      <c r="AB607" s="3281"/>
      <c r="AC607" s="3332"/>
      <c r="AD607" s="3332"/>
      <c r="AE607" s="3332"/>
      <c r="AF607" s="3332"/>
      <c r="AI607" s="3120" t="str">
        <f>"43:field166:" &amp; IF(I607="■",1,IF(L607="■",2,0))</f>
        <v>43:field166:0</v>
      </c>
    </row>
    <row r="608" spans="1:37" s="3120" customFormat="1" ht="18.75" hidden="1" customHeight="1" x14ac:dyDescent="0.2">
      <c r="A608" s="3188"/>
      <c r="B608" s="3187"/>
      <c r="C608" s="3313"/>
      <c r="D608" s="3312"/>
      <c r="E608" s="3185"/>
      <c r="F608" s="3184"/>
      <c r="G608" s="3183"/>
      <c r="H608" s="3182" t="s">
        <v>1286</v>
      </c>
      <c r="I608" s="3181" t="s">
        <v>116</v>
      </c>
      <c r="J608" s="3180" t="s">
        <v>1282</v>
      </c>
      <c r="K608" s="3226"/>
      <c r="L608" s="3225"/>
      <c r="M608" s="3179" t="s">
        <v>116</v>
      </c>
      <c r="N608" s="3180" t="s">
        <v>1283</v>
      </c>
      <c r="O608" s="3177"/>
      <c r="P608" s="3226"/>
      <c r="Q608" s="3226"/>
      <c r="R608" s="3226"/>
      <c r="S608" s="3226"/>
      <c r="T608" s="3226"/>
      <c r="U608" s="3226"/>
      <c r="V608" s="3226"/>
      <c r="W608" s="3226"/>
      <c r="X608" s="3339"/>
      <c r="Y608" s="3253" t="s">
        <v>116</v>
      </c>
      <c r="Z608" s="3252" t="s">
        <v>1225</v>
      </c>
      <c r="AA608" s="3252"/>
      <c r="AB608" s="3308"/>
      <c r="AC608" s="3253" t="s">
        <v>116</v>
      </c>
      <c r="AD608" s="3252" t="s">
        <v>1225</v>
      </c>
      <c r="AE608" s="3252"/>
      <c r="AF608" s="3308"/>
      <c r="AG608" s="3120" t="str">
        <f>"ser_code = '" &amp; IF(A624="■",51,"") &amp; "'"</f>
        <v>ser_code = ''</v>
      </c>
      <c r="AI608" s="3120" t="str">
        <f>"51:yakan_kinmu_code:" &amp; IF(I608="■",1,IF(M608="■",6,0))</f>
        <v>51:yakan_kinmu_code:0</v>
      </c>
      <c r="AJ608" s="3120" t="str">
        <f>"51:field203:" &amp; IF(Y608="■",1,IF(Y609="■",2,0))</f>
        <v>51:field203:0</v>
      </c>
      <c r="AK608" s="3120" t="str">
        <f>"51:waribiki_code:" &amp; IF(AC608="■",1,IF(AC609="■",2,0))</f>
        <v>51:waribiki_code:0</v>
      </c>
    </row>
    <row r="609" spans="1:35" s="3120" customFormat="1" ht="18.75" hidden="1" customHeight="1" x14ac:dyDescent="0.2">
      <c r="A609" s="834"/>
      <c r="B609" s="3148"/>
      <c r="C609" s="3295"/>
      <c r="D609" s="3294"/>
      <c r="E609" s="3145"/>
      <c r="F609" s="3144"/>
      <c r="G609" s="3175"/>
      <c r="H609" s="3151" t="s">
        <v>90</v>
      </c>
      <c r="I609" s="3155" t="s">
        <v>116</v>
      </c>
      <c r="J609" s="3137" t="s">
        <v>1230</v>
      </c>
      <c r="K609" s="3137"/>
      <c r="L609" s="3154" t="s">
        <v>116</v>
      </c>
      <c r="M609" s="3137" t="s">
        <v>2103</v>
      </c>
      <c r="N609" s="3137"/>
      <c r="O609" s="3137"/>
      <c r="P609" s="3154" t="s">
        <v>116</v>
      </c>
      <c r="Q609" s="3153" t="s">
        <v>2102</v>
      </c>
      <c r="R609" s="3153"/>
      <c r="S609" s="3153"/>
      <c r="T609" s="3154" t="s">
        <v>116</v>
      </c>
      <c r="U609" s="3153" t="s">
        <v>2187</v>
      </c>
      <c r="V609" s="3153"/>
      <c r="W609" s="3171"/>
      <c r="X609" s="3297"/>
      <c r="Y609" s="3158" t="s">
        <v>116</v>
      </c>
      <c r="Z609" s="1200" t="s">
        <v>1226</v>
      </c>
      <c r="AA609" s="1201"/>
      <c r="AB609" s="1202"/>
      <c r="AC609" s="3158" t="s">
        <v>116</v>
      </c>
      <c r="AD609" s="1200" t="s">
        <v>1226</v>
      </c>
      <c r="AE609" s="1201"/>
      <c r="AF609" s="1202"/>
      <c r="AG609" s="3120" t="str">
        <f>"51:sisetukbn_code:" &amp; IF(D623="■",1,IF(D624="■",2,IF(D625="■",3,IF(D626="■",4,0))))</f>
        <v>51:sisetukbn_code:0</v>
      </c>
      <c r="AI609" s="3120" t="str">
        <f>"51:"&amp;IF(AND(I609="□",L609="□",P609="□",T609="□"),"ketu_kangos_code:0",IF(I609="■","ketu_kangos_code:1:ketu_kshoku_code:1:ketu_ksiensou_code=1",IF(L609="■","ketu_kangos_code:2","ketu_kangos_code:1")
&amp;IF(P609="■",":ketu_kshoku_code:2",":ketu_kshoku_code:1")
&amp;IF(T609="■",":ketu_ksiensou_code:2",":ketu_ksiensou_code:1")))</f>
        <v>51:ketu_kangos_code:0</v>
      </c>
    </row>
    <row r="610" spans="1:35" s="3120" customFormat="1" ht="18.75" hidden="1" customHeight="1" x14ac:dyDescent="0.2">
      <c r="A610" s="834"/>
      <c r="B610" s="3148"/>
      <c r="C610" s="3295"/>
      <c r="D610" s="3294"/>
      <c r="E610" s="3145"/>
      <c r="F610" s="3144"/>
      <c r="G610" s="3175"/>
      <c r="H610" s="3151" t="s">
        <v>91</v>
      </c>
      <c r="I610" s="3155" t="s">
        <v>116</v>
      </c>
      <c r="J610" s="3137" t="s">
        <v>1240</v>
      </c>
      <c r="K610" s="3171"/>
      <c r="L610" s="3173"/>
      <c r="M610" s="3154" t="s">
        <v>116</v>
      </c>
      <c r="N610" s="3137" t="s">
        <v>1241</v>
      </c>
      <c r="O610" s="3171"/>
      <c r="P610" s="3171"/>
      <c r="Q610" s="3171"/>
      <c r="R610" s="3171"/>
      <c r="S610" s="3171"/>
      <c r="T610" s="3171"/>
      <c r="U610" s="3171"/>
      <c r="V610" s="3171"/>
      <c r="W610" s="3171"/>
      <c r="X610" s="3297"/>
      <c r="Y610" s="3293"/>
      <c r="Z610" s="1201"/>
      <c r="AA610" s="1201"/>
      <c r="AB610" s="1202"/>
      <c r="AC610" s="3293"/>
      <c r="AD610" s="1201"/>
      <c r="AE610" s="1201"/>
      <c r="AF610" s="1202"/>
      <c r="AI610" s="3120" t="str">
        <f>"51:unitcare_code:" &amp; IF(I610="■",1,IF(M610="■",2,0))</f>
        <v>51:unitcare_code:0</v>
      </c>
    </row>
    <row r="611" spans="1:35" s="3120" customFormat="1" ht="18.75" hidden="1" customHeight="1" x14ac:dyDescent="0.2">
      <c r="A611" s="834"/>
      <c r="B611" s="3148"/>
      <c r="C611" s="3295"/>
      <c r="D611" s="3294"/>
      <c r="E611" s="3145"/>
      <c r="F611" s="3144"/>
      <c r="G611" s="3175"/>
      <c r="H611" s="3151" t="s">
        <v>1325</v>
      </c>
      <c r="I611" s="3155" t="s">
        <v>116</v>
      </c>
      <c r="J611" s="3137" t="s">
        <v>1228</v>
      </c>
      <c r="K611" s="3171"/>
      <c r="L611" s="3173"/>
      <c r="M611" s="3154" t="s">
        <v>116</v>
      </c>
      <c r="N611" s="3137" t="s">
        <v>1322</v>
      </c>
      <c r="O611" s="3171"/>
      <c r="P611" s="3171"/>
      <c r="Q611" s="3171"/>
      <c r="R611" s="3171"/>
      <c r="S611" s="3171"/>
      <c r="T611" s="3171"/>
      <c r="U611" s="3171"/>
      <c r="V611" s="3171"/>
      <c r="W611" s="3171"/>
      <c r="X611" s="3297"/>
      <c r="Y611" s="3293"/>
      <c r="Z611" s="1201"/>
      <c r="AA611" s="1201"/>
      <c r="AB611" s="1202"/>
      <c r="AC611" s="3293"/>
      <c r="AD611" s="1201"/>
      <c r="AE611" s="1201"/>
      <c r="AF611" s="1202"/>
      <c r="AI611" s="3120" t="str">
        <f>"51:sintaikousoku_code:" &amp; IF(I611="■",1,IF(M611="■",2,0))</f>
        <v>51:sintaikousoku_code:0</v>
      </c>
    </row>
    <row r="612" spans="1:35" s="3120" customFormat="1" ht="18.75" hidden="1" customHeight="1" x14ac:dyDescent="0.2">
      <c r="A612" s="834"/>
      <c r="B612" s="3148"/>
      <c r="C612" s="3295"/>
      <c r="D612" s="3294"/>
      <c r="E612" s="3145"/>
      <c r="F612" s="3144"/>
      <c r="G612" s="3175"/>
      <c r="H612" s="3151" t="s">
        <v>792</v>
      </c>
      <c r="I612" s="3155" t="s">
        <v>116</v>
      </c>
      <c r="J612" s="3137" t="s">
        <v>1228</v>
      </c>
      <c r="K612" s="3171"/>
      <c r="L612" s="3173"/>
      <c r="M612" s="3154" t="s">
        <v>116</v>
      </c>
      <c r="N612" s="3137" t="s">
        <v>1322</v>
      </c>
      <c r="O612" s="3171"/>
      <c r="P612" s="3171"/>
      <c r="Q612" s="3171"/>
      <c r="R612" s="3171"/>
      <c r="S612" s="3171"/>
      <c r="T612" s="3171"/>
      <c r="U612" s="3171"/>
      <c r="V612" s="3171"/>
      <c r="W612" s="3171"/>
      <c r="X612" s="3297"/>
      <c r="Y612" s="3293"/>
      <c r="Z612" s="1201"/>
      <c r="AA612" s="1201"/>
      <c r="AB612" s="1202"/>
      <c r="AC612" s="3293"/>
      <c r="AD612" s="1201"/>
      <c r="AE612" s="1201"/>
      <c r="AF612" s="1202"/>
      <c r="AI612" s="3120" t="str">
        <f>"51:field208:" &amp; IF(I612="■",1,IF(M612="■",2,0))</f>
        <v>51:field208:0</v>
      </c>
    </row>
    <row r="613" spans="1:35" s="3120" customFormat="1" ht="19.5" hidden="1" customHeight="1" x14ac:dyDescent="0.2">
      <c r="A613" s="834"/>
      <c r="B613" s="3148"/>
      <c r="C613" s="3147"/>
      <c r="D613" s="3146"/>
      <c r="E613" s="3145"/>
      <c r="F613" s="3144"/>
      <c r="G613" s="3175"/>
      <c r="H613" s="3174" t="s">
        <v>1227</v>
      </c>
      <c r="I613" s="3155" t="s">
        <v>116</v>
      </c>
      <c r="J613" s="3137" t="s">
        <v>1228</v>
      </c>
      <c r="K613" s="3171"/>
      <c r="L613" s="3173"/>
      <c r="M613" s="3154" t="s">
        <v>116</v>
      </c>
      <c r="N613" s="3137" t="s">
        <v>1229</v>
      </c>
      <c r="O613" s="3299"/>
      <c r="P613" s="3137"/>
      <c r="Q613" s="3150"/>
      <c r="R613" s="3150"/>
      <c r="S613" s="3150"/>
      <c r="T613" s="3150"/>
      <c r="U613" s="3150"/>
      <c r="V613" s="3150"/>
      <c r="W613" s="3150"/>
      <c r="X613" s="3149"/>
      <c r="Y613" s="1201"/>
      <c r="Z613" s="1201"/>
      <c r="AA613" s="1201"/>
      <c r="AB613" s="1202"/>
      <c r="AC613" s="3293"/>
      <c r="AD613" s="1201"/>
      <c r="AE613" s="1201"/>
      <c r="AF613" s="1202"/>
      <c r="AI613" s="3120" t="str">
        <f>"51:field223:" &amp; IF(I613="■",1,IF(M613="■",2,0))</f>
        <v>51:field223:0</v>
      </c>
    </row>
    <row r="614" spans="1:35" s="3120" customFormat="1" ht="19.5" hidden="1" customHeight="1" x14ac:dyDescent="0.2">
      <c r="A614" s="834"/>
      <c r="B614" s="3148"/>
      <c r="C614" s="3147"/>
      <c r="D614" s="3146"/>
      <c r="E614" s="3145"/>
      <c r="F614" s="3144"/>
      <c r="G614" s="3175"/>
      <c r="H614" s="3174" t="s">
        <v>1253</v>
      </c>
      <c r="I614" s="3155" t="s">
        <v>116</v>
      </c>
      <c r="J614" s="3137" t="s">
        <v>1228</v>
      </c>
      <c r="K614" s="3171"/>
      <c r="L614" s="3173"/>
      <c r="M614" s="3154" t="s">
        <v>116</v>
      </c>
      <c r="N614" s="3137" t="s">
        <v>1229</v>
      </c>
      <c r="O614" s="3299"/>
      <c r="P614" s="3137"/>
      <c r="Q614" s="3150"/>
      <c r="R614" s="3150"/>
      <c r="S614" s="3150"/>
      <c r="T614" s="3150"/>
      <c r="U614" s="3150"/>
      <c r="V614" s="3150"/>
      <c r="W614" s="3150"/>
      <c r="X614" s="3149"/>
      <c r="Y614" s="1201"/>
      <c r="Z614" s="1201"/>
      <c r="AA614" s="1201"/>
      <c r="AB614" s="1202"/>
      <c r="AC614" s="3293"/>
      <c r="AD614" s="1201"/>
      <c r="AE614" s="1201"/>
      <c r="AF614" s="1202"/>
      <c r="AI614" s="3120" t="str">
        <f>"51:field232:" &amp; IF(I614="■",1,IF(M614="■",2,0))</f>
        <v>51:field232:0</v>
      </c>
    </row>
    <row r="615" spans="1:35" s="3120" customFormat="1" ht="37.5" hidden="1" customHeight="1" x14ac:dyDescent="0.2">
      <c r="A615" s="834"/>
      <c r="B615" s="3148"/>
      <c r="C615" s="3295"/>
      <c r="D615" s="3294"/>
      <c r="E615" s="3145"/>
      <c r="F615" s="3144"/>
      <c r="G615" s="3175"/>
      <c r="H615" s="3142" t="s">
        <v>1326</v>
      </c>
      <c r="I615" s="3141" t="s">
        <v>116</v>
      </c>
      <c r="J615" s="3139" t="s">
        <v>1230</v>
      </c>
      <c r="K615" s="3138"/>
      <c r="L615" s="3140" t="s">
        <v>116</v>
      </c>
      <c r="M615" s="3139" t="s">
        <v>1233</v>
      </c>
      <c r="N615" s="3137"/>
      <c r="O615" s="3137"/>
      <c r="P615" s="3137"/>
      <c r="Q615" s="3137"/>
      <c r="R615" s="3137"/>
      <c r="S615" s="3137"/>
      <c r="T615" s="3137"/>
      <c r="U615" s="3137"/>
      <c r="V615" s="3137"/>
      <c r="W615" s="3137"/>
      <c r="X615" s="3136"/>
      <c r="Y615" s="3293"/>
      <c r="Z615" s="1201"/>
      <c r="AA615" s="1201"/>
      <c r="AB615" s="1202"/>
      <c r="AC615" s="3293"/>
      <c r="AD615" s="1201"/>
      <c r="AE615" s="1201"/>
      <c r="AF615" s="1202"/>
      <c r="AI615" s="3120" t="str">
        <f>"51:field206:" &amp; IF(I615="■",1,IF(L615="■",2,0))</f>
        <v>51:field206:0</v>
      </c>
    </row>
    <row r="616" spans="1:35" s="3120" customFormat="1" ht="18.75" hidden="1" customHeight="1" x14ac:dyDescent="0.2">
      <c r="A616" s="834"/>
      <c r="B616" s="3148"/>
      <c r="C616" s="3295"/>
      <c r="D616" s="3294"/>
      <c r="E616" s="3145"/>
      <c r="F616" s="3144"/>
      <c r="G616" s="3175"/>
      <c r="H616" s="3151" t="s">
        <v>2186</v>
      </c>
      <c r="I616" s="3141" t="s">
        <v>116</v>
      </c>
      <c r="J616" s="3139" t="s">
        <v>1230</v>
      </c>
      <c r="K616" s="3138"/>
      <c r="L616" s="3140" t="s">
        <v>116</v>
      </c>
      <c r="M616" s="3139" t="s">
        <v>1233</v>
      </c>
      <c r="N616" s="3171"/>
      <c r="O616" s="3171"/>
      <c r="P616" s="3171"/>
      <c r="Q616" s="3171"/>
      <c r="R616" s="3171"/>
      <c r="S616" s="3171"/>
      <c r="T616" s="3171"/>
      <c r="U616" s="3171"/>
      <c r="V616" s="3171"/>
      <c r="W616" s="3171"/>
      <c r="X616" s="3297"/>
      <c r="Y616" s="3293"/>
      <c r="Z616" s="1201"/>
      <c r="AA616" s="1201"/>
      <c r="AB616" s="1202"/>
      <c r="AC616" s="3293"/>
      <c r="AD616" s="1201"/>
      <c r="AE616" s="1201"/>
      <c r="AF616" s="1202"/>
      <c r="AI616" s="3120" t="str">
        <f>"51:nitijyouseikatu_code:" &amp; IF(I616="■",1,IF(L616="■",2,0))</f>
        <v>51:nitijyouseikatu_code:0</v>
      </c>
    </row>
    <row r="617" spans="1:35" s="3120" customFormat="1" ht="37.5" hidden="1" customHeight="1" x14ac:dyDescent="0.2">
      <c r="A617" s="834"/>
      <c r="B617" s="3148"/>
      <c r="C617" s="3295"/>
      <c r="D617" s="3294"/>
      <c r="E617" s="3145"/>
      <c r="F617" s="3144"/>
      <c r="G617" s="3175"/>
      <c r="H617" s="3142" t="s">
        <v>2185</v>
      </c>
      <c r="I617" s="3141" t="s">
        <v>116</v>
      </c>
      <c r="J617" s="3139" t="s">
        <v>1230</v>
      </c>
      <c r="K617" s="3138"/>
      <c r="L617" s="3140" t="s">
        <v>116</v>
      </c>
      <c r="M617" s="3139" t="s">
        <v>1233</v>
      </c>
      <c r="N617" s="3171"/>
      <c r="O617" s="3171"/>
      <c r="P617" s="3171"/>
      <c r="Q617" s="3171"/>
      <c r="R617" s="3171"/>
      <c r="S617" s="3171"/>
      <c r="T617" s="3171"/>
      <c r="U617" s="3171"/>
      <c r="V617" s="3171"/>
      <c r="W617" s="3171"/>
      <c r="X617" s="3297"/>
      <c r="Y617" s="3293"/>
      <c r="Z617" s="1201"/>
      <c r="AA617" s="1201"/>
      <c r="AB617" s="1202"/>
      <c r="AC617" s="3293"/>
      <c r="AD617" s="1201"/>
      <c r="AE617" s="1201"/>
      <c r="AF617" s="1202"/>
      <c r="AI617" s="3120" t="str">
        <f>"51:field215:" &amp; IF(I617="■",1,IF(L617="■",2,0))</f>
        <v>51:field215:0</v>
      </c>
    </row>
    <row r="618" spans="1:35" s="3120" customFormat="1" ht="18.75" hidden="1" customHeight="1" x14ac:dyDescent="0.2">
      <c r="A618" s="834"/>
      <c r="B618" s="3148"/>
      <c r="C618" s="3295"/>
      <c r="D618" s="3294"/>
      <c r="E618" s="3145"/>
      <c r="F618" s="3144"/>
      <c r="G618" s="3175"/>
      <c r="H618" s="3151" t="s">
        <v>2184</v>
      </c>
      <c r="I618" s="3141" t="s">
        <v>116</v>
      </c>
      <c r="J618" s="3139" t="s">
        <v>1230</v>
      </c>
      <c r="K618" s="3138"/>
      <c r="L618" s="3140" t="s">
        <v>116</v>
      </c>
      <c r="M618" s="3139" t="s">
        <v>1233</v>
      </c>
      <c r="N618" s="3137"/>
      <c r="O618" s="3137"/>
      <c r="P618" s="3137"/>
      <c r="Q618" s="3137"/>
      <c r="R618" s="3137"/>
      <c r="S618" s="3137"/>
      <c r="T618" s="3137"/>
      <c r="U618" s="3137"/>
      <c r="V618" s="3137"/>
      <c r="W618" s="3137"/>
      <c r="X618" s="3136"/>
      <c r="Y618" s="3293"/>
      <c r="Z618" s="1201"/>
      <c r="AA618" s="1201"/>
      <c r="AB618" s="1202"/>
      <c r="AC618" s="3293"/>
      <c r="AD618" s="1201"/>
      <c r="AE618" s="1201"/>
      <c r="AF618" s="1202"/>
      <c r="AI618" s="3120" t="str">
        <f>"51:field200:" &amp; IF(I618="■",1,IF(L618="■",2,0))</f>
        <v>51:field200:0</v>
      </c>
    </row>
    <row r="619" spans="1:35" s="3120" customFormat="1" ht="18.75" hidden="1" customHeight="1" x14ac:dyDescent="0.2">
      <c r="A619" s="834"/>
      <c r="B619" s="3148"/>
      <c r="C619" s="3295"/>
      <c r="D619" s="3294"/>
      <c r="E619" s="3145"/>
      <c r="F619" s="3144"/>
      <c r="G619" s="3175"/>
      <c r="H619" s="3151" t="s">
        <v>2183</v>
      </c>
      <c r="I619" s="3141" t="s">
        <v>116</v>
      </c>
      <c r="J619" s="3139" t="s">
        <v>1230</v>
      </c>
      <c r="K619" s="3138"/>
      <c r="L619" s="3140" t="s">
        <v>116</v>
      </c>
      <c r="M619" s="3139" t="s">
        <v>1233</v>
      </c>
      <c r="N619" s="3137"/>
      <c r="O619" s="3137"/>
      <c r="P619" s="3137"/>
      <c r="Q619" s="3137"/>
      <c r="R619" s="3137"/>
      <c r="S619" s="3137"/>
      <c r="T619" s="3137"/>
      <c r="U619" s="3137"/>
      <c r="V619" s="3137"/>
      <c r="W619" s="3137"/>
      <c r="X619" s="3136"/>
      <c r="Y619" s="3293"/>
      <c r="Z619" s="1201"/>
      <c r="AA619" s="1201"/>
      <c r="AB619" s="1202"/>
      <c r="AC619" s="3293"/>
      <c r="AD619" s="1201"/>
      <c r="AE619" s="1201"/>
      <c r="AF619" s="1202"/>
      <c r="AI619" s="3120" t="str">
        <f>"51:field201:" &amp; IF(I619="■",1,IF(L619="■",2,0))</f>
        <v>51:field201:0</v>
      </c>
    </row>
    <row r="620" spans="1:35" s="3120" customFormat="1" ht="18.75" hidden="1" customHeight="1" x14ac:dyDescent="0.2">
      <c r="A620" s="834"/>
      <c r="B620" s="3148"/>
      <c r="C620" s="3295"/>
      <c r="D620" s="3294"/>
      <c r="E620" s="3145"/>
      <c r="F620" s="3144"/>
      <c r="G620" s="3175"/>
      <c r="H620" s="3151" t="s">
        <v>2137</v>
      </c>
      <c r="I620" s="3155" t="s">
        <v>116</v>
      </c>
      <c r="J620" s="3137" t="s">
        <v>1230</v>
      </c>
      <c r="K620" s="3137"/>
      <c r="L620" s="3154" t="s">
        <v>116</v>
      </c>
      <c r="M620" s="3137" t="s">
        <v>2182</v>
      </c>
      <c r="N620" s="3137"/>
      <c r="O620" s="3171"/>
      <c r="P620" s="3171"/>
      <c r="Q620" s="3154" t="s">
        <v>116</v>
      </c>
      <c r="R620" s="3137" t="s">
        <v>2181</v>
      </c>
      <c r="S620" s="3171"/>
      <c r="T620" s="3171"/>
      <c r="U620" s="3171"/>
      <c r="V620" s="3171"/>
      <c r="W620" s="3171"/>
      <c r="X620" s="3297"/>
      <c r="Y620" s="3293"/>
      <c r="Z620" s="1201"/>
      <c r="AA620" s="1201"/>
      <c r="AB620" s="1202"/>
      <c r="AC620" s="3293"/>
      <c r="AD620" s="1201"/>
      <c r="AE620" s="1201"/>
      <c r="AF620" s="1202"/>
      <c r="AI620" s="3120" t="str">
        <f>"51:yakinhaiti_code:"&amp;IF(I620="■",1,IF(Q620="■",3,IF(L620="■",2,0)))</f>
        <v>51:yakinhaiti_code:0</v>
      </c>
    </row>
    <row r="621" spans="1:35" s="3120" customFormat="1" ht="37.5" hidden="1" customHeight="1" x14ac:dyDescent="0.2">
      <c r="A621" s="834"/>
      <c r="B621" s="3148"/>
      <c r="C621" s="3295"/>
      <c r="D621" s="3294"/>
      <c r="E621" s="3145"/>
      <c r="F621" s="3144"/>
      <c r="G621" s="3175"/>
      <c r="H621" s="3142" t="s">
        <v>2180</v>
      </c>
      <c r="I621" s="3141" t="s">
        <v>116</v>
      </c>
      <c r="J621" s="3139" t="s">
        <v>1230</v>
      </c>
      <c r="K621" s="3138"/>
      <c r="L621" s="3140" t="s">
        <v>116</v>
      </c>
      <c r="M621" s="3139" t="s">
        <v>1233</v>
      </c>
      <c r="N621" s="3171"/>
      <c r="O621" s="3171"/>
      <c r="P621" s="3171"/>
      <c r="Q621" s="3171"/>
      <c r="R621" s="3171"/>
      <c r="S621" s="3171"/>
      <c r="T621" s="3171"/>
      <c r="U621" s="3171"/>
      <c r="V621" s="3171"/>
      <c r="W621" s="3171"/>
      <c r="X621" s="3297"/>
      <c r="Y621" s="3293"/>
      <c r="Z621" s="1201"/>
      <c r="AA621" s="1201"/>
      <c r="AB621" s="1202"/>
      <c r="AC621" s="3293"/>
      <c r="AD621" s="1201"/>
      <c r="AE621" s="1201"/>
      <c r="AF621" s="1202"/>
      <c r="AI621" s="3120" t="str">
        <f>"51:field161:" &amp; IF(I621="■",1,IF(L621="■",2,0))</f>
        <v>51:field161:0</v>
      </c>
    </row>
    <row r="622" spans="1:35" s="3120" customFormat="1" ht="18.75" hidden="1" customHeight="1" x14ac:dyDescent="0.2">
      <c r="A622" s="834"/>
      <c r="B622" s="3148"/>
      <c r="C622" s="3295"/>
      <c r="D622" s="3294"/>
      <c r="E622" s="3145"/>
      <c r="F622" s="3144"/>
      <c r="G622" s="3175"/>
      <c r="H622" s="3151" t="s">
        <v>2179</v>
      </c>
      <c r="I622" s="3155" t="s">
        <v>116</v>
      </c>
      <c r="J622" s="3137" t="s">
        <v>1240</v>
      </c>
      <c r="K622" s="3171"/>
      <c r="L622" s="3171"/>
      <c r="M622" s="3154" t="s">
        <v>116</v>
      </c>
      <c r="N622" s="3137" t="s">
        <v>1241</v>
      </c>
      <c r="O622" s="3171"/>
      <c r="P622" s="3171"/>
      <c r="Q622" s="3171"/>
      <c r="R622" s="3171"/>
      <c r="S622" s="3171"/>
      <c r="T622" s="3171"/>
      <c r="U622" s="3171"/>
      <c r="V622" s="3171"/>
      <c r="W622" s="3171"/>
      <c r="X622" s="3297"/>
      <c r="Y622" s="3293"/>
      <c r="Z622" s="1201"/>
      <c r="AA622" s="1201"/>
      <c r="AB622" s="1202"/>
      <c r="AC622" s="3293"/>
      <c r="AD622" s="1201"/>
      <c r="AE622" s="1201"/>
      <c r="AF622" s="1202"/>
      <c r="AI622" s="3120" t="str">
        <f>"51:jyun_unit_code:" &amp; IF(I622="■",1,IF(M622="■",2,0))</f>
        <v>51:jyun_unit_code:0</v>
      </c>
    </row>
    <row r="623" spans="1:35" s="3120" customFormat="1" ht="18.75" hidden="1" customHeight="1" x14ac:dyDescent="0.2">
      <c r="A623" s="834"/>
      <c r="B623" s="3148"/>
      <c r="C623" s="3295"/>
      <c r="D623" s="3158" t="s">
        <v>116</v>
      </c>
      <c r="E623" s="3145" t="s">
        <v>2178</v>
      </c>
      <c r="F623" s="3144"/>
      <c r="G623" s="3175"/>
      <c r="H623" s="3142" t="s">
        <v>2177</v>
      </c>
      <c r="I623" s="3155" t="s">
        <v>116</v>
      </c>
      <c r="J623" s="3137" t="s">
        <v>1230</v>
      </c>
      <c r="K623" s="3137"/>
      <c r="L623" s="3154" t="s">
        <v>116</v>
      </c>
      <c r="M623" s="3137" t="s">
        <v>1239</v>
      </c>
      <c r="N623" s="3137"/>
      <c r="O623" s="3154" t="s">
        <v>116</v>
      </c>
      <c r="P623" s="3137" t="s">
        <v>2090</v>
      </c>
      <c r="Q623" s="3137"/>
      <c r="R623" s="3137"/>
      <c r="S623" s="3137"/>
      <c r="T623" s="3137"/>
      <c r="U623" s="3137"/>
      <c r="V623" s="3137"/>
      <c r="W623" s="3137"/>
      <c r="X623" s="3136"/>
      <c r="Y623" s="3293"/>
      <c r="Z623" s="1201"/>
      <c r="AA623" s="1201"/>
      <c r="AB623" s="1202"/>
      <c r="AC623" s="3293"/>
      <c r="AD623" s="1201"/>
      <c r="AE623" s="1201"/>
      <c r="AF623" s="1202"/>
      <c r="AI623" s="3120" t="str">
        <f>"51:field185:" &amp; IF(I623="■",1,IF(L623="■",3,IF(O623="■",2,0)))</f>
        <v>51:field185:0</v>
      </c>
    </row>
    <row r="624" spans="1:35" s="3120" customFormat="1" ht="18.75" hidden="1" customHeight="1" x14ac:dyDescent="0.2">
      <c r="A624" s="3158" t="s">
        <v>116</v>
      </c>
      <c r="B624" s="3148">
        <v>51</v>
      </c>
      <c r="C624" s="3295" t="s">
        <v>2176</v>
      </c>
      <c r="D624" s="3158" t="s">
        <v>116</v>
      </c>
      <c r="E624" s="3145" t="s">
        <v>2175</v>
      </c>
      <c r="F624" s="3144"/>
      <c r="G624" s="3175"/>
      <c r="H624" s="3142" t="s">
        <v>2174</v>
      </c>
      <c r="I624" s="3141" t="s">
        <v>116</v>
      </c>
      <c r="J624" s="3139" t="s">
        <v>1230</v>
      </c>
      <c r="K624" s="3138"/>
      <c r="L624" s="3140" t="s">
        <v>116</v>
      </c>
      <c r="M624" s="3139" t="s">
        <v>2173</v>
      </c>
      <c r="N624" s="3137"/>
      <c r="O624" s="3154" t="s">
        <v>116</v>
      </c>
      <c r="P624" s="3139" t="s">
        <v>2172</v>
      </c>
      <c r="Q624" s="3137"/>
      <c r="R624" s="3140" t="s">
        <v>116</v>
      </c>
      <c r="S624" s="3139" t="s">
        <v>2171</v>
      </c>
      <c r="T624" s="3137"/>
      <c r="U624" s="3137"/>
      <c r="V624" s="3137"/>
      <c r="W624" s="3137"/>
      <c r="X624" s="3136"/>
      <c r="Y624" s="3293"/>
      <c r="Z624" s="1201"/>
      <c r="AA624" s="1201"/>
      <c r="AB624" s="1202"/>
      <c r="AC624" s="3293"/>
      <c r="AD624" s="1201"/>
      <c r="AE624" s="1201"/>
      <c r="AF624" s="1202"/>
      <c r="AI624" s="3120" t="str">
        <f>"51:kobetu_kunren_code:" &amp; IF(I624="■",1,IF(R624="■",5,IF(O624="■",4,IF(L624="■",3,0))))</f>
        <v>51:kobetu_kunren_code:0</v>
      </c>
    </row>
    <row r="625" spans="1:35" s="3120" customFormat="1" ht="18.75" hidden="1" customHeight="1" x14ac:dyDescent="0.2">
      <c r="A625" s="834"/>
      <c r="B625" s="3148"/>
      <c r="C625" s="3295"/>
      <c r="D625" s="3158" t="s">
        <v>116</v>
      </c>
      <c r="E625" s="3145" t="s">
        <v>2170</v>
      </c>
      <c r="F625" s="3144"/>
      <c r="G625" s="3175"/>
      <c r="H625" s="3142" t="s">
        <v>2169</v>
      </c>
      <c r="I625" s="3141" t="s">
        <v>116</v>
      </c>
      <c r="J625" s="3139" t="s">
        <v>1230</v>
      </c>
      <c r="K625" s="3138"/>
      <c r="L625" s="3140" t="s">
        <v>116</v>
      </c>
      <c r="M625" s="3139" t="s">
        <v>1233</v>
      </c>
      <c r="N625" s="3137"/>
      <c r="O625" s="3137"/>
      <c r="P625" s="3137"/>
      <c r="Q625" s="3137"/>
      <c r="R625" s="3137"/>
      <c r="S625" s="3137"/>
      <c r="T625" s="3137"/>
      <c r="U625" s="3137"/>
      <c r="V625" s="3137"/>
      <c r="W625" s="3137"/>
      <c r="X625" s="3136"/>
      <c r="Y625" s="3293"/>
      <c r="Z625" s="1201"/>
      <c r="AA625" s="1201"/>
      <c r="AB625" s="1202"/>
      <c r="AC625" s="3293"/>
      <c r="AD625" s="1201"/>
      <c r="AE625" s="1201"/>
      <c r="AF625" s="1202"/>
      <c r="AI625" s="3120" t="str">
        <f>"51:field186:" &amp; IF(I625="■",1,IF(L625="■",2,0))</f>
        <v>51:field186:0</v>
      </c>
    </row>
    <row r="626" spans="1:35" s="3120" customFormat="1" ht="18.75" hidden="1" customHeight="1" x14ac:dyDescent="0.2">
      <c r="A626" s="834"/>
      <c r="B626" s="3148"/>
      <c r="C626" s="3295"/>
      <c r="D626" s="3158" t="s">
        <v>116</v>
      </c>
      <c r="E626" s="3145" t="s">
        <v>2168</v>
      </c>
      <c r="F626" s="3144"/>
      <c r="G626" s="3175"/>
      <c r="H626" s="3334" t="s">
        <v>2135</v>
      </c>
      <c r="I626" s="3141" t="s">
        <v>116</v>
      </c>
      <c r="J626" s="3139" t="s">
        <v>1230</v>
      </c>
      <c r="K626" s="3138"/>
      <c r="L626" s="3140" t="s">
        <v>116</v>
      </c>
      <c r="M626" s="3139" t="s">
        <v>1233</v>
      </c>
      <c r="N626" s="3171"/>
      <c r="O626" s="3171"/>
      <c r="P626" s="3171"/>
      <c r="Q626" s="3171"/>
      <c r="R626" s="3171"/>
      <c r="S626" s="3171"/>
      <c r="T626" s="3171"/>
      <c r="U626" s="3171"/>
      <c r="V626" s="3171"/>
      <c r="W626" s="3171"/>
      <c r="X626" s="3297"/>
      <c r="Y626" s="3293"/>
      <c r="Z626" s="1201"/>
      <c r="AA626" s="1201"/>
      <c r="AB626" s="1202"/>
      <c r="AC626" s="3293"/>
      <c r="AD626" s="1201"/>
      <c r="AE626" s="1201"/>
      <c r="AF626" s="1202"/>
      <c r="AI626" s="3120" t="str">
        <f>"51:jyakuninti_uke_code:" &amp; IF(I626="■",1,IF(L626="■",2,0))</f>
        <v>51:jyakuninti_uke_code:0</v>
      </c>
    </row>
    <row r="627" spans="1:35" s="3120" customFormat="1" ht="18.75" hidden="1" customHeight="1" x14ac:dyDescent="0.2">
      <c r="A627" s="834"/>
      <c r="B627" s="3148"/>
      <c r="C627" s="3295"/>
      <c r="D627" s="3294"/>
      <c r="E627" s="3145"/>
      <c r="F627" s="3144"/>
      <c r="G627" s="3175"/>
      <c r="H627" s="3151" t="s">
        <v>2167</v>
      </c>
      <c r="I627" s="3141" t="s">
        <v>116</v>
      </c>
      <c r="J627" s="3139" t="s">
        <v>1230</v>
      </c>
      <c r="K627" s="3138"/>
      <c r="L627" s="3140" t="s">
        <v>116</v>
      </c>
      <c r="M627" s="3139" t="s">
        <v>1233</v>
      </c>
      <c r="N627" s="3171"/>
      <c r="O627" s="3171"/>
      <c r="P627" s="3171"/>
      <c r="Q627" s="3171"/>
      <c r="R627" s="3171"/>
      <c r="S627" s="3171"/>
      <c r="T627" s="3171"/>
      <c r="U627" s="3171"/>
      <c r="V627" s="3171"/>
      <c r="W627" s="3171"/>
      <c r="X627" s="3297"/>
      <c r="Y627" s="3293"/>
      <c r="Z627" s="1201"/>
      <c r="AA627" s="1201"/>
      <c r="AB627" s="1202"/>
      <c r="AC627" s="3293"/>
      <c r="AD627" s="1201"/>
      <c r="AE627" s="1201"/>
      <c r="AF627" s="1202"/>
      <c r="AI627" s="3120" t="str">
        <f>"51:jyosen_doctor_code:" &amp; IF(I627="■",1,IF(L627="■",2,0))</f>
        <v>51:jyosen_doctor_code:0</v>
      </c>
    </row>
    <row r="628" spans="1:35" s="3120" customFormat="1" ht="18.75" hidden="1" customHeight="1" x14ac:dyDescent="0.2">
      <c r="A628" s="834"/>
      <c r="B628" s="3148"/>
      <c r="C628" s="3295"/>
      <c r="D628" s="3294"/>
      <c r="E628" s="3145"/>
      <c r="F628" s="3144"/>
      <c r="G628" s="3175"/>
      <c r="H628" s="3151" t="s">
        <v>2166</v>
      </c>
      <c r="I628" s="3141" t="s">
        <v>116</v>
      </c>
      <c r="J628" s="3139" t="s">
        <v>1230</v>
      </c>
      <c r="K628" s="3138"/>
      <c r="L628" s="3140" t="s">
        <v>116</v>
      </c>
      <c r="M628" s="3139" t="s">
        <v>1233</v>
      </c>
      <c r="N628" s="3171"/>
      <c r="O628" s="3171"/>
      <c r="P628" s="3171"/>
      <c r="Q628" s="3171"/>
      <c r="R628" s="3171"/>
      <c r="S628" s="3171"/>
      <c r="T628" s="3171"/>
      <c r="U628" s="3171"/>
      <c r="V628" s="3171"/>
      <c r="W628" s="3171"/>
      <c r="X628" s="3297"/>
      <c r="Y628" s="3293"/>
      <c r="Z628" s="1201"/>
      <c r="AA628" s="1201"/>
      <c r="AB628" s="1202"/>
      <c r="AC628" s="3293"/>
      <c r="AD628" s="1201"/>
      <c r="AE628" s="1201"/>
      <c r="AF628" s="1202"/>
      <c r="AI628" s="3120" t="str">
        <f>"51:seisinsido_code:" &amp; IF(I628="■",1,IF(L628="■",2,0))</f>
        <v>51:seisinsido_code:0</v>
      </c>
    </row>
    <row r="629" spans="1:35" s="3120" customFormat="1" ht="18.75" hidden="1" customHeight="1" x14ac:dyDescent="0.2">
      <c r="A629" s="834"/>
      <c r="B629" s="3148"/>
      <c r="C629" s="3295"/>
      <c r="D629" s="3294"/>
      <c r="E629" s="3145"/>
      <c r="F629" s="3144"/>
      <c r="G629" s="3175"/>
      <c r="H629" s="3151" t="s">
        <v>2165</v>
      </c>
      <c r="I629" s="3155" t="s">
        <v>116</v>
      </c>
      <c r="J629" s="3137" t="s">
        <v>1230</v>
      </c>
      <c r="K629" s="3137"/>
      <c r="L629" s="3154" t="s">
        <v>116</v>
      </c>
      <c r="M629" s="3137" t="s">
        <v>1231</v>
      </c>
      <c r="N629" s="3137"/>
      <c r="O629" s="3154" t="s">
        <v>116</v>
      </c>
      <c r="P629" s="3137" t="s">
        <v>1232</v>
      </c>
      <c r="Q629" s="3171"/>
      <c r="R629" s="3171"/>
      <c r="S629" s="3171"/>
      <c r="T629" s="3171"/>
      <c r="U629" s="3171"/>
      <c r="V629" s="3171"/>
      <c r="W629" s="3171"/>
      <c r="X629" s="3297"/>
      <c r="Y629" s="3293"/>
      <c r="Z629" s="1201"/>
      <c r="AA629" s="1201"/>
      <c r="AB629" s="1202"/>
      <c r="AC629" s="3293"/>
      <c r="AD629" s="1201"/>
      <c r="AE629" s="1201"/>
      <c r="AF629" s="1202"/>
      <c r="AI629" s="3120" t="str">
        <f>"51:shougai_code:" &amp; IF(I629="■",1,IF(L629="■",2,IF(O629="■",3,0)))</f>
        <v>51:shougai_code:0</v>
      </c>
    </row>
    <row r="630" spans="1:35" s="3120" customFormat="1" ht="18.75" hidden="1" customHeight="1" x14ac:dyDescent="0.2">
      <c r="A630" s="834"/>
      <c r="B630" s="3148"/>
      <c r="C630" s="3295"/>
      <c r="D630" s="3294"/>
      <c r="E630" s="3145"/>
      <c r="F630" s="3144"/>
      <c r="G630" s="3175"/>
      <c r="H630" s="3151" t="s">
        <v>794</v>
      </c>
      <c r="I630" s="3141" t="s">
        <v>116</v>
      </c>
      <c r="J630" s="3139" t="s">
        <v>1230</v>
      </c>
      <c r="K630" s="3138"/>
      <c r="L630" s="3140" t="s">
        <v>116</v>
      </c>
      <c r="M630" s="3139" t="s">
        <v>1233</v>
      </c>
      <c r="N630" s="3171"/>
      <c r="O630" s="3171"/>
      <c r="P630" s="3171"/>
      <c r="Q630" s="3171"/>
      <c r="R630" s="3171"/>
      <c r="S630" s="3171"/>
      <c r="T630" s="3171"/>
      <c r="U630" s="3171"/>
      <c r="V630" s="3171"/>
      <c r="W630" s="3171"/>
      <c r="X630" s="3297"/>
      <c r="Y630" s="3293"/>
      <c r="Z630" s="1201"/>
      <c r="AA630" s="1201"/>
      <c r="AB630" s="1202"/>
      <c r="AC630" s="3293"/>
      <c r="AD630" s="1201"/>
      <c r="AE630" s="1201"/>
      <c r="AF630" s="1202"/>
      <c r="AI630" s="3120" t="str">
        <f>"51:field207:" &amp; IF(I630="■",1,IF(L630="■",2,0))</f>
        <v>51:field207:0</v>
      </c>
    </row>
    <row r="631" spans="1:35" s="3120" customFormat="1" ht="18.75" hidden="1" customHeight="1" x14ac:dyDescent="0.2">
      <c r="A631" s="834"/>
      <c r="B631" s="3148"/>
      <c r="C631" s="3295"/>
      <c r="D631" s="3294"/>
      <c r="E631" s="3145"/>
      <c r="F631" s="3144"/>
      <c r="G631" s="3175"/>
      <c r="H631" s="3151" t="s">
        <v>140</v>
      </c>
      <c r="I631" s="3141" t="s">
        <v>116</v>
      </c>
      <c r="J631" s="3139" t="s">
        <v>1230</v>
      </c>
      <c r="K631" s="3138"/>
      <c r="L631" s="3140" t="s">
        <v>116</v>
      </c>
      <c r="M631" s="3139" t="s">
        <v>1233</v>
      </c>
      <c r="N631" s="3171"/>
      <c r="O631" s="3171"/>
      <c r="P631" s="3171"/>
      <c r="Q631" s="3171"/>
      <c r="R631" s="3171"/>
      <c r="S631" s="3171"/>
      <c r="T631" s="3171"/>
      <c r="U631" s="3171"/>
      <c r="V631" s="3171"/>
      <c r="W631" s="3171"/>
      <c r="X631" s="3297"/>
      <c r="Y631" s="3293"/>
      <c r="Z631" s="1201"/>
      <c r="AA631" s="1201"/>
      <c r="AB631" s="1202"/>
      <c r="AC631" s="3293"/>
      <c r="AD631" s="1201"/>
      <c r="AE631" s="1201"/>
      <c r="AF631" s="1202"/>
      <c r="AI631" s="3120" t="str">
        <f>"51:ryouyoushoku_code:" &amp; IF(I631="■",1,IF(L631="■",2,0))</f>
        <v>51:ryouyoushoku_code:0</v>
      </c>
    </row>
    <row r="632" spans="1:35" s="3120" customFormat="1" ht="18.75" hidden="1" customHeight="1" x14ac:dyDescent="0.2">
      <c r="A632" s="834"/>
      <c r="B632" s="3148"/>
      <c r="C632" s="3295"/>
      <c r="D632" s="3294"/>
      <c r="E632" s="3145"/>
      <c r="F632" s="3144"/>
      <c r="G632" s="3175"/>
      <c r="H632" s="3151" t="s">
        <v>2164</v>
      </c>
      <c r="I632" s="3141" t="s">
        <v>116</v>
      </c>
      <c r="J632" s="3139" t="s">
        <v>1230</v>
      </c>
      <c r="K632" s="3138"/>
      <c r="L632" s="3140" t="s">
        <v>116</v>
      </c>
      <c r="M632" s="3139" t="s">
        <v>1233</v>
      </c>
      <c r="N632" s="3171"/>
      <c r="O632" s="3171"/>
      <c r="P632" s="3171"/>
      <c r="Q632" s="3171"/>
      <c r="R632" s="3171"/>
      <c r="S632" s="3171"/>
      <c r="T632" s="3171"/>
      <c r="U632" s="3171"/>
      <c r="V632" s="3171"/>
      <c r="W632" s="3171"/>
      <c r="X632" s="3297"/>
      <c r="Y632" s="3293"/>
      <c r="Z632" s="1201"/>
      <c r="AA632" s="1201"/>
      <c r="AB632" s="1202"/>
      <c r="AC632" s="3293"/>
      <c r="AD632" s="1201"/>
      <c r="AE632" s="1201"/>
      <c r="AF632" s="1202"/>
      <c r="AI632" s="3120" t="str">
        <f>"51:field176:" &amp; IF(I632="■",1,IF(L632="■",2,0))</f>
        <v>51:field176:0</v>
      </c>
    </row>
    <row r="633" spans="1:35" s="3120" customFormat="1" ht="18.75" hidden="1" customHeight="1" x14ac:dyDescent="0.2">
      <c r="A633" s="834"/>
      <c r="B633" s="3148"/>
      <c r="C633" s="3295"/>
      <c r="D633" s="3294"/>
      <c r="E633" s="3145"/>
      <c r="F633" s="3144"/>
      <c r="G633" s="3175"/>
      <c r="H633" s="3151" t="s">
        <v>2163</v>
      </c>
      <c r="I633" s="3155" t="s">
        <v>116</v>
      </c>
      <c r="J633" s="3137" t="s">
        <v>1230</v>
      </c>
      <c r="K633" s="3137"/>
      <c r="L633" s="3154" t="s">
        <v>116</v>
      </c>
      <c r="M633" s="3137" t="s">
        <v>1231</v>
      </c>
      <c r="N633" s="3137"/>
      <c r="O633" s="3154" t="s">
        <v>116</v>
      </c>
      <c r="P633" s="3137" t="s">
        <v>1232</v>
      </c>
      <c r="Q633" s="3171"/>
      <c r="R633" s="3171"/>
      <c r="S633" s="3171"/>
      <c r="T633" s="3171"/>
      <c r="U633" s="3171"/>
      <c r="V633" s="3171"/>
      <c r="W633" s="3171"/>
      <c r="X633" s="3297"/>
      <c r="Y633" s="3293"/>
      <c r="Z633" s="1201"/>
      <c r="AA633" s="1201"/>
      <c r="AB633" s="1202"/>
      <c r="AC633" s="3293"/>
      <c r="AD633" s="1201"/>
      <c r="AE633" s="1201"/>
      <c r="AF633" s="1202"/>
      <c r="AI633" s="3120" t="str">
        <f>"51:terminal_code:" &amp; IF(I633="■",1,IF(O633="■",3,IF(L633="■",2,0)))</f>
        <v>51:terminal_code:0</v>
      </c>
    </row>
    <row r="634" spans="1:35" s="3120" customFormat="1" ht="18.75" hidden="1" customHeight="1" x14ac:dyDescent="0.2">
      <c r="A634" s="834"/>
      <c r="B634" s="3148"/>
      <c r="C634" s="3295"/>
      <c r="D634" s="3294"/>
      <c r="E634" s="3145"/>
      <c r="F634" s="3144"/>
      <c r="G634" s="3175"/>
      <c r="H634" s="3151" t="s">
        <v>2162</v>
      </c>
      <c r="I634" s="3155" t="s">
        <v>116</v>
      </c>
      <c r="J634" s="3137" t="s">
        <v>1240</v>
      </c>
      <c r="K634" s="3171"/>
      <c r="L634" s="3173"/>
      <c r="M634" s="3154" t="s">
        <v>116</v>
      </c>
      <c r="N634" s="3137" t="s">
        <v>1241</v>
      </c>
      <c r="O634" s="3171"/>
      <c r="P634" s="3171"/>
      <c r="Q634" s="3171"/>
      <c r="R634" s="3171"/>
      <c r="S634" s="3171"/>
      <c r="T634" s="3171"/>
      <c r="U634" s="3171"/>
      <c r="V634" s="3171"/>
      <c r="W634" s="3171"/>
      <c r="X634" s="3297"/>
      <c r="Y634" s="3293"/>
      <c r="Z634" s="1201"/>
      <c r="AA634" s="1201"/>
      <c r="AB634" s="1202"/>
      <c r="AC634" s="3293"/>
      <c r="AD634" s="1201"/>
      <c r="AE634" s="1201"/>
      <c r="AF634" s="1202"/>
      <c r="AI634" s="3120" t="str">
        <f>"51:sougoriyo_code:" &amp; IF(I634="■",1,IF(M634="■",2,0))</f>
        <v>51:sougoriyo_code:0</v>
      </c>
    </row>
    <row r="635" spans="1:35" s="3120" customFormat="1" ht="18.75" hidden="1" customHeight="1" x14ac:dyDescent="0.2">
      <c r="A635" s="834"/>
      <c r="B635" s="3148"/>
      <c r="C635" s="3295"/>
      <c r="D635" s="3294"/>
      <c r="E635" s="3145"/>
      <c r="F635" s="3144"/>
      <c r="G635" s="3175"/>
      <c r="H635" s="3151" t="s">
        <v>1237</v>
      </c>
      <c r="I635" s="3155" t="s">
        <v>116</v>
      </c>
      <c r="J635" s="3137" t="s">
        <v>1230</v>
      </c>
      <c r="K635" s="3137"/>
      <c r="L635" s="3140" t="s">
        <v>116</v>
      </c>
      <c r="M635" s="3137" t="s">
        <v>1231</v>
      </c>
      <c r="N635" s="3137"/>
      <c r="O635" s="3154" t="s">
        <v>116</v>
      </c>
      <c r="P635" s="3137" t="s">
        <v>1232</v>
      </c>
      <c r="Q635" s="3171"/>
      <c r="R635" s="3171"/>
      <c r="S635" s="3171"/>
      <c r="T635" s="3171"/>
      <c r="U635" s="3171"/>
      <c r="V635" s="3171"/>
      <c r="W635" s="3171"/>
      <c r="X635" s="3297"/>
      <c r="Y635" s="3293"/>
      <c r="Z635" s="1201"/>
      <c r="AA635" s="1201"/>
      <c r="AB635" s="1202"/>
      <c r="AC635" s="3293"/>
      <c r="AD635" s="1201"/>
      <c r="AE635" s="1201"/>
      <c r="AF635" s="1202"/>
      <c r="AI635" s="3120" t="str">
        <f>"51:ninti_senmoncare_code:" &amp; IF(I635="■",1,IF(O635="■",3,IF(L635="■",2,0)))</f>
        <v>51:ninti_senmoncare_code:0</v>
      </c>
    </row>
    <row r="636" spans="1:35" s="3120" customFormat="1" ht="18.75" hidden="1" customHeight="1" x14ac:dyDescent="0.2">
      <c r="A636" s="834"/>
      <c r="B636" s="3148"/>
      <c r="C636" s="3295"/>
      <c r="D636" s="3294"/>
      <c r="E636" s="3145"/>
      <c r="F636" s="3144"/>
      <c r="G636" s="3175"/>
      <c r="H636" s="3151" t="s">
        <v>1327</v>
      </c>
      <c r="I636" s="3155" t="s">
        <v>116</v>
      </c>
      <c r="J636" s="3137" t="s">
        <v>1230</v>
      </c>
      <c r="K636" s="3137"/>
      <c r="L636" s="3140" t="s">
        <v>116</v>
      </c>
      <c r="M636" s="3137" t="s">
        <v>1231</v>
      </c>
      <c r="N636" s="3137"/>
      <c r="O636" s="3154" t="s">
        <v>116</v>
      </c>
      <c r="P636" s="3137" t="s">
        <v>1232</v>
      </c>
      <c r="Q636" s="3171"/>
      <c r="R636" s="3171"/>
      <c r="S636" s="3171"/>
      <c r="T636" s="3171"/>
      <c r="U636" s="3171"/>
      <c r="V636" s="3171"/>
      <c r="W636" s="3171"/>
      <c r="X636" s="3297"/>
      <c r="Y636" s="3293"/>
      <c r="Z636" s="1201"/>
      <c r="AA636" s="1201"/>
      <c r="AB636" s="1202"/>
      <c r="AC636" s="3293"/>
      <c r="AD636" s="1201"/>
      <c r="AE636" s="1201"/>
      <c r="AF636" s="1202"/>
      <c r="AI636" s="3120" t="str">
        <f>"51:field228:" &amp; IF(I636="■",1,IF(L636="■",2,IF(O636="■",3,0)))</f>
        <v>51:field228:0</v>
      </c>
    </row>
    <row r="637" spans="1:35" s="3120" customFormat="1" ht="18.75" hidden="1" customHeight="1" x14ac:dyDescent="0.2">
      <c r="A637" s="834"/>
      <c r="B637" s="3148"/>
      <c r="C637" s="3295"/>
      <c r="D637" s="3294"/>
      <c r="E637" s="3145"/>
      <c r="F637" s="3144"/>
      <c r="G637" s="3175"/>
      <c r="H637" s="3151" t="s">
        <v>2155</v>
      </c>
      <c r="I637" s="3141" t="s">
        <v>116</v>
      </c>
      <c r="J637" s="3139" t="s">
        <v>1230</v>
      </c>
      <c r="K637" s="3138"/>
      <c r="L637" s="3140" t="s">
        <v>116</v>
      </c>
      <c r="M637" s="3139" t="s">
        <v>1233</v>
      </c>
      <c r="N637" s="3171"/>
      <c r="O637" s="3171"/>
      <c r="P637" s="3171"/>
      <c r="Q637" s="3171"/>
      <c r="R637" s="3171"/>
      <c r="S637" s="3171"/>
      <c r="T637" s="3171"/>
      <c r="U637" s="3171"/>
      <c r="V637" s="3171"/>
      <c r="W637" s="3171"/>
      <c r="X637" s="3297"/>
      <c r="Y637" s="3293"/>
      <c r="Z637" s="1201"/>
      <c r="AA637" s="1201"/>
      <c r="AB637" s="1202"/>
      <c r="AC637" s="3293"/>
      <c r="AD637" s="1201"/>
      <c r="AE637" s="1201"/>
      <c r="AF637" s="1202"/>
      <c r="AI637" s="3120" t="str">
        <f>"51:field177:" &amp; IF(I637="■",1,IF(L637="■",2,0))</f>
        <v>51:field177:0</v>
      </c>
    </row>
    <row r="638" spans="1:35" s="3120" customFormat="1" ht="18.75" hidden="1" customHeight="1" x14ac:dyDescent="0.2">
      <c r="A638" s="834"/>
      <c r="B638" s="3148"/>
      <c r="C638" s="3295"/>
      <c r="D638" s="3294"/>
      <c r="E638" s="3145"/>
      <c r="F638" s="3144"/>
      <c r="G638" s="3175"/>
      <c r="H638" s="3159" t="s">
        <v>795</v>
      </c>
      <c r="I638" s="3141" t="s">
        <v>116</v>
      </c>
      <c r="J638" s="3139" t="s">
        <v>1230</v>
      </c>
      <c r="K638" s="3138"/>
      <c r="L638" s="3140" t="s">
        <v>116</v>
      </c>
      <c r="M638" s="3139" t="s">
        <v>1233</v>
      </c>
      <c r="N638" s="3171"/>
      <c r="O638" s="3171"/>
      <c r="P638" s="3171"/>
      <c r="Q638" s="3171"/>
      <c r="R638" s="3171"/>
      <c r="S638" s="3171"/>
      <c r="T638" s="3171"/>
      <c r="U638" s="3171"/>
      <c r="V638" s="3171"/>
      <c r="W638" s="3171"/>
      <c r="X638" s="3297"/>
      <c r="Y638" s="3293"/>
      <c r="Z638" s="1201"/>
      <c r="AA638" s="1201"/>
      <c r="AB638" s="1202"/>
      <c r="AC638" s="3293"/>
      <c r="AD638" s="1201"/>
      <c r="AE638" s="1201"/>
      <c r="AF638" s="1202"/>
      <c r="AI638" s="3120" t="str">
        <f>"51:field210:" &amp; IF(I638="■",1,IF(L638="■",2,0))</f>
        <v>51:field210:0</v>
      </c>
    </row>
    <row r="639" spans="1:35" s="3120" customFormat="1" ht="18.75" hidden="1" customHeight="1" x14ac:dyDescent="0.2">
      <c r="A639" s="834"/>
      <c r="B639" s="3148"/>
      <c r="C639" s="3295"/>
      <c r="D639" s="3294"/>
      <c r="E639" s="3145"/>
      <c r="F639" s="3144"/>
      <c r="G639" s="3175"/>
      <c r="H639" s="3151" t="s">
        <v>796</v>
      </c>
      <c r="I639" s="3141" t="s">
        <v>116</v>
      </c>
      <c r="J639" s="3139" t="s">
        <v>1230</v>
      </c>
      <c r="K639" s="3138"/>
      <c r="L639" s="3140" t="s">
        <v>116</v>
      </c>
      <c r="M639" s="3139" t="s">
        <v>1233</v>
      </c>
      <c r="N639" s="3171"/>
      <c r="O639" s="3171"/>
      <c r="P639" s="3171"/>
      <c r="Q639" s="3171"/>
      <c r="R639" s="3171"/>
      <c r="S639" s="3171"/>
      <c r="T639" s="3171"/>
      <c r="U639" s="3171"/>
      <c r="V639" s="3171"/>
      <c r="W639" s="3171"/>
      <c r="X639" s="3297"/>
      <c r="Y639" s="3293"/>
      <c r="Z639" s="1201"/>
      <c r="AA639" s="1201"/>
      <c r="AB639" s="1202"/>
      <c r="AC639" s="3293"/>
      <c r="AD639" s="1201"/>
      <c r="AE639" s="1201"/>
      <c r="AF639" s="1202"/>
      <c r="AI639" s="3120" t="str">
        <f>"51:field211:" &amp; IF(I639="■",1,IF(L639="■",2,0))</f>
        <v>51:field211:0</v>
      </c>
    </row>
    <row r="640" spans="1:35" s="3120" customFormat="1" ht="18.75" hidden="1" customHeight="1" x14ac:dyDescent="0.2">
      <c r="A640" s="834"/>
      <c r="B640" s="3148"/>
      <c r="C640" s="3295"/>
      <c r="D640" s="3294"/>
      <c r="E640" s="3145"/>
      <c r="F640" s="3144"/>
      <c r="G640" s="3175"/>
      <c r="H640" s="3151" t="s">
        <v>797</v>
      </c>
      <c r="I640" s="3141" t="s">
        <v>116</v>
      </c>
      <c r="J640" s="3139" t="s">
        <v>1230</v>
      </c>
      <c r="K640" s="3138"/>
      <c r="L640" s="3140" t="s">
        <v>116</v>
      </c>
      <c r="M640" s="3139" t="s">
        <v>1233</v>
      </c>
      <c r="N640" s="3171"/>
      <c r="O640" s="3171"/>
      <c r="P640" s="3171"/>
      <c r="Q640" s="3171"/>
      <c r="R640" s="3171"/>
      <c r="S640" s="3171"/>
      <c r="T640" s="3171"/>
      <c r="U640" s="3171"/>
      <c r="V640" s="3171"/>
      <c r="W640" s="3171"/>
      <c r="X640" s="3297"/>
      <c r="Y640" s="3293"/>
      <c r="Z640" s="1201"/>
      <c r="AA640" s="1201"/>
      <c r="AB640" s="1202"/>
      <c r="AC640" s="3293"/>
      <c r="AD640" s="1201"/>
      <c r="AE640" s="1201"/>
      <c r="AF640" s="1202"/>
      <c r="AI640" s="3120" t="str">
        <f>"51:field212:" &amp; IF(I640="■",1,IF(L640="■",2,0))</f>
        <v>51:field212:0</v>
      </c>
    </row>
    <row r="641" spans="1:36" s="3120" customFormat="1" ht="18.75" hidden="1" customHeight="1" x14ac:dyDescent="0.2">
      <c r="A641" s="834"/>
      <c r="B641" s="3148"/>
      <c r="C641" s="3295"/>
      <c r="D641" s="3294"/>
      <c r="E641" s="3145"/>
      <c r="F641" s="3144"/>
      <c r="G641" s="3175"/>
      <c r="H641" s="3151" t="s">
        <v>798</v>
      </c>
      <c r="I641" s="3141" t="s">
        <v>116</v>
      </c>
      <c r="J641" s="3139" t="s">
        <v>1230</v>
      </c>
      <c r="K641" s="3138"/>
      <c r="L641" s="3140" t="s">
        <v>116</v>
      </c>
      <c r="M641" s="3139" t="s">
        <v>1233</v>
      </c>
      <c r="N641" s="3171"/>
      <c r="O641" s="3171"/>
      <c r="P641" s="3171"/>
      <c r="Q641" s="3171"/>
      <c r="R641" s="3171"/>
      <c r="S641" s="3171"/>
      <c r="T641" s="3171"/>
      <c r="U641" s="3171"/>
      <c r="V641" s="3171"/>
      <c r="W641" s="3171"/>
      <c r="X641" s="3297"/>
      <c r="Y641" s="3293"/>
      <c r="Z641" s="1201"/>
      <c r="AA641" s="1201"/>
      <c r="AB641" s="1202"/>
      <c r="AC641" s="3293"/>
      <c r="AD641" s="1201"/>
      <c r="AE641" s="1201"/>
      <c r="AF641" s="1202"/>
      <c r="AI641" s="3120" t="str">
        <f>"51:field209:" &amp; IF(I641="■",1,IF(L641="■",2,0))</f>
        <v>51:field209:0</v>
      </c>
    </row>
    <row r="642" spans="1:36" s="3120" customFormat="1" ht="18.75" hidden="1" customHeight="1" x14ac:dyDescent="0.2">
      <c r="A642" s="834"/>
      <c r="B642" s="3148"/>
      <c r="C642" s="3295"/>
      <c r="D642" s="3294"/>
      <c r="E642" s="3145"/>
      <c r="F642" s="3144"/>
      <c r="G642" s="3145"/>
      <c r="H642" s="3151" t="s">
        <v>1323</v>
      </c>
      <c r="I642" s="3155" t="s">
        <v>116</v>
      </c>
      <c r="J642" s="3137" t="s">
        <v>1230</v>
      </c>
      <c r="K642" s="3137"/>
      <c r="L642" s="3140" t="s">
        <v>116</v>
      </c>
      <c r="M642" s="3139" t="s">
        <v>1233</v>
      </c>
      <c r="N642" s="3137"/>
      <c r="O642" s="3137"/>
      <c r="P642" s="3137"/>
      <c r="Q642" s="3171"/>
      <c r="R642" s="3171"/>
      <c r="S642" s="3171"/>
      <c r="T642" s="3171"/>
      <c r="U642" s="3171"/>
      <c r="V642" s="3171"/>
      <c r="W642" s="3171"/>
      <c r="X642" s="3297"/>
      <c r="Y642" s="3293"/>
      <c r="Z642" s="1201"/>
      <c r="AA642" s="1201"/>
      <c r="AB642" s="1202"/>
      <c r="AC642" s="3293"/>
      <c r="AD642" s="1201"/>
      <c r="AE642" s="1201"/>
      <c r="AF642" s="1202"/>
      <c r="AI642" s="3120" t="str">
        <f>"51:field226:" &amp; IF(I642="■",1,IF(L642="■",2,0))</f>
        <v>51:field226:0</v>
      </c>
    </row>
    <row r="643" spans="1:36" s="3120" customFormat="1" ht="18.75" hidden="1" customHeight="1" x14ac:dyDescent="0.2">
      <c r="A643" s="834"/>
      <c r="B643" s="3148"/>
      <c r="C643" s="3295"/>
      <c r="D643" s="3294"/>
      <c r="E643" s="3145"/>
      <c r="F643" s="3144"/>
      <c r="G643" s="3145"/>
      <c r="H643" s="3151" t="s">
        <v>1324</v>
      </c>
      <c r="I643" s="3155" t="s">
        <v>116</v>
      </c>
      <c r="J643" s="3137" t="s">
        <v>1230</v>
      </c>
      <c r="K643" s="3137"/>
      <c r="L643" s="3140" t="s">
        <v>116</v>
      </c>
      <c r="M643" s="3139" t="s">
        <v>1233</v>
      </c>
      <c r="N643" s="3137"/>
      <c r="O643" s="3137"/>
      <c r="P643" s="3137"/>
      <c r="Q643" s="3171"/>
      <c r="R643" s="3171"/>
      <c r="S643" s="3171"/>
      <c r="T643" s="3171"/>
      <c r="U643" s="3171"/>
      <c r="V643" s="3171"/>
      <c r="W643" s="3171"/>
      <c r="X643" s="3297"/>
      <c r="Y643" s="3293"/>
      <c r="Z643" s="1201"/>
      <c r="AA643" s="1201"/>
      <c r="AB643" s="1202"/>
      <c r="AC643" s="3293"/>
      <c r="AD643" s="1201"/>
      <c r="AE643" s="1201"/>
      <c r="AF643" s="1202"/>
      <c r="AI643" s="3120" t="str">
        <f>"51:field227:" &amp; IF(I643="■",1,IF(L643="■",2,0))</f>
        <v>51:field227:0</v>
      </c>
    </row>
    <row r="644" spans="1:36" s="3120" customFormat="1" ht="18.75" hidden="1" customHeight="1" x14ac:dyDescent="0.2">
      <c r="A644" s="834"/>
      <c r="B644" s="3148"/>
      <c r="C644" s="3295"/>
      <c r="D644" s="3294"/>
      <c r="E644" s="3145"/>
      <c r="F644" s="3144"/>
      <c r="G644" s="3175"/>
      <c r="H644" s="3296" t="s">
        <v>1285</v>
      </c>
      <c r="I644" s="3155" t="s">
        <v>116</v>
      </c>
      <c r="J644" s="3137" t="s">
        <v>1230</v>
      </c>
      <c r="K644" s="3137"/>
      <c r="L644" s="3140" t="s">
        <v>116</v>
      </c>
      <c r="M644" s="3137" t="s">
        <v>1231</v>
      </c>
      <c r="N644" s="3137"/>
      <c r="O644" s="3154" t="s">
        <v>116</v>
      </c>
      <c r="P644" s="3137" t="s">
        <v>1232</v>
      </c>
      <c r="Q644" s="3150"/>
      <c r="R644" s="3150"/>
      <c r="S644" s="3150"/>
      <c r="T644" s="3150"/>
      <c r="U644" s="3209"/>
      <c r="V644" s="3209"/>
      <c r="W644" s="3209"/>
      <c r="X644" s="3208"/>
      <c r="Y644" s="3293"/>
      <c r="Z644" s="1201"/>
      <c r="AA644" s="1201"/>
      <c r="AB644" s="1202"/>
      <c r="AC644" s="3293"/>
      <c r="AD644" s="1201"/>
      <c r="AE644" s="1201"/>
      <c r="AF644" s="1202"/>
      <c r="AI644" s="3120" t="str">
        <f>"51:field225:" &amp; IF(I644="■",1,IF(L644="■",2,IF(O644="■",3,0)))</f>
        <v>51:field225:0</v>
      </c>
    </row>
    <row r="645" spans="1:36" s="3120" customFormat="1" ht="18.75" hidden="1" customHeight="1" x14ac:dyDescent="0.2">
      <c r="A645" s="834"/>
      <c r="B645" s="3148"/>
      <c r="C645" s="3295"/>
      <c r="D645" s="3294"/>
      <c r="E645" s="3145"/>
      <c r="F645" s="3144"/>
      <c r="G645" s="3175"/>
      <c r="H645" s="3151" t="s">
        <v>238</v>
      </c>
      <c r="I645" s="3155" t="s">
        <v>116</v>
      </c>
      <c r="J645" s="3137" t="s">
        <v>1230</v>
      </c>
      <c r="K645" s="3137"/>
      <c r="L645" s="3140" t="s">
        <v>116</v>
      </c>
      <c r="M645" s="3137" t="s">
        <v>1259</v>
      </c>
      <c r="N645" s="3137"/>
      <c r="O645" s="3154" t="s">
        <v>116</v>
      </c>
      <c r="P645" s="3137" t="s">
        <v>1260</v>
      </c>
      <c r="Q645" s="3153"/>
      <c r="R645" s="3154" t="s">
        <v>116</v>
      </c>
      <c r="S645" s="3137" t="s">
        <v>1261</v>
      </c>
      <c r="T645" s="3137"/>
      <c r="U645" s="3137"/>
      <c r="V645" s="3137"/>
      <c r="W645" s="3137"/>
      <c r="X645" s="3136"/>
      <c r="Y645" s="3293"/>
      <c r="Z645" s="1201"/>
      <c r="AA645" s="1201"/>
      <c r="AB645" s="1202"/>
      <c r="AC645" s="3293"/>
      <c r="AD645" s="1201"/>
      <c r="AE645" s="1201"/>
      <c r="AF645" s="1202"/>
      <c r="AI645" s="3120" t="str">
        <f>"51:serteikyo_kyoka_code:" &amp; IF(I645="■",1,IF(L645="■",6,IF(O645="■",5,IF(R645="■",7,0))))</f>
        <v>51:serteikyo_kyoka_code:0</v>
      </c>
    </row>
    <row r="646" spans="1:36" s="3120" customFormat="1" ht="18.75" hidden="1" customHeight="1" x14ac:dyDescent="0.2">
      <c r="A646" s="835"/>
      <c r="B646" s="3135"/>
      <c r="C646" s="3134"/>
      <c r="D646" s="3133"/>
      <c r="E646" s="3132"/>
      <c r="F646" s="3131"/>
      <c r="G646" s="3189"/>
      <c r="H646" s="3289" t="s">
        <v>2129</v>
      </c>
      <c r="I646" s="3128" t="s">
        <v>116</v>
      </c>
      <c r="J646" s="3285" t="s">
        <v>1230</v>
      </c>
      <c r="K646" s="3285"/>
      <c r="L646" s="3127" t="s">
        <v>116</v>
      </c>
      <c r="M646" s="3285" t="s">
        <v>2128</v>
      </c>
      <c r="N646" s="3288"/>
      <c r="O646" s="3127" t="s">
        <v>116</v>
      </c>
      <c r="P646" s="3287" t="s">
        <v>2127</v>
      </c>
      <c r="Q646" s="3286"/>
      <c r="R646" s="3127" t="s">
        <v>116</v>
      </c>
      <c r="S646" s="3285" t="s">
        <v>2126</v>
      </c>
      <c r="T646" s="3286"/>
      <c r="U646" s="3127" t="s">
        <v>116</v>
      </c>
      <c r="V646" s="3285" t="s">
        <v>2125</v>
      </c>
      <c r="W646" s="3284"/>
      <c r="X646" s="3283"/>
      <c r="Y646" s="3282"/>
      <c r="Z646" s="3282"/>
      <c r="AA646" s="3282"/>
      <c r="AB646" s="3281"/>
      <c r="AC646" s="3340"/>
      <c r="AD646" s="3282"/>
      <c r="AE646" s="3282"/>
      <c r="AF646" s="3281"/>
      <c r="AI646" s="3120" t="str">
        <f>"51:shoguukaizen_code:"&amp;IF(I646="■",1,IF(L646="■",7,IF(O646="■",8,IF(R646="■",9,IF(U646="■","A",0)))))</f>
        <v>51:shoguukaizen_code:0</v>
      </c>
    </row>
    <row r="647" spans="1:36" s="3120" customFormat="1" ht="18.75" hidden="1" customHeight="1" x14ac:dyDescent="0.2">
      <c r="A647" s="3188"/>
      <c r="B647" s="3187"/>
      <c r="C647" s="3313"/>
      <c r="D647" s="3312"/>
      <c r="E647" s="3185"/>
      <c r="F647" s="3184"/>
      <c r="G647" s="3185"/>
      <c r="H647" s="3182" t="s">
        <v>1286</v>
      </c>
      <c r="I647" s="3181" t="s">
        <v>116</v>
      </c>
      <c r="J647" s="3180" t="s">
        <v>1282</v>
      </c>
      <c r="K647" s="3226"/>
      <c r="L647" s="3225"/>
      <c r="M647" s="3179" t="s">
        <v>116</v>
      </c>
      <c r="N647" s="3180" t="s">
        <v>1283</v>
      </c>
      <c r="O647" s="3177"/>
      <c r="P647" s="3226"/>
      <c r="Q647" s="3226"/>
      <c r="R647" s="3226"/>
      <c r="S647" s="3226"/>
      <c r="T647" s="3226"/>
      <c r="U647" s="3226"/>
      <c r="V647" s="3226"/>
      <c r="W647" s="3226"/>
      <c r="X647" s="3339"/>
      <c r="Y647" s="3253" t="s">
        <v>116</v>
      </c>
      <c r="Z647" s="3252" t="s">
        <v>1225</v>
      </c>
      <c r="AA647" s="3252"/>
      <c r="AB647" s="3308"/>
      <c r="AC647" s="3338"/>
      <c r="AD647" s="3338"/>
      <c r="AE647" s="3338"/>
      <c r="AF647" s="3338"/>
      <c r="AG647" s="3120" t="str">
        <f>"ser_code = '" &amp; IF(A662="■",52,"") &amp; "'"</f>
        <v>ser_code = ''</v>
      </c>
      <c r="AH647" s="3120" t="str">
        <f>"52:jininkbn_code:" &amp; IF(F662="■",1,IF(F663="■",2,0))</f>
        <v>52:jininkbn_code:0</v>
      </c>
      <c r="AI647" s="3120" t="str">
        <f>"52:yakan_kinmu_code:" &amp; IF(I647="■",1,IF(M647="■",6,0))</f>
        <v>52:yakan_kinmu_code:0</v>
      </c>
      <c r="AJ647" s="3120" t="str">
        <f>"52:field203:" &amp; IF(Y647="■",1,IF(Y648="■",2,0))</f>
        <v>52:field203:0</v>
      </c>
    </row>
    <row r="648" spans="1:36" s="3120" customFormat="1" ht="18.75" hidden="1" customHeight="1" x14ac:dyDescent="0.2">
      <c r="A648" s="834"/>
      <c r="B648" s="3148"/>
      <c r="C648" s="3295"/>
      <c r="D648" s="3294"/>
      <c r="E648" s="3145"/>
      <c r="F648" s="3144"/>
      <c r="G648" s="3145"/>
      <c r="H648" s="3304" t="s">
        <v>90</v>
      </c>
      <c r="I648" s="3303" t="s">
        <v>116</v>
      </c>
      <c r="J648" s="3302" t="s">
        <v>1230</v>
      </c>
      <c r="K648" s="3302"/>
      <c r="L648" s="3167"/>
      <c r="M648" s="3301" t="s">
        <v>116</v>
      </c>
      <c r="N648" s="3302" t="s">
        <v>1262</v>
      </c>
      <c r="O648" s="3302"/>
      <c r="P648" s="3167"/>
      <c r="Q648" s="3301" t="s">
        <v>116</v>
      </c>
      <c r="R648" s="3167" t="s">
        <v>1263</v>
      </c>
      <c r="S648" s="3167"/>
      <c r="T648" s="3167"/>
      <c r="U648" s="3301" t="s">
        <v>116</v>
      </c>
      <c r="V648" s="3167" t="s">
        <v>1264</v>
      </c>
      <c r="W648" s="3167"/>
      <c r="X648" s="3166"/>
      <c r="Y648" s="3158" t="s">
        <v>116</v>
      </c>
      <c r="Z648" s="1200" t="s">
        <v>1226</v>
      </c>
      <c r="AA648" s="1201"/>
      <c r="AB648" s="1202"/>
      <c r="AC648" s="3333"/>
      <c r="AD648" s="3333"/>
      <c r="AE648" s="3333"/>
      <c r="AF648" s="3333"/>
      <c r="AG648" s="3120" t="str">
        <f>"52:sisetukbn_code:" &amp; IF(D662="■",1,0)</f>
        <v>52:sisetukbn_code:0</v>
      </c>
      <c r="AI648" s="3120" t="str">
        <f>"52:"&amp;IF(AND(I648="□",M648="□",Q648="□",U648="□",I649="□",M649="□",Q649="□",I650="□"),"ketu_doctor_code:0",IF(I648="■","ketu_doctor_code:1:ketu_kangos_code:1:ketu_kshoku_code:1:ketu_rryoho_code:1:ketu_sryoho_code:1:ketu_ksiensou_code:1:ketu_gengo_code:1",IF(M648="■","ketu_doctor_code:2","ketu_doctor_code:1")
&amp;IF(Q648="■",":ketu_kangos_code:2",":ketu_kangos_code:1")
&amp;IF(U648="■",":ketu_kshoku_code:2",":ketu_kshoku_code:1")
&amp;IF(I649="■",":ketu_rryoho_code:2",":ketu_rryoho_code:1")
&amp;IF(M649="■",":ketu_sryoho_code:2",":ketu_sryoho_code:1")
&amp;IF(Q649="■",":ketu_ksiensou_code:2",":ketu_ksiensou_code:1")
&amp;IF(I650="■",":ketu_gengo_code:2",":ketu_gengo_code:1")))</f>
        <v>52:ketu_doctor_code:0</v>
      </c>
    </row>
    <row r="649" spans="1:36" s="3120" customFormat="1" ht="18.75" hidden="1" customHeight="1" x14ac:dyDescent="0.2">
      <c r="A649" s="834"/>
      <c r="B649" s="3148"/>
      <c r="C649" s="3295"/>
      <c r="D649" s="3294"/>
      <c r="E649" s="3145"/>
      <c r="F649" s="3144"/>
      <c r="G649" s="3145"/>
      <c r="H649" s="3337"/>
      <c r="I649" s="3158" t="s">
        <v>116</v>
      </c>
      <c r="J649" s="1200" t="s">
        <v>1265</v>
      </c>
      <c r="K649" s="1200"/>
      <c r="L649" s="836"/>
      <c r="M649" s="3258" t="s">
        <v>116</v>
      </c>
      <c r="N649" s="1200" t="s">
        <v>1266</v>
      </c>
      <c r="O649" s="1200"/>
      <c r="P649" s="836"/>
      <c r="Q649" s="3258" t="s">
        <v>116</v>
      </c>
      <c r="R649" s="836" t="s">
        <v>2141</v>
      </c>
      <c r="S649" s="836"/>
      <c r="T649" s="836"/>
      <c r="U649" s="836"/>
      <c r="V649" s="836"/>
      <c r="W649" s="836"/>
      <c r="X649" s="3336"/>
      <c r="Y649" s="3293"/>
      <c r="Z649" s="1201"/>
      <c r="AA649" s="1201"/>
      <c r="AB649" s="1202"/>
      <c r="AC649" s="3333"/>
      <c r="AD649" s="3333"/>
      <c r="AE649" s="3333"/>
      <c r="AF649" s="3333"/>
    </row>
    <row r="650" spans="1:36" s="3120" customFormat="1" ht="18.75" hidden="1" customHeight="1" x14ac:dyDescent="0.2">
      <c r="A650" s="834"/>
      <c r="B650" s="3148"/>
      <c r="C650" s="3295"/>
      <c r="D650" s="3294"/>
      <c r="E650" s="3145"/>
      <c r="F650" s="3144"/>
      <c r="G650" s="3145"/>
      <c r="H650" s="3300"/>
      <c r="I650" s="3141" t="s">
        <v>116</v>
      </c>
      <c r="J650" s="3139" t="s">
        <v>2140</v>
      </c>
      <c r="K650" s="3139"/>
      <c r="L650" s="3162"/>
      <c r="M650" s="3139"/>
      <c r="N650" s="3139"/>
      <c r="O650" s="3139"/>
      <c r="P650" s="3162"/>
      <c r="Q650" s="3139"/>
      <c r="R650" s="3162"/>
      <c r="S650" s="3162"/>
      <c r="T650" s="3162"/>
      <c r="U650" s="3162"/>
      <c r="V650" s="3162"/>
      <c r="W650" s="3162"/>
      <c r="X650" s="3161"/>
      <c r="Y650" s="3293"/>
      <c r="Z650" s="1201"/>
      <c r="AA650" s="1201"/>
      <c r="AB650" s="1202"/>
      <c r="AC650" s="3333"/>
      <c r="AD650" s="3333"/>
      <c r="AE650" s="3333"/>
      <c r="AF650" s="3333"/>
    </row>
    <row r="651" spans="1:36" s="3120" customFormat="1" ht="18.75" hidden="1" customHeight="1" x14ac:dyDescent="0.2">
      <c r="A651" s="834"/>
      <c r="B651" s="3148"/>
      <c r="C651" s="3295"/>
      <c r="D651" s="3294"/>
      <c r="E651" s="3145"/>
      <c r="F651" s="3144"/>
      <c r="G651" s="3145"/>
      <c r="H651" s="3151" t="s">
        <v>91</v>
      </c>
      <c r="I651" s="3155" t="s">
        <v>116</v>
      </c>
      <c r="J651" s="3137" t="s">
        <v>1240</v>
      </c>
      <c r="K651" s="3171"/>
      <c r="L651" s="3173"/>
      <c r="M651" s="3154" t="s">
        <v>116</v>
      </c>
      <c r="N651" s="3137" t="s">
        <v>1241</v>
      </c>
      <c r="O651" s="3171"/>
      <c r="P651" s="3171"/>
      <c r="Q651" s="3171"/>
      <c r="R651" s="3171"/>
      <c r="S651" s="3171"/>
      <c r="T651" s="3171"/>
      <c r="U651" s="3171"/>
      <c r="V651" s="3171"/>
      <c r="W651" s="3171"/>
      <c r="X651" s="3297"/>
      <c r="Y651" s="3293"/>
      <c r="Z651" s="1201"/>
      <c r="AA651" s="1201"/>
      <c r="AB651" s="1202"/>
      <c r="AC651" s="3333"/>
      <c r="AD651" s="3333"/>
      <c r="AE651" s="3333"/>
      <c r="AF651" s="3333"/>
      <c r="AI651" s="3120" t="str">
        <f>"52:unitcare_code:" &amp; IF(I651="■",1,IF(M651="■",2,0))</f>
        <v>52:unitcare_code:0</v>
      </c>
    </row>
    <row r="652" spans="1:36" s="3120" customFormat="1" ht="18.75" hidden="1" customHeight="1" x14ac:dyDescent="0.2">
      <c r="A652" s="834"/>
      <c r="B652" s="3148"/>
      <c r="C652" s="3295"/>
      <c r="D652" s="3294"/>
      <c r="E652" s="3145"/>
      <c r="F652" s="3144"/>
      <c r="G652" s="3145"/>
      <c r="H652" s="3151" t="s">
        <v>1325</v>
      </c>
      <c r="I652" s="3155" t="s">
        <v>116</v>
      </c>
      <c r="J652" s="3137" t="s">
        <v>1228</v>
      </c>
      <c r="K652" s="3171"/>
      <c r="L652" s="3173"/>
      <c r="M652" s="3154" t="s">
        <v>116</v>
      </c>
      <c r="N652" s="3137" t="s">
        <v>1322</v>
      </c>
      <c r="O652" s="3171"/>
      <c r="P652" s="3171"/>
      <c r="Q652" s="3171"/>
      <c r="R652" s="3171"/>
      <c r="S652" s="3171"/>
      <c r="T652" s="3171"/>
      <c r="U652" s="3171"/>
      <c r="V652" s="3171"/>
      <c r="W652" s="3171"/>
      <c r="X652" s="3297"/>
      <c r="Y652" s="3293"/>
      <c r="Z652" s="1201"/>
      <c r="AA652" s="1201"/>
      <c r="AB652" s="1202"/>
      <c r="AC652" s="3333"/>
      <c r="AD652" s="3333"/>
      <c r="AE652" s="3333"/>
      <c r="AF652" s="3333"/>
      <c r="AI652" s="3120" t="str">
        <f>"52:sintaikousoku_code:" &amp; IF(I652="■",1,IF(M652="■",2,0))</f>
        <v>52:sintaikousoku_code:0</v>
      </c>
    </row>
    <row r="653" spans="1:36" s="3120" customFormat="1" ht="18.75" hidden="1" customHeight="1" x14ac:dyDescent="0.2">
      <c r="A653" s="834"/>
      <c r="B653" s="3148"/>
      <c r="C653" s="3295"/>
      <c r="D653" s="3294"/>
      <c r="E653" s="3145"/>
      <c r="F653" s="3144"/>
      <c r="G653" s="3145"/>
      <c r="H653" s="3151" t="s">
        <v>792</v>
      </c>
      <c r="I653" s="3155" t="s">
        <v>116</v>
      </c>
      <c r="J653" s="3137" t="s">
        <v>1228</v>
      </c>
      <c r="K653" s="3171"/>
      <c r="L653" s="3173"/>
      <c r="M653" s="3154" t="s">
        <v>116</v>
      </c>
      <c r="N653" s="3137" t="s">
        <v>1322</v>
      </c>
      <c r="O653" s="3171"/>
      <c r="P653" s="3171"/>
      <c r="Q653" s="3171"/>
      <c r="R653" s="3171"/>
      <c r="S653" s="3171"/>
      <c r="T653" s="3171"/>
      <c r="U653" s="3171"/>
      <c r="V653" s="3171"/>
      <c r="W653" s="3171"/>
      <c r="X653" s="3297"/>
      <c r="Y653" s="3293"/>
      <c r="Z653" s="1201"/>
      <c r="AA653" s="1201"/>
      <c r="AB653" s="1202"/>
      <c r="AC653" s="3333"/>
      <c r="AD653" s="3333"/>
      <c r="AE653" s="3333"/>
      <c r="AF653" s="3333"/>
      <c r="AI653" s="3120" t="str">
        <f>"52:field208:" &amp; IF(I653="■",1,IF(M653="■",2,0))</f>
        <v>52:field208:0</v>
      </c>
    </row>
    <row r="654" spans="1:36" s="3120" customFormat="1" ht="19.5" hidden="1" customHeight="1" x14ac:dyDescent="0.2">
      <c r="A654" s="834"/>
      <c r="B654" s="3148"/>
      <c r="C654" s="3147"/>
      <c r="D654" s="3146"/>
      <c r="E654" s="3145"/>
      <c r="F654" s="3144"/>
      <c r="G654" s="3175"/>
      <c r="H654" s="3174" t="s">
        <v>1227</v>
      </c>
      <c r="I654" s="3155" t="s">
        <v>116</v>
      </c>
      <c r="J654" s="3137" t="s">
        <v>1228</v>
      </c>
      <c r="K654" s="3171"/>
      <c r="L654" s="3173"/>
      <c r="M654" s="3154" t="s">
        <v>116</v>
      </c>
      <c r="N654" s="3137" t="s">
        <v>1229</v>
      </c>
      <c r="O654" s="3299"/>
      <c r="P654" s="3137"/>
      <c r="Q654" s="3150"/>
      <c r="R654" s="3150"/>
      <c r="S654" s="3150"/>
      <c r="T654" s="3150"/>
      <c r="U654" s="3150"/>
      <c r="V654" s="3150"/>
      <c r="W654" s="3150"/>
      <c r="X654" s="3149"/>
      <c r="Y654" s="1201"/>
      <c r="Z654" s="1201"/>
      <c r="AA654" s="1201"/>
      <c r="AB654" s="1202"/>
      <c r="AC654" s="3333"/>
      <c r="AD654" s="3333"/>
      <c r="AE654" s="3333"/>
      <c r="AF654" s="3333"/>
      <c r="AI654" s="3120" t="str">
        <f>"52:field223:" &amp; IF(I654="■",1,IF(M654="■",2,0))</f>
        <v>52:field223:0</v>
      </c>
    </row>
    <row r="655" spans="1:36" s="3120" customFormat="1" ht="19.5" hidden="1" customHeight="1" x14ac:dyDescent="0.2">
      <c r="A655" s="834"/>
      <c r="B655" s="3148"/>
      <c r="C655" s="3147"/>
      <c r="D655" s="3146"/>
      <c r="E655" s="3145"/>
      <c r="F655" s="3144"/>
      <c r="G655" s="3175"/>
      <c r="H655" s="3174" t="s">
        <v>1253</v>
      </c>
      <c r="I655" s="3155" t="s">
        <v>116</v>
      </c>
      <c r="J655" s="3137" t="s">
        <v>1228</v>
      </c>
      <c r="K655" s="3171"/>
      <c r="L655" s="3173"/>
      <c r="M655" s="3154" t="s">
        <v>116</v>
      </c>
      <c r="N655" s="3137" t="s">
        <v>1229</v>
      </c>
      <c r="O655" s="3299"/>
      <c r="P655" s="3137"/>
      <c r="Q655" s="3150"/>
      <c r="R655" s="3150"/>
      <c r="S655" s="3150"/>
      <c r="T655" s="3150"/>
      <c r="U655" s="3150"/>
      <c r="V655" s="3150"/>
      <c r="W655" s="3150"/>
      <c r="X655" s="3149"/>
      <c r="Y655" s="1201"/>
      <c r="Z655" s="1201"/>
      <c r="AA655" s="1201"/>
      <c r="AB655" s="1202"/>
      <c r="AC655" s="3333"/>
      <c r="AD655" s="3333"/>
      <c r="AE655" s="3333"/>
      <c r="AF655" s="3333"/>
      <c r="AI655" s="3120" t="str">
        <f>"52:field232:" &amp; IF(I655="■",1,IF(M655="■",2,0))</f>
        <v>52:field232:0</v>
      </c>
    </row>
    <row r="656" spans="1:36" s="3120" customFormat="1" ht="37.5" hidden="1" customHeight="1" x14ac:dyDescent="0.2">
      <c r="A656" s="834"/>
      <c r="B656" s="3148"/>
      <c r="C656" s="3295"/>
      <c r="D656" s="3294"/>
      <c r="E656" s="3145"/>
      <c r="F656" s="3144"/>
      <c r="G656" s="3145"/>
      <c r="H656" s="3142" t="s">
        <v>1326</v>
      </c>
      <c r="I656" s="3141" t="s">
        <v>116</v>
      </c>
      <c r="J656" s="3139" t="s">
        <v>1230</v>
      </c>
      <c r="K656" s="3138"/>
      <c r="L656" s="3140" t="s">
        <v>116</v>
      </c>
      <c r="M656" s="3139" t="s">
        <v>1233</v>
      </c>
      <c r="N656" s="3171"/>
      <c r="O656" s="3137"/>
      <c r="P656" s="3137"/>
      <c r="Q656" s="3137"/>
      <c r="R656" s="3137"/>
      <c r="S656" s="3137"/>
      <c r="T656" s="3137"/>
      <c r="U656" s="3137"/>
      <c r="V656" s="3137"/>
      <c r="W656" s="3137"/>
      <c r="X656" s="3136"/>
      <c r="Y656" s="3293"/>
      <c r="Z656" s="1201"/>
      <c r="AA656" s="1201"/>
      <c r="AB656" s="1202"/>
      <c r="AC656" s="3333"/>
      <c r="AD656" s="3333"/>
      <c r="AE656" s="3333"/>
      <c r="AF656" s="3333"/>
      <c r="AI656" s="3120" t="str">
        <f>"52:field206:" &amp; IF(I656="■",1,IF(L656="■",2,0))</f>
        <v>52:field206:0</v>
      </c>
    </row>
    <row r="657" spans="1:35" s="1247" customFormat="1" ht="19.5" hidden="1" customHeight="1" x14ac:dyDescent="0.2">
      <c r="A657" s="579"/>
      <c r="B657" s="1250"/>
      <c r="C657" s="581"/>
      <c r="D657" s="1251"/>
      <c r="E657" s="1253"/>
      <c r="F657" s="1249"/>
      <c r="G657" s="583"/>
      <c r="H657" s="3324" t="s">
        <v>2133</v>
      </c>
      <c r="I657" s="3155" t="s">
        <v>116</v>
      </c>
      <c r="J657" s="3320" t="s">
        <v>2131</v>
      </c>
      <c r="K657" s="3323"/>
      <c r="L657" s="3322"/>
      <c r="M657" s="3154" t="s">
        <v>116</v>
      </c>
      <c r="N657" s="3320" t="s">
        <v>2130</v>
      </c>
      <c r="O657" s="3321"/>
      <c r="P657" s="3320"/>
      <c r="Q657" s="3319"/>
      <c r="R657" s="3319"/>
      <c r="S657" s="3319"/>
      <c r="T657" s="3319"/>
      <c r="U657" s="3319"/>
      <c r="V657" s="3319"/>
      <c r="W657" s="3319"/>
      <c r="X657" s="3318"/>
      <c r="Y657" s="1248"/>
      <c r="Z657" s="2"/>
      <c r="AA657" s="584"/>
      <c r="AB657" s="585"/>
      <c r="AC657" s="3333"/>
      <c r="AD657" s="3333"/>
      <c r="AE657" s="3333"/>
      <c r="AF657" s="3333"/>
      <c r="AI657" s="3120" t="str">
        <f>"52:field242:" &amp; IF(I657="■",1,IF(M657="■",2,0))</f>
        <v>52:field242:0</v>
      </c>
    </row>
    <row r="658" spans="1:35" s="3120" customFormat="1" ht="18.75" hidden="1" customHeight="1" x14ac:dyDescent="0.2">
      <c r="A658" s="834"/>
      <c r="B658" s="3148"/>
      <c r="C658" s="3295"/>
      <c r="D658" s="3294"/>
      <c r="E658" s="3145"/>
      <c r="F658" s="3144"/>
      <c r="G658" s="3145"/>
      <c r="H658" s="3151" t="s">
        <v>2137</v>
      </c>
      <c r="I658" s="3141" t="s">
        <v>116</v>
      </c>
      <c r="J658" s="3139" t="s">
        <v>1230</v>
      </c>
      <c r="K658" s="3138"/>
      <c r="L658" s="3140" t="s">
        <v>116</v>
      </c>
      <c r="M658" s="3139" t="s">
        <v>1233</v>
      </c>
      <c r="N658" s="3171"/>
      <c r="O658" s="3137"/>
      <c r="P658" s="3137"/>
      <c r="Q658" s="3137"/>
      <c r="R658" s="3137"/>
      <c r="S658" s="3137"/>
      <c r="T658" s="3137"/>
      <c r="U658" s="3137"/>
      <c r="V658" s="3137"/>
      <c r="W658" s="3137"/>
      <c r="X658" s="3136"/>
      <c r="Y658" s="3293"/>
      <c r="Z658" s="1201"/>
      <c r="AA658" s="1201"/>
      <c r="AB658" s="1202"/>
      <c r="AC658" s="3333"/>
      <c r="AD658" s="3333"/>
      <c r="AE658" s="3333"/>
      <c r="AF658" s="3333"/>
      <c r="AI658" s="3120" t="str">
        <f>"52:yakinhaiti_code:" &amp; IF(I658="■",1,IF(L658="■",2,0))</f>
        <v>52:yakinhaiti_code:0</v>
      </c>
    </row>
    <row r="659" spans="1:35" s="3120" customFormat="1" ht="18.75" hidden="1" customHeight="1" x14ac:dyDescent="0.2">
      <c r="A659" s="834"/>
      <c r="B659" s="3148"/>
      <c r="C659" s="3295"/>
      <c r="D659" s="3294"/>
      <c r="E659" s="3145"/>
      <c r="F659" s="3144"/>
      <c r="G659" s="3145"/>
      <c r="H659" s="3151" t="s">
        <v>1273</v>
      </c>
      <c r="I659" s="3141" t="s">
        <v>116</v>
      </c>
      <c r="J659" s="3139" t="s">
        <v>1230</v>
      </c>
      <c r="K659" s="3138"/>
      <c r="L659" s="3140" t="s">
        <v>116</v>
      </c>
      <c r="M659" s="3139" t="s">
        <v>1233</v>
      </c>
      <c r="N659" s="3171"/>
      <c r="O659" s="3137"/>
      <c r="P659" s="3137"/>
      <c r="Q659" s="3137"/>
      <c r="R659" s="3137"/>
      <c r="S659" s="3137"/>
      <c r="T659" s="3137"/>
      <c r="U659" s="3137"/>
      <c r="V659" s="3137"/>
      <c r="W659" s="3137"/>
      <c r="X659" s="3136"/>
      <c r="Y659" s="3293"/>
      <c r="Z659" s="1201"/>
      <c r="AA659" s="1201"/>
      <c r="AB659" s="1202"/>
      <c r="AC659" s="3333"/>
      <c r="AD659" s="3333"/>
      <c r="AE659" s="3333"/>
      <c r="AF659" s="3333"/>
      <c r="AI659" s="3120" t="str">
        <f>"52:ninti_riha_code:" &amp; IF(I659="■",1,IF(L659="■",2,0))</f>
        <v>52:ninti_riha_code:0</v>
      </c>
    </row>
    <row r="660" spans="1:35" s="3120" customFormat="1" ht="18.75" hidden="1" customHeight="1" x14ac:dyDescent="0.2">
      <c r="A660" s="834"/>
      <c r="B660" s="3148"/>
      <c r="C660" s="3295"/>
      <c r="D660" s="3294"/>
      <c r="E660" s="3145"/>
      <c r="F660" s="3144"/>
      <c r="G660" s="3145"/>
      <c r="H660" s="3151" t="s">
        <v>2136</v>
      </c>
      <c r="I660" s="3141" t="s">
        <v>116</v>
      </c>
      <c r="J660" s="3139" t="s">
        <v>1230</v>
      </c>
      <c r="K660" s="3138"/>
      <c r="L660" s="3140" t="s">
        <v>116</v>
      </c>
      <c r="M660" s="3139" t="s">
        <v>1233</v>
      </c>
      <c r="N660" s="3171"/>
      <c r="O660" s="3171"/>
      <c r="P660" s="3171"/>
      <c r="Q660" s="3171"/>
      <c r="R660" s="3171"/>
      <c r="S660" s="3171"/>
      <c r="T660" s="3171"/>
      <c r="U660" s="3171"/>
      <c r="V660" s="3171"/>
      <c r="W660" s="3171"/>
      <c r="X660" s="3297"/>
      <c r="Y660" s="3293"/>
      <c r="Z660" s="1201"/>
      <c r="AA660" s="1201"/>
      <c r="AB660" s="1202"/>
      <c r="AC660" s="3333"/>
      <c r="AD660" s="3333"/>
      <c r="AE660" s="3333"/>
      <c r="AF660" s="3333"/>
      <c r="AI660" s="3120" t="str">
        <f>"52:ninticare_code:" &amp; IF(I660="■",1,IF(L660="■",2,0))</f>
        <v>52:ninticare_code:0</v>
      </c>
    </row>
    <row r="661" spans="1:35" s="3120" customFormat="1" ht="18.75" hidden="1" customHeight="1" x14ac:dyDescent="0.2">
      <c r="A661" s="834"/>
      <c r="B661" s="3148"/>
      <c r="C661" s="3295"/>
      <c r="D661" s="3294"/>
      <c r="E661" s="3145"/>
      <c r="F661" s="3144"/>
      <c r="G661" s="3145"/>
      <c r="H661" s="3334" t="s">
        <v>2135</v>
      </c>
      <c r="I661" s="3141" t="s">
        <v>116</v>
      </c>
      <c r="J661" s="3139" t="s">
        <v>1230</v>
      </c>
      <c r="K661" s="3138"/>
      <c r="L661" s="3140" t="s">
        <v>116</v>
      </c>
      <c r="M661" s="3139" t="s">
        <v>1233</v>
      </c>
      <c r="N661" s="3171"/>
      <c r="O661" s="3171"/>
      <c r="P661" s="3171"/>
      <c r="Q661" s="3171"/>
      <c r="R661" s="3171"/>
      <c r="S661" s="3171"/>
      <c r="T661" s="3171"/>
      <c r="U661" s="3171"/>
      <c r="V661" s="3171"/>
      <c r="W661" s="3171"/>
      <c r="X661" s="3297"/>
      <c r="Y661" s="3293"/>
      <c r="Z661" s="1201"/>
      <c r="AA661" s="1201"/>
      <c r="AB661" s="1202"/>
      <c r="AC661" s="3333"/>
      <c r="AD661" s="3333"/>
      <c r="AE661" s="3333"/>
      <c r="AF661" s="3333"/>
      <c r="AI661" s="3120" t="str">
        <f>"52:jyakuninti_uke_code:" &amp; IF(I661="■",1,IF(L661="■",2,0))</f>
        <v>52:jyakuninti_uke_code:0</v>
      </c>
    </row>
    <row r="662" spans="1:35" s="3120" customFormat="1" ht="18.75" hidden="1" customHeight="1" x14ac:dyDescent="0.2">
      <c r="A662" s="3158" t="s">
        <v>116</v>
      </c>
      <c r="B662" s="3148">
        <v>52</v>
      </c>
      <c r="C662" s="3295" t="s">
        <v>2160</v>
      </c>
      <c r="D662" s="3158" t="s">
        <v>116</v>
      </c>
      <c r="E662" s="3145" t="s">
        <v>2161</v>
      </c>
      <c r="F662" s="3158" t="s">
        <v>116</v>
      </c>
      <c r="G662" s="3145" t="s">
        <v>2158</v>
      </c>
      <c r="H662" s="3334" t="s">
        <v>2157</v>
      </c>
      <c r="I662" s="3155" t="s">
        <v>116</v>
      </c>
      <c r="J662" s="3137" t="s">
        <v>1230</v>
      </c>
      <c r="K662" s="3137"/>
      <c r="L662" s="3154" t="s">
        <v>116</v>
      </c>
      <c r="M662" s="3137" t="s">
        <v>1231</v>
      </c>
      <c r="N662" s="3137"/>
      <c r="O662" s="3154" t="s">
        <v>116</v>
      </c>
      <c r="P662" s="3137" t="s">
        <v>1232</v>
      </c>
      <c r="Q662" s="3171"/>
      <c r="R662" s="3171"/>
      <c r="S662" s="3137"/>
      <c r="T662" s="3137"/>
      <c r="U662" s="3137"/>
      <c r="V662" s="3137"/>
      <c r="W662" s="3137"/>
      <c r="X662" s="3136"/>
      <c r="Y662" s="3293"/>
      <c r="Z662" s="1201"/>
      <c r="AA662" s="1201"/>
      <c r="AB662" s="1202"/>
      <c r="AC662" s="3333"/>
      <c r="AD662" s="3333"/>
      <c r="AE662" s="3333"/>
      <c r="AF662" s="3333"/>
      <c r="AI662" s="3120" t="str">
        <f>"52:zaitaku_hukki_code:" &amp; IF(I662="■",1,IF(L662="■",2,IF(O662="■",3,0)))</f>
        <v>52:zaitaku_hukki_code:0</v>
      </c>
    </row>
    <row r="663" spans="1:35" s="3120" customFormat="1" ht="18.75" hidden="1" customHeight="1" x14ac:dyDescent="0.2">
      <c r="A663" s="834"/>
      <c r="B663" s="3148"/>
      <c r="C663" s="3295"/>
      <c r="D663" s="3294"/>
      <c r="E663" s="3145"/>
      <c r="F663" s="3158" t="s">
        <v>116</v>
      </c>
      <c r="G663" s="3145" t="s">
        <v>2156</v>
      </c>
      <c r="H663" s="3151" t="s">
        <v>2134</v>
      </c>
      <c r="I663" s="3141" t="s">
        <v>116</v>
      </c>
      <c r="J663" s="3139" t="s">
        <v>1230</v>
      </c>
      <c r="K663" s="3138"/>
      <c r="L663" s="3140" t="s">
        <v>116</v>
      </c>
      <c r="M663" s="3139" t="s">
        <v>1233</v>
      </c>
      <c r="N663" s="3171"/>
      <c r="O663" s="3171"/>
      <c r="P663" s="3171"/>
      <c r="Q663" s="3171"/>
      <c r="R663" s="3171"/>
      <c r="S663" s="3171"/>
      <c r="T663" s="3171"/>
      <c r="U663" s="3171"/>
      <c r="V663" s="3171"/>
      <c r="W663" s="3171"/>
      <c r="X663" s="3297"/>
      <c r="Y663" s="3293"/>
      <c r="Z663" s="1201"/>
      <c r="AA663" s="1201"/>
      <c r="AB663" s="1202"/>
      <c r="AC663" s="3333"/>
      <c r="AD663" s="3333"/>
      <c r="AE663" s="3333"/>
      <c r="AF663" s="3333"/>
      <c r="AI663" s="3120" t="str">
        <f>"52:terminal_code:" &amp; IF(I663="■",1,IF(L663="■",2,0))</f>
        <v>52:terminal_code:0</v>
      </c>
    </row>
    <row r="664" spans="1:35" s="3120" customFormat="1" ht="18.75" hidden="1" customHeight="1" x14ac:dyDescent="0.2">
      <c r="A664" s="834"/>
      <c r="B664" s="3148"/>
      <c r="C664" s="3295"/>
      <c r="D664" s="3294"/>
      <c r="E664" s="3145"/>
      <c r="F664" s="3294"/>
      <c r="G664" s="3145"/>
      <c r="H664" s="3151" t="s">
        <v>794</v>
      </c>
      <c r="I664" s="3141" t="s">
        <v>116</v>
      </c>
      <c r="J664" s="3139" t="s">
        <v>1230</v>
      </c>
      <c r="K664" s="3138"/>
      <c r="L664" s="3140" t="s">
        <v>116</v>
      </c>
      <c r="M664" s="3139" t="s">
        <v>1233</v>
      </c>
      <c r="N664" s="3171"/>
      <c r="O664" s="3171"/>
      <c r="P664" s="3171"/>
      <c r="Q664" s="3171"/>
      <c r="R664" s="3171"/>
      <c r="S664" s="3171"/>
      <c r="T664" s="3171"/>
      <c r="U664" s="3171"/>
      <c r="V664" s="3171"/>
      <c r="W664" s="3171"/>
      <c r="X664" s="3297"/>
      <c r="Y664" s="3293"/>
      <c r="Z664" s="1201"/>
      <c r="AA664" s="1201"/>
      <c r="AB664" s="1202"/>
      <c r="AC664" s="3333"/>
      <c r="AD664" s="3333"/>
      <c r="AE664" s="3333"/>
      <c r="AF664" s="3333"/>
      <c r="AI664" s="3120" t="str">
        <f>"52:field207:" &amp; IF(I664="■",1,IF(L664="■",2,0))</f>
        <v>52:field207:0</v>
      </c>
    </row>
    <row r="665" spans="1:35" s="3120" customFormat="1" ht="18.75" hidden="1" customHeight="1" x14ac:dyDescent="0.2">
      <c r="A665" s="834"/>
      <c r="B665" s="3148"/>
      <c r="C665" s="3295"/>
      <c r="D665" s="3294"/>
      <c r="E665" s="3145"/>
      <c r="F665" s="3294"/>
      <c r="G665" s="3145"/>
      <c r="H665" s="3151" t="s">
        <v>140</v>
      </c>
      <c r="I665" s="3141" t="s">
        <v>116</v>
      </c>
      <c r="J665" s="3139" t="s">
        <v>1230</v>
      </c>
      <c r="K665" s="3138"/>
      <c r="L665" s="3140" t="s">
        <v>116</v>
      </c>
      <c r="M665" s="3139" t="s">
        <v>1233</v>
      </c>
      <c r="N665" s="3171"/>
      <c r="O665" s="3137"/>
      <c r="P665" s="3137"/>
      <c r="Q665" s="3137"/>
      <c r="R665" s="3137"/>
      <c r="S665" s="3137"/>
      <c r="T665" s="3137"/>
      <c r="U665" s="3137"/>
      <c r="V665" s="3137"/>
      <c r="W665" s="3137"/>
      <c r="X665" s="3136"/>
      <c r="Y665" s="3293"/>
      <c r="Z665" s="1201"/>
      <c r="AA665" s="1201"/>
      <c r="AB665" s="1202"/>
      <c r="AC665" s="3333"/>
      <c r="AD665" s="3333"/>
      <c r="AE665" s="3333"/>
      <c r="AF665" s="3333"/>
      <c r="AI665" s="3120" t="str">
        <f>"52:ryouyoushoku_code:" &amp; IF(I665="■",1,IF(L665="■",2,0))</f>
        <v>52:ryouyoushoku_code:0</v>
      </c>
    </row>
    <row r="666" spans="1:35" s="3120" customFormat="1" ht="18.75" hidden="1" customHeight="1" x14ac:dyDescent="0.2">
      <c r="A666" s="834"/>
      <c r="B666" s="3148"/>
      <c r="C666" s="3295"/>
      <c r="D666" s="3294"/>
      <c r="E666" s="3145"/>
      <c r="F666" s="3144"/>
      <c r="G666" s="3145"/>
      <c r="H666" s="3151" t="s">
        <v>1237</v>
      </c>
      <c r="I666" s="3155" t="s">
        <v>116</v>
      </c>
      <c r="J666" s="3137" t="s">
        <v>1230</v>
      </c>
      <c r="K666" s="3137"/>
      <c r="L666" s="3154" t="s">
        <v>116</v>
      </c>
      <c r="M666" s="3137" t="s">
        <v>1231</v>
      </c>
      <c r="N666" s="3137"/>
      <c r="O666" s="3154" t="s">
        <v>116</v>
      </c>
      <c r="P666" s="3137" t="s">
        <v>1232</v>
      </c>
      <c r="Q666" s="3171"/>
      <c r="R666" s="3171"/>
      <c r="S666" s="3137"/>
      <c r="T666" s="3137"/>
      <c r="U666" s="3137"/>
      <c r="V666" s="3137"/>
      <c r="W666" s="3137"/>
      <c r="X666" s="3136"/>
      <c r="Y666" s="3293"/>
      <c r="Z666" s="1201"/>
      <c r="AA666" s="1201"/>
      <c r="AB666" s="1202"/>
      <c r="AC666" s="3333"/>
      <c r="AD666" s="3333"/>
      <c r="AE666" s="3333"/>
      <c r="AF666" s="3333"/>
      <c r="AI666" s="3120" t="str">
        <f>"52:ninti_senmoncare_code:" &amp; IF(I666="■",1,IF(O666="■",3,IF(L666="■",2,0)))</f>
        <v>52:ninti_senmoncare_code:0</v>
      </c>
    </row>
    <row r="667" spans="1:35" s="3120" customFormat="1" ht="18.75" hidden="1" customHeight="1" x14ac:dyDescent="0.2">
      <c r="A667" s="834"/>
      <c r="B667" s="3148"/>
      <c r="C667" s="3295"/>
      <c r="D667" s="3294"/>
      <c r="E667" s="3145"/>
      <c r="F667" s="3144"/>
      <c r="G667" s="3145"/>
      <c r="H667" s="3151" t="s">
        <v>1327</v>
      </c>
      <c r="I667" s="3155" t="s">
        <v>116</v>
      </c>
      <c r="J667" s="3137" t="s">
        <v>1230</v>
      </c>
      <c r="K667" s="3137"/>
      <c r="L667" s="3154" t="s">
        <v>116</v>
      </c>
      <c r="M667" s="3137" t="s">
        <v>1231</v>
      </c>
      <c r="N667" s="3137"/>
      <c r="O667" s="3154" t="s">
        <v>116</v>
      </c>
      <c r="P667" s="3137" t="s">
        <v>1232</v>
      </c>
      <c r="Q667" s="3171"/>
      <c r="R667" s="3171"/>
      <c r="S667" s="3171"/>
      <c r="T667" s="3171"/>
      <c r="U667" s="3171"/>
      <c r="V667" s="3171"/>
      <c r="W667" s="3171"/>
      <c r="X667" s="3297"/>
      <c r="Y667" s="3293"/>
      <c r="Z667" s="1201"/>
      <c r="AA667" s="1201"/>
      <c r="AB667" s="1202"/>
      <c r="AC667" s="3333"/>
      <c r="AD667" s="3333"/>
      <c r="AE667" s="3333"/>
      <c r="AF667" s="3333"/>
      <c r="AI667" s="3120" t="str">
        <f>"52:field228:" &amp; IF(I667="■",1,IF(L667="■",2,IF(O667="■",3,0)))</f>
        <v>52:field228:0</v>
      </c>
    </row>
    <row r="668" spans="1:35" s="3120" customFormat="1" ht="18.75" hidden="1" customHeight="1" x14ac:dyDescent="0.2">
      <c r="A668" s="834"/>
      <c r="B668" s="3148"/>
      <c r="C668" s="3295"/>
      <c r="D668" s="3294"/>
      <c r="E668" s="3145"/>
      <c r="F668" s="3144"/>
      <c r="G668" s="3145"/>
      <c r="H668" s="3159" t="s">
        <v>2143</v>
      </c>
      <c r="I668" s="3141" t="s">
        <v>116</v>
      </c>
      <c r="J668" s="3139" t="s">
        <v>1230</v>
      </c>
      <c r="K668" s="3138"/>
      <c r="L668" s="3154" t="s">
        <v>116</v>
      </c>
      <c r="M668" s="3137" t="s">
        <v>1239</v>
      </c>
      <c r="N668" s="3137"/>
      <c r="O668" s="3154" t="s">
        <v>116</v>
      </c>
      <c r="P668" s="3137" t="s">
        <v>2090</v>
      </c>
      <c r="Q668" s="3171"/>
      <c r="R668" s="3171"/>
      <c r="S668" s="3171"/>
      <c r="T668" s="3171"/>
      <c r="U668" s="3171"/>
      <c r="V668" s="3171"/>
      <c r="W668" s="3171"/>
      <c r="X668" s="3297"/>
      <c r="Y668" s="3293"/>
      <c r="Z668" s="1201"/>
      <c r="AA668" s="1201"/>
      <c r="AB668" s="1202"/>
      <c r="AC668" s="3333"/>
      <c r="AD668" s="3333"/>
      <c r="AE668" s="3333"/>
      <c r="AF668" s="3333"/>
      <c r="AI668" s="3120" t="str">
        <f>"52:field216:" &amp; IF(I668="■",1,IF(L668="■",2,IF(O668="■",3,0)))</f>
        <v>52:field216:0</v>
      </c>
    </row>
    <row r="669" spans="1:35" s="3120" customFormat="1" ht="18.75" hidden="1" customHeight="1" x14ac:dyDescent="0.2">
      <c r="A669" s="834"/>
      <c r="B669" s="3148"/>
      <c r="C669" s="3295"/>
      <c r="D669" s="3294"/>
      <c r="E669" s="3145"/>
      <c r="F669" s="3144"/>
      <c r="G669" s="3145"/>
      <c r="H669" s="3151" t="s">
        <v>2155</v>
      </c>
      <c r="I669" s="3141" t="s">
        <v>116</v>
      </c>
      <c r="J669" s="3139" t="s">
        <v>1230</v>
      </c>
      <c r="K669" s="3138"/>
      <c r="L669" s="3140" t="s">
        <v>116</v>
      </c>
      <c r="M669" s="3139" t="s">
        <v>1233</v>
      </c>
      <c r="N669" s="3171"/>
      <c r="O669" s="3171"/>
      <c r="P669" s="3171"/>
      <c r="Q669" s="3171"/>
      <c r="R669" s="3171"/>
      <c r="S669" s="3171"/>
      <c r="T669" s="3171"/>
      <c r="U669" s="3171"/>
      <c r="V669" s="3171"/>
      <c r="W669" s="3171"/>
      <c r="X669" s="3297"/>
      <c r="Y669" s="3293"/>
      <c r="Z669" s="1201"/>
      <c r="AA669" s="1201"/>
      <c r="AB669" s="1202"/>
      <c r="AC669" s="3333"/>
      <c r="AD669" s="3333"/>
      <c r="AE669" s="3333"/>
      <c r="AF669" s="3333"/>
      <c r="AI669" s="3120" t="str">
        <f>"52:field177:" &amp; IF(I669="■",1,IF(L669="■",2,0))</f>
        <v>52:field177:0</v>
      </c>
    </row>
    <row r="670" spans="1:35" s="3120" customFormat="1" ht="18.75" hidden="1" customHeight="1" x14ac:dyDescent="0.2">
      <c r="A670" s="834"/>
      <c r="B670" s="3148"/>
      <c r="C670" s="3295"/>
      <c r="D670" s="3294"/>
      <c r="E670" s="3145"/>
      <c r="F670" s="3144"/>
      <c r="G670" s="3145"/>
      <c r="H670" s="3159" t="s">
        <v>795</v>
      </c>
      <c r="I670" s="3141" t="s">
        <v>116</v>
      </c>
      <c r="J670" s="3139" t="s">
        <v>1230</v>
      </c>
      <c r="K670" s="3138"/>
      <c r="L670" s="3140" t="s">
        <v>116</v>
      </c>
      <c r="M670" s="3139" t="s">
        <v>1233</v>
      </c>
      <c r="N670" s="3171"/>
      <c r="O670" s="3171"/>
      <c r="P670" s="3171"/>
      <c r="Q670" s="3171"/>
      <c r="R670" s="3171"/>
      <c r="S670" s="3171"/>
      <c r="T670" s="3171"/>
      <c r="U670" s="3171"/>
      <c r="V670" s="3171"/>
      <c r="W670" s="3171"/>
      <c r="X670" s="3297"/>
      <c r="Y670" s="3293"/>
      <c r="Z670" s="1201"/>
      <c r="AA670" s="1201"/>
      <c r="AB670" s="1202"/>
      <c r="AC670" s="3333"/>
      <c r="AD670" s="3333"/>
      <c r="AE670" s="3333"/>
      <c r="AF670" s="3333"/>
      <c r="AI670" s="3120" t="str">
        <f>"52:field210:" &amp; IF(I670="■",1,IF(L670="■",2,0))</f>
        <v>52:field210:0</v>
      </c>
    </row>
    <row r="671" spans="1:35" s="3120" customFormat="1" ht="18.75" hidden="1" customHeight="1" x14ac:dyDescent="0.2">
      <c r="A671" s="834"/>
      <c r="B671" s="3148"/>
      <c r="C671" s="3295"/>
      <c r="D671" s="3294"/>
      <c r="E671" s="3145"/>
      <c r="F671" s="3144"/>
      <c r="G671" s="3145"/>
      <c r="H671" s="3151" t="s">
        <v>796</v>
      </c>
      <c r="I671" s="3141" t="s">
        <v>116</v>
      </c>
      <c r="J671" s="3139" t="s">
        <v>1230</v>
      </c>
      <c r="K671" s="3138"/>
      <c r="L671" s="3140" t="s">
        <v>116</v>
      </c>
      <c r="M671" s="3139" t="s">
        <v>1233</v>
      </c>
      <c r="N671" s="3171"/>
      <c r="O671" s="3171"/>
      <c r="P671" s="3171"/>
      <c r="Q671" s="3171"/>
      <c r="R671" s="3171"/>
      <c r="S671" s="3171"/>
      <c r="T671" s="3171"/>
      <c r="U671" s="3171"/>
      <c r="V671" s="3171"/>
      <c r="W671" s="3171"/>
      <c r="X671" s="3297"/>
      <c r="Y671" s="3293"/>
      <c r="Z671" s="1201"/>
      <c r="AA671" s="1201"/>
      <c r="AB671" s="1202"/>
      <c r="AC671" s="3333"/>
      <c r="AD671" s="3333"/>
      <c r="AE671" s="3333"/>
      <c r="AF671" s="3333"/>
      <c r="AI671" s="3120" t="str">
        <f>"52:field211:" &amp; IF(I671="■",1,IF(L671="■",2,0))</f>
        <v>52:field211:0</v>
      </c>
    </row>
    <row r="672" spans="1:35" s="3120" customFormat="1" ht="18.75" hidden="1" customHeight="1" x14ac:dyDescent="0.2">
      <c r="A672" s="834"/>
      <c r="B672" s="3148"/>
      <c r="C672" s="3295"/>
      <c r="D672" s="3294"/>
      <c r="E672" s="3145"/>
      <c r="F672" s="3144"/>
      <c r="G672" s="3145"/>
      <c r="H672" s="3151" t="s">
        <v>797</v>
      </c>
      <c r="I672" s="3141" t="s">
        <v>116</v>
      </c>
      <c r="J672" s="3139" t="s">
        <v>1230</v>
      </c>
      <c r="K672" s="3138"/>
      <c r="L672" s="3140" t="s">
        <v>116</v>
      </c>
      <c r="M672" s="3139" t="s">
        <v>1233</v>
      </c>
      <c r="N672" s="3171"/>
      <c r="O672" s="3171"/>
      <c r="P672" s="3171"/>
      <c r="Q672" s="3171"/>
      <c r="R672" s="3171"/>
      <c r="S672" s="3171"/>
      <c r="T672" s="3171"/>
      <c r="U672" s="3171"/>
      <c r="V672" s="3171"/>
      <c r="W672" s="3171"/>
      <c r="X672" s="3297"/>
      <c r="Y672" s="3293"/>
      <c r="Z672" s="1201"/>
      <c r="AA672" s="1201"/>
      <c r="AB672" s="1202"/>
      <c r="AC672" s="3333"/>
      <c r="AD672" s="3333"/>
      <c r="AE672" s="3333"/>
      <c r="AF672" s="3333"/>
      <c r="AI672" s="3120" t="str">
        <f>"52:field212:" &amp; IF(I672="■",1,IF(L672="■",2,0))</f>
        <v>52:field212:0</v>
      </c>
    </row>
    <row r="673" spans="1:36" s="3120" customFormat="1" ht="18.75" hidden="1" customHeight="1" x14ac:dyDescent="0.2">
      <c r="A673" s="834"/>
      <c r="B673" s="3148"/>
      <c r="C673" s="3295"/>
      <c r="D673" s="3294"/>
      <c r="E673" s="3145"/>
      <c r="F673" s="3144"/>
      <c r="G673" s="3145"/>
      <c r="H673" s="3151" t="s">
        <v>798</v>
      </c>
      <c r="I673" s="3141" t="s">
        <v>116</v>
      </c>
      <c r="J673" s="3139" t="s">
        <v>1230</v>
      </c>
      <c r="K673" s="3138"/>
      <c r="L673" s="3140" t="s">
        <v>116</v>
      </c>
      <c r="M673" s="3139" t="s">
        <v>1233</v>
      </c>
      <c r="N673" s="3171"/>
      <c r="O673" s="3171"/>
      <c r="P673" s="3171"/>
      <c r="Q673" s="3171"/>
      <c r="R673" s="3171"/>
      <c r="S673" s="3171"/>
      <c r="T673" s="3171"/>
      <c r="U673" s="3171"/>
      <c r="V673" s="3171"/>
      <c r="W673" s="3171"/>
      <c r="X673" s="3297"/>
      <c r="Y673" s="3293"/>
      <c r="Z673" s="1201"/>
      <c r="AA673" s="1201"/>
      <c r="AB673" s="1202"/>
      <c r="AC673" s="3333"/>
      <c r="AD673" s="3333"/>
      <c r="AE673" s="3333"/>
      <c r="AF673" s="3333"/>
      <c r="AI673" s="3120" t="str">
        <f>"52:field209:" &amp; IF(I673="■",1,IF(L673="■",2,0))</f>
        <v>52:field209:0</v>
      </c>
    </row>
    <row r="674" spans="1:36" s="3120" customFormat="1" ht="18.75" hidden="1" customHeight="1" x14ac:dyDescent="0.2">
      <c r="A674" s="834"/>
      <c r="B674" s="3148"/>
      <c r="C674" s="3295"/>
      <c r="D674" s="3294"/>
      <c r="E674" s="3145"/>
      <c r="F674" s="3144"/>
      <c r="G674" s="3145"/>
      <c r="H674" s="3151" t="s">
        <v>1323</v>
      </c>
      <c r="I674" s="3155" t="s">
        <v>116</v>
      </c>
      <c r="J674" s="3137" t="s">
        <v>1230</v>
      </c>
      <c r="K674" s="3137"/>
      <c r="L674" s="3154" t="s">
        <v>116</v>
      </c>
      <c r="M674" s="3139" t="s">
        <v>1233</v>
      </c>
      <c r="N674" s="3137"/>
      <c r="O674" s="3137"/>
      <c r="P674" s="3137"/>
      <c r="Q674" s="3171"/>
      <c r="R674" s="3171"/>
      <c r="S674" s="3171"/>
      <c r="T674" s="3171"/>
      <c r="U674" s="3171"/>
      <c r="V674" s="3171"/>
      <c r="W674" s="3171"/>
      <c r="X674" s="3297"/>
      <c r="Y674" s="3293"/>
      <c r="Z674" s="1201"/>
      <c r="AA674" s="1201"/>
      <c r="AB674" s="1202"/>
      <c r="AC674" s="3333"/>
      <c r="AD674" s="3333"/>
      <c r="AE674" s="3333"/>
      <c r="AF674" s="3333"/>
      <c r="AI674" s="3120" t="str">
        <f>"52:field226:" &amp; IF(I674="■",1,IF(L674="■",2,0))</f>
        <v>52:field226:0</v>
      </c>
    </row>
    <row r="675" spans="1:36" s="3120" customFormat="1" ht="18.75" hidden="1" customHeight="1" x14ac:dyDescent="0.2">
      <c r="A675" s="834"/>
      <c r="B675" s="3148"/>
      <c r="C675" s="3295"/>
      <c r="D675" s="3294"/>
      <c r="E675" s="3145"/>
      <c r="F675" s="3144"/>
      <c r="G675" s="3145"/>
      <c r="H675" s="3151" t="s">
        <v>1324</v>
      </c>
      <c r="I675" s="3155" t="s">
        <v>116</v>
      </c>
      <c r="J675" s="3137" t="s">
        <v>1230</v>
      </c>
      <c r="K675" s="3137"/>
      <c r="L675" s="3154" t="s">
        <v>116</v>
      </c>
      <c r="M675" s="3139" t="s">
        <v>1233</v>
      </c>
      <c r="N675" s="3137"/>
      <c r="O675" s="3137"/>
      <c r="P675" s="3137"/>
      <c r="Q675" s="3171"/>
      <c r="R675" s="3171"/>
      <c r="S675" s="3171"/>
      <c r="T675" s="3171"/>
      <c r="U675" s="3171"/>
      <c r="V675" s="3171"/>
      <c r="W675" s="3171"/>
      <c r="X675" s="3297"/>
      <c r="Y675" s="3293"/>
      <c r="Z675" s="1201"/>
      <c r="AA675" s="1201"/>
      <c r="AB675" s="1202"/>
      <c r="AC675" s="3333"/>
      <c r="AD675" s="3333"/>
      <c r="AE675" s="3333"/>
      <c r="AF675" s="3333"/>
      <c r="AI675" s="3120" t="str">
        <f>"52:field227:" &amp; IF(I675="■",1,IF(L675="■",2,0))</f>
        <v>52:field227:0</v>
      </c>
    </row>
    <row r="676" spans="1:36" s="3120" customFormat="1" ht="18.75" hidden="1" customHeight="1" x14ac:dyDescent="0.2">
      <c r="A676" s="834"/>
      <c r="B676" s="3148"/>
      <c r="C676" s="3295"/>
      <c r="D676" s="3294"/>
      <c r="E676" s="3145"/>
      <c r="F676" s="3144"/>
      <c r="G676" s="3145"/>
      <c r="H676" s="3296" t="s">
        <v>1285</v>
      </c>
      <c r="I676" s="3155" t="s">
        <v>116</v>
      </c>
      <c r="J676" s="3137" t="s">
        <v>1230</v>
      </c>
      <c r="K676" s="3137"/>
      <c r="L676" s="3154" t="s">
        <v>116</v>
      </c>
      <c r="M676" s="3137" t="s">
        <v>1231</v>
      </c>
      <c r="N676" s="3137"/>
      <c r="O676" s="3154" t="s">
        <v>116</v>
      </c>
      <c r="P676" s="3137" t="s">
        <v>1232</v>
      </c>
      <c r="Q676" s="3150"/>
      <c r="R676" s="3150"/>
      <c r="S676" s="3150"/>
      <c r="T676" s="3150"/>
      <c r="U676" s="3209"/>
      <c r="V676" s="3209"/>
      <c r="W676" s="3209"/>
      <c r="X676" s="3208"/>
      <c r="Y676" s="3293"/>
      <c r="Z676" s="1201"/>
      <c r="AA676" s="1201"/>
      <c r="AB676" s="1202"/>
      <c r="AC676" s="3333"/>
      <c r="AD676" s="3333"/>
      <c r="AE676" s="3333"/>
      <c r="AF676" s="3333"/>
      <c r="AI676" s="3120" t="str">
        <f>"52:field225:" &amp; IF(I676="■",1,IF(L676="■",2,IF(O676="■",3,0)))</f>
        <v>52:field225:0</v>
      </c>
    </row>
    <row r="677" spans="1:36" s="3120" customFormat="1" ht="18.75" hidden="1" customHeight="1" x14ac:dyDescent="0.2">
      <c r="A677" s="834"/>
      <c r="B677" s="3148"/>
      <c r="C677" s="3295"/>
      <c r="D677" s="3294"/>
      <c r="E677" s="3145"/>
      <c r="F677" s="3144"/>
      <c r="G677" s="3145"/>
      <c r="H677" s="3151" t="s">
        <v>238</v>
      </c>
      <c r="I677" s="3155" t="s">
        <v>116</v>
      </c>
      <c r="J677" s="3137" t="s">
        <v>1230</v>
      </c>
      <c r="K677" s="3137"/>
      <c r="L677" s="3154" t="s">
        <v>116</v>
      </c>
      <c r="M677" s="3137" t="s">
        <v>1259</v>
      </c>
      <c r="N677" s="3137"/>
      <c r="O677" s="3154" t="s">
        <v>116</v>
      </c>
      <c r="P677" s="3137" t="s">
        <v>1260</v>
      </c>
      <c r="Q677" s="3153"/>
      <c r="R677" s="3154" t="s">
        <v>116</v>
      </c>
      <c r="S677" s="3137" t="s">
        <v>1261</v>
      </c>
      <c r="T677" s="3137"/>
      <c r="U677" s="3137"/>
      <c r="V677" s="3137"/>
      <c r="W677" s="3137"/>
      <c r="X677" s="3136"/>
      <c r="Y677" s="3293"/>
      <c r="Z677" s="1201"/>
      <c r="AA677" s="1201"/>
      <c r="AB677" s="1202"/>
      <c r="AC677" s="3333"/>
      <c r="AD677" s="3333"/>
      <c r="AE677" s="3333"/>
      <c r="AF677" s="3333"/>
      <c r="AI677" s="3120" t="str">
        <f>"52:serteikyo_kyoka_code:" &amp; IF(I677="■",1,IF(L677="■",6,IF(O677="■",5,IF(R677="■",7,0))))</f>
        <v>52:serteikyo_kyoka_code:0</v>
      </c>
    </row>
    <row r="678" spans="1:36" s="3120" customFormat="1" ht="18.75" hidden="1" customHeight="1" x14ac:dyDescent="0.2">
      <c r="A678" s="835"/>
      <c r="B678" s="3135"/>
      <c r="C678" s="3134"/>
      <c r="D678" s="3133"/>
      <c r="E678" s="3132"/>
      <c r="F678" s="3131"/>
      <c r="G678" s="3189"/>
      <c r="H678" s="3289" t="s">
        <v>2129</v>
      </c>
      <c r="I678" s="3128" t="s">
        <v>116</v>
      </c>
      <c r="J678" s="3285" t="s">
        <v>1230</v>
      </c>
      <c r="K678" s="3285"/>
      <c r="L678" s="3127" t="s">
        <v>116</v>
      </c>
      <c r="M678" s="3285" t="s">
        <v>2128</v>
      </c>
      <c r="N678" s="3288"/>
      <c r="O678" s="3127" t="s">
        <v>116</v>
      </c>
      <c r="P678" s="3287" t="s">
        <v>2127</v>
      </c>
      <c r="Q678" s="3286"/>
      <c r="R678" s="3127" t="s">
        <v>116</v>
      </c>
      <c r="S678" s="3285" t="s">
        <v>2126</v>
      </c>
      <c r="T678" s="3286"/>
      <c r="U678" s="3127" t="s">
        <v>116</v>
      </c>
      <c r="V678" s="3285" t="s">
        <v>2125</v>
      </c>
      <c r="W678" s="3284"/>
      <c r="X678" s="3283"/>
      <c r="Y678" s="3282"/>
      <c r="Z678" s="3282"/>
      <c r="AA678" s="3282"/>
      <c r="AB678" s="3281"/>
      <c r="AC678" s="3332"/>
      <c r="AD678" s="3332"/>
      <c r="AE678" s="3332"/>
      <c r="AF678" s="3332"/>
      <c r="AI678" s="3120" t="str">
        <f>"52:shoguukaizen_code:"&amp;IF(I678="■",1,IF(L678="■",7,IF(O678="■",8,IF(R678="■",9,IF(U678="■","A",0)))))</f>
        <v>52:shoguukaizen_code:0</v>
      </c>
    </row>
    <row r="679" spans="1:36" s="3120" customFormat="1" ht="18.75" hidden="1" customHeight="1" x14ac:dyDescent="0.2">
      <c r="A679" s="3188"/>
      <c r="B679" s="3187"/>
      <c r="C679" s="3313"/>
      <c r="D679" s="3312"/>
      <c r="E679" s="3185"/>
      <c r="F679" s="3184"/>
      <c r="G679" s="3185"/>
      <c r="H679" s="3182" t="s">
        <v>1286</v>
      </c>
      <c r="I679" s="3181" t="s">
        <v>116</v>
      </c>
      <c r="J679" s="3180" t="s">
        <v>1282</v>
      </c>
      <c r="K679" s="3226"/>
      <c r="L679" s="3225"/>
      <c r="M679" s="3179" t="s">
        <v>116</v>
      </c>
      <c r="N679" s="3180" t="s">
        <v>1283</v>
      </c>
      <c r="O679" s="3177"/>
      <c r="P679" s="3226"/>
      <c r="Q679" s="3226"/>
      <c r="R679" s="3226"/>
      <c r="S679" s="3226"/>
      <c r="T679" s="3226"/>
      <c r="U679" s="3226"/>
      <c r="V679" s="3226"/>
      <c r="W679" s="3226"/>
      <c r="X679" s="3339"/>
      <c r="Y679" s="3253" t="s">
        <v>116</v>
      </c>
      <c r="Z679" s="3252" t="s">
        <v>1225</v>
      </c>
      <c r="AA679" s="3252"/>
      <c r="AB679" s="3308"/>
      <c r="AC679" s="3338"/>
      <c r="AD679" s="3338"/>
      <c r="AE679" s="3338"/>
      <c r="AF679" s="3338"/>
      <c r="AG679" s="3120" t="str">
        <f>"ser_code = '" &amp; IF(A693="■",52,"") &amp; "'"</f>
        <v>ser_code = ''</v>
      </c>
      <c r="AH679" s="3120" t="str">
        <f>"52:jininkbn_code:" &amp; IF(F693="■",1,IF(F694="■",2,0))</f>
        <v>52:jininkbn_code:0</v>
      </c>
      <c r="AI679" s="3120" t="str">
        <f>"52:yakan_kinmu_code:" &amp; IF(I679="■",1,IF(M679="■",6,0))</f>
        <v>52:yakan_kinmu_code:0</v>
      </c>
      <c r="AJ679" s="3120" t="str">
        <f>"52:field203:" &amp; IF(Y679="■",1,IF(Y680="■",2,0))</f>
        <v>52:field203:0</v>
      </c>
    </row>
    <row r="680" spans="1:36" s="3120" customFormat="1" ht="18.75" hidden="1" customHeight="1" x14ac:dyDescent="0.2">
      <c r="A680" s="834"/>
      <c r="B680" s="3148"/>
      <c r="C680" s="3295"/>
      <c r="D680" s="3294"/>
      <c r="E680" s="3145"/>
      <c r="F680" s="3144"/>
      <c r="G680" s="3145"/>
      <c r="H680" s="3304" t="s">
        <v>90</v>
      </c>
      <c r="I680" s="3303" t="s">
        <v>116</v>
      </c>
      <c r="J680" s="3302" t="s">
        <v>1230</v>
      </c>
      <c r="K680" s="3302"/>
      <c r="L680" s="3167"/>
      <c r="M680" s="3301" t="s">
        <v>116</v>
      </c>
      <c r="N680" s="3302" t="s">
        <v>1262</v>
      </c>
      <c r="O680" s="3302"/>
      <c r="P680" s="3167"/>
      <c r="Q680" s="3301" t="s">
        <v>116</v>
      </c>
      <c r="R680" s="3167" t="s">
        <v>1263</v>
      </c>
      <c r="S680" s="3167"/>
      <c r="T680" s="3167"/>
      <c r="U680" s="3301" t="s">
        <v>116</v>
      </c>
      <c r="V680" s="3167" t="s">
        <v>1264</v>
      </c>
      <c r="W680" s="3167"/>
      <c r="X680" s="3166"/>
      <c r="Y680" s="3158" t="s">
        <v>116</v>
      </c>
      <c r="Z680" s="1200" t="s">
        <v>1226</v>
      </c>
      <c r="AA680" s="1201"/>
      <c r="AB680" s="1202"/>
      <c r="AC680" s="3333"/>
      <c r="AD680" s="3333"/>
      <c r="AE680" s="3333"/>
      <c r="AF680" s="3333"/>
      <c r="AG680" s="3120" t="str">
        <f>"52:sisetukbn_code:" &amp; IF(D693="■",2,0)</f>
        <v>52:sisetukbn_code:0</v>
      </c>
      <c r="AI680" s="3120" t="str">
        <f>"52:"&amp;IF(AND(I680="□",M680="□",Q680="□",U680="□",I681="□",M681="□",Q681="□",I682="□"),"ketu_doctor_code:0",IF(I680="■","ketu_doctor_code:1:ketu_kangos_code:1:ketu_kshoku_code:1:ketu_rryoho_code:1:ketu_sryoho_code:1:ketu_ksiensou_code:1:ketu_gengo_code:1",IF(M680="■","ketu_doctor_code:2","ketu_doctor_code:1")
&amp;IF(Q680="■",":ketu_kangos_code:2",":ketu_kangos_code:1")
&amp;IF(U680="■",":ketu_kshoku_code:2",":ketu_kshoku_code:1")
&amp;IF(I681="■",":ketu_rryoho_code:2",":ketu_rryoho_code:1")
&amp;IF(M681="■",":ketu_sryoho_code:2",":ketu_sryoho_code:1")
&amp;IF(Q681="■",":ketu_ksiensou_code:2",":ketu_ksiensou_code:1")
&amp;IF(I682="■",":ketu_gengo_code:2",":ketu_gengo_code:1")))</f>
        <v>52:ketu_doctor_code:0</v>
      </c>
    </row>
    <row r="681" spans="1:36" s="3120" customFormat="1" ht="18.75" hidden="1" customHeight="1" x14ac:dyDescent="0.2">
      <c r="A681" s="834"/>
      <c r="B681" s="3148"/>
      <c r="C681" s="3295"/>
      <c r="D681" s="3294"/>
      <c r="E681" s="3145"/>
      <c r="F681" s="3144"/>
      <c r="G681" s="3145"/>
      <c r="H681" s="3337"/>
      <c r="I681" s="3158" t="s">
        <v>116</v>
      </c>
      <c r="J681" s="1200" t="s">
        <v>1265</v>
      </c>
      <c r="K681" s="1200"/>
      <c r="L681" s="836"/>
      <c r="M681" s="3258" t="s">
        <v>116</v>
      </c>
      <c r="N681" s="1200" t="s">
        <v>1266</v>
      </c>
      <c r="O681" s="1200"/>
      <c r="P681" s="836"/>
      <c r="Q681" s="3258" t="s">
        <v>116</v>
      </c>
      <c r="R681" s="836" t="s">
        <v>2141</v>
      </c>
      <c r="S681" s="836"/>
      <c r="T681" s="836"/>
      <c r="U681" s="836"/>
      <c r="V681" s="836"/>
      <c r="W681" s="836"/>
      <c r="X681" s="3336"/>
      <c r="Y681" s="3293"/>
      <c r="Z681" s="1201"/>
      <c r="AA681" s="1201"/>
      <c r="AB681" s="1202"/>
      <c r="AC681" s="3333"/>
      <c r="AD681" s="3333"/>
      <c r="AE681" s="3333"/>
      <c r="AF681" s="3333"/>
    </row>
    <row r="682" spans="1:36" s="3120" customFormat="1" ht="18.75" hidden="1" customHeight="1" x14ac:dyDescent="0.2">
      <c r="A682" s="834"/>
      <c r="B682" s="3148"/>
      <c r="C682" s="3295"/>
      <c r="D682" s="3294"/>
      <c r="E682" s="3145"/>
      <c r="F682" s="3144"/>
      <c r="G682" s="3145"/>
      <c r="H682" s="3300"/>
      <c r="I682" s="3141" t="s">
        <v>116</v>
      </c>
      <c r="J682" s="3139" t="s">
        <v>2140</v>
      </c>
      <c r="K682" s="3139"/>
      <c r="L682" s="3162"/>
      <c r="M682" s="3139"/>
      <c r="N682" s="3139"/>
      <c r="O682" s="3139"/>
      <c r="P682" s="3162"/>
      <c r="Q682" s="3139"/>
      <c r="R682" s="3162"/>
      <c r="S682" s="3162"/>
      <c r="T682" s="3162"/>
      <c r="U682" s="3162"/>
      <c r="V682" s="3162"/>
      <c r="W682" s="3162"/>
      <c r="X682" s="3161"/>
      <c r="Y682" s="3293"/>
      <c r="Z682" s="1201"/>
      <c r="AA682" s="1201"/>
      <c r="AB682" s="1202"/>
      <c r="AC682" s="3333"/>
      <c r="AD682" s="3333"/>
      <c r="AE682" s="3333"/>
      <c r="AF682" s="3333"/>
    </row>
    <row r="683" spans="1:36" s="3120" customFormat="1" ht="18.75" hidden="1" customHeight="1" x14ac:dyDescent="0.2">
      <c r="A683" s="834"/>
      <c r="B683" s="3148"/>
      <c r="C683" s="3295"/>
      <c r="D683" s="3294"/>
      <c r="E683" s="3145"/>
      <c r="F683" s="3144"/>
      <c r="G683" s="3145"/>
      <c r="H683" s="3151" t="s">
        <v>91</v>
      </c>
      <c r="I683" s="3155" t="s">
        <v>116</v>
      </c>
      <c r="J683" s="3137" t="s">
        <v>1240</v>
      </c>
      <c r="K683" s="3171"/>
      <c r="L683" s="3173"/>
      <c r="M683" s="3154" t="s">
        <v>116</v>
      </c>
      <c r="N683" s="3137" t="s">
        <v>1241</v>
      </c>
      <c r="O683" s="3171"/>
      <c r="P683" s="3171"/>
      <c r="Q683" s="3171"/>
      <c r="R683" s="3171"/>
      <c r="S683" s="3171"/>
      <c r="T683" s="3171"/>
      <c r="U683" s="3171"/>
      <c r="V683" s="3171"/>
      <c r="W683" s="3171"/>
      <c r="X683" s="3297"/>
      <c r="Y683" s="3293"/>
      <c r="Z683" s="1201"/>
      <c r="AA683" s="1201"/>
      <c r="AB683" s="1202"/>
      <c r="AC683" s="3333"/>
      <c r="AD683" s="3333"/>
      <c r="AE683" s="3333"/>
      <c r="AF683" s="3333"/>
      <c r="AI683" s="3120" t="str">
        <f>"52:unitcare_code:" &amp; IF(I683="■",1,IF(M683="■",2,0))</f>
        <v>52:unitcare_code:0</v>
      </c>
    </row>
    <row r="684" spans="1:36" s="3120" customFormat="1" ht="18.75" hidden="1" customHeight="1" x14ac:dyDescent="0.2">
      <c r="A684" s="834"/>
      <c r="B684" s="3148"/>
      <c r="C684" s="3295"/>
      <c r="D684" s="3294"/>
      <c r="E684" s="3145"/>
      <c r="F684" s="3144"/>
      <c r="G684" s="3145"/>
      <c r="H684" s="3151" t="s">
        <v>1325</v>
      </c>
      <c r="I684" s="3155" t="s">
        <v>116</v>
      </c>
      <c r="J684" s="3137" t="s">
        <v>1228</v>
      </c>
      <c r="K684" s="3171"/>
      <c r="L684" s="3173"/>
      <c r="M684" s="3154" t="s">
        <v>116</v>
      </c>
      <c r="N684" s="3137" t="s">
        <v>1322</v>
      </c>
      <c r="O684" s="3171"/>
      <c r="P684" s="3171"/>
      <c r="Q684" s="3171"/>
      <c r="R684" s="3171"/>
      <c r="S684" s="3171"/>
      <c r="T684" s="3171"/>
      <c r="U684" s="3171"/>
      <c r="V684" s="3171"/>
      <c r="W684" s="3171"/>
      <c r="X684" s="3297"/>
      <c r="Y684" s="3293"/>
      <c r="Z684" s="1201"/>
      <c r="AA684" s="1201"/>
      <c r="AB684" s="1202"/>
      <c r="AC684" s="3333"/>
      <c r="AD684" s="3333"/>
      <c r="AE684" s="3333"/>
      <c r="AF684" s="3333"/>
      <c r="AI684" s="3120" t="str">
        <f>"52:sintaikousoku_code:" &amp; IF(I684="■",1,IF(M684="■",2,0))</f>
        <v>52:sintaikousoku_code:0</v>
      </c>
    </row>
    <row r="685" spans="1:36" s="3120" customFormat="1" ht="18.75" hidden="1" customHeight="1" x14ac:dyDescent="0.2">
      <c r="A685" s="834"/>
      <c r="B685" s="3148"/>
      <c r="C685" s="3295"/>
      <c r="D685" s="3294"/>
      <c r="E685" s="3145"/>
      <c r="F685" s="3144"/>
      <c r="G685" s="3145"/>
      <c r="H685" s="3151" t="s">
        <v>792</v>
      </c>
      <c r="I685" s="3155" t="s">
        <v>116</v>
      </c>
      <c r="J685" s="3137" t="s">
        <v>1228</v>
      </c>
      <c r="K685" s="3171"/>
      <c r="L685" s="3173"/>
      <c r="M685" s="3154" t="s">
        <v>116</v>
      </c>
      <c r="N685" s="3137" t="s">
        <v>1322</v>
      </c>
      <c r="O685" s="3171"/>
      <c r="P685" s="3171"/>
      <c r="Q685" s="3171"/>
      <c r="R685" s="3171"/>
      <c r="S685" s="3171"/>
      <c r="T685" s="3171"/>
      <c r="U685" s="3171"/>
      <c r="V685" s="3171"/>
      <c r="W685" s="3171"/>
      <c r="X685" s="3297"/>
      <c r="Y685" s="3293"/>
      <c r="Z685" s="1201"/>
      <c r="AA685" s="1201"/>
      <c r="AB685" s="1202"/>
      <c r="AC685" s="3333"/>
      <c r="AD685" s="3333"/>
      <c r="AE685" s="3333"/>
      <c r="AF685" s="3333"/>
      <c r="AI685" s="3120" t="str">
        <f>"52:field208:" &amp; IF(I685="■",1,IF(M685="■",2,0))</f>
        <v>52:field208:0</v>
      </c>
    </row>
    <row r="686" spans="1:36" s="3120" customFormat="1" ht="19.5" hidden="1" customHeight="1" x14ac:dyDescent="0.2">
      <c r="A686" s="834"/>
      <c r="B686" s="3148"/>
      <c r="C686" s="3147"/>
      <c r="D686" s="3146"/>
      <c r="E686" s="3145"/>
      <c r="F686" s="3144"/>
      <c r="G686" s="3175"/>
      <c r="H686" s="3174" t="s">
        <v>1227</v>
      </c>
      <c r="I686" s="3155" t="s">
        <v>116</v>
      </c>
      <c r="J686" s="3137" t="s">
        <v>1228</v>
      </c>
      <c r="K686" s="3171"/>
      <c r="L686" s="3173"/>
      <c r="M686" s="3154" t="s">
        <v>116</v>
      </c>
      <c r="N686" s="3137" t="s">
        <v>1229</v>
      </c>
      <c r="O686" s="3299"/>
      <c r="P686" s="3137"/>
      <c r="Q686" s="3150"/>
      <c r="R686" s="3150"/>
      <c r="S686" s="3150"/>
      <c r="T686" s="3150"/>
      <c r="U686" s="3150"/>
      <c r="V686" s="3150"/>
      <c r="W686" s="3150"/>
      <c r="X686" s="3149"/>
      <c r="Y686" s="1201"/>
      <c r="Z686" s="1201"/>
      <c r="AA686" s="1201"/>
      <c r="AB686" s="1202"/>
      <c r="AC686" s="3333"/>
      <c r="AD686" s="3333"/>
      <c r="AE686" s="3333"/>
      <c r="AF686" s="3333"/>
      <c r="AI686" s="3120" t="str">
        <f>"52:field223:" &amp; IF(I686="■",1,IF(M686="■",2,0))</f>
        <v>52:field223:0</v>
      </c>
    </row>
    <row r="687" spans="1:36" s="3120" customFormat="1" ht="19.5" hidden="1" customHeight="1" x14ac:dyDescent="0.2">
      <c r="A687" s="834"/>
      <c r="B687" s="3148"/>
      <c r="C687" s="3147"/>
      <c r="D687" s="3146"/>
      <c r="E687" s="3145"/>
      <c r="F687" s="3144"/>
      <c r="G687" s="3175"/>
      <c r="H687" s="3174" t="s">
        <v>1253</v>
      </c>
      <c r="I687" s="3155" t="s">
        <v>116</v>
      </c>
      <c r="J687" s="3137" t="s">
        <v>1228</v>
      </c>
      <c r="K687" s="3171"/>
      <c r="L687" s="3173"/>
      <c r="M687" s="3154" t="s">
        <v>116</v>
      </c>
      <c r="N687" s="3137" t="s">
        <v>1229</v>
      </c>
      <c r="O687" s="3299"/>
      <c r="P687" s="3137"/>
      <c r="Q687" s="3150"/>
      <c r="R687" s="3150"/>
      <c r="S687" s="3150"/>
      <c r="T687" s="3150"/>
      <c r="U687" s="3150"/>
      <c r="V687" s="3150"/>
      <c r="W687" s="3150"/>
      <c r="X687" s="3149"/>
      <c r="Y687" s="1201"/>
      <c r="Z687" s="1201"/>
      <c r="AA687" s="1201"/>
      <c r="AB687" s="1202"/>
      <c r="AC687" s="3333"/>
      <c r="AD687" s="3333"/>
      <c r="AE687" s="3333"/>
      <c r="AF687" s="3333"/>
      <c r="AI687" s="3120" t="str">
        <f>"52:field232:" &amp; IF(I687="■",1,IF(M687="■",2,0))</f>
        <v>52:field232:0</v>
      </c>
    </row>
    <row r="688" spans="1:36" s="3120" customFormat="1" ht="37.5" hidden="1" customHeight="1" x14ac:dyDescent="0.2">
      <c r="A688" s="834"/>
      <c r="B688" s="3148"/>
      <c r="C688" s="3295"/>
      <c r="D688" s="3294"/>
      <c r="E688" s="3145"/>
      <c r="F688" s="3144"/>
      <c r="G688" s="3145"/>
      <c r="H688" s="3142" t="s">
        <v>1326</v>
      </c>
      <c r="I688" s="3141" t="s">
        <v>116</v>
      </c>
      <c r="J688" s="3139" t="s">
        <v>1230</v>
      </c>
      <c r="K688" s="3138"/>
      <c r="L688" s="3140" t="s">
        <v>116</v>
      </c>
      <c r="M688" s="3139" t="s">
        <v>1233</v>
      </c>
      <c r="N688" s="3171"/>
      <c r="O688" s="3137"/>
      <c r="P688" s="3137"/>
      <c r="Q688" s="3137"/>
      <c r="R688" s="3137"/>
      <c r="S688" s="3137"/>
      <c r="T688" s="3137"/>
      <c r="U688" s="3137"/>
      <c r="V688" s="3137"/>
      <c r="W688" s="3137"/>
      <c r="X688" s="3136"/>
      <c r="Y688" s="3293"/>
      <c r="Z688" s="1201"/>
      <c r="AA688" s="1201"/>
      <c r="AB688" s="1202"/>
      <c r="AC688" s="3333"/>
      <c r="AD688" s="3333"/>
      <c r="AE688" s="3333"/>
      <c r="AF688" s="3333"/>
      <c r="AI688" s="3120" t="str">
        <f>"52:field206:" &amp; IF(I688="■",1,IF(L688="■",2,0))</f>
        <v>52:field206:0</v>
      </c>
    </row>
    <row r="689" spans="1:35" s="3120" customFormat="1" ht="18.75" hidden="1" customHeight="1" x14ac:dyDescent="0.2">
      <c r="A689" s="834"/>
      <c r="B689" s="3148"/>
      <c r="C689" s="3295"/>
      <c r="D689" s="3294"/>
      <c r="E689" s="3145"/>
      <c r="F689" s="3144"/>
      <c r="G689" s="3145"/>
      <c r="H689" s="3151" t="s">
        <v>2137</v>
      </c>
      <c r="I689" s="3141" t="s">
        <v>116</v>
      </c>
      <c r="J689" s="3139" t="s">
        <v>1230</v>
      </c>
      <c r="K689" s="3138"/>
      <c r="L689" s="3140" t="s">
        <v>116</v>
      </c>
      <c r="M689" s="3139" t="s">
        <v>1233</v>
      </c>
      <c r="N689" s="3171"/>
      <c r="O689" s="3137"/>
      <c r="P689" s="3137"/>
      <c r="Q689" s="3137"/>
      <c r="R689" s="3137"/>
      <c r="S689" s="3137"/>
      <c r="T689" s="3137"/>
      <c r="U689" s="3137"/>
      <c r="V689" s="3137"/>
      <c r="W689" s="3137"/>
      <c r="X689" s="3136"/>
      <c r="Y689" s="3293"/>
      <c r="Z689" s="1201"/>
      <c r="AA689" s="1201"/>
      <c r="AB689" s="1202"/>
      <c r="AC689" s="3333"/>
      <c r="AD689" s="3333"/>
      <c r="AE689" s="3333"/>
      <c r="AF689" s="3333"/>
      <c r="AI689" s="3120" t="str">
        <f>"52:yakinhaiti_code:" &amp; IF(I689="■",1,IF(L689="■",2,0))</f>
        <v>52:yakinhaiti_code:0</v>
      </c>
    </row>
    <row r="690" spans="1:35" s="3120" customFormat="1" ht="18.75" hidden="1" customHeight="1" x14ac:dyDescent="0.2">
      <c r="A690" s="834"/>
      <c r="B690" s="3148"/>
      <c r="C690" s="3295"/>
      <c r="D690" s="3294"/>
      <c r="E690" s="3145"/>
      <c r="F690" s="3144"/>
      <c r="G690" s="3145"/>
      <c r="H690" s="3151" t="s">
        <v>1273</v>
      </c>
      <c r="I690" s="3141" t="s">
        <v>116</v>
      </c>
      <c r="J690" s="3139" t="s">
        <v>1230</v>
      </c>
      <c r="K690" s="3138"/>
      <c r="L690" s="3140" t="s">
        <v>116</v>
      </c>
      <c r="M690" s="3139" t="s">
        <v>1233</v>
      </c>
      <c r="N690" s="3171"/>
      <c r="O690" s="3137"/>
      <c r="P690" s="3137"/>
      <c r="Q690" s="3137"/>
      <c r="R690" s="3137"/>
      <c r="S690" s="3137"/>
      <c r="T690" s="3137"/>
      <c r="U690" s="3137"/>
      <c r="V690" s="3137"/>
      <c r="W690" s="3137"/>
      <c r="X690" s="3136"/>
      <c r="Y690" s="3293"/>
      <c r="Z690" s="1201"/>
      <c r="AA690" s="1201"/>
      <c r="AB690" s="1202"/>
      <c r="AC690" s="3333"/>
      <c r="AD690" s="3333"/>
      <c r="AE690" s="3333"/>
      <c r="AF690" s="3333"/>
      <c r="AI690" s="3120" t="str">
        <f>"52:ninti_riha_code:" &amp; IF(I690="■",1,IF(L690="■",2,0))</f>
        <v>52:ninti_riha_code:0</v>
      </c>
    </row>
    <row r="691" spans="1:35" s="3120" customFormat="1" ht="18.75" hidden="1" customHeight="1" x14ac:dyDescent="0.2">
      <c r="A691" s="834"/>
      <c r="B691" s="3148"/>
      <c r="C691" s="3295"/>
      <c r="D691" s="3294"/>
      <c r="E691" s="3145"/>
      <c r="F691" s="3144"/>
      <c r="G691" s="3145"/>
      <c r="H691" s="3151" t="s">
        <v>2136</v>
      </c>
      <c r="I691" s="3141" t="s">
        <v>116</v>
      </c>
      <c r="J691" s="3139" t="s">
        <v>1230</v>
      </c>
      <c r="K691" s="3138"/>
      <c r="L691" s="3140" t="s">
        <v>116</v>
      </c>
      <c r="M691" s="3139" t="s">
        <v>1233</v>
      </c>
      <c r="N691" s="3171"/>
      <c r="O691" s="3171"/>
      <c r="P691" s="3171"/>
      <c r="Q691" s="3171"/>
      <c r="R691" s="3171"/>
      <c r="S691" s="3171"/>
      <c r="T691" s="3171"/>
      <c r="U691" s="3171"/>
      <c r="V691" s="3171"/>
      <c r="W691" s="3171"/>
      <c r="X691" s="3297"/>
      <c r="Y691" s="3293"/>
      <c r="Z691" s="1201"/>
      <c r="AA691" s="1201"/>
      <c r="AB691" s="1202"/>
      <c r="AC691" s="3333"/>
      <c r="AD691" s="3333"/>
      <c r="AE691" s="3333"/>
      <c r="AF691" s="3333"/>
      <c r="AI691" s="3120" t="str">
        <f>"52:ninticare_code:" &amp; IF(I691="■",1,IF(L691="■",2,0))</f>
        <v>52:ninticare_code:0</v>
      </c>
    </row>
    <row r="692" spans="1:35" s="3120" customFormat="1" ht="18.75" hidden="1" customHeight="1" x14ac:dyDescent="0.2">
      <c r="A692" s="834"/>
      <c r="B692" s="3148"/>
      <c r="C692" s="3295"/>
      <c r="D692" s="3294"/>
      <c r="E692" s="3145"/>
      <c r="F692" s="3144"/>
      <c r="G692" s="3145"/>
      <c r="H692" s="3334" t="s">
        <v>2135</v>
      </c>
      <c r="I692" s="3141" t="s">
        <v>116</v>
      </c>
      <c r="J692" s="3139" t="s">
        <v>1230</v>
      </c>
      <c r="K692" s="3138"/>
      <c r="L692" s="3140" t="s">
        <v>116</v>
      </c>
      <c r="M692" s="3139" t="s">
        <v>1233</v>
      </c>
      <c r="N692" s="3171"/>
      <c r="O692" s="3171"/>
      <c r="P692" s="3171"/>
      <c r="Q692" s="3171"/>
      <c r="R692" s="3171"/>
      <c r="S692" s="3171"/>
      <c r="T692" s="3171"/>
      <c r="U692" s="3171"/>
      <c r="V692" s="3171"/>
      <c r="W692" s="3171"/>
      <c r="X692" s="3297"/>
      <c r="Y692" s="3293"/>
      <c r="Z692" s="1201"/>
      <c r="AA692" s="1201"/>
      <c r="AB692" s="1202"/>
      <c r="AC692" s="3333"/>
      <c r="AD692" s="3333"/>
      <c r="AE692" s="3333"/>
      <c r="AF692" s="3333"/>
      <c r="AI692" s="3120" t="str">
        <f>"52:jyakuninti_uke_code:" &amp; IF(I692="■",1,IF(L692="■",2,0))</f>
        <v>52:jyakuninti_uke_code:0</v>
      </c>
    </row>
    <row r="693" spans="1:35" s="3120" customFormat="1" ht="18.75" hidden="1" customHeight="1" x14ac:dyDescent="0.2">
      <c r="A693" s="3158" t="s">
        <v>116</v>
      </c>
      <c r="B693" s="3148">
        <v>52</v>
      </c>
      <c r="C693" s="3295" t="s">
        <v>2160</v>
      </c>
      <c r="D693" s="3158" t="s">
        <v>116</v>
      </c>
      <c r="E693" s="3145" t="s">
        <v>2159</v>
      </c>
      <c r="F693" s="3158" t="s">
        <v>116</v>
      </c>
      <c r="G693" s="3145" t="s">
        <v>2158</v>
      </c>
      <c r="H693" s="3334" t="s">
        <v>2157</v>
      </c>
      <c r="I693" s="3155" t="s">
        <v>116</v>
      </c>
      <c r="J693" s="3137" t="s">
        <v>1230</v>
      </c>
      <c r="K693" s="3137"/>
      <c r="L693" s="3154" t="s">
        <v>116</v>
      </c>
      <c r="M693" s="3137" t="s">
        <v>1231</v>
      </c>
      <c r="N693" s="3137"/>
      <c r="O693" s="3154" t="s">
        <v>116</v>
      </c>
      <c r="P693" s="3137" t="s">
        <v>1232</v>
      </c>
      <c r="Q693" s="3171"/>
      <c r="R693" s="3171"/>
      <c r="S693" s="3137"/>
      <c r="T693" s="3137"/>
      <c r="U693" s="3137"/>
      <c r="V693" s="3137"/>
      <c r="W693" s="3137"/>
      <c r="X693" s="3136"/>
      <c r="Y693" s="3293"/>
      <c r="Z693" s="1201"/>
      <c r="AA693" s="1201"/>
      <c r="AB693" s="1202"/>
      <c r="AC693" s="3333"/>
      <c r="AD693" s="3333"/>
      <c r="AE693" s="3333"/>
      <c r="AF693" s="3333"/>
      <c r="AI693" s="3120" t="str">
        <f>"52:zaitaku_hukki_code:" &amp; IF(I693="■",1,IF(L693="■",2,IF(O693="■",3,0)))</f>
        <v>52:zaitaku_hukki_code:0</v>
      </c>
    </row>
    <row r="694" spans="1:35" s="3120" customFormat="1" ht="18.75" hidden="1" customHeight="1" x14ac:dyDescent="0.2">
      <c r="A694" s="834"/>
      <c r="B694" s="3148"/>
      <c r="C694" s="3295"/>
      <c r="D694" s="3294"/>
      <c r="E694" s="3145"/>
      <c r="F694" s="3158" t="s">
        <v>116</v>
      </c>
      <c r="G694" s="3145" t="s">
        <v>2156</v>
      </c>
      <c r="H694" s="3151" t="s">
        <v>2134</v>
      </c>
      <c r="I694" s="3141" t="s">
        <v>116</v>
      </c>
      <c r="J694" s="3139" t="s">
        <v>1230</v>
      </c>
      <c r="K694" s="3138"/>
      <c r="L694" s="3140" t="s">
        <v>116</v>
      </c>
      <c r="M694" s="3139" t="s">
        <v>1233</v>
      </c>
      <c r="N694" s="3171"/>
      <c r="O694" s="3171"/>
      <c r="P694" s="3171"/>
      <c r="Q694" s="3171"/>
      <c r="R694" s="3171"/>
      <c r="S694" s="3171"/>
      <c r="T694" s="3171"/>
      <c r="U694" s="3171"/>
      <c r="V694" s="3171"/>
      <c r="W694" s="3171"/>
      <c r="X694" s="3297"/>
      <c r="Y694" s="3293"/>
      <c r="Z694" s="1201"/>
      <c r="AA694" s="1201"/>
      <c r="AB694" s="1202"/>
      <c r="AC694" s="3333"/>
      <c r="AD694" s="3333"/>
      <c r="AE694" s="3333"/>
      <c r="AF694" s="3333"/>
      <c r="AI694" s="3120" t="str">
        <f>"52:terminal_code:" &amp; IF(I694="■",1,IF(L694="■",2,0))</f>
        <v>52:terminal_code:0</v>
      </c>
    </row>
    <row r="695" spans="1:35" s="3120" customFormat="1" ht="18.75" hidden="1" customHeight="1" x14ac:dyDescent="0.2">
      <c r="A695" s="834"/>
      <c r="B695" s="3148"/>
      <c r="C695" s="3295"/>
      <c r="D695" s="3294"/>
      <c r="E695" s="3145"/>
      <c r="F695" s="3294"/>
      <c r="G695" s="3145"/>
      <c r="H695" s="3151" t="s">
        <v>794</v>
      </c>
      <c r="I695" s="3141" t="s">
        <v>116</v>
      </c>
      <c r="J695" s="3139" t="s">
        <v>1230</v>
      </c>
      <c r="K695" s="3138"/>
      <c r="L695" s="3140" t="s">
        <v>116</v>
      </c>
      <c r="M695" s="3139" t="s">
        <v>1233</v>
      </c>
      <c r="N695" s="3171"/>
      <c r="O695" s="3171"/>
      <c r="P695" s="3171"/>
      <c r="Q695" s="3171"/>
      <c r="R695" s="3171"/>
      <c r="S695" s="3171"/>
      <c r="T695" s="3171"/>
      <c r="U695" s="3171"/>
      <c r="V695" s="3171"/>
      <c r="W695" s="3171"/>
      <c r="X695" s="3297"/>
      <c r="Y695" s="3293"/>
      <c r="Z695" s="1201"/>
      <c r="AA695" s="1201"/>
      <c r="AB695" s="1202"/>
      <c r="AC695" s="3333"/>
      <c r="AD695" s="3333"/>
      <c r="AE695" s="3333"/>
      <c r="AF695" s="3333"/>
      <c r="AI695" s="3120" t="str">
        <f>"52:field207:" &amp; IF(I695="■",1,IF(L695="■",2,0))</f>
        <v>52:field207:0</v>
      </c>
    </row>
    <row r="696" spans="1:35" s="3120" customFormat="1" ht="18.75" hidden="1" customHeight="1" x14ac:dyDescent="0.2">
      <c r="A696" s="834"/>
      <c r="B696" s="3148"/>
      <c r="C696" s="3295"/>
      <c r="D696" s="3294"/>
      <c r="E696" s="3145"/>
      <c r="F696" s="3294"/>
      <c r="G696" s="3145"/>
      <c r="H696" s="3151" t="s">
        <v>140</v>
      </c>
      <c r="I696" s="3141" t="s">
        <v>116</v>
      </c>
      <c r="J696" s="3139" t="s">
        <v>1230</v>
      </c>
      <c r="K696" s="3138"/>
      <c r="L696" s="3140" t="s">
        <v>116</v>
      </c>
      <c r="M696" s="3139" t="s">
        <v>1233</v>
      </c>
      <c r="N696" s="3171"/>
      <c r="O696" s="3137"/>
      <c r="P696" s="3137"/>
      <c r="Q696" s="3137"/>
      <c r="R696" s="3137"/>
      <c r="S696" s="3137"/>
      <c r="T696" s="3137"/>
      <c r="U696" s="3137"/>
      <c r="V696" s="3137"/>
      <c r="W696" s="3137"/>
      <c r="X696" s="3136"/>
      <c r="Y696" s="3293"/>
      <c r="Z696" s="1201"/>
      <c r="AA696" s="1201"/>
      <c r="AB696" s="1202"/>
      <c r="AC696" s="3333"/>
      <c r="AD696" s="3333"/>
      <c r="AE696" s="3333"/>
      <c r="AF696" s="3333"/>
      <c r="AI696" s="3120" t="str">
        <f>"52:ryouyoushoku_code:" &amp; IF(I696="■",1,IF(L696="■",2,0))</f>
        <v>52:ryouyoushoku_code:0</v>
      </c>
    </row>
    <row r="697" spans="1:35" s="3120" customFormat="1" ht="18.75" hidden="1" customHeight="1" x14ac:dyDescent="0.2">
      <c r="A697" s="834"/>
      <c r="B697" s="3148"/>
      <c r="C697" s="3295"/>
      <c r="D697" s="3294"/>
      <c r="E697" s="3145"/>
      <c r="F697" s="3144"/>
      <c r="G697" s="3145"/>
      <c r="H697" s="3151" t="s">
        <v>1237</v>
      </c>
      <c r="I697" s="3155" t="s">
        <v>116</v>
      </c>
      <c r="J697" s="3137" t="s">
        <v>1230</v>
      </c>
      <c r="K697" s="3137"/>
      <c r="L697" s="3154" t="s">
        <v>116</v>
      </c>
      <c r="M697" s="3137" t="s">
        <v>1231</v>
      </c>
      <c r="N697" s="3137"/>
      <c r="O697" s="3154" t="s">
        <v>116</v>
      </c>
      <c r="P697" s="3137" t="s">
        <v>1232</v>
      </c>
      <c r="Q697" s="3171"/>
      <c r="R697" s="3171"/>
      <c r="S697" s="3137"/>
      <c r="T697" s="3137"/>
      <c r="U697" s="3137"/>
      <c r="V697" s="3137"/>
      <c r="W697" s="3137"/>
      <c r="X697" s="3136"/>
      <c r="Y697" s="3293"/>
      <c r="Z697" s="1201"/>
      <c r="AA697" s="1201"/>
      <c r="AB697" s="1202"/>
      <c r="AC697" s="3333"/>
      <c r="AD697" s="3333"/>
      <c r="AE697" s="3333"/>
      <c r="AF697" s="3333"/>
      <c r="AI697" s="3120" t="str">
        <f>"52:ninti_senmoncare_code:" &amp; IF(I697="■",1,IF(O697="■",3,IF(L697="■",2,0)))</f>
        <v>52:ninti_senmoncare_code:0</v>
      </c>
    </row>
    <row r="698" spans="1:35" s="3120" customFormat="1" ht="18.75" hidden="1" customHeight="1" x14ac:dyDescent="0.2">
      <c r="A698" s="834"/>
      <c r="B698" s="3148"/>
      <c r="C698" s="3295"/>
      <c r="D698" s="3294"/>
      <c r="E698" s="3145"/>
      <c r="F698" s="3144"/>
      <c r="G698" s="3145"/>
      <c r="H698" s="3151" t="s">
        <v>1327</v>
      </c>
      <c r="I698" s="3155" t="s">
        <v>116</v>
      </c>
      <c r="J698" s="3137" t="s">
        <v>1230</v>
      </c>
      <c r="K698" s="3137"/>
      <c r="L698" s="3154" t="s">
        <v>116</v>
      </c>
      <c r="M698" s="3137" t="s">
        <v>1231</v>
      </c>
      <c r="N698" s="3137"/>
      <c r="O698" s="3154" t="s">
        <v>116</v>
      </c>
      <c r="P698" s="3137" t="s">
        <v>1232</v>
      </c>
      <c r="Q698" s="3171"/>
      <c r="R698" s="3171"/>
      <c r="S698" s="3171"/>
      <c r="T698" s="3171"/>
      <c r="U698" s="3171"/>
      <c r="V698" s="3171"/>
      <c r="W698" s="3171"/>
      <c r="X698" s="3297"/>
      <c r="Y698" s="3293"/>
      <c r="Z698" s="1201"/>
      <c r="AA698" s="1201"/>
      <c r="AB698" s="1202"/>
      <c r="AC698" s="3333"/>
      <c r="AD698" s="3333"/>
      <c r="AE698" s="3333"/>
      <c r="AF698" s="3333"/>
      <c r="AI698" s="3120" t="str">
        <f>"52:field228:" &amp; IF(I698="■",1,IF(L698="■",2,IF(O698="■",3,0)))</f>
        <v>52:field228:0</v>
      </c>
    </row>
    <row r="699" spans="1:35" s="3120" customFormat="1" ht="18.75" hidden="1" customHeight="1" x14ac:dyDescent="0.2">
      <c r="A699" s="834"/>
      <c r="B699" s="3148"/>
      <c r="C699" s="3295"/>
      <c r="D699" s="3294"/>
      <c r="E699" s="3145"/>
      <c r="F699" s="3144"/>
      <c r="G699" s="3145"/>
      <c r="H699" s="3159" t="s">
        <v>2143</v>
      </c>
      <c r="I699" s="3141" t="s">
        <v>116</v>
      </c>
      <c r="J699" s="3139" t="s">
        <v>1230</v>
      </c>
      <c r="K699" s="3138"/>
      <c r="L699" s="3154" t="s">
        <v>116</v>
      </c>
      <c r="M699" s="3137" t="s">
        <v>1239</v>
      </c>
      <c r="N699" s="3137"/>
      <c r="O699" s="3154" t="s">
        <v>116</v>
      </c>
      <c r="P699" s="3137" t="s">
        <v>2090</v>
      </c>
      <c r="Q699" s="3171"/>
      <c r="R699" s="3171"/>
      <c r="S699" s="3171"/>
      <c r="T699" s="3171"/>
      <c r="U699" s="3171"/>
      <c r="V699" s="3171"/>
      <c r="W699" s="3171"/>
      <c r="X699" s="3297"/>
      <c r="Y699" s="3293"/>
      <c r="Z699" s="1201"/>
      <c r="AA699" s="1201"/>
      <c r="AB699" s="1202"/>
      <c r="AC699" s="3333"/>
      <c r="AD699" s="3333"/>
      <c r="AE699" s="3333"/>
      <c r="AF699" s="3333"/>
      <c r="AI699" s="3120" t="str">
        <f>"52:field216:" &amp; IF(I699="■",1,IF(L699="■",2,IF(O699="■",3,0)))</f>
        <v>52:field216:0</v>
      </c>
    </row>
    <row r="700" spans="1:35" s="3120" customFormat="1" ht="18.75" hidden="1" customHeight="1" x14ac:dyDescent="0.2">
      <c r="A700" s="834"/>
      <c r="B700" s="3148"/>
      <c r="C700" s="3295"/>
      <c r="D700" s="3294"/>
      <c r="E700" s="3145"/>
      <c r="F700" s="3144"/>
      <c r="G700" s="3145"/>
      <c r="H700" s="3151" t="s">
        <v>2155</v>
      </c>
      <c r="I700" s="3141" t="s">
        <v>116</v>
      </c>
      <c r="J700" s="3139" t="s">
        <v>1230</v>
      </c>
      <c r="K700" s="3138"/>
      <c r="L700" s="3140" t="s">
        <v>116</v>
      </c>
      <c r="M700" s="3139" t="s">
        <v>1233</v>
      </c>
      <c r="N700" s="3171"/>
      <c r="O700" s="3171"/>
      <c r="P700" s="3171"/>
      <c r="Q700" s="3171"/>
      <c r="R700" s="3171"/>
      <c r="S700" s="3171"/>
      <c r="T700" s="3171"/>
      <c r="U700" s="3171"/>
      <c r="V700" s="3171"/>
      <c r="W700" s="3171"/>
      <c r="X700" s="3297"/>
      <c r="Y700" s="3293"/>
      <c r="Z700" s="1201"/>
      <c r="AA700" s="1201"/>
      <c r="AB700" s="1202"/>
      <c r="AC700" s="3333"/>
      <c r="AD700" s="3333"/>
      <c r="AE700" s="3333"/>
      <c r="AF700" s="3333"/>
      <c r="AI700" s="3120" t="str">
        <f>"52:field177:" &amp; IF(I700="■",1,IF(L700="■",2,0))</f>
        <v>52:field177:0</v>
      </c>
    </row>
    <row r="701" spans="1:35" s="3120" customFormat="1" ht="18.75" hidden="1" customHeight="1" x14ac:dyDescent="0.2">
      <c r="A701" s="834"/>
      <c r="B701" s="3148"/>
      <c r="C701" s="3295"/>
      <c r="D701" s="3294"/>
      <c r="E701" s="3145"/>
      <c r="F701" s="3144"/>
      <c r="G701" s="3145"/>
      <c r="H701" s="3159" t="s">
        <v>795</v>
      </c>
      <c r="I701" s="3141" t="s">
        <v>116</v>
      </c>
      <c r="J701" s="3139" t="s">
        <v>1230</v>
      </c>
      <c r="K701" s="3138"/>
      <c r="L701" s="3140" t="s">
        <v>116</v>
      </c>
      <c r="M701" s="3139" t="s">
        <v>1233</v>
      </c>
      <c r="N701" s="3171"/>
      <c r="O701" s="3171"/>
      <c r="P701" s="3171"/>
      <c r="Q701" s="3171"/>
      <c r="R701" s="3171"/>
      <c r="S701" s="3171"/>
      <c r="T701" s="3171"/>
      <c r="U701" s="3171"/>
      <c r="V701" s="3171"/>
      <c r="W701" s="3171"/>
      <c r="X701" s="3297"/>
      <c r="Y701" s="3293"/>
      <c r="Z701" s="1201"/>
      <c r="AA701" s="1201"/>
      <c r="AB701" s="1202"/>
      <c r="AC701" s="3333"/>
      <c r="AD701" s="3333"/>
      <c r="AE701" s="3333"/>
      <c r="AF701" s="3333"/>
      <c r="AI701" s="3120" t="str">
        <f>"52:field210:" &amp; IF(I701="■",1,IF(L701="■",2,0))</f>
        <v>52:field210:0</v>
      </c>
    </row>
    <row r="702" spans="1:35" s="3120" customFormat="1" ht="18.75" hidden="1" customHeight="1" x14ac:dyDescent="0.2">
      <c r="A702" s="834"/>
      <c r="B702" s="3148"/>
      <c r="C702" s="3295"/>
      <c r="D702" s="3294"/>
      <c r="E702" s="3145"/>
      <c r="F702" s="3144"/>
      <c r="G702" s="3145"/>
      <c r="H702" s="3151" t="s">
        <v>796</v>
      </c>
      <c r="I702" s="3141" t="s">
        <v>116</v>
      </c>
      <c r="J702" s="3139" t="s">
        <v>1230</v>
      </c>
      <c r="K702" s="3138"/>
      <c r="L702" s="3140" t="s">
        <v>116</v>
      </c>
      <c r="M702" s="3139" t="s">
        <v>1233</v>
      </c>
      <c r="N702" s="3171"/>
      <c r="O702" s="3171"/>
      <c r="P702" s="3171"/>
      <c r="Q702" s="3171"/>
      <c r="R702" s="3171"/>
      <c r="S702" s="3171"/>
      <c r="T702" s="3171"/>
      <c r="U702" s="3171"/>
      <c r="V702" s="3171"/>
      <c r="W702" s="3171"/>
      <c r="X702" s="3297"/>
      <c r="Y702" s="3293"/>
      <c r="Z702" s="1201"/>
      <c r="AA702" s="1201"/>
      <c r="AB702" s="1202"/>
      <c r="AC702" s="3333"/>
      <c r="AD702" s="3333"/>
      <c r="AE702" s="3333"/>
      <c r="AF702" s="3333"/>
      <c r="AI702" s="3120" t="str">
        <f>"52:field211:" &amp; IF(I702="■",1,IF(L702="■",2,0))</f>
        <v>52:field211:0</v>
      </c>
    </row>
    <row r="703" spans="1:35" s="3120" customFormat="1" ht="18.75" hidden="1" customHeight="1" x14ac:dyDescent="0.2">
      <c r="A703" s="834"/>
      <c r="B703" s="3148"/>
      <c r="C703" s="3295"/>
      <c r="D703" s="3294"/>
      <c r="E703" s="3145"/>
      <c r="F703" s="3144"/>
      <c r="G703" s="3145"/>
      <c r="H703" s="3151" t="s">
        <v>797</v>
      </c>
      <c r="I703" s="3141" t="s">
        <v>116</v>
      </c>
      <c r="J703" s="3139" t="s">
        <v>1230</v>
      </c>
      <c r="K703" s="3138"/>
      <c r="L703" s="3140" t="s">
        <v>116</v>
      </c>
      <c r="M703" s="3139" t="s">
        <v>1233</v>
      </c>
      <c r="N703" s="3171"/>
      <c r="O703" s="3171"/>
      <c r="P703" s="3171"/>
      <c r="Q703" s="3171"/>
      <c r="R703" s="3171"/>
      <c r="S703" s="3171"/>
      <c r="T703" s="3171"/>
      <c r="U703" s="3171"/>
      <c r="V703" s="3171"/>
      <c r="W703" s="3171"/>
      <c r="X703" s="3297"/>
      <c r="Y703" s="3293"/>
      <c r="Z703" s="1201"/>
      <c r="AA703" s="1201"/>
      <c r="AB703" s="1202"/>
      <c r="AC703" s="3333"/>
      <c r="AD703" s="3333"/>
      <c r="AE703" s="3333"/>
      <c r="AF703" s="3333"/>
      <c r="AI703" s="3120" t="str">
        <f>"52:field212:" &amp; IF(I703="■",1,IF(L703="■",2,0))</f>
        <v>52:field212:0</v>
      </c>
    </row>
    <row r="704" spans="1:35" s="3120" customFormat="1" ht="18.75" hidden="1" customHeight="1" x14ac:dyDescent="0.2">
      <c r="A704" s="834"/>
      <c r="B704" s="3148"/>
      <c r="C704" s="3295"/>
      <c r="D704" s="3294"/>
      <c r="E704" s="3145"/>
      <c r="F704" s="3144"/>
      <c r="G704" s="3145"/>
      <c r="H704" s="3151" t="s">
        <v>798</v>
      </c>
      <c r="I704" s="3141" t="s">
        <v>116</v>
      </c>
      <c r="J704" s="3139" t="s">
        <v>1230</v>
      </c>
      <c r="K704" s="3138"/>
      <c r="L704" s="3140" t="s">
        <v>116</v>
      </c>
      <c r="M704" s="3139" t="s">
        <v>1233</v>
      </c>
      <c r="N704" s="3171"/>
      <c r="O704" s="3171"/>
      <c r="P704" s="3171"/>
      <c r="Q704" s="3171"/>
      <c r="R704" s="3171"/>
      <c r="S704" s="3171"/>
      <c r="T704" s="3171"/>
      <c r="U704" s="3171"/>
      <c r="V704" s="3171"/>
      <c r="W704" s="3171"/>
      <c r="X704" s="3297"/>
      <c r="Y704" s="3293"/>
      <c r="Z704" s="1201"/>
      <c r="AA704" s="1201"/>
      <c r="AB704" s="1202"/>
      <c r="AC704" s="3333"/>
      <c r="AD704" s="3333"/>
      <c r="AE704" s="3333"/>
      <c r="AF704" s="3333"/>
      <c r="AI704" s="3120" t="str">
        <f>"52:field209:" &amp; IF(I704="■",1,IF(L704="■",2,0))</f>
        <v>52:field209:0</v>
      </c>
    </row>
    <row r="705" spans="1:36" s="3120" customFormat="1" ht="18.75" hidden="1" customHeight="1" x14ac:dyDescent="0.2">
      <c r="A705" s="834"/>
      <c r="B705" s="3148"/>
      <c r="C705" s="3295"/>
      <c r="D705" s="3294"/>
      <c r="E705" s="3145"/>
      <c r="F705" s="3144"/>
      <c r="G705" s="3145"/>
      <c r="H705" s="3151" t="s">
        <v>1323</v>
      </c>
      <c r="I705" s="3155" t="s">
        <v>116</v>
      </c>
      <c r="J705" s="3137" t="s">
        <v>1230</v>
      </c>
      <c r="K705" s="3137"/>
      <c r="L705" s="3154" t="s">
        <v>116</v>
      </c>
      <c r="M705" s="3139" t="s">
        <v>1233</v>
      </c>
      <c r="N705" s="3137"/>
      <c r="O705" s="3137"/>
      <c r="P705" s="3137"/>
      <c r="Q705" s="3171"/>
      <c r="R705" s="3171"/>
      <c r="S705" s="3171"/>
      <c r="T705" s="3171"/>
      <c r="U705" s="3171"/>
      <c r="V705" s="3171"/>
      <c r="W705" s="3171"/>
      <c r="X705" s="3297"/>
      <c r="Y705" s="3293"/>
      <c r="Z705" s="1201"/>
      <c r="AA705" s="1201"/>
      <c r="AB705" s="1202"/>
      <c r="AC705" s="3333"/>
      <c r="AD705" s="3333"/>
      <c r="AE705" s="3333"/>
      <c r="AF705" s="3333"/>
      <c r="AI705" s="3120" t="str">
        <f>"52:field226:" &amp; IF(I705="■",1,IF(L705="■",2,0))</f>
        <v>52:field226:0</v>
      </c>
    </row>
    <row r="706" spans="1:36" s="3120" customFormat="1" ht="18.75" hidden="1" customHeight="1" x14ac:dyDescent="0.2">
      <c r="A706" s="834"/>
      <c r="B706" s="3148"/>
      <c r="C706" s="3295"/>
      <c r="D706" s="3294"/>
      <c r="E706" s="3145"/>
      <c r="F706" s="3144"/>
      <c r="G706" s="3145"/>
      <c r="H706" s="3151" t="s">
        <v>1324</v>
      </c>
      <c r="I706" s="3155" t="s">
        <v>116</v>
      </c>
      <c r="J706" s="3137" t="s">
        <v>1230</v>
      </c>
      <c r="K706" s="3137"/>
      <c r="L706" s="3154" t="s">
        <v>116</v>
      </c>
      <c r="M706" s="3139" t="s">
        <v>1233</v>
      </c>
      <c r="N706" s="3137"/>
      <c r="O706" s="3137"/>
      <c r="P706" s="3137"/>
      <c r="Q706" s="3171"/>
      <c r="R706" s="3171"/>
      <c r="S706" s="3171"/>
      <c r="T706" s="3171"/>
      <c r="U706" s="3171"/>
      <c r="V706" s="3171"/>
      <c r="W706" s="3171"/>
      <c r="X706" s="3297"/>
      <c r="Y706" s="3293"/>
      <c r="Z706" s="1201"/>
      <c r="AA706" s="1201"/>
      <c r="AB706" s="1202"/>
      <c r="AC706" s="3333"/>
      <c r="AD706" s="3333"/>
      <c r="AE706" s="3333"/>
      <c r="AF706" s="3333"/>
      <c r="AI706" s="3120" t="str">
        <f>"52:field227:" &amp; IF(I706="■",1,IF(L706="■",2,0))</f>
        <v>52:field227:0</v>
      </c>
    </row>
    <row r="707" spans="1:36" s="3120" customFormat="1" ht="18.75" hidden="1" customHeight="1" x14ac:dyDescent="0.2">
      <c r="A707" s="834"/>
      <c r="B707" s="3148"/>
      <c r="C707" s="3295"/>
      <c r="D707" s="3294"/>
      <c r="E707" s="3145"/>
      <c r="F707" s="3144"/>
      <c r="G707" s="3145"/>
      <c r="H707" s="3296" t="s">
        <v>1285</v>
      </c>
      <c r="I707" s="3155" t="s">
        <v>116</v>
      </c>
      <c r="J707" s="3137" t="s">
        <v>1230</v>
      </c>
      <c r="K707" s="3137"/>
      <c r="L707" s="3154" t="s">
        <v>116</v>
      </c>
      <c r="M707" s="3137" t="s">
        <v>1231</v>
      </c>
      <c r="N707" s="3137"/>
      <c r="O707" s="3154" t="s">
        <v>116</v>
      </c>
      <c r="P707" s="3137" t="s">
        <v>1232</v>
      </c>
      <c r="Q707" s="3150"/>
      <c r="R707" s="3150"/>
      <c r="S707" s="3150"/>
      <c r="T707" s="3150"/>
      <c r="U707" s="3209"/>
      <c r="V707" s="3209"/>
      <c r="W707" s="3209"/>
      <c r="X707" s="3208"/>
      <c r="Y707" s="3293"/>
      <c r="Z707" s="1201"/>
      <c r="AA707" s="1201"/>
      <c r="AB707" s="1202"/>
      <c r="AC707" s="3333"/>
      <c r="AD707" s="3333"/>
      <c r="AE707" s="3333"/>
      <c r="AF707" s="3333"/>
      <c r="AI707" s="3120" t="str">
        <f>"52:field225:" &amp; IF(I707="■",1,IF(L707="■",2,IF(O707="■",3,0)))</f>
        <v>52:field225:0</v>
      </c>
    </row>
    <row r="708" spans="1:36" s="3120" customFormat="1" ht="18.75" hidden="1" customHeight="1" x14ac:dyDescent="0.2">
      <c r="A708" s="834"/>
      <c r="B708" s="3148"/>
      <c r="C708" s="3295"/>
      <c r="D708" s="3294"/>
      <c r="E708" s="3145"/>
      <c r="F708" s="3144"/>
      <c r="G708" s="3145"/>
      <c r="H708" s="3151" t="s">
        <v>238</v>
      </c>
      <c r="I708" s="3155" t="s">
        <v>116</v>
      </c>
      <c r="J708" s="3137" t="s">
        <v>1230</v>
      </c>
      <c r="K708" s="3137"/>
      <c r="L708" s="3154" t="s">
        <v>116</v>
      </c>
      <c r="M708" s="3137" t="s">
        <v>1259</v>
      </c>
      <c r="N708" s="3137"/>
      <c r="O708" s="3154" t="s">
        <v>116</v>
      </c>
      <c r="P708" s="3137" t="s">
        <v>1260</v>
      </c>
      <c r="Q708" s="3153"/>
      <c r="R708" s="3154" t="s">
        <v>116</v>
      </c>
      <c r="S708" s="3137" t="s">
        <v>1261</v>
      </c>
      <c r="T708" s="3137"/>
      <c r="U708" s="3137"/>
      <c r="V708" s="3137"/>
      <c r="W708" s="3137"/>
      <c r="X708" s="3136"/>
      <c r="Y708" s="3293"/>
      <c r="Z708" s="1201"/>
      <c r="AA708" s="1201"/>
      <c r="AB708" s="1202"/>
      <c r="AC708" s="3333"/>
      <c r="AD708" s="3333"/>
      <c r="AE708" s="3333"/>
      <c r="AF708" s="3333"/>
      <c r="AI708" s="3120" t="str">
        <f>"52:serteikyo_kyoka_code:" &amp; IF(I708="■",1,IF(L708="■",6,IF(O708="■",5,IF(R708="■",7,0))))</f>
        <v>52:serteikyo_kyoka_code:0</v>
      </c>
    </row>
    <row r="709" spans="1:36" s="3120" customFormat="1" ht="18.75" hidden="1" customHeight="1" x14ac:dyDescent="0.2">
      <c r="A709" s="835"/>
      <c r="B709" s="3135"/>
      <c r="C709" s="3134"/>
      <c r="D709" s="3133"/>
      <c r="E709" s="3132"/>
      <c r="F709" s="3131"/>
      <c r="G709" s="3189"/>
      <c r="H709" s="3289" t="s">
        <v>2129</v>
      </c>
      <c r="I709" s="3128" t="s">
        <v>116</v>
      </c>
      <c r="J709" s="3285" t="s">
        <v>1230</v>
      </c>
      <c r="K709" s="3285"/>
      <c r="L709" s="3127" t="s">
        <v>116</v>
      </c>
      <c r="M709" s="3285" t="s">
        <v>2128</v>
      </c>
      <c r="N709" s="3288"/>
      <c r="O709" s="3127" t="s">
        <v>116</v>
      </c>
      <c r="P709" s="3287" t="s">
        <v>2127</v>
      </c>
      <c r="Q709" s="3286"/>
      <c r="R709" s="3127" t="s">
        <v>116</v>
      </c>
      <c r="S709" s="3285" t="s">
        <v>2126</v>
      </c>
      <c r="T709" s="3286"/>
      <c r="U709" s="3127" t="s">
        <v>116</v>
      </c>
      <c r="V709" s="3285" t="s">
        <v>2125</v>
      </c>
      <c r="W709" s="3284"/>
      <c r="X709" s="3283"/>
      <c r="Y709" s="3282"/>
      <c r="Z709" s="3282"/>
      <c r="AA709" s="3282"/>
      <c r="AB709" s="3281"/>
      <c r="AC709" s="3332"/>
      <c r="AD709" s="3332"/>
      <c r="AE709" s="3332"/>
      <c r="AF709" s="3332"/>
      <c r="AI709" s="3120" t="str">
        <f>"52:shoguukaizen_code:"&amp;IF(I709="■",1,IF(L709="■",7,IF(O709="■",8,IF(R709="■",9,IF(U709="■","A",0)))))</f>
        <v>52:shoguukaizen_code:0</v>
      </c>
    </row>
    <row r="710" spans="1:36" s="3120" customFormat="1" ht="18.75" hidden="1" customHeight="1" x14ac:dyDescent="0.2">
      <c r="A710" s="3188"/>
      <c r="B710" s="3187"/>
      <c r="C710" s="3313"/>
      <c r="D710" s="3312"/>
      <c r="E710" s="3185"/>
      <c r="F710" s="3184"/>
      <c r="G710" s="3185"/>
      <c r="H710" s="3182" t="s">
        <v>1286</v>
      </c>
      <c r="I710" s="3181" t="s">
        <v>116</v>
      </c>
      <c r="J710" s="3180" t="s">
        <v>1282</v>
      </c>
      <c r="K710" s="3226"/>
      <c r="L710" s="3225"/>
      <c r="M710" s="3179" t="s">
        <v>116</v>
      </c>
      <c r="N710" s="3180" t="s">
        <v>1283</v>
      </c>
      <c r="O710" s="3177"/>
      <c r="P710" s="3177"/>
      <c r="Q710" s="3177"/>
      <c r="R710" s="3177"/>
      <c r="S710" s="3177"/>
      <c r="T710" s="3177"/>
      <c r="U710" s="3177"/>
      <c r="V710" s="3177"/>
      <c r="W710" s="3177"/>
      <c r="X710" s="3176"/>
      <c r="Y710" s="3253" t="s">
        <v>116</v>
      </c>
      <c r="Z710" s="3252" t="s">
        <v>1225</v>
      </c>
      <c r="AA710" s="3252"/>
      <c r="AB710" s="3308"/>
      <c r="AC710" s="3338"/>
      <c r="AD710" s="3338"/>
      <c r="AE710" s="3338"/>
      <c r="AF710" s="3338"/>
      <c r="AG710" s="3120" t="str">
        <f>"ser_code = '" &amp; IF(A727="■",52,"") &amp; "'"</f>
        <v>ser_code = ''</v>
      </c>
      <c r="AI710" s="3120" t="str">
        <f>"52:yakan_kinmu_code:" &amp; IF(I710="■",1,IF(M710="■",6,0))</f>
        <v>52:yakan_kinmu_code:0</v>
      </c>
      <c r="AJ710" s="3120" t="str">
        <f>"52:field203:" &amp; IF(Y710="■",1,IF(Y711="■",2,0))</f>
        <v>52:field203:0</v>
      </c>
    </row>
    <row r="711" spans="1:36" s="3120" customFormat="1" ht="18.75" hidden="1" customHeight="1" x14ac:dyDescent="0.2">
      <c r="A711" s="834"/>
      <c r="B711" s="3148"/>
      <c r="C711" s="3295"/>
      <c r="D711" s="3294"/>
      <c r="E711" s="3145"/>
      <c r="F711" s="3144"/>
      <c r="G711" s="3145"/>
      <c r="H711" s="3304" t="s">
        <v>90</v>
      </c>
      <c r="I711" s="3303" t="s">
        <v>116</v>
      </c>
      <c r="J711" s="3302" t="s">
        <v>1230</v>
      </c>
      <c r="K711" s="3302"/>
      <c r="L711" s="3167"/>
      <c r="M711" s="3301" t="s">
        <v>116</v>
      </c>
      <c r="N711" s="3302" t="s">
        <v>1262</v>
      </c>
      <c r="O711" s="3302"/>
      <c r="P711" s="3167"/>
      <c r="Q711" s="3301" t="s">
        <v>116</v>
      </c>
      <c r="R711" s="3167" t="s">
        <v>1263</v>
      </c>
      <c r="S711" s="3167"/>
      <c r="T711" s="3167"/>
      <c r="U711" s="3301" t="s">
        <v>116</v>
      </c>
      <c r="V711" s="3167" t="s">
        <v>1264</v>
      </c>
      <c r="W711" s="3167"/>
      <c r="X711" s="3166"/>
      <c r="Y711" s="3158" t="s">
        <v>116</v>
      </c>
      <c r="Z711" s="1200" t="s">
        <v>1226</v>
      </c>
      <c r="AA711" s="1201"/>
      <c r="AB711" s="1202"/>
      <c r="AC711" s="3333"/>
      <c r="AD711" s="3333"/>
      <c r="AE711" s="3333"/>
      <c r="AF711" s="3333"/>
      <c r="AG711" s="3120" t="str">
        <f>"52:sisetukbn_code:" &amp; IF(D726="■",5,IF(D727="■",7,0))</f>
        <v>52:sisetukbn_code:0</v>
      </c>
      <c r="AI711" s="3120" t="str">
        <f>"52:"&amp;IF(AND(I711="□",M711="□",Q711="□",U711="□",I712="□",M712="□",Q712="□",I713="□"),"ketu_doctor_code:0",IF(I711="■","ketu_doctor_code:1:ketu_kangos_code:1:ketu_kshoku_code:1:ketu_rryoho_code:1:ketu_sryoho_code:1:ketu_ksiensou_code:1:ketu_gengo_code:1",IF(M711="■","ketu_doctor_code:2","ketu_doctor_code:1")
&amp;IF(Q711="■",":ketu_kangos_code:2",":ketu_kangos_code:1")
&amp;IF(U711="■",":ketu_kshoku_code:2",":ketu_kshoku_code:1")
&amp;IF(I712="■",":ketu_rryoho_code:2",":ketu_rryoho_code:1")
&amp;IF(M712="■",":ketu_sryoho_code:2",":ketu_sryoho_code:1")
&amp;IF(Q712="■",":ketu_ksiensou_code:2",":ketu_ksiensou_code:1")
&amp;IF(I713="■",":ketu_gengo_code:2",":ketu_gengo_code:1")))</f>
        <v>52:ketu_doctor_code:0</v>
      </c>
    </row>
    <row r="712" spans="1:36" s="3120" customFormat="1" ht="18.75" hidden="1" customHeight="1" x14ac:dyDescent="0.2">
      <c r="A712" s="834"/>
      <c r="B712" s="3148"/>
      <c r="C712" s="3295"/>
      <c r="D712" s="3294"/>
      <c r="E712" s="3145"/>
      <c r="F712" s="3144"/>
      <c r="G712" s="3145"/>
      <c r="H712" s="3337"/>
      <c r="I712" s="3158" t="s">
        <v>116</v>
      </c>
      <c r="J712" s="1200" t="s">
        <v>1265</v>
      </c>
      <c r="K712" s="1200"/>
      <c r="L712" s="836"/>
      <c r="M712" s="3258" t="s">
        <v>116</v>
      </c>
      <c r="N712" s="1200" t="s">
        <v>1266</v>
      </c>
      <c r="O712" s="1200"/>
      <c r="P712" s="836"/>
      <c r="Q712" s="3258" t="s">
        <v>116</v>
      </c>
      <c r="R712" s="836" t="s">
        <v>2141</v>
      </c>
      <c r="S712" s="836"/>
      <c r="T712" s="836"/>
      <c r="U712" s="836"/>
      <c r="V712" s="836"/>
      <c r="W712" s="836"/>
      <c r="X712" s="3336"/>
      <c r="Y712" s="3293"/>
      <c r="Z712" s="1201"/>
      <c r="AA712" s="1201"/>
      <c r="AB712" s="1202"/>
      <c r="AC712" s="3333"/>
      <c r="AD712" s="3333"/>
      <c r="AE712" s="3333"/>
      <c r="AF712" s="3333"/>
    </row>
    <row r="713" spans="1:36" s="3120" customFormat="1" ht="18.75" hidden="1" customHeight="1" x14ac:dyDescent="0.2">
      <c r="A713" s="834"/>
      <c r="B713" s="3148"/>
      <c r="C713" s="3295"/>
      <c r="D713" s="3294"/>
      <c r="E713" s="3145"/>
      <c r="F713" s="3144"/>
      <c r="G713" s="3145"/>
      <c r="H713" s="3300"/>
      <c r="I713" s="3141" t="s">
        <v>116</v>
      </c>
      <c r="J713" s="3139" t="s">
        <v>2140</v>
      </c>
      <c r="K713" s="3139"/>
      <c r="L713" s="3162"/>
      <c r="M713" s="3139"/>
      <c r="N713" s="3139"/>
      <c r="O713" s="3139"/>
      <c r="P713" s="3162"/>
      <c r="Q713" s="3139"/>
      <c r="R713" s="3162"/>
      <c r="S713" s="3162"/>
      <c r="T713" s="3162"/>
      <c r="U713" s="3162"/>
      <c r="V713" s="3162"/>
      <c r="W713" s="3162"/>
      <c r="X713" s="3161"/>
      <c r="Y713" s="3293"/>
      <c r="Z713" s="1201"/>
      <c r="AA713" s="1201"/>
      <c r="AB713" s="1202"/>
      <c r="AC713" s="3333"/>
      <c r="AD713" s="3333"/>
      <c r="AE713" s="3333"/>
      <c r="AF713" s="3333"/>
    </row>
    <row r="714" spans="1:36" s="3120" customFormat="1" ht="18.75" hidden="1" customHeight="1" x14ac:dyDescent="0.2">
      <c r="A714" s="834"/>
      <c r="B714" s="3148"/>
      <c r="C714" s="3295"/>
      <c r="D714" s="3294"/>
      <c r="E714" s="3145"/>
      <c r="F714" s="3144"/>
      <c r="G714" s="3145"/>
      <c r="H714" s="3151" t="s">
        <v>91</v>
      </c>
      <c r="I714" s="3155" t="s">
        <v>116</v>
      </c>
      <c r="J714" s="3137" t="s">
        <v>1240</v>
      </c>
      <c r="K714" s="3171"/>
      <c r="L714" s="3173"/>
      <c r="M714" s="3154" t="s">
        <v>116</v>
      </c>
      <c r="N714" s="3137" t="s">
        <v>1241</v>
      </c>
      <c r="O714" s="3171"/>
      <c r="P714" s="3171"/>
      <c r="Q714" s="3150"/>
      <c r="R714" s="3150"/>
      <c r="S714" s="3150"/>
      <c r="T714" s="3150"/>
      <c r="U714" s="3150"/>
      <c r="V714" s="3150"/>
      <c r="W714" s="3150"/>
      <c r="X714" s="3149"/>
      <c r="Y714" s="3293"/>
      <c r="Z714" s="1201"/>
      <c r="AA714" s="1201"/>
      <c r="AB714" s="1202"/>
      <c r="AC714" s="3333"/>
      <c r="AD714" s="3333"/>
      <c r="AE714" s="3333"/>
      <c r="AF714" s="3333"/>
      <c r="AI714" s="3120" t="str">
        <f>"52:unitcare_code:" &amp; IF(I714="■",1,IF(M714="■",2,0))</f>
        <v>52:unitcare_code:0</v>
      </c>
    </row>
    <row r="715" spans="1:36" s="3120" customFormat="1" ht="18.75" hidden="1" customHeight="1" x14ac:dyDescent="0.2">
      <c r="A715" s="834"/>
      <c r="B715" s="3148"/>
      <c r="C715" s="3295"/>
      <c r="D715" s="3294"/>
      <c r="E715" s="3145"/>
      <c r="F715" s="3144"/>
      <c r="G715" s="3145"/>
      <c r="H715" s="3151" t="s">
        <v>1325</v>
      </c>
      <c r="I715" s="3155" t="s">
        <v>116</v>
      </c>
      <c r="J715" s="3137" t="s">
        <v>1228</v>
      </c>
      <c r="K715" s="3171"/>
      <c r="L715" s="3173"/>
      <c r="M715" s="3154" t="s">
        <v>116</v>
      </c>
      <c r="N715" s="3137" t="s">
        <v>1322</v>
      </c>
      <c r="O715" s="3171"/>
      <c r="P715" s="3171"/>
      <c r="Q715" s="3150"/>
      <c r="R715" s="3150"/>
      <c r="S715" s="3150"/>
      <c r="T715" s="3150"/>
      <c r="U715" s="3150"/>
      <c r="V715" s="3150"/>
      <c r="W715" s="3150"/>
      <c r="X715" s="3149"/>
      <c r="Y715" s="3293"/>
      <c r="Z715" s="1201"/>
      <c r="AA715" s="1201"/>
      <c r="AB715" s="1202"/>
      <c r="AC715" s="3333"/>
      <c r="AD715" s="3333"/>
      <c r="AE715" s="3333"/>
      <c r="AF715" s="3333"/>
      <c r="AI715" s="3120" t="str">
        <f>"52:sintaikousoku_code:" &amp; IF(I715="■",1,IF(M715="■",2,0))</f>
        <v>52:sintaikousoku_code:0</v>
      </c>
    </row>
    <row r="716" spans="1:36" s="3120" customFormat="1" ht="18.75" hidden="1" customHeight="1" x14ac:dyDescent="0.2">
      <c r="A716" s="834"/>
      <c r="B716" s="3148"/>
      <c r="C716" s="3295"/>
      <c r="D716" s="3294"/>
      <c r="E716" s="3145"/>
      <c r="F716" s="3144"/>
      <c r="G716" s="3145"/>
      <c r="H716" s="3151" t="s">
        <v>792</v>
      </c>
      <c r="I716" s="3155" t="s">
        <v>116</v>
      </c>
      <c r="J716" s="3137" t="s">
        <v>1228</v>
      </c>
      <c r="K716" s="3171"/>
      <c r="L716" s="3173"/>
      <c r="M716" s="3154" t="s">
        <v>116</v>
      </c>
      <c r="N716" s="3137" t="s">
        <v>1322</v>
      </c>
      <c r="O716" s="3171"/>
      <c r="P716" s="3171"/>
      <c r="Q716" s="3150"/>
      <c r="R716" s="3150"/>
      <c r="S716" s="3150"/>
      <c r="T716" s="3150"/>
      <c r="U716" s="3150"/>
      <c r="V716" s="3150"/>
      <c r="W716" s="3150"/>
      <c r="X716" s="3149"/>
      <c r="Y716" s="3293"/>
      <c r="Z716" s="1201"/>
      <c r="AA716" s="1201"/>
      <c r="AB716" s="1202"/>
      <c r="AC716" s="3333"/>
      <c r="AD716" s="3333"/>
      <c r="AE716" s="3333"/>
      <c r="AF716" s="3333"/>
      <c r="AI716" s="3120" t="str">
        <f>"52:field208:" &amp; IF(I716="■",1,IF(M716="■",2,0))</f>
        <v>52:field208:0</v>
      </c>
    </row>
    <row r="717" spans="1:36" s="3120" customFormat="1" ht="19.5" hidden="1" customHeight="1" x14ac:dyDescent="0.2">
      <c r="A717" s="834"/>
      <c r="B717" s="3148"/>
      <c r="C717" s="3147"/>
      <c r="D717" s="3146"/>
      <c r="E717" s="3145"/>
      <c r="F717" s="3144"/>
      <c r="G717" s="3175"/>
      <c r="H717" s="3174" t="s">
        <v>1227</v>
      </c>
      <c r="I717" s="3155" t="s">
        <v>116</v>
      </c>
      <c r="J717" s="3137" t="s">
        <v>1228</v>
      </c>
      <c r="K717" s="3171"/>
      <c r="L717" s="3173"/>
      <c r="M717" s="3154" t="s">
        <v>116</v>
      </c>
      <c r="N717" s="3137" t="s">
        <v>1229</v>
      </c>
      <c r="O717" s="3299"/>
      <c r="P717" s="3137"/>
      <c r="Q717" s="3150"/>
      <c r="R717" s="3150"/>
      <c r="S717" s="3150"/>
      <c r="T717" s="3150"/>
      <c r="U717" s="3150"/>
      <c r="V717" s="3150"/>
      <c r="W717" s="3150"/>
      <c r="X717" s="3149"/>
      <c r="Y717" s="1201"/>
      <c r="Z717" s="1201"/>
      <c r="AA717" s="1201"/>
      <c r="AB717" s="1202"/>
      <c r="AC717" s="3333"/>
      <c r="AD717" s="3333"/>
      <c r="AE717" s="3333"/>
      <c r="AF717" s="3333"/>
      <c r="AI717" s="3120" t="str">
        <f>"52:field223:" &amp; IF(I717="■",1,IF(M717="■",2,0))</f>
        <v>52:field223:0</v>
      </c>
    </row>
    <row r="718" spans="1:36" s="3120" customFormat="1" ht="19.5" hidden="1" customHeight="1" x14ac:dyDescent="0.2">
      <c r="A718" s="834"/>
      <c r="B718" s="3148"/>
      <c r="C718" s="3147"/>
      <c r="D718" s="3146"/>
      <c r="E718" s="3145"/>
      <c r="F718" s="3144"/>
      <c r="G718" s="3175"/>
      <c r="H718" s="3174" t="s">
        <v>1253</v>
      </c>
      <c r="I718" s="3155" t="s">
        <v>116</v>
      </c>
      <c r="J718" s="3137" t="s">
        <v>1228</v>
      </c>
      <c r="K718" s="3171"/>
      <c r="L718" s="3173"/>
      <c r="M718" s="3154" t="s">
        <v>116</v>
      </c>
      <c r="N718" s="3137" t="s">
        <v>1229</v>
      </c>
      <c r="O718" s="3299"/>
      <c r="P718" s="3137"/>
      <c r="Q718" s="3150"/>
      <c r="R718" s="3150"/>
      <c r="S718" s="3150"/>
      <c r="T718" s="3150"/>
      <c r="U718" s="3150"/>
      <c r="V718" s="3150"/>
      <c r="W718" s="3150"/>
      <c r="X718" s="3149"/>
      <c r="Y718" s="1201"/>
      <c r="Z718" s="1201"/>
      <c r="AA718" s="1201"/>
      <c r="AB718" s="1202"/>
      <c r="AC718" s="3333"/>
      <c r="AD718" s="3333"/>
      <c r="AE718" s="3333"/>
      <c r="AF718" s="3333"/>
      <c r="AI718" s="3120" t="str">
        <f>"52:field232:" &amp; IF(I718="■",1,IF(M718="■",2,0))</f>
        <v>52:field232:0</v>
      </c>
    </row>
    <row r="719" spans="1:36" s="3120" customFormat="1" ht="37.5" hidden="1" customHeight="1" x14ac:dyDescent="0.2">
      <c r="A719" s="834"/>
      <c r="B719" s="3148"/>
      <c r="C719" s="3295"/>
      <c r="D719" s="3294"/>
      <c r="E719" s="3145"/>
      <c r="F719" s="3144"/>
      <c r="G719" s="3145"/>
      <c r="H719" s="3142" t="s">
        <v>1326</v>
      </c>
      <c r="I719" s="3141" t="s">
        <v>116</v>
      </c>
      <c r="J719" s="3139" t="s">
        <v>1230</v>
      </c>
      <c r="K719" s="3138"/>
      <c r="L719" s="3140" t="s">
        <v>116</v>
      </c>
      <c r="M719" s="3139" t="s">
        <v>1233</v>
      </c>
      <c r="N719" s="3171"/>
      <c r="O719" s="3153"/>
      <c r="P719" s="3153"/>
      <c r="Q719" s="3153"/>
      <c r="R719" s="3153"/>
      <c r="S719" s="3153"/>
      <c r="T719" s="3153"/>
      <c r="U719" s="3153"/>
      <c r="V719" s="3153"/>
      <c r="W719" s="3153"/>
      <c r="X719" s="3152"/>
      <c r="Y719" s="3293"/>
      <c r="Z719" s="1201"/>
      <c r="AA719" s="1201"/>
      <c r="AB719" s="1202"/>
      <c r="AC719" s="3333"/>
      <c r="AD719" s="3333"/>
      <c r="AE719" s="3333"/>
      <c r="AF719" s="3333"/>
      <c r="AI719" s="3120" t="str">
        <f>"52:field206:" &amp; IF(I719="■",1,IF(L719="■",2,0))</f>
        <v>52:field206:0</v>
      </c>
    </row>
    <row r="720" spans="1:36" s="1247" customFormat="1" ht="19.5" hidden="1" customHeight="1" x14ac:dyDescent="0.2">
      <c r="A720" s="579"/>
      <c r="B720" s="1250"/>
      <c r="C720" s="581"/>
      <c r="D720" s="1251"/>
      <c r="E720" s="1253"/>
      <c r="F720" s="1249"/>
      <c r="G720" s="583"/>
      <c r="H720" s="3324" t="s">
        <v>2133</v>
      </c>
      <c r="I720" s="3155" t="s">
        <v>116</v>
      </c>
      <c r="J720" s="3320" t="s">
        <v>2131</v>
      </c>
      <c r="K720" s="3323"/>
      <c r="L720" s="3322"/>
      <c r="M720" s="3154" t="s">
        <v>116</v>
      </c>
      <c r="N720" s="3320" t="s">
        <v>2130</v>
      </c>
      <c r="O720" s="3321"/>
      <c r="P720" s="3320"/>
      <c r="Q720" s="3319"/>
      <c r="R720" s="3319"/>
      <c r="S720" s="3319"/>
      <c r="T720" s="3319"/>
      <c r="U720" s="3319"/>
      <c r="V720" s="3319"/>
      <c r="W720" s="3319"/>
      <c r="X720" s="3318"/>
      <c r="Y720" s="1248"/>
      <c r="Z720" s="2"/>
      <c r="AA720" s="584"/>
      <c r="AB720" s="585"/>
      <c r="AC720" s="3333"/>
      <c r="AD720" s="3333"/>
      <c r="AE720" s="3333"/>
      <c r="AF720" s="3333"/>
      <c r="AI720" s="3120" t="str">
        <f>"52:field242:" &amp; IF(I720="■",1,IF(M720="■",2,0))</f>
        <v>52:field242:0</v>
      </c>
    </row>
    <row r="721" spans="1:35" s="3120" customFormat="1" ht="18.75" hidden="1" customHeight="1" x14ac:dyDescent="0.2">
      <c r="A721" s="834"/>
      <c r="B721" s="3148"/>
      <c r="C721" s="3295"/>
      <c r="D721" s="3294"/>
      <c r="E721" s="3145"/>
      <c r="F721" s="3144"/>
      <c r="G721" s="3145"/>
      <c r="H721" s="3151" t="s">
        <v>2137</v>
      </c>
      <c r="I721" s="3141" t="s">
        <v>116</v>
      </c>
      <c r="J721" s="3139" t="s">
        <v>1230</v>
      </c>
      <c r="K721" s="3138"/>
      <c r="L721" s="3140" t="s">
        <v>116</v>
      </c>
      <c r="M721" s="3139" t="s">
        <v>1233</v>
      </c>
      <c r="N721" s="3171"/>
      <c r="O721" s="3150"/>
      <c r="P721" s="3150"/>
      <c r="Q721" s="3150"/>
      <c r="R721" s="3150"/>
      <c r="S721" s="3150"/>
      <c r="T721" s="3150"/>
      <c r="U721" s="3150"/>
      <c r="V721" s="3150"/>
      <c r="W721" s="3150"/>
      <c r="X721" s="3149"/>
      <c r="Y721" s="3293"/>
      <c r="Z721" s="1201"/>
      <c r="AA721" s="1201"/>
      <c r="AB721" s="1202"/>
      <c r="AC721" s="3333"/>
      <c r="AD721" s="3333"/>
      <c r="AE721" s="3333"/>
      <c r="AF721" s="3333"/>
      <c r="AI721" s="3120" t="str">
        <f>"52:yakinhaiti_code:" &amp; IF(I721="■",1,IF(L721="■",2,0))</f>
        <v>52:yakinhaiti_code:0</v>
      </c>
    </row>
    <row r="722" spans="1:35" s="3120" customFormat="1" ht="18.75" hidden="1" customHeight="1" x14ac:dyDescent="0.2">
      <c r="A722" s="834"/>
      <c r="B722" s="3148"/>
      <c r="C722" s="3295"/>
      <c r="D722" s="3294"/>
      <c r="E722" s="3145"/>
      <c r="F722" s="3144"/>
      <c r="G722" s="3145"/>
      <c r="H722" s="3151" t="s">
        <v>1273</v>
      </c>
      <c r="I722" s="3141" t="s">
        <v>116</v>
      </c>
      <c r="J722" s="3139" t="s">
        <v>1230</v>
      </c>
      <c r="K722" s="3138"/>
      <c r="L722" s="3140" t="s">
        <v>116</v>
      </c>
      <c r="M722" s="3139" t="s">
        <v>1233</v>
      </c>
      <c r="N722" s="3171"/>
      <c r="O722" s="3137"/>
      <c r="P722" s="3137"/>
      <c r="Q722" s="3137"/>
      <c r="R722" s="3137"/>
      <c r="S722" s="3137"/>
      <c r="T722" s="3137"/>
      <c r="U722" s="3137"/>
      <c r="V722" s="3137"/>
      <c r="W722" s="3137"/>
      <c r="X722" s="3136"/>
      <c r="Y722" s="3293"/>
      <c r="Z722" s="1201"/>
      <c r="AA722" s="1201"/>
      <c r="AB722" s="1202"/>
      <c r="AC722" s="3333"/>
      <c r="AD722" s="3333"/>
      <c r="AE722" s="3333"/>
      <c r="AF722" s="3333"/>
      <c r="AI722" s="3120" t="str">
        <f>"52:ninti_riha_code:" &amp; IF(I722="■",1,IF(L722="■",2,0))</f>
        <v>52:ninti_riha_code:0</v>
      </c>
    </row>
    <row r="723" spans="1:35" s="3120" customFormat="1" ht="18.75" hidden="1" customHeight="1" x14ac:dyDescent="0.2">
      <c r="A723" s="834"/>
      <c r="B723" s="3148"/>
      <c r="C723" s="3295"/>
      <c r="D723" s="3294"/>
      <c r="E723" s="3145"/>
      <c r="F723" s="3144"/>
      <c r="G723" s="3145"/>
      <c r="H723" s="3151" t="s">
        <v>2136</v>
      </c>
      <c r="I723" s="3141" t="s">
        <v>116</v>
      </c>
      <c r="J723" s="3139" t="s">
        <v>1230</v>
      </c>
      <c r="K723" s="3138"/>
      <c r="L723" s="3140" t="s">
        <v>116</v>
      </c>
      <c r="M723" s="3139" t="s">
        <v>1233</v>
      </c>
      <c r="N723" s="3171"/>
      <c r="O723" s="3150"/>
      <c r="P723" s="3150"/>
      <c r="Q723" s="3150"/>
      <c r="R723" s="3150"/>
      <c r="S723" s="3150"/>
      <c r="T723" s="3150"/>
      <c r="U723" s="3150"/>
      <c r="V723" s="3150"/>
      <c r="W723" s="3150"/>
      <c r="X723" s="3149"/>
      <c r="Y723" s="3293"/>
      <c r="Z723" s="1201"/>
      <c r="AA723" s="1201"/>
      <c r="AB723" s="1202"/>
      <c r="AC723" s="3333"/>
      <c r="AD723" s="3333"/>
      <c r="AE723" s="3333"/>
      <c r="AF723" s="3333"/>
      <c r="AI723" s="3120" t="str">
        <f>"52:ninticare_code:" &amp; IF(I723="■",1,IF(L723="■",2,0))</f>
        <v>52:ninticare_code:0</v>
      </c>
    </row>
    <row r="724" spans="1:35" s="3120" customFormat="1" ht="18.75" hidden="1" customHeight="1" x14ac:dyDescent="0.2">
      <c r="A724" s="834"/>
      <c r="B724" s="3148"/>
      <c r="C724" s="3295"/>
      <c r="D724" s="3294"/>
      <c r="E724" s="3145"/>
      <c r="F724" s="3144"/>
      <c r="G724" s="3145"/>
      <c r="H724" s="3334" t="s">
        <v>2135</v>
      </c>
      <c r="I724" s="3141" t="s">
        <v>116</v>
      </c>
      <c r="J724" s="3139" t="s">
        <v>1230</v>
      </c>
      <c r="K724" s="3138"/>
      <c r="L724" s="3140" t="s">
        <v>116</v>
      </c>
      <c r="M724" s="3139" t="s">
        <v>1233</v>
      </c>
      <c r="N724" s="3171"/>
      <c r="O724" s="3150"/>
      <c r="P724" s="3150"/>
      <c r="Q724" s="3150"/>
      <c r="R724" s="3150"/>
      <c r="S724" s="3150"/>
      <c r="T724" s="3150"/>
      <c r="U724" s="3150"/>
      <c r="V724" s="3150"/>
      <c r="W724" s="3150"/>
      <c r="X724" s="3149"/>
      <c r="Y724" s="3293"/>
      <c r="Z724" s="1201"/>
      <c r="AA724" s="1201"/>
      <c r="AB724" s="1202"/>
      <c r="AC724" s="3333"/>
      <c r="AD724" s="3333"/>
      <c r="AE724" s="3333"/>
      <c r="AF724" s="3333"/>
      <c r="AI724" s="3120" t="str">
        <f>"52:jyakuninti_uke_code:" &amp; IF(I724="■",1,IF(L724="■",2,0))</f>
        <v>52:jyakuninti_uke_code:0</v>
      </c>
    </row>
    <row r="725" spans="1:35" s="3120" customFormat="1" ht="18.75" hidden="1" customHeight="1" x14ac:dyDescent="0.2">
      <c r="A725" s="834"/>
      <c r="B725" s="3148"/>
      <c r="C725" s="3295"/>
      <c r="D725" s="3294"/>
      <c r="E725" s="3145"/>
      <c r="F725" s="3144"/>
      <c r="G725" s="3145"/>
      <c r="H725" s="3151" t="s">
        <v>2134</v>
      </c>
      <c r="I725" s="3141" t="s">
        <v>116</v>
      </c>
      <c r="J725" s="3139" t="s">
        <v>1230</v>
      </c>
      <c r="K725" s="3138"/>
      <c r="L725" s="3140" t="s">
        <v>116</v>
      </c>
      <c r="M725" s="3139" t="s">
        <v>1233</v>
      </c>
      <c r="N725" s="3171"/>
      <c r="O725" s="3150"/>
      <c r="P725" s="3150"/>
      <c r="Q725" s="3150"/>
      <c r="R725" s="3150"/>
      <c r="S725" s="3150"/>
      <c r="T725" s="3150"/>
      <c r="U725" s="3150"/>
      <c r="V725" s="3150"/>
      <c r="W725" s="3150"/>
      <c r="X725" s="3149"/>
      <c r="Y725" s="3293"/>
      <c r="Z725" s="1201"/>
      <c r="AA725" s="1201"/>
      <c r="AB725" s="1202"/>
      <c r="AC725" s="3333"/>
      <c r="AD725" s="3333"/>
      <c r="AE725" s="3333"/>
      <c r="AF725" s="3333"/>
      <c r="AI725" s="3120" t="str">
        <f>"52:terminal_code:" &amp; IF(I725="■",1,IF(L725="■",2,0))</f>
        <v>52:terminal_code:0</v>
      </c>
    </row>
    <row r="726" spans="1:35" s="3120" customFormat="1" ht="18.75" hidden="1" customHeight="1" x14ac:dyDescent="0.2">
      <c r="A726" s="834"/>
      <c r="B726" s="3148"/>
      <c r="C726" s="3295"/>
      <c r="D726" s="3158" t="s">
        <v>116</v>
      </c>
      <c r="E726" s="3145" t="s">
        <v>2154</v>
      </c>
      <c r="F726" s="3144"/>
      <c r="G726" s="3145"/>
      <c r="H726" s="3151" t="s">
        <v>2151</v>
      </c>
      <c r="I726" s="3155" t="s">
        <v>116</v>
      </c>
      <c r="J726" s="3137" t="s">
        <v>1287</v>
      </c>
      <c r="K726" s="3137"/>
      <c r="L726" s="3150"/>
      <c r="M726" s="3150"/>
      <c r="N726" s="3150"/>
      <c r="O726" s="3150"/>
      <c r="P726" s="3154" t="s">
        <v>116</v>
      </c>
      <c r="Q726" s="3137" t="s">
        <v>1288</v>
      </c>
      <c r="R726" s="3150"/>
      <c r="S726" s="3150"/>
      <c r="T726" s="3150"/>
      <c r="U726" s="3150"/>
      <c r="V726" s="3150"/>
      <c r="W726" s="3150"/>
      <c r="X726" s="3149"/>
      <c r="Y726" s="3293"/>
      <c r="Z726" s="1201"/>
      <c r="AA726" s="1201"/>
      <c r="AB726" s="1202"/>
      <c r="AC726" s="3333"/>
      <c r="AD726" s="3333"/>
      <c r="AE726" s="3333"/>
      <c r="AF726" s="3333"/>
      <c r="AI726" s="3120" t="str">
        <f>"52:" &amp; IF(AND(I726="□",P726="□"),"tokusin_jyusho_code:0:tokusin_yakuzai_code:0",IF(I726="■","tokusin_jyusho_code:2","tokusin_jyusho_code:1")
&amp;IF(P726="■",":tokusin_yakuzai_code:2",":tokusin_yakuzai_code:1"))</f>
        <v>52:tokusin_jyusho_code:0:tokusin_yakuzai_code:0</v>
      </c>
    </row>
    <row r="727" spans="1:35" s="3120" customFormat="1" ht="18.75" hidden="1" customHeight="1" x14ac:dyDescent="0.2">
      <c r="A727" s="3158" t="s">
        <v>116</v>
      </c>
      <c r="B727" s="3148">
        <v>52</v>
      </c>
      <c r="C727" s="3295" t="s">
        <v>2139</v>
      </c>
      <c r="D727" s="3158" t="s">
        <v>116</v>
      </c>
      <c r="E727" s="3145" t="s">
        <v>2153</v>
      </c>
      <c r="F727" s="3144"/>
      <c r="G727" s="3145"/>
      <c r="H727" s="3151" t="s">
        <v>2149</v>
      </c>
      <c r="I727" s="3141" t="s">
        <v>116</v>
      </c>
      <c r="J727" s="3139" t="s">
        <v>1230</v>
      </c>
      <c r="K727" s="3138"/>
      <c r="L727" s="3140" t="s">
        <v>116</v>
      </c>
      <c r="M727" s="3139" t="s">
        <v>1233</v>
      </c>
      <c r="N727" s="3171"/>
      <c r="O727" s="3153"/>
      <c r="P727" s="3153"/>
      <c r="Q727" s="3153"/>
      <c r="R727" s="3153"/>
      <c r="S727" s="3153"/>
      <c r="T727" s="3153"/>
      <c r="U727" s="3153"/>
      <c r="V727" s="3153"/>
      <c r="W727" s="3153"/>
      <c r="X727" s="3152"/>
      <c r="Y727" s="3293"/>
      <c r="Z727" s="1201"/>
      <c r="AA727" s="1201"/>
      <c r="AB727" s="1202"/>
      <c r="AC727" s="3333"/>
      <c r="AD727" s="3333"/>
      <c r="AE727" s="3333"/>
      <c r="AF727" s="3333"/>
      <c r="AI727" s="3120" t="str">
        <f>"52:field198:" &amp; IF(I727="■",1,IF(L727="■",2,0))</f>
        <v>52:field198:0</v>
      </c>
    </row>
    <row r="728" spans="1:35" s="3120" customFormat="1" ht="18.75" hidden="1" customHeight="1" x14ac:dyDescent="0.2">
      <c r="A728" s="834"/>
      <c r="B728" s="3148"/>
      <c r="C728" s="3295"/>
      <c r="D728" s="834"/>
      <c r="E728" s="3145"/>
      <c r="F728" s="3144"/>
      <c r="G728" s="3145"/>
      <c r="H728" s="3151" t="s">
        <v>2148</v>
      </c>
      <c r="I728" s="3141" t="s">
        <v>116</v>
      </c>
      <c r="J728" s="3139" t="s">
        <v>1230</v>
      </c>
      <c r="K728" s="3138"/>
      <c r="L728" s="3140" t="s">
        <v>116</v>
      </c>
      <c r="M728" s="3139" t="s">
        <v>1233</v>
      </c>
      <c r="N728" s="3171"/>
      <c r="O728" s="3153"/>
      <c r="P728" s="3153"/>
      <c r="Q728" s="3153"/>
      <c r="R728" s="3153"/>
      <c r="S728" s="3153"/>
      <c r="T728" s="3153"/>
      <c r="U728" s="3153"/>
      <c r="V728" s="3153"/>
      <c r="W728" s="3153"/>
      <c r="X728" s="3152"/>
      <c r="Y728" s="3293"/>
      <c r="Z728" s="1201"/>
      <c r="AA728" s="1201"/>
      <c r="AB728" s="1202"/>
      <c r="AC728" s="3333"/>
      <c r="AD728" s="3333"/>
      <c r="AE728" s="3333"/>
      <c r="AF728" s="3333"/>
      <c r="AI728" s="3120" t="str">
        <f>"52:field199:" &amp; IF(I728="■",1,IF(L728="■",2,0))</f>
        <v>52:field199:0</v>
      </c>
    </row>
    <row r="729" spans="1:35" s="3120" customFormat="1" ht="18.75" hidden="1" customHeight="1" x14ac:dyDescent="0.2">
      <c r="A729" s="834"/>
      <c r="B729" s="3148"/>
      <c r="C729" s="3295"/>
      <c r="D729" s="3294"/>
      <c r="E729" s="3145"/>
      <c r="F729" s="3144"/>
      <c r="G729" s="3145"/>
      <c r="H729" s="3151" t="s">
        <v>794</v>
      </c>
      <c r="I729" s="3141" t="s">
        <v>116</v>
      </c>
      <c r="J729" s="3139" t="s">
        <v>1230</v>
      </c>
      <c r="K729" s="3138"/>
      <c r="L729" s="3140" t="s">
        <v>116</v>
      </c>
      <c r="M729" s="3139" t="s">
        <v>1233</v>
      </c>
      <c r="N729" s="3171"/>
      <c r="O729" s="3150"/>
      <c r="P729" s="3150"/>
      <c r="Q729" s="3150"/>
      <c r="R729" s="3150"/>
      <c r="S729" s="3150"/>
      <c r="T729" s="3150"/>
      <c r="U729" s="3150"/>
      <c r="V729" s="3150"/>
      <c r="W729" s="3150"/>
      <c r="X729" s="3149"/>
      <c r="Y729" s="3293"/>
      <c r="Z729" s="1201"/>
      <c r="AA729" s="1201"/>
      <c r="AB729" s="1202"/>
      <c r="AC729" s="3333"/>
      <c r="AD729" s="3333"/>
      <c r="AE729" s="3333"/>
      <c r="AF729" s="3333"/>
      <c r="AI729" s="3120" t="str">
        <f>"52:field207:" &amp; IF(I729="■",1,IF(L729="■",2,0))</f>
        <v>52:field207:0</v>
      </c>
    </row>
    <row r="730" spans="1:35" s="3120" customFormat="1" ht="18.75" hidden="1" customHeight="1" x14ac:dyDescent="0.2">
      <c r="A730" s="834"/>
      <c r="B730" s="3148"/>
      <c r="C730" s="3295"/>
      <c r="D730" s="834"/>
      <c r="E730" s="3145"/>
      <c r="F730" s="3144"/>
      <c r="G730" s="3145"/>
      <c r="H730" s="3151" t="s">
        <v>140</v>
      </c>
      <c r="I730" s="3141" t="s">
        <v>116</v>
      </c>
      <c r="J730" s="3139" t="s">
        <v>1230</v>
      </c>
      <c r="K730" s="3138"/>
      <c r="L730" s="3140" t="s">
        <v>116</v>
      </c>
      <c r="M730" s="3139" t="s">
        <v>1233</v>
      </c>
      <c r="N730" s="3171"/>
      <c r="O730" s="3150"/>
      <c r="P730" s="3150"/>
      <c r="Q730" s="3150"/>
      <c r="R730" s="3150"/>
      <c r="S730" s="3150"/>
      <c r="T730" s="3150"/>
      <c r="U730" s="3150"/>
      <c r="V730" s="3150"/>
      <c r="W730" s="3150"/>
      <c r="X730" s="3149"/>
      <c r="Y730" s="3293"/>
      <c r="Z730" s="1201"/>
      <c r="AA730" s="1201"/>
      <c r="AB730" s="1202"/>
      <c r="AC730" s="3333"/>
      <c r="AD730" s="3333"/>
      <c r="AE730" s="3333"/>
      <c r="AF730" s="3333"/>
      <c r="AI730" s="3120" t="str">
        <f>"52:ryouyoushoku_code:" &amp; IF(I730="■",1,IF(L730="■",2,0))</f>
        <v>52:ryouyoushoku_code:0</v>
      </c>
    </row>
    <row r="731" spans="1:35" s="3120" customFormat="1" ht="18.75" hidden="1" customHeight="1" x14ac:dyDescent="0.2">
      <c r="A731" s="834"/>
      <c r="B731" s="3148"/>
      <c r="C731" s="3295"/>
      <c r="D731" s="3294"/>
      <c r="E731" s="3145"/>
      <c r="F731" s="3144"/>
      <c r="G731" s="3145"/>
      <c r="H731" s="3151" t="s">
        <v>1237</v>
      </c>
      <c r="I731" s="3155" t="s">
        <v>116</v>
      </c>
      <c r="J731" s="3137" t="s">
        <v>1230</v>
      </c>
      <c r="K731" s="3137"/>
      <c r="L731" s="3154" t="s">
        <v>116</v>
      </c>
      <c r="M731" s="3137" t="s">
        <v>1231</v>
      </c>
      <c r="N731" s="3137"/>
      <c r="O731" s="3154" t="s">
        <v>116</v>
      </c>
      <c r="P731" s="3137" t="s">
        <v>1232</v>
      </c>
      <c r="Q731" s="3150"/>
      <c r="R731" s="3150"/>
      <c r="S731" s="3150"/>
      <c r="T731" s="3150"/>
      <c r="U731" s="3150"/>
      <c r="V731" s="3150"/>
      <c r="W731" s="3150"/>
      <c r="X731" s="3149"/>
      <c r="Y731" s="3293"/>
      <c r="Z731" s="1201"/>
      <c r="AA731" s="1201"/>
      <c r="AB731" s="1202"/>
      <c r="AC731" s="3333"/>
      <c r="AD731" s="3333"/>
      <c r="AE731" s="3333"/>
      <c r="AF731" s="3333"/>
      <c r="AI731" s="3120" t="str">
        <f>"52:ninti_senmoncare_code:" &amp; IF(I731="■",1,IF(O731="■",3,IF(L731="■",2,0)))</f>
        <v>52:ninti_senmoncare_code:0</v>
      </c>
    </row>
    <row r="732" spans="1:35" s="3120" customFormat="1" ht="18.75" hidden="1" customHeight="1" x14ac:dyDescent="0.2">
      <c r="A732" s="834"/>
      <c r="B732" s="3148"/>
      <c r="C732" s="3295"/>
      <c r="D732" s="3294"/>
      <c r="E732" s="3145"/>
      <c r="F732" s="3144"/>
      <c r="G732" s="3145"/>
      <c r="H732" s="3151" t="s">
        <v>1327</v>
      </c>
      <c r="I732" s="3155" t="s">
        <v>116</v>
      </c>
      <c r="J732" s="3137" t="s">
        <v>1230</v>
      </c>
      <c r="K732" s="3137"/>
      <c r="L732" s="3154" t="s">
        <v>116</v>
      </c>
      <c r="M732" s="3137" t="s">
        <v>1231</v>
      </c>
      <c r="N732" s="3137"/>
      <c r="O732" s="3154" t="s">
        <v>116</v>
      </c>
      <c r="P732" s="3137" t="s">
        <v>1232</v>
      </c>
      <c r="Q732" s="3171"/>
      <c r="R732" s="3171"/>
      <c r="S732" s="3171"/>
      <c r="T732" s="3171"/>
      <c r="U732" s="3171"/>
      <c r="V732" s="3171"/>
      <c r="W732" s="3171"/>
      <c r="X732" s="3297"/>
      <c r="Y732" s="3293"/>
      <c r="Z732" s="1201"/>
      <c r="AA732" s="1201"/>
      <c r="AB732" s="1202"/>
      <c r="AC732" s="3333"/>
      <c r="AD732" s="3333"/>
      <c r="AE732" s="3333"/>
      <c r="AF732" s="3333"/>
      <c r="AI732" s="3120" t="str">
        <f>"52:field228:" &amp; IF(I732="■",1,IF(L732="■",2,IF(O732="■",3,0)))</f>
        <v>52:field228:0</v>
      </c>
    </row>
    <row r="733" spans="1:35" s="3120" customFormat="1" ht="18.75" hidden="1" customHeight="1" x14ac:dyDescent="0.2">
      <c r="A733" s="834"/>
      <c r="B733" s="3148"/>
      <c r="C733" s="3295"/>
      <c r="D733" s="3294"/>
      <c r="E733" s="3145"/>
      <c r="F733" s="3144"/>
      <c r="G733" s="3145"/>
      <c r="H733" s="3304" t="s">
        <v>1300</v>
      </c>
      <c r="I733" s="3303" t="s">
        <v>116</v>
      </c>
      <c r="J733" s="3302" t="s">
        <v>2147</v>
      </c>
      <c r="K733" s="3317"/>
      <c r="L733" s="3302"/>
      <c r="M733" s="3302"/>
      <c r="N733" s="3302"/>
      <c r="O733" s="3209"/>
      <c r="P733" s="3209"/>
      <c r="Q733" s="3301" t="s">
        <v>116</v>
      </c>
      <c r="R733" s="3302" t="s">
        <v>2146</v>
      </c>
      <c r="S733" s="3167"/>
      <c r="T733" s="3167"/>
      <c r="U733" s="3167"/>
      <c r="V733" s="3167"/>
      <c r="W733" s="3167"/>
      <c r="X733" s="3166"/>
      <c r="Y733" s="3293"/>
      <c r="Z733" s="1201"/>
      <c r="AA733" s="1201"/>
      <c r="AB733" s="1202"/>
      <c r="AC733" s="3333"/>
      <c r="AD733" s="3333"/>
      <c r="AE733" s="3333"/>
      <c r="AF733" s="3333"/>
      <c r="AI733" s="3120" t="str">
        <f>"52:"&amp;IF(AND(I733="□",Q733="□",I734="□",Q734="□"),"koriha_rihasido_code:0:koriha_gengo_code:0:riha_seisin_code:0:koriha_other_code:0",IF(I733="■","koriha_rihasido_code:2","koriha_rihasido_code:1")
&amp;IF(Q733="■",":koriha_gengo_code:2",":koriha_gengo_code:1")
&amp;IF(I734="■",":riha_seisin_code:2",":riha_seisin_code:1")
&amp;IF(Q734="■",":koriha_other_code:2",":koriha_other_code:1"))</f>
        <v>52:koriha_rihasido_code:0:koriha_gengo_code:0:riha_seisin_code:0:koriha_other_code:0</v>
      </c>
    </row>
    <row r="734" spans="1:35" s="3120" customFormat="1" ht="18.75" hidden="1" customHeight="1" x14ac:dyDescent="0.2">
      <c r="A734" s="834"/>
      <c r="B734" s="3148"/>
      <c r="C734" s="3295"/>
      <c r="D734" s="3294"/>
      <c r="E734" s="3145"/>
      <c r="F734" s="3144"/>
      <c r="G734" s="3145"/>
      <c r="H734" s="3300"/>
      <c r="I734" s="3141" t="s">
        <v>116</v>
      </c>
      <c r="J734" s="3139" t="s">
        <v>2145</v>
      </c>
      <c r="K734" s="3207"/>
      <c r="L734" s="3302"/>
      <c r="M734" s="3207"/>
      <c r="N734" s="3207"/>
      <c r="O734" s="3207"/>
      <c r="P734" s="3207"/>
      <c r="Q734" s="3140" t="s">
        <v>116</v>
      </c>
      <c r="R734" s="3139" t="s">
        <v>2144</v>
      </c>
      <c r="S734" s="3162"/>
      <c r="T734" s="3162"/>
      <c r="U734" s="3162"/>
      <c r="V734" s="3162"/>
      <c r="W734" s="3162"/>
      <c r="X734" s="3161"/>
      <c r="Y734" s="3293"/>
      <c r="Z734" s="1201"/>
      <c r="AA734" s="1201"/>
      <c r="AB734" s="1202"/>
      <c r="AC734" s="3333"/>
      <c r="AD734" s="3333"/>
      <c r="AE734" s="3333"/>
      <c r="AF734" s="3333"/>
    </row>
    <row r="735" spans="1:35" s="3120" customFormat="1" ht="18.75" hidden="1" customHeight="1" x14ac:dyDescent="0.2">
      <c r="A735" s="834"/>
      <c r="B735" s="3148"/>
      <c r="C735" s="3295"/>
      <c r="D735" s="3294"/>
      <c r="E735" s="3145"/>
      <c r="F735" s="3144"/>
      <c r="G735" s="3145"/>
      <c r="H735" s="3159" t="s">
        <v>2143</v>
      </c>
      <c r="I735" s="3141" t="s">
        <v>116</v>
      </c>
      <c r="J735" s="3139" t="s">
        <v>1230</v>
      </c>
      <c r="K735" s="3138"/>
      <c r="L735" s="3154" t="s">
        <v>116</v>
      </c>
      <c r="M735" s="3137" t="s">
        <v>1239</v>
      </c>
      <c r="N735" s="3137"/>
      <c r="O735" s="3154" t="s">
        <v>116</v>
      </c>
      <c r="P735" s="3137" t="s">
        <v>2090</v>
      </c>
      <c r="Q735" s="3171"/>
      <c r="R735" s="3171"/>
      <c r="S735" s="3171"/>
      <c r="T735" s="3171"/>
      <c r="U735" s="3171"/>
      <c r="V735" s="3171"/>
      <c r="W735" s="3171"/>
      <c r="X735" s="3297"/>
      <c r="Y735" s="3293"/>
      <c r="Z735" s="1201"/>
      <c r="AA735" s="1201"/>
      <c r="AB735" s="1202"/>
      <c r="AC735" s="3333"/>
      <c r="AD735" s="3333"/>
      <c r="AE735" s="3333"/>
      <c r="AF735" s="3333"/>
      <c r="AI735" s="3120" t="str">
        <f>"52:field216:" &amp; IF(I735="■",1,IF(L735="■",3,IF(O735="■",2,0)))</f>
        <v>52:field216:0</v>
      </c>
    </row>
    <row r="736" spans="1:35" s="3120" customFormat="1" ht="18.75" hidden="1" customHeight="1" x14ac:dyDescent="0.2">
      <c r="A736" s="834"/>
      <c r="B736" s="3148"/>
      <c r="C736" s="3295"/>
      <c r="D736" s="3294"/>
      <c r="E736" s="3145"/>
      <c r="F736" s="3144"/>
      <c r="G736" s="3145"/>
      <c r="H736" s="3159" t="s">
        <v>795</v>
      </c>
      <c r="I736" s="3141" t="s">
        <v>116</v>
      </c>
      <c r="J736" s="3139" t="s">
        <v>1230</v>
      </c>
      <c r="K736" s="3138"/>
      <c r="L736" s="3140" t="s">
        <v>116</v>
      </c>
      <c r="M736" s="3139" t="s">
        <v>1233</v>
      </c>
      <c r="N736" s="3171"/>
      <c r="O736" s="3150"/>
      <c r="P736" s="3150"/>
      <c r="Q736" s="3150"/>
      <c r="R736" s="3150"/>
      <c r="S736" s="3150"/>
      <c r="T736" s="3150"/>
      <c r="U736" s="3150"/>
      <c r="V736" s="3150"/>
      <c r="W736" s="3150"/>
      <c r="X736" s="3149"/>
      <c r="Y736" s="3293"/>
      <c r="Z736" s="1201"/>
      <c r="AA736" s="1201"/>
      <c r="AB736" s="1202"/>
      <c r="AC736" s="3333"/>
      <c r="AD736" s="3333"/>
      <c r="AE736" s="3333"/>
      <c r="AF736" s="3333"/>
      <c r="AI736" s="3120" t="str">
        <f>"52:field210:" &amp; IF(I736="■",1,IF(L736="■",2,0))</f>
        <v>52:field210:0</v>
      </c>
    </row>
    <row r="737" spans="1:36" s="3120" customFormat="1" ht="18.75" hidden="1" customHeight="1" x14ac:dyDescent="0.2">
      <c r="A737" s="834"/>
      <c r="B737" s="3148"/>
      <c r="C737" s="3295"/>
      <c r="D737" s="3294"/>
      <c r="E737" s="3145"/>
      <c r="F737" s="3144"/>
      <c r="G737" s="3145"/>
      <c r="H737" s="3151" t="s">
        <v>796</v>
      </c>
      <c r="I737" s="3141" t="s">
        <v>116</v>
      </c>
      <c r="J737" s="3139" t="s">
        <v>1230</v>
      </c>
      <c r="K737" s="3138"/>
      <c r="L737" s="3140" t="s">
        <v>116</v>
      </c>
      <c r="M737" s="3139" t="s">
        <v>1233</v>
      </c>
      <c r="N737" s="3171"/>
      <c r="O737" s="3150"/>
      <c r="P737" s="3150"/>
      <c r="Q737" s="3150"/>
      <c r="R737" s="3150"/>
      <c r="S737" s="3150"/>
      <c r="T737" s="3150"/>
      <c r="U737" s="3150"/>
      <c r="V737" s="3150"/>
      <c r="W737" s="3150"/>
      <c r="X737" s="3149"/>
      <c r="Y737" s="3293"/>
      <c r="Z737" s="1201"/>
      <c r="AA737" s="1201"/>
      <c r="AB737" s="1202"/>
      <c r="AC737" s="3333"/>
      <c r="AD737" s="3333"/>
      <c r="AE737" s="3333"/>
      <c r="AF737" s="3333"/>
      <c r="AI737" s="3120" t="str">
        <f>"52:field211:" &amp; IF(I737="■",1,IF(L737="■",2,0))</f>
        <v>52:field211:0</v>
      </c>
    </row>
    <row r="738" spans="1:36" s="3120" customFormat="1" ht="18.75" hidden="1" customHeight="1" x14ac:dyDescent="0.2">
      <c r="A738" s="834"/>
      <c r="B738" s="3148"/>
      <c r="C738" s="3295"/>
      <c r="D738" s="3294"/>
      <c r="E738" s="3145"/>
      <c r="F738" s="3144"/>
      <c r="G738" s="3145"/>
      <c r="H738" s="3151" t="s">
        <v>797</v>
      </c>
      <c r="I738" s="3141" t="s">
        <v>116</v>
      </c>
      <c r="J738" s="3139" t="s">
        <v>1230</v>
      </c>
      <c r="K738" s="3138"/>
      <c r="L738" s="3140" t="s">
        <v>116</v>
      </c>
      <c r="M738" s="3139" t="s">
        <v>1233</v>
      </c>
      <c r="N738" s="3171"/>
      <c r="O738" s="3150"/>
      <c r="P738" s="3150"/>
      <c r="Q738" s="3150"/>
      <c r="R738" s="3150"/>
      <c r="S738" s="3150"/>
      <c r="T738" s="3150"/>
      <c r="U738" s="3150"/>
      <c r="V738" s="3150"/>
      <c r="W738" s="3150"/>
      <c r="X738" s="3149"/>
      <c r="Y738" s="3293"/>
      <c r="Z738" s="1201"/>
      <c r="AA738" s="1201"/>
      <c r="AB738" s="1202"/>
      <c r="AC738" s="3333"/>
      <c r="AD738" s="3333"/>
      <c r="AE738" s="3333"/>
      <c r="AF738" s="3333"/>
      <c r="AI738" s="3120" t="str">
        <f>"52:field212:" &amp; IF(I738="■",1,IF(L738="■",2,0))</f>
        <v>52:field212:0</v>
      </c>
    </row>
    <row r="739" spans="1:36" s="3120" customFormat="1" ht="18.75" hidden="1" customHeight="1" x14ac:dyDescent="0.2">
      <c r="A739" s="834"/>
      <c r="B739" s="3148"/>
      <c r="C739" s="3295"/>
      <c r="D739" s="3294"/>
      <c r="E739" s="3145"/>
      <c r="F739" s="3144"/>
      <c r="G739" s="3145"/>
      <c r="H739" s="3151" t="s">
        <v>798</v>
      </c>
      <c r="I739" s="3141" t="s">
        <v>116</v>
      </c>
      <c r="J739" s="3139" t="s">
        <v>1230</v>
      </c>
      <c r="K739" s="3138"/>
      <c r="L739" s="3140" t="s">
        <v>116</v>
      </c>
      <c r="M739" s="3139" t="s">
        <v>1233</v>
      </c>
      <c r="N739" s="3171"/>
      <c r="O739" s="3150"/>
      <c r="P739" s="3150"/>
      <c r="Q739" s="3150"/>
      <c r="R739" s="3150"/>
      <c r="S739" s="3150"/>
      <c r="T739" s="3150"/>
      <c r="U739" s="3150"/>
      <c r="V739" s="3150"/>
      <c r="W739" s="3150"/>
      <c r="X739" s="3149"/>
      <c r="Y739" s="3293"/>
      <c r="Z739" s="1201"/>
      <c r="AA739" s="1201"/>
      <c r="AB739" s="1202"/>
      <c r="AC739" s="3333"/>
      <c r="AD739" s="3333"/>
      <c r="AE739" s="3333"/>
      <c r="AF739" s="3333"/>
      <c r="AI739" s="3120" t="str">
        <f>"52:field209:" &amp; IF(I739="■",1,IF(L739="■",2,0))</f>
        <v>52:field209:0</v>
      </c>
    </row>
    <row r="740" spans="1:36" s="3120" customFormat="1" ht="18.75" hidden="1" customHeight="1" x14ac:dyDescent="0.2">
      <c r="A740" s="834"/>
      <c r="B740" s="3148"/>
      <c r="C740" s="3295"/>
      <c r="D740" s="3294"/>
      <c r="E740" s="3145"/>
      <c r="F740" s="3144"/>
      <c r="G740" s="3145"/>
      <c r="H740" s="3151" t="s">
        <v>1323</v>
      </c>
      <c r="I740" s="3155" t="s">
        <v>116</v>
      </c>
      <c r="J740" s="3137" t="s">
        <v>1230</v>
      </c>
      <c r="K740" s="3137"/>
      <c r="L740" s="3154" t="s">
        <v>116</v>
      </c>
      <c r="M740" s="3139" t="s">
        <v>1233</v>
      </c>
      <c r="N740" s="3137"/>
      <c r="O740" s="3137"/>
      <c r="P740" s="3137"/>
      <c r="Q740" s="3171"/>
      <c r="R740" s="3171"/>
      <c r="S740" s="3171"/>
      <c r="T740" s="3171"/>
      <c r="U740" s="3171"/>
      <c r="V740" s="3171"/>
      <c r="W740" s="3171"/>
      <c r="X740" s="3297"/>
      <c r="Y740" s="3293"/>
      <c r="Z740" s="1201"/>
      <c r="AA740" s="1201"/>
      <c r="AB740" s="1202"/>
      <c r="AC740" s="3333"/>
      <c r="AD740" s="3333"/>
      <c r="AE740" s="3333"/>
      <c r="AF740" s="3333"/>
      <c r="AI740" s="3120" t="str">
        <f>"52:field226:" &amp; IF(I740="■",1,IF(L740="■",2,0))</f>
        <v>52:field226:0</v>
      </c>
    </row>
    <row r="741" spans="1:36" s="3120" customFormat="1" ht="18.75" hidden="1" customHeight="1" x14ac:dyDescent="0.2">
      <c r="A741" s="834"/>
      <c r="B741" s="3148"/>
      <c r="C741" s="3295"/>
      <c r="D741" s="3294"/>
      <c r="E741" s="3145"/>
      <c r="F741" s="3144"/>
      <c r="G741" s="3145"/>
      <c r="H741" s="3151" t="s">
        <v>1324</v>
      </c>
      <c r="I741" s="3155" t="s">
        <v>116</v>
      </c>
      <c r="J741" s="3137" t="s">
        <v>1230</v>
      </c>
      <c r="K741" s="3137"/>
      <c r="L741" s="3154" t="s">
        <v>116</v>
      </c>
      <c r="M741" s="3139" t="s">
        <v>1233</v>
      </c>
      <c r="N741" s="3137"/>
      <c r="O741" s="3137"/>
      <c r="P741" s="3137"/>
      <c r="Q741" s="3171"/>
      <c r="R741" s="3171"/>
      <c r="S741" s="3171"/>
      <c r="T741" s="3171"/>
      <c r="U741" s="3171"/>
      <c r="V741" s="3171"/>
      <c r="W741" s="3171"/>
      <c r="X741" s="3297"/>
      <c r="Y741" s="3293"/>
      <c r="Z741" s="1201"/>
      <c r="AA741" s="1201"/>
      <c r="AB741" s="1202"/>
      <c r="AC741" s="3333"/>
      <c r="AD741" s="3333"/>
      <c r="AE741" s="3333"/>
      <c r="AF741" s="3333"/>
      <c r="AI741" s="3120" t="str">
        <f>"52:field227:" &amp; IF(I741="■",1,IF(L741="■",2,0))</f>
        <v>52:field227:0</v>
      </c>
    </row>
    <row r="742" spans="1:36" s="3120" customFormat="1" ht="18.75" hidden="1" customHeight="1" x14ac:dyDescent="0.2">
      <c r="A742" s="834"/>
      <c r="B742" s="3148"/>
      <c r="C742" s="3295"/>
      <c r="D742" s="3294"/>
      <c r="E742" s="3145"/>
      <c r="F742" s="3144"/>
      <c r="G742" s="3145"/>
      <c r="H742" s="3296" t="s">
        <v>1285</v>
      </c>
      <c r="I742" s="3155" t="s">
        <v>116</v>
      </c>
      <c r="J742" s="3137" t="s">
        <v>1230</v>
      </c>
      <c r="K742" s="3137"/>
      <c r="L742" s="3154" t="s">
        <v>116</v>
      </c>
      <c r="M742" s="3137" t="s">
        <v>1231</v>
      </c>
      <c r="N742" s="3137"/>
      <c r="O742" s="3154" t="s">
        <v>116</v>
      </c>
      <c r="P742" s="3137" t="s">
        <v>1232</v>
      </c>
      <c r="Q742" s="3150"/>
      <c r="R742" s="3150"/>
      <c r="S742" s="3150"/>
      <c r="T742" s="3150"/>
      <c r="U742" s="3209"/>
      <c r="V742" s="3209"/>
      <c r="W742" s="3209"/>
      <c r="X742" s="3208"/>
      <c r="Y742" s="3293"/>
      <c r="Z742" s="1201"/>
      <c r="AA742" s="1201"/>
      <c r="AB742" s="1202"/>
      <c r="AC742" s="3333"/>
      <c r="AD742" s="3333"/>
      <c r="AE742" s="3333"/>
      <c r="AF742" s="3333"/>
      <c r="AI742" s="3120" t="str">
        <f>"52:field225:" &amp; IF(I742="■",1,IF(L742="■",2,IF(O742="■",3,0)))</f>
        <v>52:field225:0</v>
      </c>
    </row>
    <row r="743" spans="1:36" s="3120" customFormat="1" ht="18.75" hidden="1" customHeight="1" x14ac:dyDescent="0.2">
      <c r="A743" s="834"/>
      <c r="B743" s="3148"/>
      <c r="C743" s="3295"/>
      <c r="D743" s="3294"/>
      <c r="E743" s="3145"/>
      <c r="F743" s="3144"/>
      <c r="G743" s="3145"/>
      <c r="H743" s="3151" t="s">
        <v>238</v>
      </c>
      <c r="I743" s="3155" t="s">
        <v>116</v>
      </c>
      <c r="J743" s="3137" t="s">
        <v>1230</v>
      </c>
      <c r="K743" s="3137"/>
      <c r="L743" s="3154" t="s">
        <v>116</v>
      </c>
      <c r="M743" s="3137" t="s">
        <v>1259</v>
      </c>
      <c r="N743" s="3137"/>
      <c r="O743" s="3154" t="s">
        <v>116</v>
      </c>
      <c r="P743" s="3137" t="s">
        <v>1260</v>
      </c>
      <c r="Q743" s="3153"/>
      <c r="R743" s="3154" t="s">
        <v>116</v>
      </c>
      <c r="S743" s="3137" t="s">
        <v>1261</v>
      </c>
      <c r="T743" s="3137"/>
      <c r="U743" s="3153"/>
      <c r="V743" s="3153"/>
      <c r="W743" s="3153"/>
      <c r="X743" s="3152"/>
      <c r="Y743" s="3293"/>
      <c r="Z743" s="1201"/>
      <c r="AA743" s="1201"/>
      <c r="AB743" s="1202"/>
      <c r="AC743" s="3333"/>
      <c r="AD743" s="3333"/>
      <c r="AE743" s="3333"/>
      <c r="AF743" s="3333"/>
      <c r="AI743" s="3120" t="str">
        <f>"52:serteikyo_kyoka_code:" &amp; IF(I743="■",1,IF(L743="■",6,IF(O743="■",5,IF(R743="■",7,0))))</f>
        <v>52:serteikyo_kyoka_code:0</v>
      </c>
    </row>
    <row r="744" spans="1:36" s="3120" customFormat="1" ht="18.75" hidden="1" customHeight="1" x14ac:dyDescent="0.2">
      <c r="A744" s="835"/>
      <c r="B744" s="3135"/>
      <c r="C744" s="3134"/>
      <c r="D744" s="3133"/>
      <c r="E744" s="3132"/>
      <c r="F744" s="3131"/>
      <c r="G744" s="3189"/>
      <c r="H744" s="3289" t="s">
        <v>2129</v>
      </c>
      <c r="I744" s="3128" t="s">
        <v>116</v>
      </c>
      <c r="J744" s="3285" t="s">
        <v>1230</v>
      </c>
      <c r="K744" s="3285"/>
      <c r="L744" s="3127" t="s">
        <v>116</v>
      </c>
      <c r="M744" s="3285" t="s">
        <v>2128</v>
      </c>
      <c r="N744" s="3288"/>
      <c r="O744" s="3127" t="s">
        <v>116</v>
      </c>
      <c r="P744" s="3287" t="s">
        <v>2127</v>
      </c>
      <c r="Q744" s="3286"/>
      <c r="R744" s="3127" t="s">
        <v>116</v>
      </c>
      <c r="S744" s="3285" t="s">
        <v>2126</v>
      </c>
      <c r="T744" s="3286"/>
      <c r="U744" s="3127" t="s">
        <v>116</v>
      </c>
      <c r="V744" s="3285" t="s">
        <v>2125</v>
      </c>
      <c r="W744" s="3284"/>
      <c r="X744" s="3283"/>
      <c r="Y744" s="3282"/>
      <c r="Z744" s="3282"/>
      <c r="AA744" s="3282"/>
      <c r="AB744" s="3281"/>
      <c r="AC744" s="3332"/>
      <c r="AD744" s="3332"/>
      <c r="AE744" s="3332"/>
      <c r="AF744" s="3332"/>
      <c r="AI744" s="3120" t="str">
        <f>"52:shoguukaizen_code:"&amp;IF(I744="■",1,IF(L744="■",7,IF(O744="■",8,IF(R744="■",9,IF(U744="■","A",0)))))</f>
        <v>52:shoguukaizen_code:0</v>
      </c>
    </row>
    <row r="745" spans="1:36" s="3120" customFormat="1" ht="18.75" hidden="1" customHeight="1" x14ac:dyDescent="0.2">
      <c r="A745" s="3188"/>
      <c r="B745" s="3187"/>
      <c r="C745" s="3313"/>
      <c r="D745" s="3312"/>
      <c r="E745" s="3185"/>
      <c r="F745" s="3184"/>
      <c r="G745" s="3185"/>
      <c r="H745" s="3182" t="s">
        <v>1286</v>
      </c>
      <c r="I745" s="3181" t="s">
        <v>116</v>
      </c>
      <c r="J745" s="3180" t="s">
        <v>1282</v>
      </c>
      <c r="K745" s="3226"/>
      <c r="L745" s="3225"/>
      <c r="M745" s="3179" t="s">
        <v>116</v>
      </c>
      <c r="N745" s="3180" t="s">
        <v>1283</v>
      </c>
      <c r="O745" s="3177"/>
      <c r="P745" s="3177"/>
      <c r="Q745" s="3177"/>
      <c r="R745" s="3177"/>
      <c r="S745" s="3177"/>
      <c r="T745" s="3177"/>
      <c r="U745" s="3177"/>
      <c r="V745" s="3177"/>
      <c r="W745" s="3177"/>
      <c r="X745" s="3176"/>
      <c r="Y745" s="3253" t="s">
        <v>116</v>
      </c>
      <c r="Z745" s="3252" t="s">
        <v>1225</v>
      </c>
      <c r="AA745" s="3252"/>
      <c r="AB745" s="3308"/>
      <c r="AC745" s="3338"/>
      <c r="AD745" s="3338"/>
      <c r="AE745" s="3338"/>
      <c r="AF745" s="3338"/>
      <c r="AG745" s="3120" t="str">
        <f>"ser_code = '" &amp; IF(A761="■",52,"") &amp; "'"</f>
        <v>ser_code = ''</v>
      </c>
      <c r="AI745" s="3120" t="str">
        <f>"52:yakan_kinmu_code:" &amp; IF(I745="■",1,IF(M745="■",6,0))</f>
        <v>52:yakan_kinmu_code:0</v>
      </c>
      <c r="AJ745" s="3120" t="str">
        <f>"52:field203:" &amp; IF(Y745="■",1,IF(Y746="■",2,0))</f>
        <v>52:field203:0</v>
      </c>
    </row>
    <row r="746" spans="1:36" s="3120" customFormat="1" ht="18.75" hidden="1" customHeight="1" x14ac:dyDescent="0.2">
      <c r="A746" s="834"/>
      <c r="B746" s="3148"/>
      <c r="C746" s="3295"/>
      <c r="D746" s="3294"/>
      <c r="E746" s="3145"/>
      <c r="F746" s="3144"/>
      <c r="G746" s="3145"/>
      <c r="H746" s="3304" t="s">
        <v>90</v>
      </c>
      <c r="I746" s="3303" t="s">
        <v>116</v>
      </c>
      <c r="J746" s="3302" t="s">
        <v>1230</v>
      </c>
      <c r="K746" s="3302"/>
      <c r="L746" s="3167"/>
      <c r="M746" s="3301" t="s">
        <v>116</v>
      </c>
      <c r="N746" s="3302" t="s">
        <v>1262</v>
      </c>
      <c r="O746" s="3302"/>
      <c r="P746" s="3167"/>
      <c r="Q746" s="3301" t="s">
        <v>116</v>
      </c>
      <c r="R746" s="3167" t="s">
        <v>1263</v>
      </c>
      <c r="S746" s="3167"/>
      <c r="T746" s="3167"/>
      <c r="U746" s="3301" t="s">
        <v>116</v>
      </c>
      <c r="V746" s="3167" t="s">
        <v>1264</v>
      </c>
      <c r="W746" s="3167"/>
      <c r="X746" s="3166"/>
      <c r="Y746" s="3158" t="s">
        <v>116</v>
      </c>
      <c r="Z746" s="1200" t="s">
        <v>1226</v>
      </c>
      <c r="AA746" s="1201"/>
      <c r="AB746" s="1202"/>
      <c r="AC746" s="3333"/>
      <c r="AD746" s="3333"/>
      <c r="AE746" s="3333"/>
      <c r="AF746" s="3333"/>
      <c r="AG746" s="3120" t="str">
        <f>"52:sisetukbn_code:" &amp; IF(D760="■",6,IF(D761="■",8,0))</f>
        <v>52:sisetukbn_code:0</v>
      </c>
      <c r="AI746" s="3120" t="str">
        <f>"52:"&amp;IF(AND(I746="□",M746="□",Q746="□",U746="□",I747="□",M747="□",Q747="□",I748="□"),"ketu_doctor_code:0",IF(I746="■","ketu_doctor_code:1:ketu_kangos_code:1:ketu_kshoku_code:1:ketu_rryoho_code:1:ketu_sryoho_code:1:ketu_ksiensou_code:1:ketu_gengo_code:1",IF(M746="■","ketu_doctor_code:2","ketu_doctor_code:1")
&amp;IF(Q746="■",":ketu_kangos_code:2",":ketu_kangos_code:1")
&amp;IF(U746="■",":ketu_kshoku_code:2",":ketu_kshoku_code:1")
&amp;IF(I747="■",":ketu_rryoho_code:2",":ketu_rryoho_code:1")
&amp;IF(M747="■",":ketu_sryoho_code:2",":ketu_sryoho_code:1")
&amp;IF(Q747="■",":ketu_ksiensou_code:2",":ketu_ksiensou_code:1")
&amp;IF(I748="■",":ketu_gengo_code:2",":ketu_gengo_code:1")))</f>
        <v>52:ketu_doctor_code:0</v>
      </c>
    </row>
    <row r="747" spans="1:36" s="3120" customFormat="1" ht="18.75" hidden="1" customHeight="1" x14ac:dyDescent="0.2">
      <c r="A747" s="834"/>
      <c r="B747" s="3148"/>
      <c r="C747" s="3295"/>
      <c r="D747" s="3294"/>
      <c r="E747" s="3145"/>
      <c r="F747" s="3144"/>
      <c r="G747" s="3145"/>
      <c r="H747" s="3337"/>
      <c r="I747" s="3158" t="s">
        <v>116</v>
      </c>
      <c r="J747" s="1200" t="s">
        <v>1265</v>
      </c>
      <c r="K747" s="1200"/>
      <c r="L747" s="836"/>
      <c r="M747" s="3258" t="s">
        <v>116</v>
      </c>
      <c r="N747" s="1200" t="s">
        <v>1266</v>
      </c>
      <c r="O747" s="1200"/>
      <c r="P747" s="836"/>
      <c r="Q747" s="3258" t="s">
        <v>116</v>
      </c>
      <c r="R747" s="836" t="s">
        <v>2141</v>
      </c>
      <c r="S747" s="836"/>
      <c r="T747" s="836"/>
      <c r="U747" s="836"/>
      <c r="V747" s="836"/>
      <c r="W747" s="836"/>
      <c r="X747" s="3336"/>
      <c r="Y747" s="3293"/>
      <c r="Z747" s="1201"/>
      <c r="AA747" s="1201"/>
      <c r="AB747" s="1202"/>
      <c r="AC747" s="3333"/>
      <c r="AD747" s="3333"/>
      <c r="AE747" s="3333"/>
      <c r="AF747" s="3333"/>
    </row>
    <row r="748" spans="1:36" s="3120" customFormat="1" ht="18.75" hidden="1" customHeight="1" x14ac:dyDescent="0.2">
      <c r="A748" s="834"/>
      <c r="B748" s="3148"/>
      <c r="C748" s="3295"/>
      <c r="D748" s="3294"/>
      <c r="E748" s="3145"/>
      <c r="F748" s="3144"/>
      <c r="G748" s="3145"/>
      <c r="H748" s="3300"/>
      <c r="I748" s="3141" t="s">
        <v>116</v>
      </c>
      <c r="J748" s="3139" t="s">
        <v>2140</v>
      </c>
      <c r="K748" s="3139"/>
      <c r="L748" s="3162"/>
      <c r="M748" s="3139"/>
      <c r="N748" s="3139"/>
      <c r="O748" s="3139"/>
      <c r="P748" s="3162"/>
      <c r="Q748" s="3139"/>
      <c r="R748" s="3162"/>
      <c r="S748" s="3162"/>
      <c r="T748" s="3162"/>
      <c r="U748" s="3162"/>
      <c r="V748" s="3162"/>
      <c r="W748" s="3162"/>
      <c r="X748" s="3161"/>
      <c r="Y748" s="3293"/>
      <c r="Z748" s="1201"/>
      <c r="AA748" s="1201"/>
      <c r="AB748" s="1202"/>
      <c r="AC748" s="3333"/>
      <c r="AD748" s="3333"/>
      <c r="AE748" s="3333"/>
      <c r="AF748" s="3333"/>
    </row>
    <row r="749" spans="1:36" s="3120" customFormat="1" ht="18.75" hidden="1" customHeight="1" x14ac:dyDescent="0.2">
      <c r="A749" s="834"/>
      <c r="B749" s="3148"/>
      <c r="C749" s="3295"/>
      <c r="D749" s="3294"/>
      <c r="E749" s="3145"/>
      <c r="F749" s="3144"/>
      <c r="G749" s="3145"/>
      <c r="H749" s="3151" t="s">
        <v>91</v>
      </c>
      <c r="I749" s="3155" t="s">
        <v>116</v>
      </c>
      <c r="J749" s="3137" t="s">
        <v>1240</v>
      </c>
      <c r="K749" s="3171"/>
      <c r="L749" s="3173"/>
      <c r="M749" s="3154" t="s">
        <v>116</v>
      </c>
      <c r="N749" s="3137" t="s">
        <v>1241</v>
      </c>
      <c r="O749" s="3171"/>
      <c r="P749" s="3171"/>
      <c r="Q749" s="3150"/>
      <c r="R749" s="3150"/>
      <c r="S749" s="3150"/>
      <c r="T749" s="3150"/>
      <c r="U749" s="3150"/>
      <c r="V749" s="3150"/>
      <c r="W749" s="3150"/>
      <c r="X749" s="3149"/>
      <c r="Y749" s="3293"/>
      <c r="Z749" s="1201"/>
      <c r="AA749" s="1201"/>
      <c r="AB749" s="1202"/>
      <c r="AC749" s="3333"/>
      <c r="AD749" s="3333"/>
      <c r="AE749" s="3333"/>
      <c r="AF749" s="3333"/>
      <c r="AI749" s="3120" t="str">
        <f>"52:unitcare_code:" &amp; IF(I749="■",1,IF(M749="■",2,0))</f>
        <v>52:unitcare_code:0</v>
      </c>
    </row>
    <row r="750" spans="1:36" s="3120" customFormat="1" ht="18.75" hidden="1" customHeight="1" x14ac:dyDescent="0.2">
      <c r="A750" s="834"/>
      <c r="B750" s="3148"/>
      <c r="C750" s="3295"/>
      <c r="D750" s="3294"/>
      <c r="E750" s="3145"/>
      <c r="F750" s="3144"/>
      <c r="G750" s="3145"/>
      <c r="H750" s="3151" t="s">
        <v>1325</v>
      </c>
      <c r="I750" s="3155" t="s">
        <v>116</v>
      </c>
      <c r="J750" s="3137" t="s">
        <v>1228</v>
      </c>
      <c r="K750" s="3171"/>
      <c r="L750" s="3173"/>
      <c r="M750" s="3154" t="s">
        <v>116</v>
      </c>
      <c r="N750" s="3137" t="s">
        <v>1322</v>
      </c>
      <c r="O750" s="3171"/>
      <c r="P750" s="3171"/>
      <c r="Q750" s="3150"/>
      <c r="R750" s="3150"/>
      <c r="S750" s="3150"/>
      <c r="T750" s="3150"/>
      <c r="U750" s="3150"/>
      <c r="V750" s="3150"/>
      <c r="W750" s="3150"/>
      <c r="X750" s="3149"/>
      <c r="Y750" s="3293"/>
      <c r="Z750" s="1201"/>
      <c r="AA750" s="1201"/>
      <c r="AB750" s="1202"/>
      <c r="AC750" s="3333"/>
      <c r="AD750" s="3333"/>
      <c r="AE750" s="3333"/>
      <c r="AF750" s="3333"/>
      <c r="AI750" s="3120" t="str">
        <f>"52:sintaikousoku_code:" &amp; IF(I750="■",1,IF(M750="■",2,0))</f>
        <v>52:sintaikousoku_code:0</v>
      </c>
    </row>
    <row r="751" spans="1:36" s="3120" customFormat="1" ht="18.75" hidden="1" customHeight="1" x14ac:dyDescent="0.2">
      <c r="A751" s="834"/>
      <c r="B751" s="3148"/>
      <c r="C751" s="3295"/>
      <c r="D751" s="3294"/>
      <c r="E751" s="3145"/>
      <c r="F751" s="3144"/>
      <c r="G751" s="3145"/>
      <c r="H751" s="3151" t="s">
        <v>792</v>
      </c>
      <c r="I751" s="3155" t="s">
        <v>116</v>
      </c>
      <c r="J751" s="3137" t="s">
        <v>1228</v>
      </c>
      <c r="K751" s="3171"/>
      <c r="L751" s="3173"/>
      <c r="M751" s="3154" t="s">
        <v>116</v>
      </c>
      <c r="N751" s="3137" t="s">
        <v>1322</v>
      </c>
      <c r="O751" s="3171"/>
      <c r="P751" s="3171"/>
      <c r="Q751" s="3150"/>
      <c r="R751" s="3150"/>
      <c r="S751" s="3150"/>
      <c r="T751" s="3150"/>
      <c r="U751" s="3150"/>
      <c r="V751" s="3150"/>
      <c r="W751" s="3150"/>
      <c r="X751" s="3149"/>
      <c r="Y751" s="3293"/>
      <c r="Z751" s="1201"/>
      <c r="AA751" s="1201"/>
      <c r="AB751" s="1202"/>
      <c r="AC751" s="3333"/>
      <c r="AD751" s="3333"/>
      <c r="AE751" s="3333"/>
      <c r="AF751" s="3333"/>
      <c r="AI751" s="3120" t="str">
        <f>"52:field208:" &amp; IF(I751="■",1,IF(M751="■",2,0))</f>
        <v>52:field208:0</v>
      </c>
    </row>
    <row r="752" spans="1:36" s="3120" customFormat="1" ht="19.5" hidden="1" customHeight="1" x14ac:dyDescent="0.2">
      <c r="A752" s="834"/>
      <c r="B752" s="3148"/>
      <c r="C752" s="3147"/>
      <c r="D752" s="3146"/>
      <c r="E752" s="3145"/>
      <c r="F752" s="3144"/>
      <c r="G752" s="3175"/>
      <c r="H752" s="3174" t="s">
        <v>1227</v>
      </c>
      <c r="I752" s="3155" t="s">
        <v>116</v>
      </c>
      <c r="J752" s="3137" t="s">
        <v>1228</v>
      </c>
      <c r="K752" s="3171"/>
      <c r="L752" s="3173"/>
      <c r="M752" s="3154" t="s">
        <v>116</v>
      </c>
      <c r="N752" s="3137" t="s">
        <v>1229</v>
      </c>
      <c r="O752" s="3299"/>
      <c r="P752" s="3137"/>
      <c r="Q752" s="3150"/>
      <c r="R752" s="3150"/>
      <c r="S752" s="3150"/>
      <c r="T752" s="3150"/>
      <c r="U752" s="3150"/>
      <c r="V752" s="3150"/>
      <c r="W752" s="3150"/>
      <c r="X752" s="3149"/>
      <c r="Y752" s="1201"/>
      <c r="Z752" s="1201"/>
      <c r="AA752" s="1201"/>
      <c r="AB752" s="1202"/>
      <c r="AC752" s="3333"/>
      <c r="AD752" s="3333"/>
      <c r="AE752" s="3333"/>
      <c r="AF752" s="3333"/>
      <c r="AI752" s="3120" t="str">
        <f>"52:field223:" &amp; IF(I752="■",1,IF(M752="■",2,0))</f>
        <v>52:field223:0</v>
      </c>
    </row>
    <row r="753" spans="1:35" s="3120" customFormat="1" ht="19.5" hidden="1" customHeight="1" x14ac:dyDescent="0.2">
      <c r="A753" s="834"/>
      <c r="B753" s="3148"/>
      <c r="C753" s="3147"/>
      <c r="D753" s="3146"/>
      <c r="E753" s="3145"/>
      <c r="F753" s="3144"/>
      <c r="G753" s="3175"/>
      <c r="H753" s="3174" t="s">
        <v>1253</v>
      </c>
      <c r="I753" s="3155" t="s">
        <v>116</v>
      </c>
      <c r="J753" s="3137" t="s">
        <v>1228</v>
      </c>
      <c r="K753" s="3171"/>
      <c r="L753" s="3173"/>
      <c r="M753" s="3154" t="s">
        <v>116</v>
      </c>
      <c r="N753" s="3137" t="s">
        <v>1229</v>
      </c>
      <c r="O753" s="3299"/>
      <c r="P753" s="3137"/>
      <c r="Q753" s="3150"/>
      <c r="R753" s="3150"/>
      <c r="S753" s="3150"/>
      <c r="T753" s="3150"/>
      <c r="U753" s="3150"/>
      <c r="V753" s="3150"/>
      <c r="W753" s="3150"/>
      <c r="X753" s="3149"/>
      <c r="Y753" s="1201"/>
      <c r="Z753" s="1201"/>
      <c r="AA753" s="1201"/>
      <c r="AB753" s="1202"/>
      <c r="AC753" s="3333"/>
      <c r="AD753" s="3333"/>
      <c r="AE753" s="3333"/>
      <c r="AF753" s="3333"/>
      <c r="AI753" s="3120" t="str">
        <f>"52:field232:" &amp; IF(I753="■",1,IF(M753="■",2,0))</f>
        <v>52:field232:0</v>
      </c>
    </row>
    <row r="754" spans="1:35" s="3120" customFormat="1" ht="37.5" hidden="1" customHeight="1" x14ac:dyDescent="0.2">
      <c r="A754" s="834"/>
      <c r="B754" s="3148"/>
      <c r="C754" s="3295"/>
      <c r="D754" s="3294"/>
      <c r="E754" s="3145"/>
      <c r="F754" s="3144"/>
      <c r="G754" s="3145"/>
      <c r="H754" s="3142" t="s">
        <v>1326</v>
      </c>
      <c r="I754" s="3141" t="s">
        <v>116</v>
      </c>
      <c r="J754" s="3139" t="s">
        <v>1230</v>
      </c>
      <c r="K754" s="3138"/>
      <c r="L754" s="3140" t="s">
        <v>116</v>
      </c>
      <c r="M754" s="3139" t="s">
        <v>1233</v>
      </c>
      <c r="N754" s="3171"/>
      <c r="O754" s="3153"/>
      <c r="P754" s="3153"/>
      <c r="Q754" s="3153"/>
      <c r="R754" s="3153"/>
      <c r="S754" s="3153"/>
      <c r="T754" s="3153"/>
      <c r="U754" s="3153"/>
      <c r="V754" s="3153"/>
      <c r="W754" s="3153"/>
      <c r="X754" s="3152"/>
      <c r="Y754" s="3293"/>
      <c r="Z754" s="1201"/>
      <c r="AA754" s="1201"/>
      <c r="AB754" s="1202"/>
      <c r="AC754" s="3333"/>
      <c r="AD754" s="3333"/>
      <c r="AE754" s="3333"/>
      <c r="AF754" s="3333"/>
      <c r="AI754" s="3120" t="str">
        <f>"52:field206:" &amp; IF(I754="■",1,IF(L754="■",2,0))</f>
        <v>52:field206:0</v>
      </c>
    </row>
    <row r="755" spans="1:35" s="3120" customFormat="1" ht="18.75" hidden="1" customHeight="1" x14ac:dyDescent="0.2">
      <c r="A755" s="834"/>
      <c r="B755" s="3148"/>
      <c r="C755" s="3295"/>
      <c r="D755" s="3294"/>
      <c r="E755" s="3145"/>
      <c r="F755" s="3144"/>
      <c r="G755" s="3145"/>
      <c r="H755" s="3151" t="s">
        <v>2137</v>
      </c>
      <c r="I755" s="3141" t="s">
        <v>116</v>
      </c>
      <c r="J755" s="3139" t="s">
        <v>1230</v>
      </c>
      <c r="K755" s="3138"/>
      <c r="L755" s="3140" t="s">
        <v>116</v>
      </c>
      <c r="M755" s="3139" t="s">
        <v>1233</v>
      </c>
      <c r="N755" s="3171"/>
      <c r="O755" s="3150"/>
      <c r="P755" s="3150"/>
      <c r="Q755" s="3150"/>
      <c r="R755" s="3150"/>
      <c r="S755" s="3150"/>
      <c r="T755" s="3150"/>
      <c r="U755" s="3150"/>
      <c r="V755" s="3150"/>
      <c r="W755" s="3150"/>
      <c r="X755" s="3149"/>
      <c r="Y755" s="3293"/>
      <c r="Z755" s="1201"/>
      <c r="AA755" s="1201"/>
      <c r="AB755" s="1202"/>
      <c r="AC755" s="3333"/>
      <c r="AD755" s="3333"/>
      <c r="AE755" s="3333"/>
      <c r="AF755" s="3333"/>
      <c r="AI755" s="3120" t="str">
        <f>"52:yakinhaiti_code:" &amp; IF(I755="■",1,IF(L755="■",2,0))</f>
        <v>52:yakinhaiti_code:0</v>
      </c>
    </row>
    <row r="756" spans="1:35" s="3120" customFormat="1" ht="18.75" hidden="1" customHeight="1" x14ac:dyDescent="0.2">
      <c r="A756" s="834"/>
      <c r="B756" s="3148"/>
      <c r="C756" s="3295"/>
      <c r="D756" s="3294"/>
      <c r="E756" s="3145"/>
      <c r="F756" s="3144"/>
      <c r="G756" s="3145"/>
      <c r="H756" s="3151" t="s">
        <v>1273</v>
      </c>
      <c r="I756" s="3141" t="s">
        <v>116</v>
      </c>
      <c r="J756" s="3139" t="s">
        <v>1230</v>
      </c>
      <c r="K756" s="3138"/>
      <c r="L756" s="3140" t="s">
        <v>116</v>
      </c>
      <c r="M756" s="3139" t="s">
        <v>1233</v>
      </c>
      <c r="N756" s="3171"/>
      <c r="O756" s="3137"/>
      <c r="P756" s="3137"/>
      <c r="Q756" s="3137"/>
      <c r="R756" s="3137"/>
      <c r="S756" s="3137"/>
      <c r="T756" s="3137"/>
      <c r="U756" s="3137"/>
      <c r="V756" s="3137"/>
      <c r="W756" s="3137"/>
      <c r="X756" s="3136"/>
      <c r="Y756" s="3293"/>
      <c r="Z756" s="1201"/>
      <c r="AA756" s="1201"/>
      <c r="AB756" s="1202"/>
      <c r="AC756" s="3333"/>
      <c r="AD756" s="3333"/>
      <c r="AE756" s="3333"/>
      <c r="AF756" s="3333"/>
      <c r="AI756" s="3120" t="str">
        <f>"52:ninti_riha_code:" &amp; IF(I756="■",1,IF(L756="■",2,0))</f>
        <v>52:ninti_riha_code:0</v>
      </c>
    </row>
    <row r="757" spans="1:35" s="3120" customFormat="1" ht="18.75" hidden="1" customHeight="1" x14ac:dyDescent="0.2">
      <c r="A757" s="834"/>
      <c r="B757" s="3148"/>
      <c r="C757" s="3295"/>
      <c r="D757" s="3294"/>
      <c r="E757" s="3145"/>
      <c r="F757" s="3144"/>
      <c r="G757" s="3145"/>
      <c r="H757" s="3151" t="s">
        <v>2136</v>
      </c>
      <c r="I757" s="3141" t="s">
        <v>116</v>
      </c>
      <c r="J757" s="3139" t="s">
        <v>1230</v>
      </c>
      <c r="K757" s="3138"/>
      <c r="L757" s="3140" t="s">
        <v>116</v>
      </c>
      <c r="M757" s="3139" t="s">
        <v>1233</v>
      </c>
      <c r="N757" s="3171"/>
      <c r="O757" s="3150"/>
      <c r="P757" s="3150"/>
      <c r="Q757" s="3150"/>
      <c r="R757" s="3150"/>
      <c r="S757" s="3150"/>
      <c r="T757" s="3150"/>
      <c r="U757" s="3150"/>
      <c r="V757" s="3150"/>
      <c r="W757" s="3150"/>
      <c r="X757" s="3149"/>
      <c r="Y757" s="3293"/>
      <c r="Z757" s="1201"/>
      <c r="AA757" s="1201"/>
      <c r="AB757" s="1202"/>
      <c r="AC757" s="3333"/>
      <c r="AD757" s="3333"/>
      <c r="AE757" s="3333"/>
      <c r="AF757" s="3333"/>
      <c r="AI757" s="3120" t="str">
        <f>"52:ninticare_code:" &amp; IF(I757="■",1,IF(L757="■",2,0))</f>
        <v>52:ninticare_code:0</v>
      </c>
    </row>
    <row r="758" spans="1:35" s="3120" customFormat="1" ht="18.75" hidden="1" customHeight="1" x14ac:dyDescent="0.2">
      <c r="A758" s="834"/>
      <c r="B758" s="3148"/>
      <c r="C758" s="3295"/>
      <c r="D758" s="3294"/>
      <c r="E758" s="3145"/>
      <c r="F758" s="3144"/>
      <c r="G758" s="3145"/>
      <c r="H758" s="3334" t="s">
        <v>2135</v>
      </c>
      <c r="I758" s="3141" t="s">
        <v>116</v>
      </c>
      <c r="J758" s="3139" t="s">
        <v>1230</v>
      </c>
      <c r="K758" s="3138"/>
      <c r="L758" s="3140" t="s">
        <v>116</v>
      </c>
      <c r="M758" s="3139" t="s">
        <v>1233</v>
      </c>
      <c r="N758" s="3171"/>
      <c r="O758" s="3150"/>
      <c r="P758" s="3150"/>
      <c r="Q758" s="3150"/>
      <c r="R758" s="3150"/>
      <c r="S758" s="3150"/>
      <c r="T758" s="3150"/>
      <c r="U758" s="3150"/>
      <c r="V758" s="3150"/>
      <c r="W758" s="3150"/>
      <c r="X758" s="3149"/>
      <c r="Y758" s="3293"/>
      <c r="Z758" s="1201"/>
      <c r="AA758" s="1201"/>
      <c r="AB758" s="1202"/>
      <c r="AC758" s="3333"/>
      <c r="AD758" s="3333"/>
      <c r="AE758" s="3333"/>
      <c r="AF758" s="3333"/>
      <c r="AI758" s="3120" t="str">
        <f>"52:jyakuninti_uke_code:" &amp; IF(I758="■",1,IF(L758="■",2,0))</f>
        <v>52:jyakuninti_uke_code:0</v>
      </c>
    </row>
    <row r="759" spans="1:35" s="3120" customFormat="1" ht="18.75" hidden="1" customHeight="1" x14ac:dyDescent="0.2">
      <c r="A759" s="834"/>
      <c r="B759" s="3148"/>
      <c r="C759" s="3295"/>
      <c r="D759" s="3294"/>
      <c r="E759" s="3145"/>
      <c r="F759" s="3144"/>
      <c r="G759" s="3145"/>
      <c r="H759" s="3151" t="s">
        <v>2134</v>
      </c>
      <c r="I759" s="3141" t="s">
        <v>116</v>
      </c>
      <c r="J759" s="3139" t="s">
        <v>1230</v>
      </c>
      <c r="K759" s="3138"/>
      <c r="L759" s="3140" t="s">
        <v>116</v>
      </c>
      <c r="M759" s="3139" t="s">
        <v>1233</v>
      </c>
      <c r="N759" s="3171"/>
      <c r="O759" s="3150"/>
      <c r="P759" s="3150"/>
      <c r="Q759" s="3150"/>
      <c r="R759" s="3150"/>
      <c r="S759" s="3150"/>
      <c r="T759" s="3150"/>
      <c r="U759" s="3150"/>
      <c r="V759" s="3150"/>
      <c r="W759" s="3150"/>
      <c r="X759" s="3149"/>
      <c r="Y759" s="3293"/>
      <c r="Z759" s="1201"/>
      <c r="AA759" s="1201"/>
      <c r="AB759" s="1202"/>
      <c r="AC759" s="3333"/>
      <c r="AD759" s="3333"/>
      <c r="AE759" s="3333"/>
      <c r="AF759" s="3333"/>
      <c r="AI759" s="3120" t="str">
        <f>"52:terminal_code:" &amp; IF(I759="■",1,IF(L759="■",2,0))</f>
        <v>52:terminal_code:0</v>
      </c>
    </row>
    <row r="760" spans="1:35" s="3120" customFormat="1" ht="18.75" hidden="1" customHeight="1" x14ac:dyDescent="0.2">
      <c r="A760" s="834"/>
      <c r="B760" s="3148"/>
      <c r="C760" s="3295"/>
      <c r="D760" s="3158" t="s">
        <v>116</v>
      </c>
      <c r="E760" s="3145" t="s">
        <v>2152</v>
      </c>
      <c r="F760" s="3144"/>
      <c r="G760" s="3145"/>
      <c r="H760" s="3151" t="s">
        <v>2151</v>
      </c>
      <c r="I760" s="3155" t="s">
        <v>116</v>
      </c>
      <c r="J760" s="3137" t="s">
        <v>1287</v>
      </c>
      <c r="K760" s="3137"/>
      <c r="L760" s="3150"/>
      <c r="M760" s="3150"/>
      <c r="N760" s="3150"/>
      <c r="O760" s="3150"/>
      <c r="P760" s="3154" t="s">
        <v>116</v>
      </c>
      <c r="Q760" s="3137" t="s">
        <v>1288</v>
      </c>
      <c r="R760" s="3150"/>
      <c r="S760" s="3150"/>
      <c r="T760" s="3150"/>
      <c r="U760" s="3150"/>
      <c r="V760" s="3150"/>
      <c r="W760" s="3150"/>
      <c r="X760" s="3149"/>
      <c r="Y760" s="3293"/>
      <c r="Z760" s="1201"/>
      <c r="AA760" s="1201"/>
      <c r="AB760" s="1202"/>
      <c r="AC760" s="3333"/>
      <c r="AD760" s="3333"/>
      <c r="AE760" s="3333"/>
      <c r="AF760" s="3333"/>
      <c r="AI760" s="3120" t="str">
        <f>"52:" &amp; IF(AND(I760="□",P760="□"),"tokusin_jyusho_code:0:tokusin_yakuzai_code:0",IF(I760="■","tokusin_jyusho_code:2","tokusin_jyusho_code:1")
&amp;IF(P760="■",":tokusin_yakuzai_code:2",":tokusin_yakuzai_code:1"))</f>
        <v>52:tokusin_jyusho_code:0:tokusin_yakuzai_code:0</v>
      </c>
    </row>
    <row r="761" spans="1:35" s="3120" customFormat="1" ht="18.75" hidden="1" customHeight="1" x14ac:dyDescent="0.2">
      <c r="A761" s="3158" t="s">
        <v>116</v>
      </c>
      <c r="B761" s="3148">
        <v>52</v>
      </c>
      <c r="C761" s="3295" t="s">
        <v>2139</v>
      </c>
      <c r="D761" s="3158" t="s">
        <v>116</v>
      </c>
      <c r="E761" s="3145" t="s">
        <v>2150</v>
      </c>
      <c r="F761" s="3144"/>
      <c r="G761" s="3145"/>
      <c r="H761" s="3151" t="s">
        <v>2149</v>
      </c>
      <c r="I761" s="3141" t="s">
        <v>116</v>
      </c>
      <c r="J761" s="3139" t="s">
        <v>1230</v>
      </c>
      <c r="K761" s="3138"/>
      <c r="L761" s="3140" t="s">
        <v>116</v>
      </c>
      <c r="M761" s="3139" t="s">
        <v>1233</v>
      </c>
      <c r="N761" s="3171"/>
      <c r="O761" s="3153"/>
      <c r="P761" s="3153"/>
      <c r="Q761" s="3153"/>
      <c r="R761" s="3153"/>
      <c r="S761" s="3153"/>
      <c r="T761" s="3153"/>
      <c r="U761" s="3153"/>
      <c r="V761" s="3153"/>
      <c r="W761" s="3153"/>
      <c r="X761" s="3152"/>
      <c r="Y761" s="3293"/>
      <c r="Z761" s="1201"/>
      <c r="AA761" s="1201"/>
      <c r="AB761" s="1202"/>
      <c r="AC761" s="3333"/>
      <c r="AD761" s="3333"/>
      <c r="AE761" s="3333"/>
      <c r="AF761" s="3333"/>
      <c r="AI761" s="3120" t="str">
        <f>"52:field198:" &amp; IF(I761="■",1,IF(L761="■",2,0))</f>
        <v>52:field198:0</v>
      </c>
    </row>
    <row r="762" spans="1:35" s="3120" customFormat="1" ht="18.75" hidden="1" customHeight="1" x14ac:dyDescent="0.2">
      <c r="A762" s="834"/>
      <c r="B762" s="3148"/>
      <c r="C762" s="3295"/>
      <c r="D762" s="834"/>
      <c r="E762" s="3145"/>
      <c r="F762" s="3144"/>
      <c r="G762" s="3145"/>
      <c r="H762" s="3151" t="s">
        <v>2148</v>
      </c>
      <c r="I762" s="3141" t="s">
        <v>116</v>
      </c>
      <c r="J762" s="3139" t="s">
        <v>1230</v>
      </c>
      <c r="K762" s="3138"/>
      <c r="L762" s="3140" t="s">
        <v>116</v>
      </c>
      <c r="M762" s="3139" t="s">
        <v>1233</v>
      </c>
      <c r="N762" s="3171"/>
      <c r="O762" s="3153"/>
      <c r="P762" s="3153"/>
      <c r="Q762" s="3153"/>
      <c r="R762" s="3153"/>
      <c r="S762" s="3153"/>
      <c r="T762" s="3153"/>
      <c r="U762" s="3153"/>
      <c r="V762" s="3153"/>
      <c r="W762" s="3153"/>
      <c r="X762" s="3152"/>
      <c r="Y762" s="3293"/>
      <c r="Z762" s="1201"/>
      <c r="AA762" s="1201"/>
      <c r="AB762" s="1202"/>
      <c r="AC762" s="3333"/>
      <c r="AD762" s="3333"/>
      <c r="AE762" s="3333"/>
      <c r="AF762" s="3333"/>
      <c r="AI762" s="3120" t="str">
        <f>"52:field199:" &amp; IF(I762="■",1,IF(L762="■",2,0))</f>
        <v>52:field199:0</v>
      </c>
    </row>
    <row r="763" spans="1:35" s="3120" customFormat="1" ht="18.75" hidden="1" customHeight="1" x14ac:dyDescent="0.2">
      <c r="A763" s="834"/>
      <c r="B763" s="3148"/>
      <c r="C763" s="3295"/>
      <c r="D763" s="834"/>
      <c r="E763" s="3145"/>
      <c r="F763" s="3144"/>
      <c r="G763" s="3145"/>
      <c r="H763" s="3151" t="s">
        <v>794</v>
      </c>
      <c r="I763" s="3141" t="s">
        <v>116</v>
      </c>
      <c r="J763" s="3139" t="s">
        <v>1230</v>
      </c>
      <c r="K763" s="3138"/>
      <c r="L763" s="3140" t="s">
        <v>116</v>
      </c>
      <c r="M763" s="3139" t="s">
        <v>1233</v>
      </c>
      <c r="N763" s="3171"/>
      <c r="O763" s="3150"/>
      <c r="P763" s="3150"/>
      <c r="Q763" s="3150"/>
      <c r="R763" s="3150"/>
      <c r="S763" s="3150"/>
      <c r="T763" s="3150"/>
      <c r="U763" s="3150"/>
      <c r="V763" s="3150"/>
      <c r="W763" s="3150"/>
      <c r="X763" s="3149"/>
      <c r="Y763" s="3293"/>
      <c r="Z763" s="1201"/>
      <c r="AA763" s="1201"/>
      <c r="AB763" s="1202"/>
      <c r="AC763" s="3333"/>
      <c r="AD763" s="3333"/>
      <c r="AE763" s="3333"/>
      <c r="AF763" s="3333"/>
      <c r="AI763" s="3120" t="str">
        <f>"52:field207:" &amp; IF(I763="■",1,IF(L763="■",2,0))</f>
        <v>52:field207:0</v>
      </c>
    </row>
    <row r="764" spans="1:35" s="3120" customFormat="1" ht="18.75" hidden="1" customHeight="1" x14ac:dyDescent="0.2">
      <c r="A764" s="834"/>
      <c r="B764" s="3148"/>
      <c r="C764" s="3295"/>
      <c r="D764" s="834"/>
      <c r="E764" s="3145"/>
      <c r="F764" s="3144"/>
      <c r="G764" s="3145"/>
      <c r="H764" s="3151" t="s">
        <v>140</v>
      </c>
      <c r="I764" s="3141" t="s">
        <v>116</v>
      </c>
      <c r="J764" s="3139" t="s">
        <v>1230</v>
      </c>
      <c r="K764" s="3138"/>
      <c r="L764" s="3140" t="s">
        <v>116</v>
      </c>
      <c r="M764" s="3139" t="s">
        <v>1233</v>
      </c>
      <c r="N764" s="3171"/>
      <c r="O764" s="3150"/>
      <c r="P764" s="3150"/>
      <c r="Q764" s="3150"/>
      <c r="R764" s="3150"/>
      <c r="S764" s="3150"/>
      <c r="T764" s="3150"/>
      <c r="U764" s="3150"/>
      <c r="V764" s="3150"/>
      <c r="W764" s="3150"/>
      <c r="X764" s="3149"/>
      <c r="Y764" s="3293"/>
      <c r="Z764" s="1201"/>
      <c r="AA764" s="1201"/>
      <c r="AB764" s="1202"/>
      <c r="AC764" s="3333"/>
      <c r="AD764" s="3333"/>
      <c r="AE764" s="3333"/>
      <c r="AF764" s="3333"/>
      <c r="AI764" s="3120" t="str">
        <f>"52:ryouyoushoku_code:" &amp; IF(I764="■",1,IF(L764="■",2,0))</f>
        <v>52:ryouyoushoku_code:0</v>
      </c>
    </row>
    <row r="765" spans="1:35" s="3120" customFormat="1" ht="18.75" hidden="1" customHeight="1" x14ac:dyDescent="0.2">
      <c r="A765" s="834"/>
      <c r="B765" s="3148"/>
      <c r="C765" s="3295"/>
      <c r="D765" s="3294"/>
      <c r="E765" s="3145"/>
      <c r="F765" s="3144"/>
      <c r="G765" s="3145"/>
      <c r="H765" s="3151" t="s">
        <v>1237</v>
      </c>
      <c r="I765" s="3155" t="s">
        <v>116</v>
      </c>
      <c r="J765" s="3137" t="s">
        <v>1230</v>
      </c>
      <c r="K765" s="3137"/>
      <c r="L765" s="3154" t="s">
        <v>116</v>
      </c>
      <c r="M765" s="3137" t="s">
        <v>1231</v>
      </c>
      <c r="N765" s="3137"/>
      <c r="O765" s="3154" t="s">
        <v>116</v>
      </c>
      <c r="P765" s="3137" t="s">
        <v>1232</v>
      </c>
      <c r="Q765" s="3150"/>
      <c r="R765" s="3150"/>
      <c r="S765" s="3150"/>
      <c r="T765" s="3150"/>
      <c r="U765" s="3150"/>
      <c r="V765" s="3150"/>
      <c r="W765" s="3150"/>
      <c r="X765" s="3149"/>
      <c r="Y765" s="3293"/>
      <c r="Z765" s="1201"/>
      <c r="AA765" s="1201"/>
      <c r="AB765" s="1202"/>
      <c r="AC765" s="3333"/>
      <c r="AD765" s="3333"/>
      <c r="AE765" s="3333"/>
      <c r="AF765" s="3333"/>
      <c r="AI765" s="3120" t="str">
        <f>"52:ninti_senmoncare_code:" &amp; IF(I765="■",1,IF(O765="■",3,IF(L765="■",2,0)))</f>
        <v>52:ninti_senmoncare_code:0</v>
      </c>
    </row>
    <row r="766" spans="1:35" s="3120" customFormat="1" ht="18.75" hidden="1" customHeight="1" x14ac:dyDescent="0.2">
      <c r="A766" s="834"/>
      <c r="B766" s="3148"/>
      <c r="C766" s="3295"/>
      <c r="D766" s="3294"/>
      <c r="E766" s="3145"/>
      <c r="F766" s="3144"/>
      <c r="G766" s="3145"/>
      <c r="H766" s="3151" t="s">
        <v>1327</v>
      </c>
      <c r="I766" s="3155" t="s">
        <v>116</v>
      </c>
      <c r="J766" s="3137" t="s">
        <v>1230</v>
      </c>
      <c r="K766" s="3137"/>
      <c r="L766" s="3154" t="s">
        <v>116</v>
      </c>
      <c r="M766" s="3137" t="s">
        <v>1231</v>
      </c>
      <c r="N766" s="3137"/>
      <c r="O766" s="3154" t="s">
        <v>116</v>
      </c>
      <c r="P766" s="3137" t="s">
        <v>1232</v>
      </c>
      <c r="Q766" s="3171"/>
      <c r="R766" s="3171"/>
      <c r="S766" s="3171"/>
      <c r="T766" s="3171"/>
      <c r="U766" s="3171"/>
      <c r="V766" s="3171"/>
      <c r="W766" s="3171"/>
      <c r="X766" s="3297"/>
      <c r="Y766" s="3293"/>
      <c r="Z766" s="1201"/>
      <c r="AA766" s="1201"/>
      <c r="AB766" s="1202"/>
      <c r="AC766" s="3333"/>
      <c r="AD766" s="3333"/>
      <c r="AE766" s="3333"/>
      <c r="AF766" s="3333"/>
      <c r="AI766" s="3120" t="str">
        <f>"52:field228:" &amp; IF(I766="■",1,IF(L766="■",2,IF(O766="■",3,0)))</f>
        <v>52:field228:0</v>
      </c>
    </row>
    <row r="767" spans="1:35" s="3120" customFormat="1" ht="18.75" hidden="1" customHeight="1" x14ac:dyDescent="0.2">
      <c r="A767" s="834"/>
      <c r="B767" s="3148"/>
      <c r="C767" s="3295"/>
      <c r="D767" s="3294"/>
      <c r="E767" s="3145"/>
      <c r="F767" s="3144"/>
      <c r="G767" s="3145"/>
      <c r="H767" s="3304" t="s">
        <v>1300</v>
      </c>
      <c r="I767" s="3303" t="s">
        <v>116</v>
      </c>
      <c r="J767" s="3302" t="s">
        <v>2147</v>
      </c>
      <c r="K767" s="3317"/>
      <c r="L767" s="3302"/>
      <c r="M767" s="3302"/>
      <c r="N767" s="3302"/>
      <c r="O767" s="3209"/>
      <c r="P767" s="3209"/>
      <c r="Q767" s="3301" t="s">
        <v>116</v>
      </c>
      <c r="R767" s="3302" t="s">
        <v>2146</v>
      </c>
      <c r="S767" s="3167"/>
      <c r="T767" s="3167"/>
      <c r="U767" s="3167"/>
      <c r="V767" s="3167"/>
      <c r="W767" s="3167"/>
      <c r="X767" s="3166"/>
      <c r="Y767" s="3293"/>
      <c r="Z767" s="1201"/>
      <c r="AA767" s="1201"/>
      <c r="AB767" s="1202"/>
      <c r="AC767" s="3333"/>
      <c r="AD767" s="3333"/>
      <c r="AE767" s="3333"/>
      <c r="AF767" s="3333"/>
      <c r="AI767" s="3120" t="str">
        <f>"52:"&amp;IF(AND(I767="□",Q767="□",I768="□",Q768="□"),"koriha_rihasido_code:0:koriha_gengo_code:0:riha_seisin_code:0:koriha_other_code:0",IF(I767="■","koriha_rihasido_code:2","koriha_rihasido_code:1")
&amp;IF(Q767="■",":koriha_gengo_code:2",":koriha_gengo_code:1")
&amp;IF(I768="■",":riha_seisin_code:2",":riha_seisin_code:1")
&amp;IF(Q768="■",":koriha_other_code:2",":koriha_other_code:1"))</f>
        <v>52:koriha_rihasido_code:0:koriha_gengo_code:0:riha_seisin_code:0:koriha_other_code:0</v>
      </c>
    </row>
    <row r="768" spans="1:35" s="3120" customFormat="1" ht="18.75" hidden="1" customHeight="1" x14ac:dyDescent="0.2">
      <c r="A768" s="834"/>
      <c r="B768" s="3148"/>
      <c r="C768" s="3295"/>
      <c r="D768" s="3294"/>
      <c r="E768" s="3145"/>
      <c r="F768" s="3144"/>
      <c r="G768" s="3145"/>
      <c r="H768" s="3300"/>
      <c r="I768" s="3141" t="s">
        <v>116</v>
      </c>
      <c r="J768" s="3139" t="s">
        <v>2145</v>
      </c>
      <c r="K768" s="3207"/>
      <c r="L768" s="3302"/>
      <c r="M768" s="3207"/>
      <c r="N768" s="3207"/>
      <c r="O768" s="3207"/>
      <c r="P768" s="3207"/>
      <c r="Q768" s="3140" t="s">
        <v>116</v>
      </c>
      <c r="R768" s="3139" t="s">
        <v>2144</v>
      </c>
      <c r="S768" s="3162"/>
      <c r="T768" s="3162"/>
      <c r="U768" s="3162"/>
      <c r="V768" s="3162"/>
      <c r="W768" s="3162"/>
      <c r="X768" s="3161"/>
      <c r="Y768" s="3293"/>
      <c r="Z768" s="1201"/>
      <c r="AA768" s="1201"/>
      <c r="AB768" s="1202"/>
      <c r="AC768" s="3333"/>
      <c r="AD768" s="3333"/>
      <c r="AE768" s="3333"/>
      <c r="AF768" s="3333"/>
    </row>
    <row r="769" spans="1:36" s="3120" customFormat="1" ht="18.75" hidden="1" customHeight="1" x14ac:dyDescent="0.2">
      <c r="A769" s="834"/>
      <c r="B769" s="3148"/>
      <c r="C769" s="3295"/>
      <c r="D769" s="3294"/>
      <c r="E769" s="3145"/>
      <c r="F769" s="3144"/>
      <c r="G769" s="3145"/>
      <c r="H769" s="3159" t="s">
        <v>2143</v>
      </c>
      <c r="I769" s="3141" t="s">
        <v>116</v>
      </c>
      <c r="J769" s="3139" t="s">
        <v>1230</v>
      </c>
      <c r="K769" s="3138"/>
      <c r="L769" s="3154" t="s">
        <v>116</v>
      </c>
      <c r="M769" s="3137" t="s">
        <v>1239</v>
      </c>
      <c r="N769" s="3137"/>
      <c r="O769" s="3154" t="s">
        <v>116</v>
      </c>
      <c r="P769" s="3137" t="s">
        <v>2090</v>
      </c>
      <c r="Q769" s="3171"/>
      <c r="R769" s="3171"/>
      <c r="S769" s="3171"/>
      <c r="T769" s="3171"/>
      <c r="U769" s="3171"/>
      <c r="V769" s="3171"/>
      <c r="W769" s="3171"/>
      <c r="X769" s="3297"/>
      <c r="Y769" s="3293"/>
      <c r="Z769" s="1201"/>
      <c r="AA769" s="1201"/>
      <c r="AB769" s="1202"/>
      <c r="AC769" s="3333"/>
      <c r="AD769" s="3333"/>
      <c r="AE769" s="3333"/>
      <c r="AF769" s="3333"/>
      <c r="AI769" s="3120" t="str">
        <f>"52:field216:" &amp; IF(I769="■",1,IF(L769="■",3,IF(O769="■",2,0)))</f>
        <v>52:field216:0</v>
      </c>
    </row>
    <row r="770" spans="1:36" s="3120" customFormat="1" ht="18.75" hidden="1" customHeight="1" x14ac:dyDescent="0.2">
      <c r="A770" s="834"/>
      <c r="B770" s="3148"/>
      <c r="C770" s="3295"/>
      <c r="D770" s="3294"/>
      <c r="E770" s="3145"/>
      <c r="F770" s="3144"/>
      <c r="G770" s="3145"/>
      <c r="H770" s="3159" t="s">
        <v>795</v>
      </c>
      <c r="I770" s="3141" t="s">
        <v>116</v>
      </c>
      <c r="J770" s="3139" t="s">
        <v>1230</v>
      </c>
      <c r="K770" s="3138"/>
      <c r="L770" s="3140" t="s">
        <v>116</v>
      </c>
      <c r="M770" s="3139" t="s">
        <v>1233</v>
      </c>
      <c r="N770" s="3171"/>
      <c r="O770" s="3150"/>
      <c r="P770" s="3150"/>
      <c r="Q770" s="3150"/>
      <c r="R770" s="3150"/>
      <c r="S770" s="3150"/>
      <c r="T770" s="3150"/>
      <c r="U770" s="3150"/>
      <c r="V770" s="3150"/>
      <c r="W770" s="3150"/>
      <c r="X770" s="3149"/>
      <c r="Y770" s="3293"/>
      <c r="Z770" s="1201"/>
      <c r="AA770" s="1201"/>
      <c r="AB770" s="1202"/>
      <c r="AC770" s="3333"/>
      <c r="AD770" s="3333"/>
      <c r="AE770" s="3333"/>
      <c r="AF770" s="3333"/>
      <c r="AI770" s="3120" t="str">
        <f>"52:field210:" &amp; IF(I770="■",1,IF(L770="■",2,0))</f>
        <v>52:field210:0</v>
      </c>
    </row>
    <row r="771" spans="1:36" s="3120" customFormat="1" ht="18.75" hidden="1" customHeight="1" x14ac:dyDescent="0.2">
      <c r="A771" s="834"/>
      <c r="B771" s="3148"/>
      <c r="C771" s="3295"/>
      <c r="D771" s="3294"/>
      <c r="E771" s="3145"/>
      <c r="F771" s="3144"/>
      <c r="G771" s="3145"/>
      <c r="H771" s="3151" t="s">
        <v>796</v>
      </c>
      <c r="I771" s="3141" t="s">
        <v>116</v>
      </c>
      <c r="J771" s="3139" t="s">
        <v>1230</v>
      </c>
      <c r="K771" s="3138"/>
      <c r="L771" s="3140" t="s">
        <v>116</v>
      </c>
      <c r="M771" s="3139" t="s">
        <v>1233</v>
      </c>
      <c r="N771" s="3171"/>
      <c r="O771" s="3150"/>
      <c r="P771" s="3150"/>
      <c r="Q771" s="3150"/>
      <c r="R771" s="3150"/>
      <c r="S771" s="3150"/>
      <c r="T771" s="3150"/>
      <c r="U771" s="3150"/>
      <c r="V771" s="3150"/>
      <c r="W771" s="3150"/>
      <c r="X771" s="3149"/>
      <c r="Y771" s="3293"/>
      <c r="Z771" s="1201"/>
      <c r="AA771" s="1201"/>
      <c r="AB771" s="1202"/>
      <c r="AC771" s="3333"/>
      <c r="AD771" s="3333"/>
      <c r="AE771" s="3333"/>
      <c r="AF771" s="3333"/>
      <c r="AI771" s="3120" t="str">
        <f>"52:field211:" &amp; IF(I771="■",1,IF(L771="■",2,0))</f>
        <v>52:field211:0</v>
      </c>
    </row>
    <row r="772" spans="1:36" s="3120" customFormat="1" ht="18.75" hidden="1" customHeight="1" x14ac:dyDescent="0.2">
      <c r="A772" s="834"/>
      <c r="B772" s="3148"/>
      <c r="C772" s="3295"/>
      <c r="D772" s="3294"/>
      <c r="E772" s="3145"/>
      <c r="F772" s="3144"/>
      <c r="G772" s="3145"/>
      <c r="H772" s="3151" t="s">
        <v>797</v>
      </c>
      <c r="I772" s="3141" t="s">
        <v>116</v>
      </c>
      <c r="J772" s="3139" t="s">
        <v>1230</v>
      </c>
      <c r="K772" s="3138"/>
      <c r="L772" s="3140" t="s">
        <v>116</v>
      </c>
      <c r="M772" s="3139" t="s">
        <v>1233</v>
      </c>
      <c r="N772" s="3171"/>
      <c r="O772" s="3150"/>
      <c r="P772" s="3150"/>
      <c r="Q772" s="3150"/>
      <c r="R772" s="3150"/>
      <c r="S772" s="3150"/>
      <c r="T772" s="3150"/>
      <c r="U772" s="3150"/>
      <c r="V772" s="3150"/>
      <c r="W772" s="3150"/>
      <c r="X772" s="3149"/>
      <c r="Y772" s="3293"/>
      <c r="Z772" s="1201"/>
      <c r="AA772" s="1201"/>
      <c r="AB772" s="1202"/>
      <c r="AC772" s="3333"/>
      <c r="AD772" s="3333"/>
      <c r="AE772" s="3333"/>
      <c r="AF772" s="3333"/>
      <c r="AI772" s="3120" t="str">
        <f>"52:field212:" &amp; IF(I772="■",1,IF(L772="■",2,0))</f>
        <v>52:field212:0</v>
      </c>
    </row>
    <row r="773" spans="1:36" s="3120" customFormat="1" ht="18.75" hidden="1" customHeight="1" x14ac:dyDescent="0.2">
      <c r="A773" s="834"/>
      <c r="B773" s="3148"/>
      <c r="C773" s="3295"/>
      <c r="D773" s="3294"/>
      <c r="E773" s="3145"/>
      <c r="F773" s="3144"/>
      <c r="G773" s="3145"/>
      <c r="H773" s="3151" t="s">
        <v>798</v>
      </c>
      <c r="I773" s="3141" t="s">
        <v>116</v>
      </c>
      <c r="J773" s="3139" t="s">
        <v>1230</v>
      </c>
      <c r="K773" s="3138"/>
      <c r="L773" s="3140" t="s">
        <v>116</v>
      </c>
      <c r="M773" s="3139" t="s">
        <v>1233</v>
      </c>
      <c r="N773" s="3171"/>
      <c r="O773" s="3150"/>
      <c r="P773" s="3150"/>
      <c r="Q773" s="3150"/>
      <c r="R773" s="3150"/>
      <c r="S773" s="3150"/>
      <c r="T773" s="3150"/>
      <c r="U773" s="3150"/>
      <c r="V773" s="3150"/>
      <c r="W773" s="3150"/>
      <c r="X773" s="3149"/>
      <c r="Y773" s="3293"/>
      <c r="Z773" s="1201"/>
      <c r="AA773" s="1201"/>
      <c r="AB773" s="1202"/>
      <c r="AC773" s="3333"/>
      <c r="AD773" s="3333"/>
      <c r="AE773" s="3333"/>
      <c r="AF773" s="3333"/>
      <c r="AI773" s="3120" t="str">
        <f>"52:field209:" &amp; IF(I773="■",1,IF(L773="■",2,0))</f>
        <v>52:field209:0</v>
      </c>
    </row>
    <row r="774" spans="1:36" s="3120" customFormat="1" ht="18.75" hidden="1" customHeight="1" x14ac:dyDescent="0.2">
      <c r="A774" s="834"/>
      <c r="B774" s="3148"/>
      <c r="C774" s="3295"/>
      <c r="D774" s="3294"/>
      <c r="E774" s="3145"/>
      <c r="F774" s="3144"/>
      <c r="G774" s="3145"/>
      <c r="H774" s="3151" t="s">
        <v>1323</v>
      </c>
      <c r="I774" s="3155" t="s">
        <v>116</v>
      </c>
      <c r="J774" s="3137" t="s">
        <v>1230</v>
      </c>
      <c r="K774" s="3137"/>
      <c r="L774" s="3154" t="s">
        <v>116</v>
      </c>
      <c r="M774" s="3139" t="s">
        <v>1233</v>
      </c>
      <c r="N774" s="3137"/>
      <c r="O774" s="3137"/>
      <c r="P774" s="3137"/>
      <c r="Q774" s="3171"/>
      <c r="R774" s="3171"/>
      <c r="S774" s="3171"/>
      <c r="T774" s="3171"/>
      <c r="U774" s="3171"/>
      <c r="V774" s="3171"/>
      <c r="W774" s="3171"/>
      <c r="X774" s="3297"/>
      <c r="Y774" s="3293"/>
      <c r="Z774" s="1201"/>
      <c r="AA774" s="1201"/>
      <c r="AB774" s="1202"/>
      <c r="AC774" s="3333"/>
      <c r="AD774" s="3333"/>
      <c r="AE774" s="3333"/>
      <c r="AF774" s="3333"/>
      <c r="AI774" s="3120" t="str">
        <f>"52:field226:" &amp; IF(I774="■",1,IF(L774="■",2,0))</f>
        <v>52:field226:0</v>
      </c>
    </row>
    <row r="775" spans="1:36" s="3120" customFormat="1" ht="18.75" hidden="1" customHeight="1" x14ac:dyDescent="0.2">
      <c r="A775" s="834"/>
      <c r="B775" s="3148"/>
      <c r="C775" s="3295"/>
      <c r="D775" s="3294"/>
      <c r="E775" s="3145"/>
      <c r="F775" s="3144"/>
      <c r="G775" s="3145"/>
      <c r="H775" s="3151" t="s">
        <v>1324</v>
      </c>
      <c r="I775" s="3155" t="s">
        <v>116</v>
      </c>
      <c r="J775" s="3137" t="s">
        <v>1230</v>
      </c>
      <c r="K775" s="3137"/>
      <c r="L775" s="3154" t="s">
        <v>116</v>
      </c>
      <c r="M775" s="3139" t="s">
        <v>1233</v>
      </c>
      <c r="N775" s="3137"/>
      <c r="O775" s="3137"/>
      <c r="P775" s="3137"/>
      <c r="Q775" s="3171"/>
      <c r="R775" s="3171"/>
      <c r="S775" s="3171"/>
      <c r="T775" s="3171"/>
      <c r="U775" s="3171"/>
      <c r="V775" s="3171"/>
      <c r="W775" s="3171"/>
      <c r="X775" s="3297"/>
      <c r="Y775" s="3293"/>
      <c r="Z775" s="1201"/>
      <c r="AA775" s="1201"/>
      <c r="AB775" s="1202"/>
      <c r="AC775" s="3333"/>
      <c r="AD775" s="3333"/>
      <c r="AE775" s="3333"/>
      <c r="AF775" s="3333"/>
      <c r="AI775" s="3120" t="str">
        <f>"52:field227:" &amp; IF(I775="■",1,IF(L775="■",2,0))</f>
        <v>52:field227:0</v>
      </c>
    </row>
    <row r="776" spans="1:36" s="3120" customFormat="1" ht="18.75" hidden="1" customHeight="1" x14ac:dyDescent="0.2">
      <c r="A776" s="834"/>
      <c r="B776" s="3148"/>
      <c r="C776" s="3295"/>
      <c r="D776" s="3294"/>
      <c r="E776" s="3145"/>
      <c r="F776" s="3144"/>
      <c r="G776" s="3145"/>
      <c r="H776" s="3296" t="s">
        <v>1285</v>
      </c>
      <c r="I776" s="3155" t="s">
        <v>116</v>
      </c>
      <c r="J776" s="3137" t="s">
        <v>1230</v>
      </c>
      <c r="K776" s="3137"/>
      <c r="L776" s="3154" t="s">
        <v>116</v>
      </c>
      <c r="M776" s="3137" t="s">
        <v>1231</v>
      </c>
      <c r="N776" s="3137"/>
      <c r="O776" s="3154" t="s">
        <v>116</v>
      </c>
      <c r="P776" s="3137" t="s">
        <v>1232</v>
      </c>
      <c r="Q776" s="3150"/>
      <c r="R776" s="3150"/>
      <c r="S776" s="3150"/>
      <c r="T776" s="3150"/>
      <c r="U776" s="3209"/>
      <c r="V776" s="3209"/>
      <c r="W776" s="3209"/>
      <c r="X776" s="3208"/>
      <c r="Y776" s="3293"/>
      <c r="Z776" s="1201"/>
      <c r="AA776" s="1201"/>
      <c r="AB776" s="1202"/>
      <c r="AC776" s="3333"/>
      <c r="AD776" s="3333"/>
      <c r="AE776" s="3333"/>
      <c r="AF776" s="3333"/>
      <c r="AI776" s="3120" t="str">
        <f>"52:field225:" &amp; IF(I776="■",1,IF(L776="■",2,IF(O776="■",3,0)))</f>
        <v>52:field225:0</v>
      </c>
    </row>
    <row r="777" spans="1:36" s="3120" customFormat="1" ht="18.75" hidden="1" customHeight="1" x14ac:dyDescent="0.2">
      <c r="A777" s="834"/>
      <c r="B777" s="3148"/>
      <c r="C777" s="3295"/>
      <c r="D777" s="3294"/>
      <c r="E777" s="3145"/>
      <c r="F777" s="3144"/>
      <c r="G777" s="3145"/>
      <c r="H777" s="3151" t="s">
        <v>238</v>
      </c>
      <c r="I777" s="3155" t="s">
        <v>116</v>
      </c>
      <c r="J777" s="3137" t="s">
        <v>1230</v>
      </c>
      <c r="K777" s="3137"/>
      <c r="L777" s="3154" t="s">
        <v>116</v>
      </c>
      <c r="M777" s="3137" t="s">
        <v>1259</v>
      </c>
      <c r="N777" s="3137"/>
      <c r="O777" s="3154" t="s">
        <v>116</v>
      </c>
      <c r="P777" s="3137" t="s">
        <v>1260</v>
      </c>
      <c r="Q777" s="3153"/>
      <c r="R777" s="3154" t="s">
        <v>116</v>
      </c>
      <c r="S777" s="3137" t="s">
        <v>1261</v>
      </c>
      <c r="T777" s="3137"/>
      <c r="U777" s="3153"/>
      <c r="V777" s="3153"/>
      <c r="W777" s="3153"/>
      <c r="X777" s="3152"/>
      <c r="Y777" s="3293"/>
      <c r="Z777" s="1201"/>
      <c r="AA777" s="1201"/>
      <c r="AB777" s="1202"/>
      <c r="AC777" s="3333"/>
      <c r="AD777" s="3333"/>
      <c r="AE777" s="3333"/>
      <c r="AF777" s="3333"/>
      <c r="AI777" s="3120" t="str">
        <f>"52:serteikyo_kyoka_code:" &amp; IF(I777="■",1,IF(L777="■",6,IF(O777="■",5,IF(R777="■",7,0))))</f>
        <v>52:serteikyo_kyoka_code:0</v>
      </c>
    </row>
    <row r="778" spans="1:36" s="3120" customFormat="1" ht="18.75" hidden="1" customHeight="1" x14ac:dyDescent="0.2">
      <c r="A778" s="835"/>
      <c r="B778" s="3135"/>
      <c r="C778" s="3134"/>
      <c r="D778" s="3133"/>
      <c r="E778" s="3132"/>
      <c r="F778" s="3131"/>
      <c r="G778" s="3189"/>
      <c r="H778" s="3289" t="s">
        <v>2129</v>
      </c>
      <c r="I778" s="3128" t="s">
        <v>116</v>
      </c>
      <c r="J778" s="3285" t="s">
        <v>1230</v>
      </c>
      <c r="K778" s="3285"/>
      <c r="L778" s="3127" t="s">
        <v>116</v>
      </c>
      <c r="M778" s="3285" t="s">
        <v>2128</v>
      </c>
      <c r="N778" s="3288"/>
      <c r="O778" s="3127" t="s">
        <v>116</v>
      </c>
      <c r="P778" s="3287" t="s">
        <v>2127</v>
      </c>
      <c r="Q778" s="3286"/>
      <c r="R778" s="3127" t="s">
        <v>116</v>
      </c>
      <c r="S778" s="3285" t="s">
        <v>2126</v>
      </c>
      <c r="T778" s="3286"/>
      <c r="U778" s="3127" t="s">
        <v>116</v>
      </c>
      <c r="V778" s="3285" t="s">
        <v>2125</v>
      </c>
      <c r="W778" s="3284"/>
      <c r="X778" s="3283"/>
      <c r="Y778" s="3282"/>
      <c r="Z778" s="3282"/>
      <c r="AA778" s="3282"/>
      <c r="AB778" s="3281"/>
      <c r="AC778" s="3332"/>
      <c r="AD778" s="3332"/>
      <c r="AE778" s="3332"/>
      <c r="AF778" s="3332"/>
      <c r="AI778" s="3120" t="str">
        <f>"52:shoguukaizen_code:"&amp;IF(I778="■",1,IF(L778="■",7,IF(O778="■",8,IF(R778="■",9,IF(U778="■","A",0)))))</f>
        <v>52:shoguukaizen_code:0</v>
      </c>
    </row>
    <row r="779" spans="1:36" s="3120" customFormat="1" ht="18.75" hidden="1" customHeight="1" x14ac:dyDescent="0.2">
      <c r="A779" s="3188"/>
      <c r="B779" s="3187"/>
      <c r="C779" s="3313"/>
      <c r="D779" s="3312"/>
      <c r="E779" s="3185"/>
      <c r="F779" s="3184"/>
      <c r="G779" s="3185"/>
      <c r="H779" s="3182" t="s">
        <v>1286</v>
      </c>
      <c r="I779" s="3181" t="s">
        <v>116</v>
      </c>
      <c r="J779" s="3180" t="s">
        <v>1282</v>
      </c>
      <c r="K779" s="3226"/>
      <c r="L779" s="3225"/>
      <c r="M779" s="3179" t="s">
        <v>116</v>
      </c>
      <c r="N779" s="3180" t="s">
        <v>1283</v>
      </c>
      <c r="O779" s="3177"/>
      <c r="P779" s="3177"/>
      <c r="Q779" s="3177"/>
      <c r="R779" s="3177"/>
      <c r="S779" s="3177"/>
      <c r="T779" s="3177"/>
      <c r="U779" s="3177"/>
      <c r="V779" s="3177"/>
      <c r="W779" s="3177"/>
      <c r="X779" s="3176"/>
      <c r="Y779" s="3253" t="s">
        <v>116</v>
      </c>
      <c r="Z779" s="3252" t="s">
        <v>1225</v>
      </c>
      <c r="AA779" s="3252"/>
      <c r="AB779" s="3308"/>
      <c r="AC779" s="3338"/>
      <c r="AD779" s="3338"/>
      <c r="AE779" s="3338"/>
      <c r="AF779" s="3338"/>
      <c r="AG779" s="3120" t="str">
        <f>"ser_code = '" &amp; IF(A790="■",52,"") &amp; "'"</f>
        <v>ser_code = ''</v>
      </c>
      <c r="AI779" s="3120" t="str">
        <f>"52:yakan_kinmu_code:" &amp; IF(I779="■",1,IF(M779="■",6,0))</f>
        <v>52:yakan_kinmu_code:0</v>
      </c>
      <c r="AJ779" s="3120" t="str">
        <f>"52:field203:" &amp; IF(Y779="■",1,IF(Y780="■",2,0))</f>
        <v>52:field203:0</v>
      </c>
    </row>
    <row r="780" spans="1:36" s="3120" customFormat="1" ht="18.75" hidden="1" customHeight="1" x14ac:dyDescent="0.2">
      <c r="A780" s="834"/>
      <c r="B780" s="3148"/>
      <c r="C780" s="3295"/>
      <c r="D780" s="3294"/>
      <c r="E780" s="3145"/>
      <c r="F780" s="3144"/>
      <c r="G780" s="3145"/>
      <c r="H780" s="3304" t="s">
        <v>90</v>
      </c>
      <c r="I780" s="3303" t="s">
        <v>116</v>
      </c>
      <c r="J780" s="3302" t="s">
        <v>1230</v>
      </c>
      <c r="K780" s="3302"/>
      <c r="L780" s="3167"/>
      <c r="M780" s="3301" t="s">
        <v>116</v>
      </c>
      <c r="N780" s="3302" t="s">
        <v>1262</v>
      </c>
      <c r="O780" s="3302"/>
      <c r="P780" s="3167"/>
      <c r="Q780" s="3301" t="s">
        <v>116</v>
      </c>
      <c r="R780" s="3167" t="s">
        <v>1263</v>
      </c>
      <c r="S780" s="3167"/>
      <c r="T780" s="3167"/>
      <c r="U780" s="3301" t="s">
        <v>116</v>
      </c>
      <c r="V780" s="3167" t="s">
        <v>1264</v>
      </c>
      <c r="W780" s="3167"/>
      <c r="X780" s="3166"/>
      <c r="Y780" s="3158" t="s">
        <v>116</v>
      </c>
      <c r="Z780" s="1200" t="s">
        <v>1226</v>
      </c>
      <c r="AA780" s="1201"/>
      <c r="AB780" s="1202"/>
      <c r="AC780" s="3333"/>
      <c r="AD780" s="3333"/>
      <c r="AE780" s="3333"/>
      <c r="AF780" s="3333"/>
      <c r="AG780" s="3120" t="str">
        <f>"52:sisetukbn_code:" &amp; IF(D790="■",9,0)</f>
        <v>52:sisetukbn_code:0</v>
      </c>
      <c r="AI780" s="3120" t="str">
        <f>"52:"&amp;IF(AND(I780="□",M780="□",Q780="□",U780="□",I781="□",M781="□",Q781="□",I782="□"),"ketu_doctor_code:0",IF(I780="■","ketu_doctor_code:1:ketu_kangos_code:1:ketu_kshoku_code:1:ketu_rryoho_code:1:ketu_sryoho_code:1:ketu_ksiensou_code:1:ketu_gengo_code:1",IF(M780="■","ketu_doctor_code:2","ketu_doctor_code:1")
&amp;IF(Q780="■",":ketu_kangos_code:2",":ketu_kangos_code:1")
&amp;IF(U780="■",":ketu_kshoku_code:2",":ketu_kshoku_code:1")
&amp;IF(I781="■",":ketu_rryoho_code:2",":ketu_rryoho_code:1")
&amp;IF(M781="■",":ketu_sryoho_code:2",":ketu_sryoho_code:1")
&amp;IF(Q781="■",":ketu_ksiensou_code:2",":ketu_ksiensou_code:1")
&amp;IF(I782="■",":ketu_gengo_code:2",":ketu_gengo_code:1")))</f>
        <v>52:ketu_doctor_code:0</v>
      </c>
    </row>
    <row r="781" spans="1:36" s="3120" customFormat="1" ht="18.75" hidden="1" customHeight="1" x14ac:dyDescent="0.2">
      <c r="A781" s="834"/>
      <c r="B781" s="3148"/>
      <c r="C781" s="3295"/>
      <c r="D781" s="3294"/>
      <c r="E781" s="3145"/>
      <c r="F781" s="3144"/>
      <c r="G781" s="3145"/>
      <c r="H781" s="3337"/>
      <c r="I781" s="3158" t="s">
        <v>116</v>
      </c>
      <c r="J781" s="1200" t="s">
        <v>1265</v>
      </c>
      <c r="K781" s="1200"/>
      <c r="L781" s="836"/>
      <c r="M781" s="3258" t="s">
        <v>116</v>
      </c>
      <c r="N781" s="1200" t="s">
        <v>1266</v>
      </c>
      <c r="O781" s="1200"/>
      <c r="P781" s="836"/>
      <c r="Q781" s="3258" t="s">
        <v>116</v>
      </c>
      <c r="R781" s="836" t="s">
        <v>2141</v>
      </c>
      <c r="S781" s="836"/>
      <c r="T781" s="836"/>
      <c r="U781" s="836"/>
      <c r="V781" s="836"/>
      <c r="W781" s="836"/>
      <c r="X781" s="3336"/>
      <c r="Y781" s="3293"/>
      <c r="Z781" s="1201"/>
      <c r="AA781" s="1201"/>
      <c r="AB781" s="1202"/>
      <c r="AC781" s="3333"/>
      <c r="AD781" s="3333"/>
      <c r="AE781" s="3333"/>
      <c r="AF781" s="3333"/>
    </row>
    <row r="782" spans="1:36" s="3120" customFormat="1" ht="18.75" hidden="1" customHeight="1" x14ac:dyDescent="0.2">
      <c r="A782" s="834"/>
      <c r="B782" s="3148"/>
      <c r="C782" s="3295"/>
      <c r="D782" s="3294"/>
      <c r="E782" s="3145"/>
      <c r="F782" s="3144"/>
      <c r="G782" s="3145"/>
      <c r="H782" s="3300"/>
      <c r="I782" s="3141" t="s">
        <v>116</v>
      </c>
      <c r="J782" s="3139" t="s">
        <v>2140</v>
      </c>
      <c r="K782" s="3139"/>
      <c r="L782" s="3162"/>
      <c r="M782" s="3140"/>
      <c r="N782" s="3139"/>
      <c r="O782" s="3139"/>
      <c r="P782" s="3162"/>
      <c r="Q782" s="3162"/>
      <c r="R782" s="3162"/>
      <c r="S782" s="3162"/>
      <c r="T782" s="3162"/>
      <c r="U782" s="3162"/>
      <c r="V782" s="3162"/>
      <c r="W782" s="3162"/>
      <c r="X782" s="3161"/>
      <c r="Y782" s="3293"/>
      <c r="Z782" s="1201"/>
      <c r="AA782" s="1201"/>
      <c r="AB782" s="1202"/>
      <c r="AC782" s="3333"/>
      <c r="AD782" s="3333"/>
      <c r="AE782" s="3333"/>
      <c r="AF782" s="3333"/>
    </row>
    <row r="783" spans="1:36" s="3120" customFormat="1" ht="18.75" hidden="1" customHeight="1" x14ac:dyDescent="0.2">
      <c r="A783" s="834"/>
      <c r="B783" s="3148"/>
      <c r="C783" s="3295"/>
      <c r="D783" s="3294"/>
      <c r="E783" s="3145"/>
      <c r="F783" s="3144"/>
      <c r="G783" s="3145"/>
      <c r="H783" s="3151" t="s">
        <v>91</v>
      </c>
      <c r="I783" s="3155" t="s">
        <v>116</v>
      </c>
      <c r="J783" s="3137" t="s">
        <v>1240</v>
      </c>
      <c r="K783" s="3171"/>
      <c r="L783" s="3173"/>
      <c r="M783" s="3154" t="s">
        <v>116</v>
      </c>
      <c r="N783" s="3137" t="s">
        <v>1241</v>
      </c>
      <c r="O783" s="3171"/>
      <c r="P783" s="3171"/>
      <c r="Q783" s="3171"/>
      <c r="R783" s="3171"/>
      <c r="S783" s="3171"/>
      <c r="T783" s="3171"/>
      <c r="U783" s="3171"/>
      <c r="V783" s="3171"/>
      <c r="W783" s="3171"/>
      <c r="X783" s="3297"/>
      <c r="Y783" s="3293"/>
      <c r="Z783" s="1201"/>
      <c r="AA783" s="1201"/>
      <c r="AB783" s="1202"/>
      <c r="AC783" s="3333"/>
      <c r="AD783" s="3333"/>
      <c r="AE783" s="3333"/>
      <c r="AF783" s="3333"/>
      <c r="AI783" s="3120" t="str">
        <f>"52:unitcare_code:" &amp; IF(I783="■",1,IF(M783="■",2,0))</f>
        <v>52:unitcare_code:0</v>
      </c>
    </row>
    <row r="784" spans="1:36" s="3120" customFormat="1" ht="18.75" hidden="1" customHeight="1" x14ac:dyDescent="0.2">
      <c r="A784" s="834"/>
      <c r="B784" s="3148"/>
      <c r="C784" s="3295"/>
      <c r="D784" s="3294"/>
      <c r="E784" s="3145"/>
      <c r="F784" s="3144"/>
      <c r="G784" s="3145"/>
      <c r="H784" s="3151" t="s">
        <v>1325</v>
      </c>
      <c r="I784" s="3155" t="s">
        <v>116</v>
      </c>
      <c r="J784" s="3137" t="s">
        <v>1228</v>
      </c>
      <c r="K784" s="3171"/>
      <c r="L784" s="3173"/>
      <c r="M784" s="3154" t="s">
        <v>116</v>
      </c>
      <c r="N784" s="3137" t="s">
        <v>1322</v>
      </c>
      <c r="O784" s="3171"/>
      <c r="P784" s="3171"/>
      <c r="Q784" s="3171"/>
      <c r="R784" s="3171"/>
      <c r="S784" s="3171"/>
      <c r="T784" s="3171"/>
      <c r="U784" s="3171"/>
      <c r="V784" s="3171"/>
      <c r="W784" s="3171"/>
      <c r="X784" s="3297"/>
      <c r="Y784" s="3293"/>
      <c r="Z784" s="1201"/>
      <c r="AA784" s="1201"/>
      <c r="AB784" s="1202"/>
      <c r="AC784" s="3333"/>
      <c r="AD784" s="3333"/>
      <c r="AE784" s="3333"/>
      <c r="AF784" s="3333"/>
      <c r="AI784" s="3120" t="str">
        <f>"52:sintaikousoku_code:" &amp; IF(I784="■",1,IF(M784="■",2,0))</f>
        <v>52:sintaikousoku_code:0</v>
      </c>
    </row>
    <row r="785" spans="1:35" s="3120" customFormat="1" ht="18.75" hidden="1" customHeight="1" x14ac:dyDescent="0.2">
      <c r="A785" s="834"/>
      <c r="B785" s="3148"/>
      <c r="C785" s="3295"/>
      <c r="D785" s="3294"/>
      <c r="E785" s="3145"/>
      <c r="F785" s="3144"/>
      <c r="G785" s="3145"/>
      <c r="H785" s="3151" t="s">
        <v>792</v>
      </c>
      <c r="I785" s="3155" t="s">
        <v>116</v>
      </c>
      <c r="J785" s="3137" t="s">
        <v>1228</v>
      </c>
      <c r="K785" s="3171"/>
      <c r="L785" s="3173"/>
      <c r="M785" s="3154" t="s">
        <v>116</v>
      </c>
      <c r="N785" s="3137" t="s">
        <v>1322</v>
      </c>
      <c r="O785" s="3171"/>
      <c r="P785" s="3171"/>
      <c r="Q785" s="3171"/>
      <c r="R785" s="3171"/>
      <c r="S785" s="3171"/>
      <c r="T785" s="3171"/>
      <c r="U785" s="3171"/>
      <c r="V785" s="3171"/>
      <c r="W785" s="3171"/>
      <c r="X785" s="3297"/>
      <c r="Y785" s="3293"/>
      <c r="Z785" s="1201"/>
      <c r="AA785" s="1201"/>
      <c r="AB785" s="1202"/>
      <c r="AC785" s="3333"/>
      <c r="AD785" s="3333"/>
      <c r="AE785" s="3333"/>
      <c r="AF785" s="3333"/>
      <c r="AI785" s="3120" t="str">
        <f>"52:field208:" &amp; IF(I785="■",1,IF(M785="■",2,0))</f>
        <v>52:field208:0</v>
      </c>
    </row>
    <row r="786" spans="1:35" s="3120" customFormat="1" ht="19.5" hidden="1" customHeight="1" x14ac:dyDescent="0.2">
      <c r="A786" s="834"/>
      <c r="B786" s="3148"/>
      <c r="C786" s="3147"/>
      <c r="D786" s="3146"/>
      <c r="E786" s="3145"/>
      <c r="F786" s="3144"/>
      <c r="G786" s="3175"/>
      <c r="H786" s="3174" t="s">
        <v>1227</v>
      </c>
      <c r="I786" s="3155" t="s">
        <v>116</v>
      </c>
      <c r="J786" s="3137" t="s">
        <v>1228</v>
      </c>
      <c r="K786" s="3171"/>
      <c r="L786" s="3173"/>
      <c r="M786" s="3154" t="s">
        <v>116</v>
      </c>
      <c r="N786" s="3137" t="s">
        <v>1229</v>
      </c>
      <c r="O786" s="3299"/>
      <c r="P786" s="3137"/>
      <c r="Q786" s="3150"/>
      <c r="R786" s="3150"/>
      <c r="S786" s="3150"/>
      <c r="T786" s="3150"/>
      <c r="U786" s="3150"/>
      <c r="V786" s="3150"/>
      <c r="W786" s="3150"/>
      <c r="X786" s="3149"/>
      <c r="Y786" s="1201"/>
      <c r="Z786" s="1201"/>
      <c r="AA786" s="1201"/>
      <c r="AB786" s="1202"/>
      <c r="AC786" s="3333"/>
      <c r="AD786" s="3333"/>
      <c r="AE786" s="3333"/>
      <c r="AF786" s="3333"/>
      <c r="AI786" s="3120" t="str">
        <f>"52:field223:" &amp; IF(I786="■",1,IF(M786="■",2,0))</f>
        <v>52:field223:0</v>
      </c>
    </row>
    <row r="787" spans="1:35" s="3120" customFormat="1" ht="19.5" hidden="1" customHeight="1" x14ac:dyDescent="0.2">
      <c r="A787" s="834"/>
      <c r="B787" s="3148"/>
      <c r="C787" s="3147"/>
      <c r="D787" s="3146"/>
      <c r="E787" s="3145"/>
      <c r="F787" s="3144"/>
      <c r="G787" s="3175"/>
      <c r="H787" s="3174" t="s">
        <v>1253</v>
      </c>
      <c r="I787" s="3155" t="s">
        <v>116</v>
      </c>
      <c r="J787" s="3137" t="s">
        <v>1228</v>
      </c>
      <c r="K787" s="3171"/>
      <c r="L787" s="3173"/>
      <c r="M787" s="3154" t="s">
        <v>116</v>
      </c>
      <c r="N787" s="3137" t="s">
        <v>1229</v>
      </c>
      <c r="O787" s="3299"/>
      <c r="P787" s="3137"/>
      <c r="Q787" s="3150"/>
      <c r="R787" s="3150"/>
      <c r="S787" s="3150"/>
      <c r="T787" s="3150"/>
      <c r="U787" s="3150"/>
      <c r="V787" s="3150"/>
      <c r="W787" s="3150"/>
      <c r="X787" s="3149"/>
      <c r="Y787" s="1201"/>
      <c r="Z787" s="1201"/>
      <c r="AA787" s="1201"/>
      <c r="AB787" s="1202"/>
      <c r="AC787" s="3333"/>
      <c r="AD787" s="3333"/>
      <c r="AE787" s="3333"/>
      <c r="AF787" s="3333"/>
      <c r="AI787" s="3120" t="str">
        <f>"52:field232:" &amp; IF(I787="■",1,IF(M787="■",2,0))</f>
        <v>52:field232:0</v>
      </c>
    </row>
    <row r="788" spans="1:35" s="3120" customFormat="1" ht="18.75" hidden="1" customHeight="1" x14ac:dyDescent="0.2">
      <c r="A788" s="834"/>
      <c r="B788" s="3148"/>
      <c r="C788" s="3295"/>
      <c r="D788" s="3294"/>
      <c r="E788" s="3145"/>
      <c r="F788" s="3144"/>
      <c r="G788" s="3145"/>
      <c r="H788" s="3170" t="s">
        <v>1326</v>
      </c>
      <c r="I788" s="3248" t="s">
        <v>116</v>
      </c>
      <c r="J788" s="3210" t="s">
        <v>1230</v>
      </c>
      <c r="K788" s="3210"/>
      <c r="L788" s="3298" t="s">
        <v>116</v>
      </c>
      <c r="M788" s="3210" t="s">
        <v>1233</v>
      </c>
      <c r="N788" s="3210"/>
      <c r="O788" s="3302"/>
      <c r="P788" s="3302"/>
      <c r="Q788" s="3302"/>
      <c r="R788" s="3302"/>
      <c r="S788" s="3302"/>
      <c r="T788" s="3302"/>
      <c r="U788" s="3302"/>
      <c r="V788" s="3302"/>
      <c r="W788" s="3302"/>
      <c r="X788" s="3335"/>
      <c r="Y788" s="3293"/>
      <c r="Z788" s="1201"/>
      <c r="AA788" s="1201"/>
      <c r="AB788" s="1202"/>
      <c r="AC788" s="3333"/>
      <c r="AD788" s="3333"/>
      <c r="AE788" s="3333"/>
      <c r="AF788" s="3333"/>
      <c r="AI788" s="3120" t="str">
        <f>"52:field206:" &amp; IF(I788="■",1,IF(L788="■",2,0))</f>
        <v>52:field206:0</v>
      </c>
    </row>
    <row r="789" spans="1:35" s="3120" customFormat="1" ht="18.75" hidden="1" customHeight="1" x14ac:dyDescent="0.2">
      <c r="A789" s="834"/>
      <c r="B789" s="3148"/>
      <c r="C789" s="3295"/>
      <c r="D789" s="3294"/>
      <c r="E789" s="3145"/>
      <c r="F789" s="3144"/>
      <c r="G789" s="3145"/>
      <c r="H789" s="3165"/>
      <c r="I789" s="3200"/>
      <c r="J789" s="3163"/>
      <c r="K789" s="3163"/>
      <c r="L789" s="3199"/>
      <c r="M789" s="3163"/>
      <c r="N789" s="3163"/>
      <c r="O789" s="3139"/>
      <c r="P789" s="3139"/>
      <c r="Q789" s="3139"/>
      <c r="R789" s="3139"/>
      <c r="S789" s="3139"/>
      <c r="T789" s="3139"/>
      <c r="U789" s="3139"/>
      <c r="V789" s="3139"/>
      <c r="W789" s="3139"/>
      <c r="X789" s="3195"/>
      <c r="Y789" s="3293"/>
      <c r="Z789" s="1201"/>
      <c r="AA789" s="1201"/>
      <c r="AB789" s="1202"/>
      <c r="AC789" s="3333"/>
      <c r="AD789" s="3333"/>
      <c r="AE789" s="3333"/>
      <c r="AF789" s="3333"/>
    </row>
    <row r="790" spans="1:35" s="1247" customFormat="1" ht="19.5" hidden="1" customHeight="1" x14ac:dyDescent="0.2">
      <c r="A790" s="3158" t="s">
        <v>116</v>
      </c>
      <c r="B790" s="3148">
        <v>52</v>
      </c>
      <c r="C790" s="3295" t="s">
        <v>2139</v>
      </c>
      <c r="D790" s="3158" t="s">
        <v>116</v>
      </c>
      <c r="E790" s="3145" t="s">
        <v>2142</v>
      </c>
      <c r="F790" s="1249"/>
      <c r="G790" s="583"/>
      <c r="H790" s="3324" t="s">
        <v>2133</v>
      </c>
      <c r="I790" s="3155" t="s">
        <v>116</v>
      </c>
      <c r="J790" s="3320" t="s">
        <v>2131</v>
      </c>
      <c r="K790" s="3323"/>
      <c r="L790" s="3322"/>
      <c r="M790" s="3154" t="s">
        <v>116</v>
      </c>
      <c r="N790" s="3320" t="s">
        <v>2130</v>
      </c>
      <c r="O790" s="3321"/>
      <c r="P790" s="3320"/>
      <c r="Q790" s="3319"/>
      <c r="R790" s="3319"/>
      <c r="S790" s="3319"/>
      <c r="T790" s="3319"/>
      <c r="U790" s="3319"/>
      <c r="V790" s="3319"/>
      <c r="W790" s="3319"/>
      <c r="X790" s="3318"/>
      <c r="Y790" s="1248"/>
      <c r="Z790" s="2"/>
      <c r="AA790" s="584"/>
      <c r="AB790" s="585"/>
      <c r="AC790" s="3333"/>
      <c r="AD790" s="3333"/>
      <c r="AE790" s="3333"/>
      <c r="AF790" s="3333"/>
      <c r="AI790" s="3120" t="str">
        <f>"52:field242:" &amp; IF(I790="■",1,IF(M790="■",2,0))</f>
        <v>52:field242:0</v>
      </c>
    </row>
    <row r="791" spans="1:35" s="3120" customFormat="1" ht="18.75" hidden="1" customHeight="1" x14ac:dyDescent="0.2">
      <c r="A791" s="834"/>
      <c r="B791" s="3148"/>
      <c r="C791" s="3295"/>
      <c r="D791" s="3294"/>
      <c r="E791" s="3145"/>
      <c r="F791" s="3144"/>
      <c r="G791" s="3145"/>
      <c r="H791" s="3151" t="s">
        <v>2137</v>
      </c>
      <c r="I791" s="3141" t="s">
        <v>116</v>
      </c>
      <c r="J791" s="3139" t="s">
        <v>1230</v>
      </c>
      <c r="K791" s="3138"/>
      <c r="L791" s="3140" t="s">
        <v>116</v>
      </c>
      <c r="M791" s="3139" t="s">
        <v>1233</v>
      </c>
      <c r="N791" s="3171"/>
      <c r="O791" s="3171"/>
      <c r="P791" s="3171"/>
      <c r="Q791" s="3171"/>
      <c r="R791" s="3171"/>
      <c r="S791" s="3171"/>
      <c r="T791" s="3171"/>
      <c r="U791" s="3171"/>
      <c r="V791" s="3171"/>
      <c r="W791" s="3171"/>
      <c r="X791" s="3297"/>
      <c r="Y791" s="3293"/>
      <c r="Z791" s="1201"/>
      <c r="AA791" s="1201"/>
      <c r="AB791" s="1202"/>
      <c r="AC791" s="3333"/>
      <c r="AD791" s="3333"/>
      <c r="AE791" s="3333"/>
      <c r="AF791" s="3333"/>
      <c r="AI791" s="3120" t="str">
        <f>"52:yakinhaiti_code:" &amp; IF(I791="■",1,IF(L791="■",2,0))</f>
        <v>52:yakinhaiti_code:0</v>
      </c>
    </row>
    <row r="792" spans="1:35" s="3120" customFormat="1" ht="18.75" hidden="1" customHeight="1" x14ac:dyDescent="0.2">
      <c r="A792" s="834"/>
      <c r="B792" s="3148"/>
      <c r="C792" s="3295"/>
      <c r="D792" s="3294"/>
      <c r="E792" s="3145"/>
      <c r="F792" s="3144"/>
      <c r="G792" s="3145"/>
      <c r="H792" s="3151" t="s">
        <v>2136</v>
      </c>
      <c r="I792" s="3141" t="s">
        <v>116</v>
      </c>
      <c r="J792" s="3139" t="s">
        <v>1230</v>
      </c>
      <c r="K792" s="3138"/>
      <c r="L792" s="3140" t="s">
        <v>116</v>
      </c>
      <c r="M792" s="3139" t="s">
        <v>1233</v>
      </c>
      <c r="N792" s="3171"/>
      <c r="O792" s="3171"/>
      <c r="P792" s="3171"/>
      <c r="Q792" s="3171"/>
      <c r="R792" s="3171"/>
      <c r="S792" s="3171"/>
      <c r="T792" s="3171"/>
      <c r="U792" s="3171"/>
      <c r="V792" s="3171"/>
      <c r="W792" s="3171"/>
      <c r="X792" s="3297"/>
      <c r="Y792" s="3293"/>
      <c r="Z792" s="1201"/>
      <c r="AA792" s="1201"/>
      <c r="AB792" s="1202"/>
      <c r="AC792" s="3333"/>
      <c r="AD792" s="3333"/>
      <c r="AE792" s="3333"/>
      <c r="AF792" s="3333"/>
      <c r="AI792" s="3120" t="str">
        <f>"52:ninticare_code:" &amp; IF(I792="■",1,IF(L792="■",2,0))</f>
        <v>52:ninticare_code:0</v>
      </c>
    </row>
    <row r="793" spans="1:35" s="3120" customFormat="1" ht="18.75" hidden="1" customHeight="1" x14ac:dyDescent="0.2">
      <c r="A793" s="834"/>
      <c r="B793" s="3148"/>
      <c r="C793" s="3295"/>
      <c r="D793" s="3294"/>
      <c r="E793" s="3145"/>
      <c r="F793" s="3144"/>
      <c r="G793" s="3145"/>
      <c r="H793" s="3334" t="s">
        <v>2135</v>
      </c>
      <c r="I793" s="3141" t="s">
        <v>116</v>
      </c>
      <c r="J793" s="3139" t="s">
        <v>1230</v>
      </c>
      <c r="K793" s="3138"/>
      <c r="L793" s="3140" t="s">
        <v>116</v>
      </c>
      <c r="M793" s="3139" t="s">
        <v>1233</v>
      </c>
      <c r="N793" s="3171"/>
      <c r="O793" s="3171"/>
      <c r="P793" s="3171"/>
      <c r="Q793" s="3171"/>
      <c r="R793" s="3171"/>
      <c r="S793" s="3171"/>
      <c r="T793" s="3171"/>
      <c r="U793" s="3171"/>
      <c r="V793" s="3171"/>
      <c r="W793" s="3171"/>
      <c r="X793" s="3297"/>
      <c r="Y793" s="3293"/>
      <c r="Z793" s="1201"/>
      <c r="AA793" s="1201"/>
      <c r="AB793" s="1202"/>
      <c r="AC793" s="3333"/>
      <c r="AD793" s="3333"/>
      <c r="AE793" s="3333"/>
      <c r="AF793" s="3333"/>
      <c r="AI793" s="3120" t="str">
        <f>"52:jyakuninti_uke_code:" &amp; IF(I793="■",1,IF(L793="■",2,0))</f>
        <v>52:jyakuninti_uke_code:0</v>
      </c>
    </row>
    <row r="794" spans="1:35" s="3120" customFormat="1" ht="18.75" hidden="1" customHeight="1" x14ac:dyDescent="0.2">
      <c r="A794" s="834"/>
      <c r="B794" s="3148"/>
      <c r="C794" s="3295"/>
      <c r="D794" s="3294"/>
      <c r="E794" s="3145"/>
      <c r="F794" s="3144"/>
      <c r="G794" s="3145"/>
      <c r="H794" s="3151" t="s">
        <v>2134</v>
      </c>
      <c r="I794" s="3141" t="s">
        <v>116</v>
      </c>
      <c r="J794" s="3139" t="s">
        <v>1230</v>
      </c>
      <c r="K794" s="3138"/>
      <c r="L794" s="3140" t="s">
        <v>116</v>
      </c>
      <c r="M794" s="3139" t="s">
        <v>1233</v>
      </c>
      <c r="N794" s="3171"/>
      <c r="O794" s="3171"/>
      <c r="P794" s="3171"/>
      <c r="Q794" s="3171"/>
      <c r="R794" s="3171"/>
      <c r="S794" s="3171"/>
      <c r="T794" s="3171"/>
      <c r="U794" s="3171"/>
      <c r="V794" s="3171"/>
      <c r="W794" s="3171"/>
      <c r="X794" s="3297"/>
      <c r="Y794" s="3293"/>
      <c r="Z794" s="1201"/>
      <c r="AA794" s="1201"/>
      <c r="AB794" s="1202"/>
      <c r="AC794" s="3333"/>
      <c r="AD794" s="3333"/>
      <c r="AE794" s="3333"/>
      <c r="AF794" s="3333"/>
      <c r="AI794" s="3120" t="str">
        <f>"52:terminal_code:" &amp; IF(I794="■",1,IF(L794="■",2,0))</f>
        <v>52:terminal_code:0</v>
      </c>
    </row>
    <row r="795" spans="1:35" s="3120" customFormat="1" ht="18.75" hidden="1" customHeight="1" x14ac:dyDescent="0.2">
      <c r="A795" s="834"/>
      <c r="B795" s="3148"/>
      <c r="C795" s="3295"/>
      <c r="D795" s="3294"/>
      <c r="E795" s="3145"/>
      <c r="F795" s="3144"/>
      <c r="G795" s="3145"/>
      <c r="H795" s="3151" t="s">
        <v>794</v>
      </c>
      <c r="I795" s="3141" t="s">
        <v>116</v>
      </c>
      <c r="J795" s="3139" t="s">
        <v>1230</v>
      </c>
      <c r="K795" s="3138"/>
      <c r="L795" s="3140" t="s">
        <v>116</v>
      </c>
      <c r="M795" s="3139" t="s">
        <v>1233</v>
      </c>
      <c r="N795" s="3171"/>
      <c r="O795" s="3171"/>
      <c r="P795" s="3171"/>
      <c r="Q795" s="3171"/>
      <c r="R795" s="3171"/>
      <c r="S795" s="3171"/>
      <c r="T795" s="3171"/>
      <c r="U795" s="3171"/>
      <c r="V795" s="3171"/>
      <c r="W795" s="3171"/>
      <c r="X795" s="3297"/>
      <c r="Y795" s="3293"/>
      <c r="Z795" s="1201"/>
      <c r="AA795" s="1201"/>
      <c r="AB795" s="1202"/>
      <c r="AC795" s="3333"/>
      <c r="AD795" s="3333"/>
      <c r="AE795" s="3333"/>
      <c r="AF795" s="3333"/>
      <c r="AI795" s="3120" t="str">
        <f>"52:field207:" &amp; IF(I795="■",1,IF(L795="■",2,0))</f>
        <v>52:field207:0</v>
      </c>
    </row>
    <row r="796" spans="1:35" s="3120" customFormat="1" ht="18.75" hidden="1" customHeight="1" x14ac:dyDescent="0.2">
      <c r="A796" s="834"/>
      <c r="B796" s="3148"/>
      <c r="C796" s="3295"/>
      <c r="D796" s="3294"/>
      <c r="E796" s="3145"/>
      <c r="F796" s="3144"/>
      <c r="G796" s="3145"/>
      <c r="H796" s="3151" t="s">
        <v>140</v>
      </c>
      <c r="I796" s="3141" t="s">
        <v>116</v>
      </c>
      <c r="J796" s="3139" t="s">
        <v>1230</v>
      </c>
      <c r="K796" s="3138"/>
      <c r="L796" s="3140" t="s">
        <v>116</v>
      </c>
      <c r="M796" s="3139" t="s">
        <v>1233</v>
      </c>
      <c r="N796" s="3171"/>
      <c r="O796" s="3171"/>
      <c r="P796" s="3171"/>
      <c r="Q796" s="3171"/>
      <c r="R796" s="3171"/>
      <c r="S796" s="3171"/>
      <c r="T796" s="3171"/>
      <c r="U796" s="3171"/>
      <c r="V796" s="3171"/>
      <c r="W796" s="3171"/>
      <c r="X796" s="3297"/>
      <c r="Y796" s="3293"/>
      <c r="Z796" s="1201"/>
      <c r="AA796" s="1201"/>
      <c r="AB796" s="1202"/>
      <c r="AC796" s="3333"/>
      <c r="AD796" s="3333"/>
      <c r="AE796" s="3333"/>
      <c r="AF796" s="3333"/>
      <c r="AI796" s="3120" t="str">
        <f>"52:ryouyoushoku_code:" &amp; IF(I796="■",1,IF(L796="■",2,0))</f>
        <v>52:ryouyoushoku_code:0</v>
      </c>
    </row>
    <row r="797" spans="1:35" s="3120" customFormat="1" ht="18.75" hidden="1" customHeight="1" x14ac:dyDescent="0.2">
      <c r="A797" s="834"/>
      <c r="B797" s="3148"/>
      <c r="C797" s="3295"/>
      <c r="D797" s="3294"/>
      <c r="E797" s="3145"/>
      <c r="F797" s="3144"/>
      <c r="G797" s="3145"/>
      <c r="H797" s="3151" t="s">
        <v>1237</v>
      </c>
      <c r="I797" s="3155" t="s">
        <v>116</v>
      </c>
      <c r="J797" s="3137" t="s">
        <v>1230</v>
      </c>
      <c r="K797" s="3137"/>
      <c r="L797" s="3154" t="s">
        <v>116</v>
      </c>
      <c r="M797" s="3137" t="s">
        <v>1231</v>
      </c>
      <c r="N797" s="3137"/>
      <c r="O797" s="3154" t="s">
        <v>116</v>
      </c>
      <c r="P797" s="3137" t="s">
        <v>1232</v>
      </c>
      <c r="Q797" s="3150"/>
      <c r="R797" s="3171"/>
      <c r="S797" s="3171"/>
      <c r="T797" s="3171"/>
      <c r="U797" s="3171"/>
      <c r="V797" s="3171"/>
      <c r="W797" s="3171"/>
      <c r="X797" s="3297"/>
      <c r="Y797" s="3293"/>
      <c r="Z797" s="1201"/>
      <c r="AA797" s="1201"/>
      <c r="AB797" s="1202"/>
      <c r="AC797" s="3333"/>
      <c r="AD797" s="3333"/>
      <c r="AE797" s="3333"/>
      <c r="AF797" s="3333"/>
      <c r="AI797" s="3120" t="str">
        <f>"52:ninti_senmoncare_code:" &amp; IF(I797="■",1,IF(O797="■",3,IF(L797="■",2,0)))</f>
        <v>52:ninti_senmoncare_code:0</v>
      </c>
    </row>
    <row r="798" spans="1:35" s="3120" customFormat="1" ht="18.75" hidden="1" customHeight="1" x14ac:dyDescent="0.2">
      <c r="A798" s="834"/>
      <c r="B798" s="3148"/>
      <c r="C798" s="3295"/>
      <c r="D798" s="3294"/>
      <c r="E798" s="3145"/>
      <c r="F798" s="3144"/>
      <c r="G798" s="3145"/>
      <c r="H798" s="3151" t="s">
        <v>1327</v>
      </c>
      <c r="I798" s="3155" t="s">
        <v>116</v>
      </c>
      <c r="J798" s="3137" t="s">
        <v>1230</v>
      </c>
      <c r="K798" s="3137"/>
      <c r="L798" s="3154" t="s">
        <v>116</v>
      </c>
      <c r="M798" s="3137" t="s">
        <v>1231</v>
      </c>
      <c r="N798" s="3137"/>
      <c r="O798" s="3154" t="s">
        <v>116</v>
      </c>
      <c r="P798" s="3137" t="s">
        <v>1232</v>
      </c>
      <c r="Q798" s="3171"/>
      <c r="R798" s="3171"/>
      <c r="S798" s="3171"/>
      <c r="T798" s="3171"/>
      <c r="U798" s="3171"/>
      <c r="V798" s="3171"/>
      <c r="W798" s="3171"/>
      <c r="X798" s="3297"/>
      <c r="Y798" s="3293"/>
      <c r="Z798" s="1201"/>
      <c r="AA798" s="1201"/>
      <c r="AB798" s="1202"/>
      <c r="AC798" s="3333"/>
      <c r="AD798" s="3333"/>
      <c r="AE798" s="3333"/>
      <c r="AF798" s="3333"/>
      <c r="AI798" s="3120" t="str">
        <f>"52:field228:" &amp; IF(I798="■",1,IF(L798="■",2,IF(O798="■",3,0)))</f>
        <v>52:field228:0</v>
      </c>
    </row>
    <row r="799" spans="1:35" s="3120" customFormat="1" ht="18.75" hidden="1" customHeight="1" x14ac:dyDescent="0.2">
      <c r="A799" s="834"/>
      <c r="B799" s="3148"/>
      <c r="C799" s="3295"/>
      <c r="D799" s="3294"/>
      <c r="E799" s="3145"/>
      <c r="F799" s="3144"/>
      <c r="G799" s="3145"/>
      <c r="H799" s="3151" t="s">
        <v>1323</v>
      </c>
      <c r="I799" s="3155" t="s">
        <v>116</v>
      </c>
      <c r="J799" s="3137" t="s">
        <v>1230</v>
      </c>
      <c r="K799" s="3137"/>
      <c r="L799" s="3154" t="s">
        <v>116</v>
      </c>
      <c r="M799" s="3139" t="s">
        <v>1233</v>
      </c>
      <c r="N799" s="3137"/>
      <c r="O799" s="3137"/>
      <c r="P799" s="3137"/>
      <c r="Q799" s="3171"/>
      <c r="R799" s="3171"/>
      <c r="S799" s="3171"/>
      <c r="T799" s="3171"/>
      <c r="U799" s="3171"/>
      <c r="V799" s="3171"/>
      <c r="W799" s="3171"/>
      <c r="X799" s="3297"/>
      <c r="Y799" s="3293"/>
      <c r="Z799" s="1201"/>
      <c r="AA799" s="1201"/>
      <c r="AB799" s="1202"/>
      <c r="AC799" s="3333"/>
      <c r="AD799" s="3333"/>
      <c r="AE799" s="3333"/>
      <c r="AF799" s="3333"/>
      <c r="AI799" s="3120" t="str">
        <f>"52:field226:" &amp; IF(I799="■",1,IF(L799="■",2,0))</f>
        <v>52:field226:0</v>
      </c>
    </row>
    <row r="800" spans="1:35" s="3120" customFormat="1" ht="18.75" hidden="1" customHeight="1" x14ac:dyDescent="0.2">
      <c r="A800" s="834"/>
      <c r="B800" s="3148"/>
      <c r="C800" s="3295"/>
      <c r="D800" s="3294"/>
      <c r="E800" s="3145"/>
      <c r="F800" s="3144"/>
      <c r="G800" s="3145"/>
      <c r="H800" s="3151" t="s">
        <v>1324</v>
      </c>
      <c r="I800" s="3155" t="s">
        <v>116</v>
      </c>
      <c r="J800" s="3137" t="s">
        <v>1230</v>
      </c>
      <c r="K800" s="3137"/>
      <c r="L800" s="3154" t="s">
        <v>116</v>
      </c>
      <c r="M800" s="3139" t="s">
        <v>1233</v>
      </c>
      <c r="N800" s="3137"/>
      <c r="O800" s="3137"/>
      <c r="P800" s="3137"/>
      <c r="Q800" s="3171"/>
      <c r="R800" s="3171"/>
      <c r="S800" s="3171"/>
      <c r="T800" s="3171"/>
      <c r="U800" s="3171"/>
      <c r="V800" s="3171"/>
      <c r="W800" s="3171"/>
      <c r="X800" s="3297"/>
      <c r="Y800" s="3293"/>
      <c r="Z800" s="1201"/>
      <c r="AA800" s="1201"/>
      <c r="AB800" s="1202"/>
      <c r="AC800" s="3333"/>
      <c r="AD800" s="3333"/>
      <c r="AE800" s="3333"/>
      <c r="AF800" s="3333"/>
      <c r="AI800" s="3120" t="str">
        <f>"52:field227:" &amp; IF(I800="■",1,IF(L800="■",2,0))</f>
        <v>52:field227:0</v>
      </c>
    </row>
    <row r="801" spans="1:36" s="3120" customFormat="1" ht="18.75" hidden="1" customHeight="1" x14ac:dyDescent="0.2">
      <c r="A801" s="834"/>
      <c r="B801" s="3148"/>
      <c r="C801" s="3295"/>
      <c r="D801" s="3294"/>
      <c r="E801" s="3145"/>
      <c r="F801" s="3144"/>
      <c r="G801" s="3145"/>
      <c r="H801" s="3296" t="s">
        <v>1285</v>
      </c>
      <c r="I801" s="3155" t="s">
        <v>116</v>
      </c>
      <c r="J801" s="3137" t="s">
        <v>1230</v>
      </c>
      <c r="K801" s="3137"/>
      <c r="L801" s="3154" t="s">
        <v>116</v>
      </c>
      <c r="M801" s="3137" t="s">
        <v>1231</v>
      </c>
      <c r="N801" s="3137"/>
      <c r="O801" s="3154" t="s">
        <v>116</v>
      </c>
      <c r="P801" s="3137" t="s">
        <v>1232</v>
      </c>
      <c r="Q801" s="3150"/>
      <c r="R801" s="3150"/>
      <c r="S801" s="3150"/>
      <c r="T801" s="3150"/>
      <c r="U801" s="3209"/>
      <c r="V801" s="3209"/>
      <c r="W801" s="3209"/>
      <c r="X801" s="3208"/>
      <c r="Y801" s="3293"/>
      <c r="Z801" s="1201"/>
      <c r="AA801" s="1201"/>
      <c r="AB801" s="1202"/>
      <c r="AC801" s="3333"/>
      <c r="AD801" s="3333"/>
      <c r="AE801" s="3333"/>
      <c r="AF801" s="3333"/>
      <c r="AI801" s="3120" t="str">
        <f>"52:field225:" &amp; IF(I801="■",1,IF(L801="■",2,IF(O801="■",3,0)))</f>
        <v>52:field225:0</v>
      </c>
    </row>
    <row r="802" spans="1:36" s="3120" customFormat="1" ht="18.75" hidden="1" customHeight="1" x14ac:dyDescent="0.2">
      <c r="A802" s="834"/>
      <c r="B802" s="3148"/>
      <c r="C802" s="3295"/>
      <c r="D802" s="3294"/>
      <c r="E802" s="3145"/>
      <c r="F802" s="3144"/>
      <c r="G802" s="3145"/>
      <c r="H802" s="3151" t="s">
        <v>238</v>
      </c>
      <c r="I802" s="3155" t="s">
        <v>116</v>
      </c>
      <c r="J802" s="3137" t="s">
        <v>1230</v>
      </c>
      <c r="K802" s="3137"/>
      <c r="L802" s="3154" t="s">
        <v>116</v>
      </c>
      <c r="M802" s="3137" t="s">
        <v>1259</v>
      </c>
      <c r="N802" s="3137"/>
      <c r="O802" s="3154" t="s">
        <v>116</v>
      </c>
      <c r="P802" s="3137" t="s">
        <v>1260</v>
      </c>
      <c r="Q802" s="3153"/>
      <c r="R802" s="3154" t="s">
        <v>116</v>
      </c>
      <c r="S802" s="3137" t="s">
        <v>1261</v>
      </c>
      <c r="T802" s="3137"/>
      <c r="U802" s="3137"/>
      <c r="V802" s="3137"/>
      <c r="W802" s="3137"/>
      <c r="X802" s="3136"/>
      <c r="Y802" s="3293"/>
      <c r="Z802" s="1201"/>
      <c r="AA802" s="1201"/>
      <c r="AB802" s="1202"/>
      <c r="AC802" s="3333"/>
      <c r="AD802" s="3333"/>
      <c r="AE802" s="3333"/>
      <c r="AF802" s="3333"/>
      <c r="AI802" s="3120" t="str">
        <f>"52:serteikyo_kyoka_code:" &amp; IF(I802="■",1,IF(L802="■",6,IF(O802="■",5,IF(R802="■",7,0))))</f>
        <v>52:serteikyo_kyoka_code:0</v>
      </c>
    </row>
    <row r="803" spans="1:36" s="3120" customFormat="1" ht="18.75" hidden="1" customHeight="1" x14ac:dyDescent="0.2">
      <c r="A803" s="834"/>
      <c r="B803" s="3148"/>
      <c r="C803" s="3147"/>
      <c r="D803" s="3146"/>
      <c r="E803" s="3145"/>
      <c r="F803" s="3144"/>
      <c r="G803" s="3175"/>
      <c r="H803" s="3331" t="s">
        <v>2129</v>
      </c>
      <c r="I803" s="3303" t="s">
        <v>116</v>
      </c>
      <c r="J803" s="3327" t="s">
        <v>1230</v>
      </c>
      <c r="K803" s="3327"/>
      <c r="L803" s="3301" t="s">
        <v>116</v>
      </c>
      <c r="M803" s="3327" t="s">
        <v>2128</v>
      </c>
      <c r="N803" s="3330"/>
      <c r="O803" s="3301" t="s">
        <v>116</v>
      </c>
      <c r="P803" s="3329" t="s">
        <v>2127</v>
      </c>
      <c r="Q803" s="3328"/>
      <c r="R803" s="3301" t="s">
        <v>116</v>
      </c>
      <c r="S803" s="3327" t="s">
        <v>2126</v>
      </c>
      <c r="T803" s="3328"/>
      <c r="U803" s="3301" t="s">
        <v>116</v>
      </c>
      <c r="V803" s="3327" t="s">
        <v>2125</v>
      </c>
      <c r="W803" s="3326"/>
      <c r="X803" s="3325"/>
      <c r="Y803" s="1201"/>
      <c r="Z803" s="1201"/>
      <c r="AA803" s="1201"/>
      <c r="AB803" s="1202"/>
      <c r="AC803" s="3333"/>
      <c r="AD803" s="3333"/>
      <c r="AE803" s="3333"/>
      <c r="AF803" s="3333"/>
      <c r="AI803" s="3120" t="str">
        <f>"52:shoguukaizen_code:"&amp;IF(I803="■",1,IF(L803="■",7,IF(O803="■",8,IF(R803="■",9,IF(U803="■","A",0)))))</f>
        <v>52:shoguukaizen_code:0</v>
      </c>
    </row>
    <row r="804" spans="1:36" s="3120" customFormat="1" ht="18.75" hidden="1" customHeight="1" x14ac:dyDescent="0.2">
      <c r="A804" s="3188"/>
      <c r="B804" s="3187"/>
      <c r="C804" s="3313"/>
      <c r="D804" s="3312"/>
      <c r="E804" s="3185"/>
      <c r="F804" s="3184"/>
      <c r="G804" s="3185"/>
      <c r="H804" s="3182" t="s">
        <v>1286</v>
      </c>
      <c r="I804" s="3181" t="s">
        <v>116</v>
      </c>
      <c r="J804" s="3180" t="s">
        <v>1282</v>
      </c>
      <c r="K804" s="3226"/>
      <c r="L804" s="3225"/>
      <c r="M804" s="3179" t="s">
        <v>116</v>
      </c>
      <c r="N804" s="3180" t="s">
        <v>1283</v>
      </c>
      <c r="O804" s="3177"/>
      <c r="P804" s="3177"/>
      <c r="Q804" s="3177"/>
      <c r="R804" s="3177"/>
      <c r="S804" s="3177"/>
      <c r="T804" s="3177"/>
      <c r="U804" s="3177"/>
      <c r="V804" s="3177"/>
      <c r="W804" s="3177"/>
      <c r="X804" s="3176"/>
      <c r="Y804" s="3253" t="s">
        <v>116</v>
      </c>
      <c r="Z804" s="3252" t="s">
        <v>1225</v>
      </c>
      <c r="AA804" s="3252"/>
      <c r="AB804" s="3308"/>
      <c r="AC804" s="3338"/>
      <c r="AD804" s="3338"/>
      <c r="AE804" s="3338"/>
      <c r="AF804" s="3338"/>
      <c r="AG804" s="3120" t="str">
        <f>"ser_code = '" &amp; IF(A815="■",52,"") &amp; "'"</f>
        <v>ser_code = ''</v>
      </c>
      <c r="AI804" s="3120" t="str">
        <f>"52:yakan_kinmu_code:" &amp; IF(I804="■",1,IF(M804="■",6,0))</f>
        <v>52:yakan_kinmu_code:0</v>
      </c>
      <c r="AJ804" s="3120" t="str">
        <f>"52:field203:" &amp; IF(Y804="■",1,IF(Y805="■",2,0))</f>
        <v>52:field203:0</v>
      </c>
    </row>
    <row r="805" spans="1:36" s="3120" customFormat="1" ht="18.75" hidden="1" customHeight="1" x14ac:dyDescent="0.2">
      <c r="A805" s="834"/>
      <c r="B805" s="3148"/>
      <c r="C805" s="3295"/>
      <c r="D805" s="3294"/>
      <c r="E805" s="3145"/>
      <c r="F805" s="3144"/>
      <c r="G805" s="3145"/>
      <c r="H805" s="3304" t="s">
        <v>90</v>
      </c>
      <c r="I805" s="3303" t="s">
        <v>116</v>
      </c>
      <c r="J805" s="3302" t="s">
        <v>1230</v>
      </c>
      <c r="K805" s="3302"/>
      <c r="L805" s="3167"/>
      <c r="M805" s="3301" t="s">
        <v>116</v>
      </c>
      <c r="N805" s="3302" t="s">
        <v>1262</v>
      </c>
      <c r="O805" s="3302"/>
      <c r="P805" s="3167"/>
      <c r="Q805" s="3301" t="s">
        <v>116</v>
      </c>
      <c r="R805" s="3167" t="s">
        <v>1263</v>
      </c>
      <c r="S805" s="3167"/>
      <c r="T805" s="3167"/>
      <c r="U805" s="3301" t="s">
        <v>116</v>
      </c>
      <c r="V805" s="3167" t="s">
        <v>1264</v>
      </c>
      <c r="W805" s="3167"/>
      <c r="X805" s="3166"/>
      <c r="Y805" s="3158" t="s">
        <v>116</v>
      </c>
      <c r="Z805" s="1200" t="s">
        <v>1226</v>
      </c>
      <c r="AA805" s="1201"/>
      <c r="AB805" s="1202"/>
      <c r="AC805" s="3333"/>
      <c r="AD805" s="3333"/>
      <c r="AE805" s="3333"/>
      <c r="AF805" s="3333"/>
      <c r="AG805" s="3120" t="str">
        <f>"52:sisetukbn_code:" &amp; IF(D815="■","A",0)</f>
        <v>52:sisetukbn_code:0</v>
      </c>
      <c r="AI805" s="3120" t="str">
        <f>"52:"&amp;IF(AND(I805="□",M805="□",Q805="□",U805="□",I806="□",M806="□",Q806="□",I807="□"),"ketu_doctor_code:0",IF(I805="■","ketu_doctor_code:1:ketu_kangos_code:1:ketu_kshoku_code:1:ketu_rryoho_code:1:ketu_sryoho_code:1:ketu_ksiensou_code:1:ketu_gengo_code:1",IF(M805="■","ketu_doctor_code:2","ketu_doctor_code:1")
&amp;IF(Q805="■",":ketu_kangos_code:2",":ketu_kangos_code:1")
&amp;IF(U805="■",":ketu_kshoku_code:2",":ketu_kshoku_code:1")
&amp;IF(I806="■",":ketu_rryoho_code:2",":ketu_rryoho_code:1")
&amp;IF(M806="■",":ketu_sryoho_code:2",":ketu_sryoho_code:1")
&amp;IF(Q806="■",":ketu_ksiensou_code:2",":ketu_ksiensou_code:1")
&amp;IF(I807="■",":ketu_gengo_code:2",":ketu_gengo_code:1")))</f>
        <v>52:ketu_doctor_code:0</v>
      </c>
    </row>
    <row r="806" spans="1:36" s="3120" customFormat="1" ht="18.75" hidden="1" customHeight="1" x14ac:dyDescent="0.2">
      <c r="A806" s="834"/>
      <c r="B806" s="3148"/>
      <c r="C806" s="3295"/>
      <c r="D806" s="3294"/>
      <c r="E806" s="3145"/>
      <c r="F806" s="3144"/>
      <c r="G806" s="3145"/>
      <c r="H806" s="3337"/>
      <c r="I806" s="3158" t="s">
        <v>116</v>
      </c>
      <c r="J806" s="1200" t="s">
        <v>1265</v>
      </c>
      <c r="K806" s="1200"/>
      <c r="L806" s="836"/>
      <c r="M806" s="3258" t="s">
        <v>116</v>
      </c>
      <c r="N806" s="1200" t="s">
        <v>1266</v>
      </c>
      <c r="O806" s="1200"/>
      <c r="P806" s="836"/>
      <c r="Q806" s="3258" t="s">
        <v>116</v>
      </c>
      <c r="R806" s="836" t="s">
        <v>2141</v>
      </c>
      <c r="S806" s="836"/>
      <c r="T806" s="836"/>
      <c r="U806" s="836"/>
      <c r="V806" s="836"/>
      <c r="W806" s="836"/>
      <c r="X806" s="3336"/>
      <c r="Y806" s="3293"/>
      <c r="Z806" s="1201"/>
      <c r="AA806" s="1201"/>
      <c r="AB806" s="1202"/>
      <c r="AC806" s="3333"/>
      <c r="AD806" s="3333"/>
      <c r="AE806" s="3333"/>
      <c r="AF806" s="3333"/>
    </row>
    <row r="807" spans="1:36" s="3120" customFormat="1" ht="18.75" hidden="1" customHeight="1" x14ac:dyDescent="0.2">
      <c r="A807" s="834"/>
      <c r="B807" s="3148"/>
      <c r="C807" s="3295"/>
      <c r="D807" s="3294"/>
      <c r="E807" s="3145"/>
      <c r="F807" s="3144"/>
      <c r="G807" s="3145"/>
      <c r="H807" s="3300"/>
      <c r="I807" s="3141" t="s">
        <v>116</v>
      </c>
      <c r="J807" s="3139" t="s">
        <v>2140</v>
      </c>
      <c r="K807" s="3139"/>
      <c r="L807" s="3162"/>
      <c r="M807" s="3140"/>
      <c r="N807" s="3139"/>
      <c r="O807" s="3139"/>
      <c r="P807" s="3162"/>
      <c r="Q807" s="3162"/>
      <c r="R807" s="3162"/>
      <c r="S807" s="3162"/>
      <c r="T807" s="3162"/>
      <c r="U807" s="3162"/>
      <c r="V807" s="3162"/>
      <c r="W807" s="3162"/>
      <c r="X807" s="3161"/>
      <c r="Y807" s="3293"/>
      <c r="Z807" s="1201"/>
      <c r="AA807" s="1201"/>
      <c r="AB807" s="1202"/>
      <c r="AC807" s="3333"/>
      <c r="AD807" s="3333"/>
      <c r="AE807" s="3333"/>
      <c r="AF807" s="3333"/>
    </row>
    <row r="808" spans="1:36" s="3120" customFormat="1" ht="18.75" hidden="1" customHeight="1" x14ac:dyDescent="0.2">
      <c r="A808" s="834"/>
      <c r="B808" s="3148"/>
      <c r="C808" s="3295"/>
      <c r="D808" s="3294"/>
      <c r="E808" s="3145"/>
      <c r="F808" s="3144"/>
      <c r="G808" s="3145"/>
      <c r="H808" s="3151" t="s">
        <v>91</v>
      </c>
      <c r="I808" s="3155" t="s">
        <v>116</v>
      </c>
      <c r="J808" s="3137" t="s">
        <v>1240</v>
      </c>
      <c r="K808" s="3171"/>
      <c r="L808" s="3173"/>
      <c r="M808" s="3154" t="s">
        <v>116</v>
      </c>
      <c r="N808" s="3137" t="s">
        <v>1241</v>
      </c>
      <c r="O808" s="3171"/>
      <c r="P808" s="3171"/>
      <c r="Q808" s="3171"/>
      <c r="R808" s="3171"/>
      <c r="S808" s="3171"/>
      <c r="T808" s="3171"/>
      <c r="U808" s="3171"/>
      <c r="V808" s="3171"/>
      <c r="W808" s="3171"/>
      <c r="X808" s="3297"/>
      <c r="Y808" s="3293"/>
      <c r="Z808" s="1201"/>
      <c r="AA808" s="1201"/>
      <c r="AB808" s="1202"/>
      <c r="AC808" s="3333"/>
      <c r="AD808" s="3333"/>
      <c r="AE808" s="3333"/>
      <c r="AF808" s="3333"/>
      <c r="AI808" s="3120" t="str">
        <f>"52:unitcare_code:" &amp; IF(I808="■",1,IF(M808="■",2,0))</f>
        <v>52:unitcare_code:0</v>
      </c>
    </row>
    <row r="809" spans="1:36" s="3120" customFormat="1" ht="18.75" hidden="1" customHeight="1" x14ac:dyDescent="0.2">
      <c r="A809" s="834"/>
      <c r="B809" s="3148"/>
      <c r="C809" s="3295"/>
      <c r="D809" s="3294"/>
      <c r="E809" s="3145"/>
      <c r="F809" s="3144"/>
      <c r="G809" s="3145"/>
      <c r="H809" s="3151" t="s">
        <v>1325</v>
      </c>
      <c r="I809" s="3155" t="s">
        <v>116</v>
      </c>
      <c r="J809" s="3137" t="s">
        <v>1228</v>
      </c>
      <c r="K809" s="3171"/>
      <c r="L809" s="3173"/>
      <c r="M809" s="3154" t="s">
        <v>116</v>
      </c>
      <c r="N809" s="3137" t="s">
        <v>1322</v>
      </c>
      <c r="O809" s="3171"/>
      <c r="P809" s="3171"/>
      <c r="Q809" s="3171"/>
      <c r="R809" s="3171"/>
      <c r="S809" s="3171"/>
      <c r="T809" s="3171"/>
      <c r="U809" s="3171"/>
      <c r="V809" s="3171"/>
      <c r="W809" s="3171"/>
      <c r="X809" s="3297"/>
      <c r="Y809" s="3293"/>
      <c r="Z809" s="1201"/>
      <c r="AA809" s="1201"/>
      <c r="AB809" s="1202"/>
      <c r="AC809" s="3333"/>
      <c r="AD809" s="3333"/>
      <c r="AE809" s="3333"/>
      <c r="AF809" s="3333"/>
      <c r="AI809" s="3120" t="str">
        <f>"52:sintaikousoku_code:" &amp; IF(I809="■",1,IF(M809="■",2,0))</f>
        <v>52:sintaikousoku_code:0</v>
      </c>
    </row>
    <row r="810" spans="1:36" s="3120" customFormat="1" ht="18.75" hidden="1" customHeight="1" x14ac:dyDescent="0.2">
      <c r="A810" s="834"/>
      <c r="B810" s="3148"/>
      <c r="C810" s="3295"/>
      <c r="D810" s="3294"/>
      <c r="E810" s="3145"/>
      <c r="F810" s="3144"/>
      <c r="G810" s="3145"/>
      <c r="H810" s="3151" t="s">
        <v>792</v>
      </c>
      <c r="I810" s="3155" t="s">
        <v>116</v>
      </c>
      <c r="J810" s="3137" t="s">
        <v>1228</v>
      </c>
      <c r="K810" s="3171"/>
      <c r="L810" s="3173"/>
      <c r="M810" s="3154" t="s">
        <v>116</v>
      </c>
      <c r="N810" s="3137" t="s">
        <v>1322</v>
      </c>
      <c r="O810" s="3171"/>
      <c r="P810" s="3171"/>
      <c r="Q810" s="3171"/>
      <c r="R810" s="3171"/>
      <c r="S810" s="3171"/>
      <c r="T810" s="3171"/>
      <c r="U810" s="3171"/>
      <c r="V810" s="3171"/>
      <c r="W810" s="3171"/>
      <c r="X810" s="3297"/>
      <c r="Y810" s="3293"/>
      <c r="Z810" s="1201"/>
      <c r="AA810" s="1201"/>
      <c r="AB810" s="1202"/>
      <c r="AC810" s="3333"/>
      <c r="AD810" s="3333"/>
      <c r="AE810" s="3333"/>
      <c r="AF810" s="3333"/>
      <c r="AI810" s="3120" t="str">
        <f>"52:field208:" &amp; IF(I810="■",1,IF(M810="■",2,0))</f>
        <v>52:field208:0</v>
      </c>
    </row>
    <row r="811" spans="1:36" s="3120" customFormat="1" ht="19.5" hidden="1" customHeight="1" x14ac:dyDescent="0.2">
      <c r="A811" s="834"/>
      <c r="B811" s="3148"/>
      <c r="C811" s="3147"/>
      <c r="D811" s="3146"/>
      <c r="E811" s="3145"/>
      <c r="F811" s="3144"/>
      <c r="G811" s="3175"/>
      <c r="H811" s="3174" t="s">
        <v>1227</v>
      </c>
      <c r="I811" s="3155" t="s">
        <v>116</v>
      </c>
      <c r="J811" s="3137" t="s">
        <v>1228</v>
      </c>
      <c r="K811" s="3171"/>
      <c r="L811" s="3173"/>
      <c r="M811" s="3154" t="s">
        <v>116</v>
      </c>
      <c r="N811" s="3137" t="s">
        <v>1229</v>
      </c>
      <c r="O811" s="3299"/>
      <c r="P811" s="3137"/>
      <c r="Q811" s="3150"/>
      <c r="R811" s="3150"/>
      <c r="S811" s="3150"/>
      <c r="T811" s="3150"/>
      <c r="U811" s="3150"/>
      <c r="V811" s="3150"/>
      <c r="W811" s="3150"/>
      <c r="X811" s="3149"/>
      <c r="Y811" s="1201"/>
      <c r="Z811" s="1201"/>
      <c r="AA811" s="1201"/>
      <c r="AB811" s="1202"/>
      <c r="AC811" s="3333"/>
      <c r="AD811" s="3333"/>
      <c r="AE811" s="3333"/>
      <c r="AF811" s="3333"/>
      <c r="AI811" s="3120" t="str">
        <f>"52:field223:" &amp; IF(I811="■",1,IF(M811="■",2,0))</f>
        <v>52:field223:0</v>
      </c>
    </row>
    <row r="812" spans="1:36" s="3120" customFormat="1" ht="19.5" hidden="1" customHeight="1" x14ac:dyDescent="0.2">
      <c r="A812" s="834"/>
      <c r="B812" s="3148"/>
      <c r="C812" s="3147"/>
      <c r="D812" s="3146"/>
      <c r="E812" s="3145"/>
      <c r="F812" s="3144"/>
      <c r="G812" s="3175"/>
      <c r="H812" s="3174" t="s">
        <v>1253</v>
      </c>
      <c r="I812" s="3155" t="s">
        <v>116</v>
      </c>
      <c r="J812" s="3137" t="s">
        <v>1228</v>
      </c>
      <c r="K812" s="3171"/>
      <c r="L812" s="3173"/>
      <c r="M812" s="3154" t="s">
        <v>116</v>
      </c>
      <c r="N812" s="3137" t="s">
        <v>1229</v>
      </c>
      <c r="O812" s="3299"/>
      <c r="P812" s="3137"/>
      <c r="Q812" s="3150"/>
      <c r="R812" s="3150"/>
      <c r="S812" s="3150"/>
      <c r="T812" s="3150"/>
      <c r="U812" s="3150"/>
      <c r="V812" s="3150"/>
      <c r="W812" s="3150"/>
      <c r="X812" s="3149"/>
      <c r="Y812" s="1201"/>
      <c r="Z812" s="1201"/>
      <c r="AA812" s="1201"/>
      <c r="AB812" s="1202"/>
      <c r="AC812" s="3333"/>
      <c r="AD812" s="3333"/>
      <c r="AE812" s="3333"/>
      <c r="AF812" s="3333"/>
      <c r="AI812" s="3120" t="str">
        <f>"52:field232:" &amp; IF(I812="■",1,IF(M812="■",2,0))</f>
        <v>52:field232:0</v>
      </c>
    </row>
    <row r="813" spans="1:36" s="3120" customFormat="1" ht="18.75" hidden="1" customHeight="1" x14ac:dyDescent="0.2">
      <c r="A813" s="834"/>
      <c r="B813" s="3148"/>
      <c r="C813" s="3295"/>
      <c r="D813" s="3294"/>
      <c r="E813" s="3145"/>
      <c r="F813" s="3144"/>
      <c r="G813" s="3145"/>
      <c r="H813" s="3170" t="s">
        <v>1326</v>
      </c>
      <c r="I813" s="3248" t="s">
        <v>116</v>
      </c>
      <c r="J813" s="3210" t="s">
        <v>1230</v>
      </c>
      <c r="K813" s="3210"/>
      <c r="L813" s="3298" t="s">
        <v>116</v>
      </c>
      <c r="M813" s="3210" t="s">
        <v>1233</v>
      </c>
      <c r="N813" s="3210"/>
      <c r="O813" s="3302"/>
      <c r="P813" s="3302"/>
      <c r="Q813" s="3302"/>
      <c r="R813" s="3302"/>
      <c r="S813" s="3302"/>
      <c r="T813" s="3302"/>
      <c r="U813" s="3302"/>
      <c r="V813" s="3302"/>
      <c r="W813" s="3302"/>
      <c r="X813" s="3335"/>
      <c r="Y813" s="3293"/>
      <c r="Z813" s="1201"/>
      <c r="AA813" s="1201"/>
      <c r="AB813" s="1202"/>
      <c r="AC813" s="3333"/>
      <c r="AD813" s="3333"/>
      <c r="AE813" s="3333"/>
      <c r="AF813" s="3333"/>
      <c r="AI813" s="3120" t="str">
        <f>"52:field206:" &amp; IF(I813="■",1,IF(L813="■",2,0))</f>
        <v>52:field206:0</v>
      </c>
    </row>
    <row r="814" spans="1:36" s="3120" customFormat="1" ht="18.75" hidden="1" customHeight="1" x14ac:dyDescent="0.2">
      <c r="A814" s="834"/>
      <c r="B814" s="3148"/>
      <c r="C814" s="3295"/>
      <c r="D814" s="3294"/>
      <c r="E814" s="3145"/>
      <c r="F814" s="3144"/>
      <c r="G814" s="3145"/>
      <c r="H814" s="3165"/>
      <c r="I814" s="3200"/>
      <c r="J814" s="3163"/>
      <c r="K814" s="3163"/>
      <c r="L814" s="3199"/>
      <c r="M814" s="3163"/>
      <c r="N814" s="3163"/>
      <c r="O814" s="3139"/>
      <c r="P814" s="3139"/>
      <c r="Q814" s="3139"/>
      <c r="R814" s="3139"/>
      <c r="S814" s="3139"/>
      <c r="T814" s="3139"/>
      <c r="U814" s="3139"/>
      <c r="V814" s="3139"/>
      <c r="W814" s="3139"/>
      <c r="X814" s="3195"/>
      <c r="Y814" s="3293"/>
      <c r="Z814" s="1201"/>
      <c r="AA814" s="1201"/>
      <c r="AB814" s="1202"/>
      <c r="AC814" s="3333"/>
      <c r="AD814" s="3333"/>
      <c r="AE814" s="3333"/>
      <c r="AF814" s="3333"/>
    </row>
    <row r="815" spans="1:36" s="3120" customFormat="1" ht="18.75" hidden="1" customHeight="1" x14ac:dyDescent="0.2">
      <c r="A815" s="3158" t="s">
        <v>116</v>
      </c>
      <c r="B815" s="3148">
        <v>52</v>
      </c>
      <c r="C815" s="3295" t="s">
        <v>2139</v>
      </c>
      <c r="D815" s="3158" t="s">
        <v>116</v>
      </c>
      <c r="E815" s="3145" t="s">
        <v>2138</v>
      </c>
      <c r="F815" s="3144"/>
      <c r="G815" s="3145"/>
      <c r="H815" s="3151" t="s">
        <v>2137</v>
      </c>
      <c r="I815" s="3141" t="s">
        <v>116</v>
      </c>
      <c r="J815" s="3139" t="s">
        <v>1230</v>
      </c>
      <c r="K815" s="3138"/>
      <c r="L815" s="3140" t="s">
        <v>116</v>
      </c>
      <c r="M815" s="3139" t="s">
        <v>1233</v>
      </c>
      <c r="N815" s="3171"/>
      <c r="O815" s="3171"/>
      <c r="P815" s="3171"/>
      <c r="Q815" s="3171"/>
      <c r="R815" s="3171"/>
      <c r="S815" s="3171"/>
      <c r="T815" s="3171"/>
      <c r="U815" s="3171"/>
      <c r="V815" s="3171"/>
      <c r="W815" s="3171"/>
      <c r="X815" s="3297"/>
      <c r="Y815" s="3293"/>
      <c r="Z815" s="1201"/>
      <c r="AA815" s="1201"/>
      <c r="AB815" s="1202"/>
      <c r="AC815" s="3333"/>
      <c r="AD815" s="3333"/>
      <c r="AE815" s="3333"/>
      <c r="AF815" s="3333"/>
      <c r="AI815" s="3120" t="str">
        <f>"52:yakinhaiti_code:" &amp; IF(I815="■",1,IF(L815="■",2,0))</f>
        <v>52:yakinhaiti_code:0</v>
      </c>
    </row>
    <row r="816" spans="1:36" s="3120" customFormat="1" ht="18.75" hidden="1" customHeight="1" x14ac:dyDescent="0.2">
      <c r="A816" s="834"/>
      <c r="B816" s="3148"/>
      <c r="C816" s="3295"/>
      <c r="D816" s="3294"/>
      <c r="E816" s="3145"/>
      <c r="F816" s="3144"/>
      <c r="G816" s="3145"/>
      <c r="H816" s="3151" t="s">
        <v>2136</v>
      </c>
      <c r="I816" s="3141" t="s">
        <v>116</v>
      </c>
      <c r="J816" s="3139" t="s">
        <v>1230</v>
      </c>
      <c r="K816" s="3138"/>
      <c r="L816" s="3140" t="s">
        <v>116</v>
      </c>
      <c r="M816" s="3139" t="s">
        <v>1233</v>
      </c>
      <c r="N816" s="3171"/>
      <c r="O816" s="3171"/>
      <c r="P816" s="3171"/>
      <c r="Q816" s="3171"/>
      <c r="R816" s="3171"/>
      <c r="S816" s="3171"/>
      <c r="T816" s="3171"/>
      <c r="U816" s="3171"/>
      <c r="V816" s="3171"/>
      <c r="W816" s="3171"/>
      <c r="X816" s="3297"/>
      <c r="Y816" s="3293"/>
      <c r="Z816" s="1201"/>
      <c r="AA816" s="1201"/>
      <c r="AB816" s="1202"/>
      <c r="AC816" s="3333"/>
      <c r="AD816" s="3333"/>
      <c r="AE816" s="3333"/>
      <c r="AF816" s="3333"/>
      <c r="AI816" s="3120" t="str">
        <f>"52:ninticare_code:" &amp; IF(I816="■",1,IF(L816="■",2,0))</f>
        <v>52:ninticare_code:0</v>
      </c>
    </row>
    <row r="817" spans="1:36" s="3120" customFormat="1" ht="18.75" hidden="1" customHeight="1" x14ac:dyDescent="0.2">
      <c r="A817" s="834"/>
      <c r="B817" s="3148"/>
      <c r="C817" s="3295"/>
      <c r="D817" s="3294"/>
      <c r="E817" s="3145"/>
      <c r="F817" s="3144"/>
      <c r="G817" s="3145"/>
      <c r="H817" s="3334" t="s">
        <v>2135</v>
      </c>
      <c r="I817" s="3141" t="s">
        <v>116</v>
      </c>
      <c r="J817" s="3139" t="s">
        <v>1230</v>
      </c>
      <c r="K817" s="3138"/>
      <c r="L817" s="3140" t="s">
        <v>116</v>
      </c>
      <c r="M817" s="3139" t="s">
        <v>1233</v>
      </c>
      <c r="N817" s="3171"/>
      <c r="O817" s="3171"/>
      <c r="P817" s="3171"/>
      <c r="Q817" s="3171"/>
      <c r="R817" s="3171"/>
      <c r="S817" s="3171"/>
      <c r="T817" s="3171"/>
      <c r="U817" s="3171"/>
      <c r="V817" s="3171"/>
      <c r="W817" s="3171"/>
      <c r="X817" s="3297"/>
      <c r="Y817" s="3293"/>
      <c r="Z817" s="1201"/>
      <c r="AA817" s="1201"/>
      <c r="AB817" s="1202"/>
      <c r="AC817" s="3333"/>
      <c r="AD817" s="3333"/>
      <c r="AE817" s="3333"/>
      <c r="AF817" s="3333"/>
      <c r="AI817" s="3120" t="str">
        <f>"52:jyakuninti_uke_code:" &amp; IF(I817="■",1,IF(L817="■",2,0))</f>
        <v>52:jyakuninti_uke_code:0</v>
      </c>
    </row>
    <row r="818" spans="1:36" s="3120" customFormat="1" ht="18.75" hidden="1" customHeight="1" x14ac:dyDescent="0.2">
      <c r="A818" s="834"/>
      <c r="B818" s="3148"/>
      <c r="C818" s="3295"/>
      <c r="D818" s="3294"/>
      <c r="E818" s="3145"/>
      <c r="F818" s="3144"/>
      <c r="G818" s="3145"/>
      <c r="H818" s="3151" t="s">
        <v>2134</v>
      </c>
      <c r="I818" s="3141" t="s">
        <v>116</v>
      </c>
      <c r="J818" s="3139" t="s">
        <v>1230</v>
      </c>
      <c r="K818" s="3138"/>
      <c r="L818" s="3140" t="s">
        <v>116</v>
      </c>
      <c r="M818" s="3139" t="s">
        <v>1233</v>
      </c>
      <c r="N818" s="3171"/>
      <c r="O818" s="3171"/>
      <c r="P818" s="3171"/>
      <c r="Q818" s="3171"/>
      <c r="R818" s="3171"/>
      <c r="S818" s="3171"/>
      <c r="T818" s="3171"/>
      <c r="U818" s="3171"/>
      <c r="V818" s="3171"/>
      <c r="W818" s="3171"/>
      <c r="X818" s="3297"/>
      <c r="Y818" s="3293"/>
      <c r="Z818" s="1201"/>
      <c r="AA818" s="1201"/>
      <c r="AB818" s="1202"/>
      <c r="AC818" s="3333"/>
      <c r="AD818" s="3333"/>
      <c r="AE818" s="3333"/>
      <c r="AF818" s="3333"/>
      <c r="AI818" s="3120" t="str">
        <f>"52:terminal_code:" &amp; IF(I818="■",1,IF(L818="■",2,0))</f>
        <v>52:terminal_code:0</v>
      </c>
    </row>
    <row r="819" spans="1:36" s="3120" customFormat="1" ht="18.75" hidden="1" customHeight="1" x14ac:dyDescent="0.2">
      <c r="A819" s="834"/>
      <c r="B819" s="3148"/>
      <c r="C819" s="3295"/>
      <c r="D819" s="3294"/>
      <c r="E819" s="3145"/>
      <c r="F819" s="3144"/>
      <c r="G819" s="3145"/>
      <c r="H819" s="3151" t="s">
        <v>794</v>
      </c>
      <c r="I819" s="3141" t="s">
        <v>116</v>
      </c>
      <c r="J819" s="3139" t="s">
        <v>1230</v>
      </c>
      <c r="K819" s="3138"/>
      <c r="L819" s="3140" t="s">
        <v>116</v>
      </c>
      <c r="M819" s="3139" t="s">
        <v>1233</v>
      </c>
      <c r="N819" s="3171"/>
      <c r="O819" s="3171"/>
      <c r="P819" s="3171"/>
      <c r="Q819" s="3171"/>
      <c r="R819" s="3171"/>
      <c r="S819" s="3171"/>
      <c r="T819" s="3171"/>
      <c r="U819" s="3171"/>
      <c r="V819" s="3171"/>
      <c r="W819" s="3171"/>
      <c r="X819" s="3297"/>
      <c r="Y819" s="3293"/>
      <c r="Z819" s="1201"/>
      <c r="AA819" s="1201"/>
      <c r="AB819" s="1202"/>
      <c r="AC819" s="3333"/>
      <c r="AD819" s="3333"/>
      <c r="AE819" s="3333"/>
      <c r="AF819" s="3333"/>
      <c r="AI819" s="3120" t="str">
        <f>"52:field207:" &amp; IF(I819="■",1,IF(L819="■",2,0))</f>
        <v>52:field207:0</v>
      </c>
    </row>
    <row r="820" spans="1:36" s="3120" customFormat="1" ht="18.75" hidden="1" customHeight="1" x14ac:dyDescent="0.2">
      <c r="A820" s="834"/>
      <c r="B820" s="3148"/>
      <c r="C820" s="3295"/>
      <c r="D820" s="3294"/>
      <c r="E820" s="3145"/>
      <c r="F820" s="3144"/>
      <c r="G820" s="3145"/>
      <c r="H820" s="3151" t="s">
        <v>140</v>
      </c>
      <c r="I820" s="3141" t="s">
        <v>116</v>
      </c>
      <c r="J820" s="3139" t="s">
        <v>1230</v>
      </c>
      <c r="K820" s="3138"/>
      <c r="L820" s="3140" t="s">
        <v>116</v>
      </c>
      <c r="M820" s="3139" t="s">
        <v>1233</v>
      </c>
      <c r="N820" s="3171"/>
      <c r="O820" s="3171"/>
      <c r="P820" s="3171"/>
      <c r="Q820" s="3171"/>
      <c r="R820" s="3171"/>
      <c r="S820" s="3171"/>
      <c r="T820" s="3171"/>
      <c r="U820" s="3171"/>
      <c r="V820" s="3171"/>
      <c r="W820" s="3171"/>
      <c r="X820" s="3297"/>
      <c r="Y820" s="3293"/>
      <c r="Z820" s="1201"/>
      <c r="AA820" s="1201"/>
      <c r="AB820" s="1202"/>
      <c r="AC820" s="3333"/>
      <c r="AD820" s="3333"/>
      <c r="AE820" s="3333"/>
      <c r="AF820" s="3333"/>
      <c r="AI820" s="3120" t="str">
        <f>"52:ryouyoushoku_code:" &amp; IF(I820="■",1,IF(L820="■",2,0))</f>
        <v>52:ryouyoushoku_code:0</v>
      </c>
    </row>
    <row r="821" spans="1:36" s="3120" customFormat="1" ht="18.75" hidden="1" customHeight="1" x14ac:dyDescent="0.2">
      <c r="A821" s="834"/>
      <c r="B821" s="3148"/>
      <c r="C821" s="3295"/>
      <c r="D821" s="3294"/>
      <c r="E821" s="3145"/>
      <c r="F821" s="3144"/>
      <c r="G821" s="3145"/>
      <c r="H821" s="3151" t="s">
        <v>1237</v>
      </c>
      <c r="I821" s="3155" t="s">
        <v>116</v>
      </c>
      <c r="J821" s="3137" t="s">
        <v>1230</v>
      </c>
      <c r="K821" s="3137"/>
      <c r="L821" s="3154" t="s">
        <v>116</v>
      </c>
      <c r="M821" s="3137" t="s">
        <v>1231</v>
      </c>
      <c r="N821" s="3137"/>
      <c r="O821" s="3154" t="s">
        <v>116</v>
      </c>
      <c r="P821" s="3137" t="s">
        <v>1232</v>
      </c>
      <c r="Q821" s="3150"/>
      <c r="R821" s="3171"/>
      <c r="S821" s="3171"/>
      <c r="T821" s="3171"/>
      <c r="U821" s="3171"/>
      <c r="V821" s="3171"/>
      <c r="W821" s="3171"/>
      <c r="X821" s="3297"/>
      <c r="Y821" s="3293"/>
      <c r="Z821" s="1201"/>
      <c r="AA821" s="1201"/>
      <c r="AB821" s="1202"/>
      <c r="AC821" s="3333"/>
      <c r="AD821" s="3333"/>
      <c r="AE821" s="3333"/>
      <c r="AF821" s="3333"/>
      <c r="AI821" s="3120" t="str">
        <f>"52:ninti_senmoncare_code:" &amp; IF(I821="■",1,IF(O821="■",3,IF(L821="■",2,0)))</f>
        <v>52:ninti_senmoncare_code:0</v>
      </c>
    </row>
    <row r="822" spans="1:36" s="3120" customFormat="1" ht="18.75" hidden="1" customHeight="1" x14ac:dyDescent="0.2">
      <c r="A822" s="834"/>
      <c r="B822" s="3148"/>
      <c r="C822" s="3295"/>
      <c r="D822" s="3294"/>
      <c r="E822" s="3145"/>
      <c r="F822" s="3144"/>
      <c r="G822" s="3145"/>
      <c r="H822" s="3151" t="s">
        <v>1327</v>
      </c>
      <c r="I822" s="3155" t="s">
        <v>116</v>
      </c>
      <c r="J822" s="3137" t="s">
        <v>1230</v>
      </c>
      <c r="K822" s="3137"/>
      <c r="L822" s="3154" t="s">
        <v>116</v>
      </c>
      <c r="M822" s="3137" t="s">
        <v>1231</v>
      </c>
      <c r="N822" s="3137"/>
      <c r="O822" s="3154" t="s">
        <v>116</v>
      </c>
      <c r="P822" s="3137" t="s">
        <v>1232</v>
      </c>
      <c r="Q822" s="3171"/>
      <c r="R822" s="3171"/>
      <c r="S822" s="3171"/>
      <c r="T822" s="3171"/>
      <c r="U822" s="3171"/>
      <c r="V822" s="3171"/>
      <c r="W822" s="3171"/>
      <c r="X822" s="3297"/>
      <c r="Y822" s="3293"/>
      <c r="Z822" s="1201"/>
      <c r="AA822" s="1201"/>
      <c r="AB822" s="1202"/>
      <c r="AC822" s="3333"/>
      <c r="AD822" s="3333"/>
      <c r="AE822" s="3333"/>
      <c r="AF822" s="3333"/>
      <c r="AI822" s="3120" t="str">
        <f>"52:field228:" &amp; IF(I822="■",1,IF(L822="■",2,IF(O822="■",3,0)))</f>
        <v>52:field228:0</v>
      </c>
    </row>
    <row r="823" spans="1:36" s="3120" customFormat="1" ht="18.75" hidden="1" customHeight="1" x14ac:dyDescent="0.2">
      <c r="A823" s="834"/>
      <c r="B823" s="3148"/>
      <c r="C823" s="3295"/>
      <c r="D823" s="3294"/>
      <c r="E823" s="3145"/>
      <c r="F823" s="3144"/>
      <c r="G823" s="3145"/>
      <c r="H823" s="3151" t="s">
        <v>1323</v>
      </c>
      <c r="I823" s="3155" t="s">
        <v>116</v>
      </c>
      <c r="J823" s="3137" t="s">
        <v>1230</v>
      </c>
      <c r="K823" s="3137"/>
      <c r="L823" s="3154" t="s">
        <v>116</v>
      </c>
      <c r="M823" s="3139" t="s">
        <v>1233</v>
      </c>
      <c r="N823" s="3137"/>
      <c r="O823" s="3137"/>
      <c r="P823" s="3137"/>
      <c r="Q823" s="3171"/>
      <c r="R823" s="3171"/>
      <c r="S823" s="3171"/>
      <c r="T823" s="3171"/>
      <c r="U823" s="3171"/>
      <c r="V823" s="3171"/>
      <c r="W823" s="3171"/>
      <c r="X823" s="3297"/>
      <c r="Y823" s="3293"/>
      <c r="Z823" s="1201"/>
      <c r="AA823" s="1201"/>
      <c r="AB823" s="1202"/>
      <c r="AC823" s="3333"/>
      <c r="AD823" s="3333"/>
      <c r="AE823" s="3333"/>
      <c r="AF823" s="3333"/>
      <c r="AI823" s="3120" t="str">
        <f>"52:field226:" &amp; IF(I823="■",1,IF(L823="■",2,0))</f>
        <v>52:field226:0</v>
      </c>
    </row>
    <row r="824" spans="1:36" s="3120" customFormat="1" ht="18.75" hidden="1" customHeight="1" x14ac:dyDescent="0.2">
      <c r="A824" s="834"/>
      <c r="B824" s="3148"/>
      <c r="C824" s="3295"/>
      <c r="D824" s="3294"/>
      <c r="E824" s="3145"/>
      <c r="F824" s="3144"/>
      <c r="G824" s="3145"/>
      <c r="H824" s="3151" t="s">
        <v>1324</v>
      </c>
      <c r="I824" s="3155" t="s">
        <v>116</v>
      </c>
      <c r="J824" s="3137" t="s">
        <v>1230</v>
      </c>
      <c r="K824" s="3137"/>
      <c r="L824" s="3154" t="s">
        <v>116</v>
      </c>
      <c r="M824" s="3139" t="s">
        <v>1233</v>
      </c>
      <c r="N824" s="3137"/>
      <c r="O824" s="3137"/>
      <c r="P824" s="3137"/>
      <c r="Q824" s="3171"/>
      <c r="R824" s="3171"/>
      <c r="S824" s="3171"/>
      <c r="T824" s="3171"/>
      <c r="U824" s="3171"/>
      <c r="V824" s="3171"/>
      <c r="W824" s="3171"/>
      <c r="X824" s="3297"/>
      <c r="Y824" s="3293"/>
      <c r="Z824" s="1201"/>
      <c r="AA824" s="1201"/>
      <c r="AB824" s="1202"/>
      <c r="AC824" s="3333"/>
      <c r="AD824" s="3333"/>
      <c r="AE824" s="3333"/>
      <c r="AF824" s="3333"/>
      <c r="AI824" s="3120" t="str">
        <f>"52:field227:" &amp; IF(I824="■",1,IF(L824="■",2,0))</f>
        <v>52:field227:0</v>
      </c>
    </row>
    <row r="825" spans="1:36" s="3120" customFormat="1" ht="18.75" hidden="1" customHeight="1" x14ac:dyDescent="0.2">
      <c r="A825" s="834"/>
      <c r="B825" s="3148"/>
      <c r="C825" s="3295"/>
      <c r="D825" s="3294"/>
      <c r="E825" s="3145"/>
      <c r="F825" s="3144"/>
      <c r="G825" s="3145"/>
      <c r="H825" s="3296" t="s">
        <v>1285</v>
      </c>
      <c r="I825" s="3155" t="s">
        <v>116</v>
      </c>
      <c r="J825" s="3137" t="s">
        <v>1230</v>
      </c>
      <c r="K825" s="3137"/>
      <c r="L825" s="3154" t="s">
        <v>116</v>
      </c>
      <c r="M825" s="3137" t="s">
        <v>1231</v>
      </c>
      <c r="N825" s="3137"/>
      <c r="O825" s="3154" t="s">
        <v>116</v>
      </c>
      <c r="P825" s="3137" t="s">
        <v>1232</v>
      </c>
      <c r="Q825" s="3150"/>
      <c r="R825" s="3150"/>
      <c r="S825" s="3150"/>
      <c r="T825" s="3150"/>
      <c r="U825" s="3209"/>
      <c r="V825" s="3209"/>
      <c r="W825" s="3209"/>
      <c r="X825" s="3208"/>
      <c r="Y825" s="3293"/>
      <c r="Z825" s="1201"/>
      <c r="AA825" s="1201"/>
      <c r="AB825" s="1202"/>
      <c r="AC825" s="3333"/>
      <c r="AD825" s="3333"/>
      <c r="AE825" s="3333"/>
      <c r="AF825" s="3333"/>
      <c r="AI825" s="3120" t="str">
        <f>"52:field225:" &amp; IF(I825="■",1,IF(L825="■",2,IF(O825="■",3,0)))</f>
        <v>52:field225:0</v>
      </c>
    </row>
    <row r="826" spans="1:36" s="3120" customFormat="1" ht="18.75" hidden="1" customHeight="1" x14ac:dyDescent="0.2">
      <c r="A826" s="834"/>
      <c r="B826" s="3148"/>
      <c r="C826" s="3295"/>
      <c r="D826" s="3294"/>
      <c r="E826" s="3145"/>
      <c r="F826" s="3144"/>
      <c r="G826" s="3145"/>
      <c r="H826" s="3151" t="s">
        <v>238</v>
      </c>
      <c r="I826" s="3155" t="s">
        <v>116</v>
      </c>
      <c r="J826" s="3137" t="s">
        <v>1230</v>
      </c>
      <c r="K826" s="3137"/>
      <c r="L826" s="3154" t="s">
        <v>116</v>
      </c>
      <c r="M826" s="3137" t="s">
        <v>1259</v>
      </c>
      <c r="N826" s="3137"/>
      <c r="O826" s="3154" t="s">
        <v>116</v>
      </c>
      <c r="P826" s="3137" t="s">
        <v>1260</v>
      </c>
      <c r="Q826" s="3153"/>
      <c r="R826" s="3154" t="s">
        <v>116</v>
      </c>
      <c r="S826" s="3137" t="s">
        <v>1261</v>
      </c>
      <c r="T826" s="3137"/>
      <c r="U826" s="3137"/>
      <c r="V826" s="3137"/>
      <c r="W826" s="3137"/>
      <c r="X826" s="3136"/>
      <c r="Y826" s="3293"/>
      <c r="Z826" s="1201"/>
      <c r="AA826" s="1201"/>
      <c r="AB826" s="1202"/>
      <c r="AC826" s="3333"/>
      <c r="AD826" s="3333"/>
      <c r="AE826" s="3333"/>
      <c r="AF826" s="3333"/>
      <c r="AI826" s="3120" t="str">
        <f>"52:serteikyo_kyoka_code:" &amp; IF(I826="■",1,IF(L826="■",6,IF(O826="■",5,IF(R826="■",7,0))))</f>
        <v>52:serteikyo_kyoka_code:0</v>
      </c>
    </row>
    <row r="827" spans="1:36" s="3120" customFormat="1" ht="18.75" hidden="1" customHeight="1" x14ac:dyDescent="0.2">
      <c r="A827" s="835"/>
      <c r="B827" s="3135"/>
      <c r="C827" s="3134"/>
      <c r="D827" s="3133"/>
      <c r="E827" s="3132"/>
      <c r="F827" s="3131"/>
      <c r="G827" s="3189"/>
      <c r="H827" s="3289" t="s">
        <v>2129</v>
      </c>
      <c r="I827" s="3128" t="s">
        <v>116</v>
      </c>
      <c r="J827" s="3285" t="s">
        <v>1230</v>
      </c>
      <c r="K827" s="3285"/>
      <c r="L827" s="3127" t="s">
        <v>116</v>
      </c>
      <c r="M827" s="3285" t="s">
        <v>2128</v>
      </c>
      <c r="N827" s="3288"/>
      <c r="O827" s="3127" t="s">
        <v>116</v>
      </c>
      <c r="P827" s="3287" t="s">
        <v>2127</v>
      </c>
      <c r="Q827" s="3286"/>
      <c r="R827" s="3127" t="s">
        <v>116</v>
      </c>
      <c r="S827" s="3285" t="s">
        <v>2126</v>
      </c>
      <c r="T827" s="3286"/>
      <c r="U827" s="3127" t="s">
        <v>116</v>
      </c>
      <c r="V827" s="3285" t="s">
        <v>2125</v>
      </c>
      <c r="W827" s="3284"/>
      <c r="X827" s="3283"/>
      <c r="Y827" s="3282"/>
      <c r="Z827" s="3282"/>
      <c r="AA827" s="3282"/>
      <c r="AB827" s="3281"/>
      <c r="AC827" s="3332"/>
      <c r="AD827" s="3332"/>
      <c r="AE827" s="3332"/>
      <c r="AF827" s="3332"/>
      <c r="AI827" s="3120" t="str">
        <f>"52:shoguukaizen_code:"&amp;IF(I827="■",1,IF(L827="■",7,IF(O827="■",8,IF(R827="■",9,IF(U827="■","A",0)))))</f>
        <v>52:shoguukaizen_code:0</v>
      </c>
    </row>
    <row r="828" spans="1:36" s="3120" customFormat="1" ht="18.75" customHeight="1" x14ac:dyDescent="0.2">
      <c r="A828" s="3188"/>
      <c r="B828" s="3187"/>
      <c r="C828" s="3313"/>
      <c r="D828" s="3312"/>
      <c r="E828" s="3185"/>
      <c r="F828" s="3184"/>
      <c r="G828" s="3185"/>
      <c r="H828" s="3265" t="s">
        <v>1286</v>
      </c>
      <c r="I828" s="3253" t="s">
        <v>116</v>
      </c>
      <c r="J828" s="3252" t="s">
        <v>1282</v>
      </c>
      <c r="K828" s="3311"/>
      <c r="L828" s="3309"/>
      <c r="M828" s="3310" t="s">
        <v>116</v>
      </c>
      <c r="N828" s="3252" t="s">
        <v>1289</v>
      </c>
      <c r="O828" s="3309"/>
      <c r="P828" s="3309"/>
      <c r="Q828" s="3310" t="s">
        <v>116</v>
      </c>
      <c r="R828" s="3252" t="s">
        <v>1290</v>
      </c>
      <c r="S828" s="3309"/>
      <c r="T828" s="3309"/>
      <c r="U828" s="3310" t="s">
        <v>116</v>
      </c>
      <c r="V828" s="3252" t="s">
        <v>1291</v>
      </c>
      <c r="W828" s="3309"/>
      <c r="X828" s="3266"/>
      <c r="Y828" s="3253" t="s">
        <v>116</v>
      </c>
      <c r="Z828" s="3252" t="s">
        <v>1225</v>
      </c>
      <c r="AA828" s="3252"/>
      <c r="AB828" s="3308"/>
      <c r="AC828" s="3307"/>
      <c r="AD828" s="3306"/>
      <c r="AE828" s="3306"/>
      <c r="AF828" s="3305"/>
      <c r="AG828" s="3120" t="str">
        <f>"ser_code = '" &amp; IF(A844="■",55,"") &amp; "'"</f>
        <v>ser_code = ''</v>
      </c>
      <c r="AH828" s="3120" t="str">
        <f>"55:jininkbn_code:" &amp; IF(F843="■",1,IF(F844="■",2,IF(F845="■",3,0)))</f>
        <v>55:jininkbn_code:0</v>
      </c>
      <c r="AI828" s="3120" t="str">
        <f>"55:yakan_kinmu_code:" &amp; IF(I828="■",1,IF(M828="■",2,IF(Q828="■",3,IF(U828="■",7,IF(I829="■",5,IF(M829="■",6,0))))))</f>
        <v>55:yakan_kinmu_code:0</v>
      </c>
      <c r="AJ828" s="3120" t="str">
        <f>"55:field203:" &amp; IF(Y828="■",1,IF(Y829="■",2,0))</f>
        <v>55:field203:0</v>
      </c>
    </row>
    <row r="829" spans="1:36" s="3120" customFormat="1" ht="18.75" customHeight="1" x14ac:dyDescent="0.2">
      <c r="A829" s="834"/>
      <c r="B829" s="3148"/>
      <c r="C829" s="3295"/>
      <c r="D829" s="3294"/>
      <c r="E829" s="3145"/>
      <c r="F829" s="3144"/>
      <c r="G829" s="3145"/>
      <c r="H829" s="3300"/>
      <c r="I829" s="3141" t="s">
        <v>116</v>
      </c>
      <c r="J829" s="3139" t="s">
        <v>1292</v>
      </c>
      <c r="K829" s="3138"/>
      <c r="L829" s="3162"/>
      <c r="M829" s="3140" t="s">
        <v>116</v>
      </c>
      <c r="N829" s="3139" t="s">
        <v>1283</v>
      </c>
      <c r="O829" s="3162"/>
      <c r="P829" s="3162"/>
      <c r="Q829" s="3162"/>
      <c r="R829" s="3162"/>
      <c r="S829" s="3162"/>
      <c r="T829" s="3162"/>
      <c r="U829" s="3162"/>
      <c r="V829" s="3162"/>
      <c r="W829" s="3162"/>
      <c r="X829" s="3161"/>
      <c r="Y829" s="3158" t="s">
        <v>116</v>
      </c>
      <c r="Z829" s="1200" t="s">
        <v>1226</v>
      </c>
      <c r="AA829" s="1201"/>
      <c r="AB829" s="1202"/>
      <c r="AC829" s="3292"/>
      <c r="AD829" s="3291"/>
      <c r="AE829" s="3291"/>
      <c r="AF829" s="3290"/>
      <c r="AG829" s="3120" t="str">
        <f>"55:sisetukbn_code:" &amp; IF(D844="■",1,0)</f>
        <v>55:sisetukbn_code:0</v>
      </c>
    </row>
    <row r="830" spans="1:36" s="3120" customFormat="1" ht="18.75" customHeight="1" x14ac:dyDescent="0.2">
      <c r="A830" s="834"/>
      <c r="B830" s="3148"/>
      <c r="C830" s="3295"/>
      <c r="D830" s="3294"/>
      <c r="E830" s="3145"/>
      <c r="F830" s="3144"/>
      <c r="G830" s="3145"/>
      <c r="H830" s="3304" t="s">
        <v>90</v>
      </c>
      <c r="I830" s="3303" t="s">
        <v>116</v>
      </c>
      <c r="J830" s="3302" t="s">
        <v>1230</v>
      </c>
      <c r="K830" s="3302"/>
      <c r="L830" s="3167"/>
      <c r="M830" s="3301" t="s">
        <v>116</v>
      </c>
      <c r="N830" s="3302" t="s">
        <v>1262</v>
      </c>
      <c r="O830" s="3302"/>
      <c r="P830" s="3167"/>
      <c r="Q830" s="3301" t="s">
        <v>116</v>
      </c>
      <c r="R830" s="3167" t="s">
        <v>1302</v>
      </c>
      <c r="S830" s="3167"/>
      <c r="T830" s="3167"/>
      <c r="U830" s="3301" t="s">
        <v>116</v>
      </c>
      <c r="V830" s="3167" t="s">
        <v>1303</v>
      </c>
      <c r="W830" s="3209"/>
      <c r="X830" s="3208"/>
      <c r="Y830" s="3293"/>
      <c r="Z830" s="1201"/>
      <c r="AA830" s="1201"/>
      <c r="AB830" s="1202"/>
      <c r="AC830" s="3292"/>
      <c r="AD830" s="3291"/>
      <c r="AE830" s="3291"/>
      <c r="AF830" s="3290"/>
      <c r="AI830" s="3120" t="str">
        <f>"55:"&amp;IF(AND(I830="□",M830="□",Q830="□",U830="□",I831="□",M831="□"),"ketu_doctor_code:0",IF(I830="■","ketu_doctor_code:1:field197:1:ketu_kangos_code:1:ketu_kshoku_code:1:ketu_ksiensou_code:1",IF(M830="■","ketu_doctor_code:2","ketu_doctor_code:1")
&amp;IF(Q830="■",":field197:2",":field197:1")
&amp;IF(U830="■",":ketu_kangos_code:2",":ketu_kangos_code:1")
&amp;IF(I831="■",":ketu_kshoku_code:2",":ketu_kshoku_code:1")
&amp;IF(M831="■",":ketu_ksiensou_code:2",":ketu_ksiensou_code:1")))</f>
        <v>55:ketu_doctor_code:0</v>
      </c>
    </row>
    <row r="831" spans="1:36" s="3120" customFormat="1" ht="18.75" customHeight="1" x14ac:dyDescent="0.2">
      <c r="A831" s="834"/>
      <c r="B831" s="3148"/>
      <c r="C831" s="3295"/>
      <c r="D831" s="3294"/>
      <c r="E831" s="3145"/>
      <c r="F831" s="3144"/>
      <c r="G831" s="3145"/>
      <c r="H831" s="3300"/>
      <c r="I831" s="3141" t="s">
        <v>116</v>
      </c>
      <c r="J831" s="3162" t="s">
        <v>1304</v>
      </c>
      <c r="K831" s="3139"/>
      <c r="L831" s="3162"/>
      <c r="M831" s="3140" t="s">
        <v>116</v>
      </c>
      <c r="N831" s="3139" t="s">
        <v>1328</v>
      </c>
      <c r="O831" s="3139"/>
      <c r="P831" s="3162"/>
      <c r="Q831" s="3162"/>
      <c r="R831" s="3162"/>
      <c r="S831" s="3162"/>
      <c r="T831" s="3162"/>
      <c r="U831" s="3162"/>
      <c r="V831" s="3162"/>
      <c r="W831" s="3207"/>
      <c r="X831" s="3206"/>
      <c r="Y831" s="3293"/>
      <c r="Z831" s="1201"/>
      <c r="AA831" s="1201"/>
      <c r="AB831" s="1202"/>
      <c r="AC831" s="3292"/>
      <c r="AD831" s="3291"/>
      <c r="AE831" s="3291"/>
      <c r="AF831" s="3290"/>
    </row>
    <row r="832" spans="1:36" s="3120" customFormat="1" ht="18.75" customHeight="1" x14ac:dyDescent="0.2">
      <c r="A832" s="834"/>
      <c r="B832" s="3148"/>
      <c r="C832" s="3295"/>
      <c r="D832" s="3294"/>
      <c r="E832" s="3145"/>
      <c r="F832" s="3144"/>
      <c r="G832" s="3145"/>
      <c r="H832" s="3151" t="s">
        <v>1325</v>
      </c>
      <c r="I832" s="3155" t="s">
        <v>116</v>
      </c>
      <c r="J832" s="3137" t="s">
        <v>1228</v>
      </c>
      <c r="K832" s="3171"/>
      <c r="L832" s="3173"/>
      <c r="M832" s="3154" t="s">
        <v>116</v>
      </c>
      <c r="N832" s="3137" t="s">
        <v>1322</v>
      </c>
      <c r="O832" s="3150"/>
      <c r="P832" s="3150"/>
      <c r="Q832" s="3150"/>
      <c r="R832" s="3150"/>
      <c r="S832" s="3150"/>
      <c r="T832" s="3150"/>
      <c r="U832" s="3150"/>
      <c r="V832" s="3150"/>
      <c r="W832" s="3150"/>
      <c r="X832" s="3149"/>
      <c r="Y832" s="3293"/>
      <c r="Z832" s="1201"/>
      <c r="AA832" s="1201"/>
      <c r="AB832" s="1202"/>
      <c r="AC832" s="3292"/>
      <c r="AD832" s="3291"/>
      <c r="AE832" s="3291"/>
      <c r="AF832" s="3290"/>
      <c r="AI832" s="3120" t="str">
        <f>"55:sintaikousoku_code:" &amp; IF(I832="■",1,IF(M832="■",2,0))</f>
        <v>55:sintaikousoku_code:0</v>
      </c>
    </row>
    <row r="833" spans="1:35" s="3120" customFormat="1" ht="18.75" customHeight="1" x14ac:dyDescent="0.2">
      <c r="A833" s="834"/>
      <c r="B833" s="3148"/>
      <c r="C833" s="3295"/>
      <c r="D833" s="3294"/>
      <c r="E833" s="3145"/>
      <c r="F833" s="3144"/>
      <c r="G833" s="3145"/>
      <c r="H833" s="3151" t="s">
        <v>792</v>
      </c>
      <c r="I833" s="3155" t="s">
        <v>116</v>
      </c>
      <c r="J833" s="3137" t="s">
        <v>1228</v>
      </c>
      <c r="K833" s="3171"/>
      <c r="L833" s="3173"/>
      <c r="M833" s="3154" t="s">
        <v>116</v>
      </c>
      <c r="N833" s="3137" t="s">
        <v>1322</v>
      </c>
      <c r="O833" s="3150"/>
      <c r="P833" s="3150"/>
      <c r="Q833" s="3150"/>
      <c r="R833" s="3150"/>
      <c r="S833" s="3150"/>
      <c r="T833" s="3150"/>
      <c r="U833" s="3150"/>
      <c r="V833" s="3150"/>
      <c r="W833" s="3150"/>
      <c r="X833" s="3149"/>
      <c r="Y833" s="3293"/>
      <c r="Z833" s="1201"/>
      <c r="AA833" s="1201"/>
      <c r="AB833" s="1202"/>
      <c r="AC833" s="3292"/>
      <c r="AD833" s="3291"/>
      <c r="AE833" s="3291"/>
      <c r="AF833" s="3290"/>
      <c r="AI833" s="3120" t="str">
        <f>"55:field208:" &amp; IF(I833="■",1,IF(M833="■",2,0))</f>
        <v>55:field208:0</v>
      </c>
    </row>
    <row r="834" spans="1:35" s="3120" customFormat="1" ht="19.5" customHeight="1" x14ac:dyDescent="0.2">
      <c r="A834" s="834"/>
      <c r="B834" s="3148"/>
      <c r="C834" s="3147"/>
      <c r="D834" s="3146"/>
      <c r="E834" s="3145"/>
      <c r="F834" s="3144"/>
      <c r="G834" s="3175"/>
      <c r="H834" s="3174" t="s">
        <v>1227</v>
      </c>
      <c r="I834" s="3155" t="s">
        <v>116</v>
      </c>
      <c r="J834" s="3137" t="s">
        <v>1228</v>
      </c>
      <c r="K834" s="3171"/>
      <c r="L834" s="3173"/>
      <c r="M834" s="3154" t="s">
        <v>116</v>
      </c>
      <c r="N834" s="3137" t="s">
        <v>1229</v>
      </c>
      <c r="O834" s="3299"/>
      <c r="P834" s="3137"/>
      <c r="Q834" s="3150"/>
      <c r="R834" s="3150"/>
      <c r="S834" s="3150"/>
      <c r="T834" s="3150"/>
      <c r="U834" s="3150"/>
      <c r="V834" s="3150"/>
      <c r="W834" s="3150"/>
      <c r="X834" s="3149"/>
      <c r="Y834" s="1201"/>
      <c r="Z834" s="1201"/>
      <c r="AA834" s="1201"/>
      <c r="AB834" s="1202"/>
      <c r="AC834" s="3292"/>
      <c r="AD834" s="3291"/>
      <c r="AE834" s="3291"/>
      <c r="AF834" s="3290"/>
      <c r="AI834" s="3120" t="str">
        <f>"55:field223:" &amp; IF(I834="■",1,IF(M834="■",2,0))</f>
        <v>55:field223:0</v>
      </c>
    </row>
    <row r="835" spans="1:35" s="3120" customFormat="1" ht="19.5" customHeight="1" x14ac:dyDescent="0.2">
      <c r="A835" s="834"/>
      <c r="B835" s="3148"/>
      <c r="C835" s="3147"/>
      <c r="D835" s="3146"/>
      <c r="E835" s="3145"/>
      <c r="F835" s="3144"/>
      <c r="G835" s="3175"/>
      <c r="H835" s="3174" t="s">
        <v>1253</v>
      </c>
      <c r="I835" s="3155" t="s">
        <v>116</v>
      </c>
      <c r="J835" s="3137" t="s">
        <v>1228</v>
      </c>
      <c r="K835" s="3171"/>
      <c r="L835" s="3173"/>
      <c r="M835" s="3154" t="s">
        <v>116</v>
      </c>
      <c r="N835" s="3137" t="s">
        <v>1229</v>
      </c>
      <c r="O835" s="3299"/>
      <c r="P835" s="3137"/>
      <c r="Q835" s="3150"/>
      <c r="R835" s="3150"/>
      <c r="S835" s="3150"/>
      <c r="T835" s="3150"/>
      <c r="U835" s="3150"/>
      <c r="V835" s="3150"/>
      <c r="W835" s="3150"/>
      <c r="X835" s="3149"/>
      <c r="Y835" s="1201"/>
      <c r="Z835" s="1201"/>
      <c r="AA835" s="1201"/>
      <c r="AB835" s="1202"/>
      <c r="AC835" s="3292"/>
      <c r="AD835" s="3291"/>
      <c r="AE835" s="3291"/>
      <c r="AF835" s="3290"/>
      <c r="AI835" s="3120" t="str">
        <f>"55:field232:" &amp; IF(I835="■",1,IF(M835="■",2,0))</f>
        <v>55:field232:0</v>
      </c>
    </row>
    <row r="836" spans="1:35" s="3120" customFormat="1" ht="18.75" customHeight="1" x14ac:dyDescent="0.2">
      <c r="A836" s="834"/>
      <c r="B836" s="3148"/>
      <c r="C836" s="3295"/>
      <c r="D836" s="3294"/>
      <c r="E836" s="3145"/>
      <c r="F836" s="3144"/>
      <c r="G836" s="3145"/>
      <c r="H836" s="3170" t="s">
        <v>1326</v>
      </c>
      <c r="I836" s="3248" t="s">
        <v>116</v>
      </c>
      <c r="J836" s="3210" t="s">
        <v>1230</v>
      </c>
      <c r="K836" s="3210"/>
      <c r="L836" s="3298" t="s">
        <v>116</v>
      </c>
      <c r="M836" s="3210" t="s">
        <v>1233</v>
      </c>
      <c r="N836" s="3210"/>
      <c r="O836" s="3167"/>
      <c r="P836" s="3167"/>
      <c r="Q836" s="3167"/>
      <c r="R836" s="3167"/>
      <c r="S836" s="3167"/>
      <c r="T836" s="3167"/>
      <c r="U836" s="3167"/>
      <c r="V836" s="3167"/>
      <c r="W836" s="3167"/>
      <c r="X836" s="3166"/>
      <c r="Y836" s="3293"/>
      <c r="Z836" s="1201"/>
      <c r="AA836" s="1201"/>
      <c r="AB836" s="1202"/>
      <c r="AC836" s="3292"/>
      <c r="AD836" s="3291"/>
      <c r="AE836" s="3291"/>
      <c r="AF836" s="3290"/>
      <c r="AI836" s="3120" t="str">
        <f>"55:field206:" &amp; IF(I836="■",1,IF(L836="■",2,0))</f>
        <v>55:field206:0</v>
      </c>
    </row>
    <row r="837" spans="1:35" s="3120" customFormat="1" ht="18.75" customHeight="1" x14ac:dyDescent="0.2">
      <c r="A837" s="834"/>
      <c r="B837" s="3148"/>
      <c r="C837" s="3295"/>
      <c r="D837" s="3294"/>
      <c r="E837" s="3145"/>
      <c r="F837" s="3144"/>
      <c r="G837" s="3145"/>
      <c r="H837" s="3165"/>
      <c r="I837" s="3200"/>
      <c r="J837" s="3163"/>
      <c r="K837" s="3163"/>
      <c r="L837" s="3199"/>
      <c r="M837" s="3163"/>
      <c r="N837" s="3163"/>
      <c r="O837" s="3162"/>
      <c r="P837" s="3162"/>
      <c r="Q837" s="3162"/>
      <c r="R837" s="3162"/>
      <c r="S837" s="3162"/>
      <c r="T837" s="3162"/>
      <c r="U837" s="3162"/>
      <c r="V837" s="3162"/>
      <c r="W837" s="3162"/>
      <c r="X837" s="3161"/>
      <c r="Y837" s="3293"/>
      <c r="Z837" s="1201"/>
      <c r="AA837" s="1201"/>
      <c r="AB837" s="1202"/>
      <c r="AC837" s="3292"/>
      <c r="AD837" s="3291"/>
      <c r="AE837" s="3291"/>
      <c r="AF837" s="3290"/>
    </row>
    <row r="838" spans="1:35" s="3120" customFormat="1" ht="18.75" customHeight="1" x14ac:dyDescent="0.2">
      <c r="A838" s="834"/>
      <c r="B838" s="3148"/>
      <c r="C838" s="3295"/>
      <c r="D838" s="3294"/>
      <c r="E838" s="3145"/>
      <c r="F838" s="3144"/>
      <c r="G838" s="3145"/>
      <c r="H838" s="3151" t="s">
        <v>236</v>
      </c>
      <c r="I838" s="3155" t="s">
        <v>116</v>
      </c>
      <c r="J838" s="3137" t="s">
        <v>1329</v>
      </c>
      <c r="K838" s="3171"/>
      <c r="L838" s="3173"/>
      <c r="M838" s="3154" t="s">
        <v>116</v>
      </c>
      <c r="N838" s="3137" t="s">
        <v>1293</v>
      </c>
      <c r="O838" s="3150"/>
      <c r="P838" s="3150"/>
      <c r="Q838" s="3150"/>
      <c r="R838" s="3150"/>
      <c r="S838" s="3150"/>
      <c r="T838" s="3150"/>
      <c r="U838" s="3150"/>
      <c r="V838" s="3150"/>
      <c r="W838" s="3150"/>
      <c r="X838" s="3149"/>
      <c r="Y838" s="3293"/>
      <c r="Z838" s="1201"/>
      <c r="AA838" s="1201"/>
      <c r="AB838" s="1202"/>
      <c r="AC838" s="3292"/>
      <c r="AD838" s="3291"/>
      <c r="AE838" s="3291"/>
      <c r="AF838" s="3290"/>
      <c r="AI838" s="3120" t="str">
        <f>"55:field190:" &amp; IF(I838="■",1,IF(M838="■",2,0))</f>
        <v>55:field190:0</v>
      </c>
    </row>
    <row r="839" spans="1:35" s="3120" customFormat="1" ht="18.75" customHeight="1" x14ac:dyDescent="0.2">
      <c r="A839" s="834"/>
      <c r="B839" s="3148"/>
      <c r="C839" s="3295"/>
      <c r="D839" s="3294"/>
      <c r="E839" s="3145"/>
      <c r="F839" s="3144"/>
      <c r="G839" s="3145"/>
      <c r="H839" s="3151" t="s">
        <v>1305</v>
      </c>
      <c r="I839" s="3155" t="s">
        <v>116</v>
      </c>
      <c r="J839" s="3137" t="s">
        <v>1329</v>
      </c>
      <c r="K839" s="3171"/>
      <c r="L839" s="3173"/>
      <c r="M839" s="3154" t="s">
        <v>116</v>
      </c>
      <c r="N839" s="3137" t="s">
        <v>1293</v>
      </c>
      <c r="O839" s="3150"/>
      <c r="P839" s="3150"/>
      <c r="Q839" s="3150"/>
      <c r="R839" s="3150"/>
      <c r="S839" s="3150"/>
      <c r="T839" s="3150"/>
      <c r="U839" s="3150"/>
      <c r="V839" s="3150"/>
      <c r="W839" s="3150"/>
      <c r="X839" s="3149"/>
      <c r="Y839" s="3293"/>
      <c r="Z839" s="1201"/>
      <c r="AA839" s="1201"/>
      <c r="AB839" s="1202"/>
      <c r="AC839" s="3292"/>
      <c r="AD839" s="3291"/>
      <c r="AE839" s="3291"/>
      <c r="AF839" s="3290"/>
      <c r="AI839" s="3120" t="str">
        <f>"55:field191:" &amp; IF(I839="■",1,IF(M839="■",2,0))</f>
        <v>55:field191:0</v>
      </c>
    </row>
    <row r="840" spans="1:35" s="3120" customFormat="1" ht="18.75" customHeight="1" x14ac:dyDescent="0.2">
      <c r="A840" s="834"/>
      <c r="B840" s="3148"/>
      <c r="C840" s="3295"/>
      <c r="D840" s="3294"/>
      <c r="E840" s="3145"/>
      <c r="F840" s="3144"/>
      <c r="G840" s="3145"/>
      <c r="H840" s="3151" t="s">
        <v>1330</v>
      </c>
      <c r="I840" s="3141" t="s">
        <v>116</v>
      </c>
      <c r="J840" s="3139" t="s">
        <v>1230</v>
      </c>
      <c r="K840" s="3138"/>
      <c r="L840" s="3140" t="s">
        <v>116</v>
      </c>
      <c r="M840" s="3139" t="s">
        <v>1233</v>
      </c>
      <c r="N840" s="3153"/>
      <c r="O840" s="3150"/>
      <c r="P840" s="3150"/>
      <c r="Q840" s="3150"/>
      <c r="R840" s="3150"/>
      <c r="S840" s="3150"/>
      <c r="T840" s="3150"/>
      <c r="U840" s="3150"/>
      <c r="V840" s="3150"/>
      <c r="W840" s="3150"/>
      <c r="X840" s="3149"/>
      <c r="Y840" s="3293"/>
      <c r="Z840" s="1201"/>
      <c r="AA840" s="1201"/>
      <c r="AB840" s="1202"/>
      <c r="AC840" s="3292"/>
      <c r="AD840" s="3291"/>
      <c r="AE840" s="3291"/>
      <c r="AF840" s="3290"/>
      <c r="AI840" s="3120" t="str">
        <f>"55:jyakuninti_uke_code:" &amp; IF(I840="■",1,IF(L840="■",2,0))</f>
        <v>55:jyakuninti_uke_code:0</v>
      </c>
    </row>
    <row r="841" spans="1:35" s="3120" customFormat="1" ht="18.75" customHeight="1" x14ac:dyDescent="0.2">
      <c r="A841" s="834"/>
      <c r="B841" s="3148"/>
      <c r="C841" s="3295"/>
      <c r="D841" s="3294"/>
      <c r="E841" s="3145"/>
      <c r="F841" s="3144"/>
      <c r="G841" s="3145"/>
      <c r="H841" s="3151" t="s">
        <v>794</v>
      </c>
      <c r="I841" s="3141" t="s">
        <v>116</v>
      </c>
      <c r="J841" s="3139" t="s">
        <v>1230</v>
      </c>
      <c r="K841" s="3138"/>
      <c r="L841" s="3140" t="s">
        <v>116</v>
      </c>
      <c r="M841" s="3139" t="s">
        <v>1233</v>
      </c>
      <c r="N841" s="3153"/>
      <c r="O841" s="3150"/>
      <c r="P841" s="3150"/>
      <c r="Q841" s="3150"/>
      <c r="R841" s="3150"/>
      <c r="S841" s="3150"/>
      <c r="T841" s="3150"/>
      <c r="U841" s="3150"/>
      <c r="V841" s="3150"/>
      <c r="W841" s="3150"/>
      <c r="X841" s="3149"/>
      <c r="Y841" s="3293"/>
      <c r="Z841" s="1201"/>
      <c r="AA841" s="1201"/>
      <c r="AB841" s="1202"/>
      <c r="AC841" s="3292"/>
      <c r="AD841" s="3291"/>
      <c r="AE841" s="3291"/>
      <c r="AF841" s="3290"/>
      <c r="AI841" s="3120" t="str">
        <f>"55:field207:" &amp; IF(I841="■",1,IF(L841="■",2,0))</f>
        <v>55:field207:0</v>
      </c>
    </row>
    <row r="842" spans="1:35" s="3120" customFormat="1" ht="18.75" customHeight="1" x14ac:dyDescent="0.2">
      <c r="A842" s="834"/>
      <c r="B842" s="3148"/>
      <c r="C842" s="3295"/>
      <c r="D842" s="3294"/>
      <c r="E842" s="3145"/>
      <c r="F842" s="3144"/>
      <c r="G842" s="3145"/>
      <c r="H842" s="3151" t="s">
        <v>140</v>
      </c>
      <c r="I842" s="3141" t="s">
        <v>116</v>
      </c>
      <c r="J842" s="3139" t="s">
        <v>1230</v>
      </c>
      <c r="K842" s="3138"/>
      <c r="L842" s="3140" t="s">
        <v>116</v>
      </c>
      <c r="M842" s="3139" t="s">
        <v>1233</v>
      </c>
      <c r="N842" s="3153"/>
      <c r="O842" s="3150"/>
      <c r="P842" s="3150"/>
      <c r="Q842" s="3150"/>
      <c r="R842" s="3150"/>
      <c r="S842" s="3150"/>
      <c r="T842" s="3150"/>
      <c r="U842" s="3150"/>
      <c r="V842" s="3150"/>
      <c r="W842" s="3150"/>
      <c r="X842" s="3149"/>
      <c r="Y842" s="3293"/>
      <c r="Z842" s="1201"/>
      <c r="AA842" s="1201"/>
      <c r="AB842" s="1202"/>
      <c r="AC842" s="3292"/>
      <c r="AD842" s="3291"/>
      <c r="AE842" s="3291"/>
      <c r="AF842" s="3290"/>
      <c r="AI842" s="3120" t="str">
        <f>"55:ryouyoushoku_code:" &amp; IF(I842="■",1,IF(L842="■",2,0))</f>
        <v>55:ryouyoushoku_code:0</v>
      </c>
    </row>
    <row r="843" spans="1:35" s="3120" customFormat="1" ht="18.75" customHeight="1" x14ac:dyDescent="0.2">
      <c r="A843" s="834"/>
      <c r="B843" s="3148"/>
      <c r="C843" s="3295"/>
      <c r="D843" s="3294"/>
      <c r="E843" s="3145"/>
      <c r="F843" s="3158" t="s">
        <v>116</v>
      </c>
      <c r="G843" s="3145" t="s">
        <v>1307</v>
      </c>
      <c r="H843" s="3304" t="s">
        <v>1332</v>
      </c>
      <c r="I843" s="3303" t="s">
        <v>116</v>
      </c>
      <c r="J843" s="3302" t="s">
        <v>1287</v>
      </c>
      <c r="K843" s="3302"/>
      <c r="L843" s="3209"/>
      <c r="M843" s="3209"/>
      <c r="N843" s="3209"/>
      <c r="O843" s="3209"/>
      <c r="P843" s="3301" t="s">
        <v>116</v>
      </c>
      <c r="Q843" s="3302" t="s">
        <v>1288</v>
      </c>
      <c r="R843" s="3209"/>
      <c r="S843" s="3209"/>
      <c r="T843" s="3209"/>
      <c r="U843" s="3209"/>
      <c r="V843" s="3209"/>
      <c r="W843" s="3209"/>
      <c r="X843" s="3208"/>
      <c r="Y843" s="3293"/>
      <c r="Z843" s="1201"/>
      <c r="AA843" s="1201"/>
      <c r="AB843" s="1202"/>
      <c r="AC843" s="3292"/>
      <c r="AD843" s="3291"/>
      <c r="AE843" s="3291"/>
      <c r="AF843" s="3290"/>
      <c r="AI843" s="3120" t="str">
        <f>"55:" &amp; IF(AND(I843="□",P843="□",I844="□"),"tokusin_jyusho_code:0:tokusin_yakuzai_code:0:shuudan_comu_code:0",IF(I843="■","tokusin_jyusho_code:2","tokusin_jyusho_code:1")
&amp;IF(P843="■",":tokusin_yakuzai_code:2",":tokusin_yakuzai_code:1")
&amp;IF(I844="■",":shuudan_comu_code:2",":shuudan_comu_code:1"))</f>
        <v>55:tokusin_jyusho_code:0:tokusin_yakuzai_code:0:shuudan_comu_code:0</v>
      </c>
    </row>
    <row r="844" spans="1:35" s="3120" customFormat="1" ht="18.75" customHeight="1" x14ac:dyDescent="0.2">
      <c r="A844" s="3158" t="s">
        <v>116</v>
      </c>
      <c r="B844" s="3148">
        <v>55</v>
      </c>
      <c r="C844" s="3295" t="s">
        <v>1331</v>
      </c>
      <c r="D844" s="3158" t="s">
        <v>116</v>
      </c>
      <c r="E844" s="3145" t="s">
        <v>1308</v>
      </c>
      <c r="F844" s="3158" t="s">
        <v>116</v>
      </c>
      <c r="G844" s="3145" t="s">
        <v>1309</v>
      </c>
      <c r="H844" s="3300"/>
      <c r="I844" s="3141" t="s">
        <v>116</v>
      </c>
      <c r="J844" s="3139" t="s">
        <v>1294</v>
      </c>
      <c r="K844" s="3207"/>
      <c r="L844" s="3207"/>
      <c r="M844" s="3207"/>
      <c r="N844" s="3207"/>
      <c r="O844" s="3207"/>
      <c r="P844" s="3207"/>
      <c r="Q844" s="3162"/>
      <c r="R844" s="3207"/>
      <c r="S844" s="3207"/>
      <c r="T844" s="3207"/>
      <c r="U844" s="3207"/>
      <c r="V844" s="3207"/>
      <c r="W844" s="3207"/>
      <c r="X844" s="3206"/>
      <c r="Y844" s="3293"/>
      <c r="Z844" s="1201"/>
      <c r="AA844" s="1201"/>
      <c r="AB844" s="1202"/>
      <c r="AC844" s="3292"/>
      <c r="AD844" s="3291"/>
      <c r="AE844" s="3291"/>
      <c r="AF844" s="3290"/>
    </row>
    <row r="845" spans="1:35" s="3120" customFormat="1" ht="18.75" customHeight="1" x14ac:dyDescent="0.2">
      <c r="A845" s="834"/>
      <c r="B845" s="3148"/>
      <c r="C845" s="3295"/>
      <c r="D845" s="3294"/>
      <c r="E845" s="3145"/>
      <c r="F845" s="3158" t="s">
        <v>116</v>
      </c>
      <c r="G845" s="3145" t="s">
        <v>1333</v>
      </c>
      <c r="H845" s="3304" t="s">
        <v>1300</v>
      </c>
      <c r="I845" s="3303" t="s">
        <v>116</v>
      </c>
      <c r="J845" s="3302" t="s">
        <v>1295</v>
      </c>
      <c r="K845" s="3317"/>
      <c r="L845" s="3316"/>
      <c r="M845" s="3301" t="s">
        <v>116</v>
      </c>
      <c r="N845" s="3302" t="s">
        <v>1296</v>
      </c>
      <c r="O845" s="3209"/>
      <c r="P845" s="3209"/>
      <c r="Q845" s="3301" t="s">
        <v>116</v>
      </c>
      <c r="R845" s="3302" t="s">
        <v>1297</v>
      </c>
      <c r="S845" s="3209"/>
      <c r="T845" s="3209"/>
      <c r="U845" s="3209"/>
      <c r="V845" s="3209"/>
      <c r="W845" s="3209"/>
      <c r="X845" s="3208"/>
      <c r="Y845" s="3293"/>
      <c r="Z845" s="1201"/>
      <c r="AA845" s="1201"/>
      <c r="AB845" s="1202"/>
      <c r="AC845" s="3292"/>
      <c r="AD845" s="3291"/>
      <c r="AE845" s="3291"/>
      <c r="AF845" s="3290"/>
      <c r="AI845" s="3120" t="str">
        <f>"55:"&amp;IF(AND(I845="□",M845="□",Q845="□",I846="□",Q846="□"),"koriha_rryoho1_code:0:koriha_sryoho_code:0:koriha_gengo_code:0:riha_seisin_code:0:koriha_other_code:0",IF(I845="■","koriha_rryoho1_code:2","koriha_rryoho1_code:1")
&amp;IF(M845="■",":koriha_sryoho_code:2",":koriha_sryoho_code:1")
&amp;IF(Q845="■",":koriha_gengo_code:2",":koriha_gengo_code:1")
&amp;IF(I846="■",":riha_seisin_code:2",":riha_seisin_code:1")
&amp;IF(Q846="■",":koriha_other_code:2",":koriha_other_code:1"))</f>
        <v>55:koriha_rryoho1_code:0:koriha_sryoho_code:0:koriha_gengo_code:0:riha_seisin_code:0:koriha_other_code:0</v>
      </c>
    </row>
    <row r="846" spans="1:35" s="3120" customFormat="1" ht="18.75" customHeight="1" x14ac:dyDescent="0.2">
      <c r="A846" s="834"/>
      <c r="B846" s="3148"/>
      <c r="C846" s="3295"/>
      <c r="D846" s="3294"/>
      <c r="E846" s="3145"/>
      <c r="F846" s="3294"/>
      <c r="G846" s="3145"/>
      <c r="H846" s="3300"/>
      <c r="I846" s="3141" t="s">
        <v>116</v>
      </c>
      <c r="J846" s="3139" t="s">
        <v>1298</v>
      </c>
      <c r="K846" s="3207"/>
      <c r="L846" s="3207"/>
      <c r="M846" s="3207"/>
      <c r="N846" s="3207"/>
      <c r="O846" s="3207"/>
      <c r="P846" s="3207"/>
      <c r="Q846" s="3140" t="s">
        <v>116</v>
      </c>
      <c r="R846" s="3139" t="s">
        <v>1299</v>
      </c>
      <c r="S846" s="3162"/>
      <c r="T846" s="3207"/>
      <c r="U846" s="3207"/>
      <c r="V846" s="3207"/>
      <c r="W846" s="3207"/>
      <c r="X846" s="3206"/>
      <c r="Y846" s="3293"/>
      <c r="Z846" s="1201"/>
      <c r="AA846" s="1201"/>
      <c r="AB846" s="1202"/>
      <c r="AC846" s="3292"/>
      <c r="AD846" s="3291"/>
      <c r="AE846" s="3291"/>
      <c r="AF846" s="3290"/>
    </row>
    <row r="847" spans="1:35" s="3120" customFormat="1" ht="18.75" customHeight="1" x14ac:dyDescent="0.2">
      <c r="A847" s="834"/>
      <c r="B847" s="3148"/>
      <c r="C847" s="3295"/>
      <c r="D847" s="3294"/>
      <c r="E847" s="3145"/>
      <c r="F847" s="3294"/>
      <c r="G847" s="3145"/>
      <c r="H847" s="3170" t="s">
        <v>1334</v>
      </c>
      <c r="I847" s="3248" t="s">
        <v>116</v>
      </c>
      <c r="J847" s="3210" t="s">
        <v>1230</v>
      </c>
      <c r="K847" s="3210"/>
      <c r="L847" s="3298" t="s">
        <v>116</v>
      </c>
      <c r="M847" s="3210" t="s">
        <v>1335</v>
      </c>
      <c r="N847" s="3210"/>
      <c r="O847" s="3210"/>
      <c r="P847" s="3298" t="s">
        <v>116</v>
      </c>
      <c r="Q847" s="3210" t="s">
        <v>1336</v>
      </c>
      <c r="R847" s="3210"/>
      <c r="S847" s="3210"/>
      <c r="T847" s="3298" t="s">
        <v>116</v>
      </c>
      <c r="U847" s="3210" t="s">
        <v>1337</v>
      </c>
      <c r="V847" s="3210"/>
      <c r="W847" s="3210"/>
      <c r="X847" s="3315"/>
      <c r="Y847" s="3293"/>
      <c r="Z847" s="1201"/>
      <c r="AA847" s="1201"/>
      <c r="AB847" s="1202"/>
      <c r="AC847" s="3292"/>
      <c r="AD847" s="3291"/>
      <c r="AE847" s="3291"/>
      <c r="AF847" s="3290"/>
      <c r="AI847" s="3120" t="str">
        <f>"55:"&amp;IF(AND(I847="□",L847="□",P847="□",T847="□"),"field236:0:field237:0:field238:0",IF(I847="■","field236:1:field237:1:field238:1",IF(L847="■","field236:2","field236:1")
&amp;IF(P847="■",":field237:2",":field237:1")
&amp;IF(T847="■",":field238:2",":field238:1")))</f>
        <v>55:field236:0:field237:0:field238:0</v>
      </c>
    </row>
    <row r="848" spans="1:35" s="3120" customFormat="1" ht="18.75" customHeight="1" x14ac:dyDescent="0.2">
      <c r="A848" s="834"/>
      <c r="B848" s="3148"/>
      <c r="C848" s="3295"/>
      <c r="D848" s="3294"/>
      <c r="E848" s="3145"/>
      <c r="F848" s="3144"/>
      <c r="G848" s="3145"/>
      <c r="H848" s="3165"/>
      <c r="I848" s="3200"/>
      <c r="J848" s="3163"/>
      <c r="K848" s="3163"/>
      <c r="L848" s="3199"/>
      <c r="M848" s="3163"/>
      <c r="N848" s="3163"/>
      <c r="O848" s="3163"/>
      <c r="P848" s="3199"/>
      <c r="Q848" s="3163"/>
      <c r="R848" s="3163"/>
      <c r="S848" s="3163"/>
      <c r="T848" s="3199"/>
      <c r="U848" s="3163"/>
      <c r="V848" s="3163"/>
      <c r="W848" s="3163"/>
      <c r="X848" s="3314"/>
      <c r="Y848" s="3293"/>
      <c r="Z848" s="1201"/>
      <c r="AA848" s="1201"/>
      <c r="AB848" s="1202"/>
      <c r="AC848" s="3292"/>
      <c r="AD848" s="3291"/>
      <c r="AE848" s="3291"/>
      <c r="AF848" s="3290"/>
    </row>
    <row r="849" spans="1:36" s="3120" customFormat="1" ht="18.75" customHeight="1" x14ac:dyDescent="0.2">
      <c r="A849" s="834"/>
      <c r="B849" s="3148"/>
      <c r="C849" s="3295"/>
      <c r="D849" s="3294"/>
      <c r="E849" s="3145"/>
      <c r="F849" s="3144"/>
      <c r="G849" s="3145"/>
      <c r="H849" s="3142" t="s">
        <v>1338</v>
      </c>
      <c r="I849" s="3141" t="s">
        <v>116</v>
      </c>
      <c r="J849" s="3139" t="s">
        <v>1230</v>
      </c>
      <c r="K849" s="3138"/>
      <c r="L849" s="3140" t="s">
        <v>116</v>
      </c>
      <c r="M849" s="3139" t="s">
        <v>1233</v>
      </c>
      <c r="N849" s="3153"/>
      <c r="O849" s="3150"/>
      <c r="P849" s="3150"/>
      <c r="Q849" s="3150"/>
      <c r="R849" s="3150"/>
      <c r="S849" s="3150"/>
      <c r="T849" s="3150"/>
      <c r="U849" s="3150"/>
      <c r="V849" s="3150"/>
      <c r="W849" s="3150"/>
      <c r="X849" s="3149"/>
      <c r="Y849" s="3293"/>
      <c r="Z849" s="1201"/>
      <c r="AA849" s="1201"/>
      <c r="AB849" s="1202"/>
      <c r="AC849" s="3292"/>
      <c r="AD849" s="3291"/>
      <c r="AE849" s="3291"/>
      <c r="AF849" s="3290"/>
      <c r="AI849" s="3120" t="str">
        <f>"55:ninti_riha_code:" &amp; IF(I849="■",1,IF(L849="■",2,0))</f>
        <v>55:ninti_riha_code:0</v>
      </c>
    </row>
    <row r="850" spans="1:36" s="3120" customFormat="1" ht="18.75" customHeight="1" x14ac:dyDescent="0.2">
      <c r="A850" s="834"/>
      <c r="B850" s="3148"/>
      <c r="C850" s="3295"/>
      <c r="D850" s="3294"/>
      <c r="E850" s="3145"/>
      <c r="F850" s="3144"/>
      <c r="G850" s="3145"/>
      <c r="H850" s="3151" t="s">
        <v>1237</v>
      </c>
      <c r="I850" s="3155" t="s">
        <v>116</v>
      </c>
      <c r="J850" s="3137" t="s">
        <v>1230</v>
      </c>
      <c r="K850" s="3137"/>
      <c r="L850" s="3154" t="s">
        <v>116</v>
      </c>
      <c r="M850" s="3137" t="s">
        <v>1231</v>
      </c>
      <c r="N850" s="3137"/>
      <c r="O850" s="3154" t="s">
        <v>116</v>
      </c>
      <c r="P850" s="3137" t="s">
        <v>1232</v>
      </c>
      <c r="Q850" s="3150"/>
      <c r="R850" s="3150"/>
      <c r="S850" s="3150"/>
      <c r="T850" s="3150"/>
      <c r="U850" s="3150"/>
      <c r="V850" s="3150"/>
      <c r="W850" s="3150"/>
      <c r="X850" s="3149"/>
      <c r="Y850" s="3293"/>
      <c r="Z850" s="1201"/>
      <c r="AA850" s="1201"/>
      <c r="AB850" s="1202"/>
      <c r="AC850" s="3292"/>
      <c r="AD850" s="3291"/>
      <c r="AE850" s="3291"/>
      <c r="AF850" s="3290"/>
      <c r="AI850" s="3120" t="str">
        <f>"55:ninti_senmoncare_code:" &amp; IF(I850="■",1,IF(O850="■",3,IF(L850="■",2,0)))</f>
        <v>55:ninti_senmoncare_code:0</v>
      </c>
    </row>
    <row r="851" spans="1:36" s="3120" customFormat="1" ht="18.75" customHeight="1" x14ac:dyDescent="0.2">
      <c r="A851" s="834"/>
      <c r="B851" s="3148"/>
      <c r="C851" s="3295"/>
      <c r="D851" s="3294"/>
      <c r="E851" s="3145"/>
      <c r="F851" s="3144"/>
      <c r="G851" s="3145"/>
      <c r="H851" s="3151" t="s">
        <v>1327</v>
      </c>
      <c r="I851" s="3155" t="s">
        <v>116</v>
      </c>
      <c r="J851" s="3137" t="s">
        <v>1230</v>
      </c>
      <c r="K851" s="3137"/>
      <c r="L851" s="3154" t="s">
        <v>116</v>
      </c>
      <c r="M851" s="3137" t="s">
        <v>1231</v>
      </c>
      <c r="N851" s="3137"/>
      <c r="O851" s="3154" t="s">
        <v>116</v>
      </c>
      <c r="P851" s="3137" t="s">
        <v>1232</v>
      </c>
      <c r="Q851" s="3171"/>
      <c r="R851" s="3171"/>
      <c r="S851" s="3171"/>
      <c r="T851" s="3171"/>
      <c r="U851" s="3171"/>
      <c r="V851" s="3171"/>
      <c r="W851" s="3171"/>
      <c r="X851" s="3297"/>
      <c r="Y851" s="3293"/>
      <c r="Z851" s="1201"/>
      <c r="AA851" s="1201"/>
      <c r="AB851" s="1202"/>
      <c r="AC851" s="3292"/>
      <c r="AD851" s="3291"/>
      <c r="AE851" s="3291"/>
      <c r="AF851" s="3290"/>
      <c r="AI851" s="3120" t="str">
        <f>"55:field228:" &amp; IF(I851="■",1,IF(L851="■",2,IF(O851="■",3,0)))</f>
        <v>55:field228:0</v>
      </c>
    </row>
    <row r="852" spans="1:36" s="3120" customFormat="1" ht="18.75" customHeight="1" x14ac:dyDescent="0.2">
      <c r="A852" s="834"/>
      <c r="B852" s="3148"/>
      <c r="C852" s="3295"/>
      <c r="D852" s="3294"/>
      <c r="E852" s="3145"/>
      <c r="F852" s="3144"/>
      <c r="G852" s="3145"/>
      <c r="H852" s="3151" t="s">
        <v>237</v>
      </c>
      <c r="I852" s="3155" t="s">
        <v>116</v>
      </c>
      <c r="J852" s="3137" t="s">
        <v>1230</v>
      </c>
      <c r="K852" s="3137"/>
      <c r="L852" s="3154" t="s">
        <v>116</v>
      </c>
      <c r="M852" s="3137" t="s">
        <v>1231</v>
      </c>
      <c r="N852" s="3137"/>
      <c r="O852" s="3154" t="s">
        <v>116</v>
      </c>
      <c r="P852" s="3137" t="s">
        <v>1232</v>
      </c>
      <c r="Q852" s="3150"/>
      <c r="R852" s="3153"/>
      <c r="S852" s="3153"/>
      <c r="T852" s="3153"/>
      <c r="U852" s="3153"/>
      <c r="V852" s="3153"/>
      <c r="W852" s="3153"/>
      <c r="X852" s="3152"/>
      <c r="Y852" s="3293"/>
      <c r="Z852" s="1201"/>
      <c r="AA852" s="1201"/>
      <c r="AB852" s="1202"/>
      <c r="AC852" s="3292"/>
      <c r="AD852" s="3291"/>
      <c r="AE852" s="3291"/>
      <c r="AF852" s="3290"/>
      <c r="AI852" s="3120" t="str">
        <f>"55:field164:" &amp; IF(I852="■",1,IF(L852="■",2,IF(O852="■",3,0)))</f>
        <v>55:field164:0</v>
      </c>
    </row>
    <row r="853" spans="1:36" s="3120" customFormat="1" ht="18.75" customHeight="1" x14ac:dyDescent="0.2">
      <c r="A853" s="834"/>
      <c r="B853" s="3148"/>
      <c r="C853" s="3295"/>
      <c r="D853" s="3294"/>
      <c r="E853" s="3145"/>
      <c r="F853" s="3144"/>
      <c r="G853" s="3145"/>
      <c r="H853" s="3159" t="s">
        <v>795</v>
      </c>
      <c r="I853" s="3141" t="s">
        <v>116</v>
      </c>
      <c r="J853" s="3139" t="s">
        <v>1230</v>
      </c>
      <c r="K853" s="3138"/>
      <c r="L853" s="3140" t="s">
        <v>116</v>
      </c>
      <c r="M853" s="3139" t="s">
        <v>1233</v>
      </c>
      <c r="N853" s="3153"/>
      <c r="O853" s="3150"/>
      <c r="P853" s="3150"/>
      <c r="Q853" s="3150"/>
      <c r="R853" s="3150"/>
      <c r="S853" s="3150"/>
      <c r="T853" s="3150"/>
      <c r="U853" s="3150"/>
      <c r="V853" s="3150"/>
      <c r="W853" s="3150"/>
      <c r="X853" s="3149"/>
      <c r="Y853" s="3293"/>
      <c r="Z853" s="1201"/>
      <c r="AA853" s="1201"/>
      <c r="AB853" s="1202"/>
      <c r="AC853" s="3292"/>
      <c r="AD853" s="3291"/>
      <c r="AE853" s="3291"/>
      <c r="AF853" s="3290"/>
      <c r="AI853" s="3120" t="str">
        <f>"55:field210:" &amp; IF(I853="■",1,IF(L853="■",2,0))</f>
        <v>55:field210:0</v>
      </c>
    </row>
    <row r="854" spans="1:36" s="3120" customFormat="1" ht="18.75" customHeight="1" x14ac:dyDescent="0.2">
      <c r="A854" s="834"/>
      <c r="B854" s="3148"/>
      <c r="C854" s="3295"/>
      <c r="D854" s="3294"/>
      <c r="E854" s="3145"/>
      <c r="F854" s="3144"/>
      <c r="G854" s="3145"/>
      <c r="H854" s="3151" t="s">
        <v>796</v>
      </c>
      <c r="I854" s="3141" t="s">
        <v>116</v>
      </c>
      <c r="J854" s="3139" t="s">
        <v>1230</v>
      </c>
      <c r="K854" s="3138"/>
      <c r="L854" s="3140" t="s">
        <v>116</v>
      </c>
      <c r="M854" s="3139" t="s">
        <v>1233</v>
      </c>
      <c r="N854" s="3153"/>
      <c r="O854" s="3150"/>
      <c r="P854" s="3150"/>
      <c r="Q854" s="3150"/>
      <c r="R854" s="3150"/>
      <c r="S854" s="3150"/>
      <c r="T854" s="3150"/>
      <c r="U854" s="3150"/>
      <c r="V854" s="3150"/>
      <c r="W854" s="3150"/>
      <c r="X854" s="3149"/>
      <c r="Y854" s="3293"/>
      <c r="Z854" s="1201"/>
      <c r="AA854" s="1201"/>
      <c r="AB854" s="1202"/>
      <c r="AC854" s="3292"/>
      <c r="AD854" s="3291"/>
      <c r="AE854" s="3291"/>
      <c r="AF854" s="3290"/>
      <c r="AI854" s="3120" t="str">
        <f>"55:field211:" &amp; IF(I854="■",1,IF(L854="■",2,0))</f>
        <v>55:field211:0</v>
      </c>
    </row>
    <row r="855" spans="1:36" s="3120" customFormat="1" ht="18.75" customHeight="1" x14ac:dyDescent="0.2">
      <c r="A855" s="834"/>
      <c r="B855" s="3148"/>
      <c r="C855" s="3295"/>
      <c r="D855" s="3294"/>
      <c r="E855" s="3145"/>
      <c r="F855" s="3144"/>
      <c r="G855" s="3145"/>
      <c r="H855" s="3151" t="s">
        <v>797</v>
      </c>
      <c r="I855" s="3141" t="s">
        <v>116</v>
      </c>
      <c r="J855" s="3139" t="s">
        <v>1230</v>
      </c>
      <c r="K855" s="3138"/>
      <c r="L855" s="3140" t="s">
        <v>116</v>
      </c>
      <c r="M855" s="3139" t="s">
        <v>1233</v>
      </c>
      <c r="N855" s="3153"/>
      <c r="O855" s="3150"/>
      <c r="P855" s="3150"/>
      <c r="Q855" s="3150"/>
      <c r="R855" s="3150"/>
      <c r="S855" s="3150"/>
      <c r="T855" s="3150"/>
      <c r="U855" s="3150"/>
      <c r="V855" s="3150"/>
      <c r="W855" s="3150"/>
      <c r="X855" s="3149"/>
      <c r="Y855" s="3293"/>
      <c r="Z855" s="1201"/>
      <c r="AA855" s="1201"/>
      <c r="AB855" s="1202"/>
      <c r="AC855" s="3292"/>
      <c r="AD855" s="3291"/>
      <c r="AE855" s="3291"/>
      <c r="AF855" s="3290"/>
      <c r="AI855" s="3120" t="str">
        <f>"55:field212:" &amp; IF(I855="■",1,IF(L855="■",2,0))</f>
        <v>55:field212:0</v>
      </c>
    </row>
    <row r="856" spans="1:36" s="3120" customFormat="1" ht="18.75" customHeight="1" x14ac:dyDescent="0.2">
      <c r="A856" s="834"/>
      <c r="B856" s="3148"/>
      <c r="C856" s="3295"/>
      <c r="D856" s="3294"/>
      <c r="E856" s="3145"/>
      <c r="F856" s="3144"/>
      <c r="G856" s="3145"/>
      <c r="H856" s="3151" t="s">
        <v>798</v>
      </c>
      <c r="I856" s="3141" t="s">
        <v>116</v>
      </c>
      <c r="J856" s="3139" t="s">
        <v>1230</v>
      </c>
      <c r="K856" s="3138"/>
      <c r="L856" s="3140" t="s">
        <v>116</v>
      </c>
      <c r="M856" s="3139" t="s">
        <v>1233</v>
      </c>
      <c r="N856" s="3153"/>
      <c r="O856" s="3150"/>
      <c r="P856" s="3150"/>
      <c r="Q856" s="3150"/>
      <c r="R856" s="3150"/>
      <c r="S856" s="3150"/>
      <c r="T856" s="3150"/>
      <c r="U856" s="3150"/>
      <c r="V856" s="3150"/>
      <c r="W856" s="3150"/>
      <c r="X856" s="3149"/>
      <c r="Y856" s="3293"/>
      <c r="Z856" s="1201"/>
      <c r="AA856" s="1201"/>
      <c r="AB856" s="1202"/>
      <c r="AC856" s="3292"/>
      <c r="AD856" s="3291"/>
      <c r="AE856" s="3291"/>
      <c r="AF856" s="3290"/>
      <c r="AI856" s="3120" t="str">
        <f>"55:field209:" &amp; IF(I856="■",1,IF(L856="■",2,0))</f>
        <v>55:field209:0</v>
      </c>
    </row>
    <row r="857" spans="1:36" s="3120" customFormat="1" ht="18.75" customHeight="1" x14ac:dyDescent="0.2">
      <c r="A857" s="834"/>
      <c r="B857" s="3148"/>
      <c r="C857" s="3295"/>
      <c r="D857" s="3294"/>
      <c r="E857" s="3145"/>
      <c r="F857" s="3144"/>
      <c r="G857" s="3145"/>
      <c r="H857" s="3151" t="s">
        <v>1323</v>
      </c>
      <c r="I857" s="3155" t="s">
        <v>116</v>
      </c>
      <c r="J857" s="3137" t="s">
        <v>1230</v>
      </c>
      <c r="K857" s="3137"/>
      <c r="L857" s="3154" t="s">
        <v>116</v>
      </c>
      <c r="M857" s="3139" t="s">
        <v>1233</v>
      </c>
      <c r="N857" s="3137"/>
      <c r="O857" s="3137"/>
      <c r="P857" s="3137"/>
      <c r="Q857" s="3171"/>
      <c r="R857" s="3171"/>
      <c r="S857" s="3171"/>
      <c r="T857" s="3171"/>
      <c r="U857" s="3171"/>
      <c r="V857" s="3171"/>
      <c r="W857" s="3171"/>
      <c r="X857" s="3297"/>
      <c r="Y857" s="3293"/>
      <c r="Z857" s="1201"/>
      <c r="AA857" s="1201"/>
      <c r="AB857" s="1202"/>
      <c r="AC857" s="3292"/>
      <c r="AD857" s="3291"/>
      <c r="AE857" s="3291"/>
      <c r="AF857" s="3290"/>
      <c r="AI857" s="3120" t="str">
        <f>"55:field226:" &amp; IF(I857="■",1,IF(L857="■",2,0))</f>
        <v>55:field226:0</v>
      </c>
    </row>
    <row r="858" spans="1:36" s="3120" customFormat="1" ht="18.75" customHeight="1" x14ac:dyDescent="0.2">
      <c r="A858" s="834"/>
      <c r="B858" s="3148"/>
      <c r="C858" s="3295"/>
      <c r="D858" s="3294"/>
      <c r="E858" s="3145"/>
      <c r="F858" s="3144"/>
      <c r="G858" s="3145"/>
      <c r="H858" s="3151" t="s">
        <v>1324</v>
      </c>
      <c r="I858" s="3155" t="s">
        <v>116</v>
      </c>
      <c r="J858" s="3137" t="s">
        <v>1230</v>
      </c>
      <c r="K858" s="3137"/>
      <c r="L858" s="3154" t="s">
        <v>116</v>
      </c>
      <c r="M858" s="3139" t="s">
        <v>1233</v>
      </c>
      <c r="N858" s="3137"/>
      <c r="O858" s="3137"/>
      <c r="P858" s="3137"/>
      <c r="Q858" s="3171"/>
      <c r="R858" s="3171"/>
      <c r="S858" s="3171"/>
      <c r="T858" s="3171"/>
      <c r="U858" s="3171"/>
      <c r="V858" s="3171"/>
      <c r="W858" s="3171"/>
      <c r="X858" s="3297"/>
      <c r="Y858" s="3293"/>
      <c r="Z858" s="1201"/>
      <c r="AA858" s="1201"/>
      <c r="AB858" s="1202"/>
      <c r="AC858" s="3292"/>
      <c r="AD858" s="3291"/>
      <c r="AE858" s="3291"/>
      <c r="AF858" s="3290"/>
      <c r="AI858" s="3120" t="str">
        <f>"55:field227:" &amp; IF(I858="■",1,IF(L858="■",2,0))</f>
        <v>55:field227:0</v>
      </c>
    </row>
    <row r="859" spans="1:36" s="3120" customFormat="1" ht="18.75" customHeight="1" x14ac:dyDescent="0.2">
      <c r="A859" s="834"/>
      <c r="B859" s="3148"/>
      <c r="C859" s="3295"/>
      <c r="D859" s="3294"/>
      <c r="E859" s="3145"/>
      <c r="F859" s="3144"/>
      <c r="G859" s="3145"/>
      <c r="H859" s="3296" t="s">
        <v>1285</v>
      </c>
      <c r="I859" s="3155" t="s">
        <v>116</v>
      </c>
      <c r="J859" s="3137" t="s">
        <v>1230</v>
      </c>
      <c r="K859" s="3137"/>
      <c r="L859" s="3154" t="s">
        <v>116</v>
      </c>
      <c r="M859" s="3137" t="s">
        <v>1231</v>
      </c>
      <c r="N859" s="3137"/>
      <c r="O859" s="3154" t="s">
        <v>116</v>
      </c>
      <c r="P859" s="3137" t="s">
        <v>1232</v>
      </c>
      <c r="Q859" s="3150"/>
      <c r="R859" s="3150"/>
      <c r="S859" s="3150"/>
      <c r="T859" s="3150"/>
      <c r="U859" s="3209"/>
      <c r="V859" s="3209"/>
      <c r="W859" s="3209"/>
      <c r="X859" s="3208"/>
      <c r="Y859" s="3293"/>
      <c r="Z859" s="1201"/>
      <c r="AA859" s="1201"/>
      <c r="AB859" s="1202"/>
      <c r="AC859" s="3292"/>
      <c r="AD859" s="3291"/>
      <c r="AE859" s="3291"/>
      <c r="AF859" s="3290"/>
      <c r="AI859" s="3120" t="str">
        <f>"55:field225:" &amp; IF(I859="■",1,IF(L859="■",2,IF(O859="■",3,0)))</f>
        <v>55:field225:0</v>
      </c>
    </row>
    <row r="860" spans="1:36" s="3120" customFormat="1" ht="18.75" customHeight="1" x14ac:dyDescent="0.2">
      <c r="A860" s="834"/>
      <c r="B860" s="3148"/>
      <c r="C860" s="3295"/>
      <c r="D860" s="3294"/>
      <c r="E860" s="3145"/>
      <c r="F860" s="3144"/>
      <c r="G860" s="3145"/>
      <c r="H860" s="3151" t="s">
        <v>238</v>
      </c>
      <c r="I860" s="3155" t="s">
        <v>116</v>
      </c>
      <c r="J860" s="3137" t="s">
        <v>1230</v>
      </c>
      <c r="K860" s="3137"/>
      <c r="L860" s="3154" t="s">
        <v>116</v>
      </c>
      <c r="M860" s="3137" t="s">
        <v>1259</v>
      </c>
      <c r="N860" s="3137"/>
      <c r="O860" s="3154" t="s">
        <v>116</v>
      </c>
      <c r="P860" s="3137" t="s">
        <v>1260</v>
      </c>
      <c r="Q860" s="3153"/>
      <c r="R860" s="3154" t="s">
        <v>116</v>
      </c>
      <c r="S860" s="3137" t="s">
        <v>1261</v>
      </c>
      <c r="T860" s="3137"/>
      <c r="U860" s="3153"/>
      <c r="V860" s="3153"/>
      <c r="W860" s="3153"/>
      <c r="X860" s="3152"/>
      <c r="Y860" s="3293"/>
      <c r="Z860" s="1201"/>
      <c r="AA860" s="1201"/>
      <c r="AB860" s="1202"/>
      <c r="AC860" s="3292"/>
      <c r="AD860" s="3291"/>
      <c r="AE860" s="3291"/>
      <c r="AF860" s="3290"/>
      <c r="AI860" s="3120" t="str">
        <f>"55:serteikyo_kyoka_code:" &amp; IF(I860="■",1,IF(L860="■",6,IF(O860="■",5,IF(R860="■",7,0))))</f>
        <v>55:serteikyo_kyoka_code:0</v>
      </c>
    </row>
    <row r="861" spans="1:36" s="3120" customFormat="1" ht="18.75" customHeight="1" x14ac:dyDescent="0.2">
      <c r="A861" s="835"/>
      <c r="B861" s="3135"/>
      <c r="C861" s="3134"/>
      <c r="D861" s="3133"/>
      <c r="E861" s="3132"/>
      <c r="F861" s="3131"/>
      <c r="G861" s="3189"/>
      <c r="H861" s="3289" t="s">
        <v>2129</v>
      </c>
      <c r="I861" s="3128" t="s">
        <v>116</v>
      </c>
      <c r="J861" s="3285" t="s">
        <v>1230</v>
      </c>
      <c r="K861" s="3285"/>
      <c r="L861" s="3127" t="s">
        <v>116</v>
      </c>
      <c r="M861" s="3285" t="s">
        <v>2128</v>
      </c>
      <c r="N861" s="3288"/>
      <c r="O861" s="3127" t="s">
        <v>116</v>
      </c>
      <c r="P861" s="3287" t="s">
        <v>2127</v>
      </c>
      <c r="Q861" s="3286"/>
      <c r="R861" s="3127" t="s">
        <v>116</v>
      </c>
      <c r="S861" s="3285" t="s">
        <v>2126</v>
      </c>
      <c r="T861" s="3286"/>
      <c r="U861" s="3127" t="s">
        <v>116</v>
      </c>
      <c r="V861" s="3285" t="s">
        <v>2125</v>
      </c>
      <c r="W861" s="3284"/>
      <c r="X861" s="3283"/>
      <c r="Y861" s="3282"/>
      <c r="Z861" s="3282"/>
      <c r="AA861" s="3282"/>
      <c r="AB861" s="3281"/>
      <c r="AC861" s="3280"/>
      <c r="AD861" s="3279"/>
      <c r="AE861" s="3279"/>
      <c r="AF861" s="3278"/>
      <c r="AI861" s="3120" t="str">
        <f>"55:shoguukaizen_code:"&amp;IF(I861="■",1,IF(L861="■",7,IF(O861="■",8,IF(R861="■",9,IF(U861="■","A",0)))))</f>
        <v>55:shoguukaizen_code:0</v>
      </c>
    </row>
    <row r="862" spans="1:36" s="3120" customFormat="1" ht="18.75" customHeight="1" x14ac:dyDescent="0.2">
      <c r="A862" s="3188"/>
      <c r="B862" s="3187"/>
      <c r="C862" s="3313"/>
      <c r="D862" s="3312"/>
      <c r="E862" s="3185"/>
      <c r="F862" s="3184"/>
      <c r="G862" s="3185"/>
      <c r="H862" s="3265" t="s">
        <v>1286</v>
      </c>
      <c r="I862" s="3253" t="s">
        <v>116</v>
      </c>
      <c r="J862" s="3252" t="s">
        <v>1282</v>
      </c>
      <c r="K862" s="3311"/>
      <c r="L862" s="3309"/>
      <c r="M862" s="3310" t="s">
        <v>116</v>
      </c>
      <c r="N862" s="3252" t="s">
        <v>1289</v>
      </c>
      <c r="O862" s="3309"/>
      <c r="P862" s="3309"/>
      <c r="Q862" s="3310" t="s">
        <v>116</v>
      </c>
      <c r="R862" s="3252" t="s">
        <v>1290</v>
      </c>
      <c r="S862" s="3309"/>
      <c r="T862" s="3309"/>
      <c r="U862" s="3310" t="s">
        <v>116</v>
      </c>
      <c r="V862" s="3252" t="s">
        <v>1291</v>
      </c>
      <c r="W862" s="3309"/>
      <c r="X862" s="3266"/>
      <c r="Y862" s="3253" t="s">
        <v>116</v>
      </c>
      <c r="Z862" s="3252" t="s">
        <v>1225</v>
      </c>
      <c r="AA862" s="3252"/>
      <c r="AB862" s="3308"/>
      <c r="AC862" s="3307"/>
      <c r="AD862" s="3306"/>
      <c r="AE862" s="3306"/>
      <c r="AF862" s="3305"/>
      <c r="AG862" s="3120" t="str">
        <f>"ser_code = '" &amp; IF(A879="■",55,"") &amp; "'"</f>
        <v>ser_code = ''</v>
      </c>
      <c r="AH862" s="3120" t="str">
        <f>"55:jininkbn_code:" &amp; IF(F878="■",1,IF(F879="■",2,IF(F880="■",3,0)))</f>
        <v>55:jininkbn_code:0</v>
      </c>
      <c r="AI862" s="3120" t="str">
        <f>"55:yakan_kinmu_code:" &amp; IF(I862="■",1,IF(M862="■",2,IF(Q862="■",3,IF(U862="■",7,IF(I863="■",5,IF(M863="■",6,0))))))</f>
        <v>55:yakan_kinmu_code:0</v>
      </c>
      <c r="AJ862" s="3120" t="str">
        <f>"55:field203:" &amp; IF(Y862="■",1,IF(Y863="■",2,0))</f>
        <v>55:field203:0</v>
      </c>
    </row>
    <row r="863" spans="1:36" s="3120" customFormat="1" ht="18.75" customHeight="1" x14ac:dyDescent="0.2">
      <c r="A863" s="834"/>
      <c r="B863" s="3148"/>
      <c r="C863" s="3295"/>
      <c r="D863" s="3294"/>
      <c r="E863" s="3145"/>
      <c r="F863" s="3144"/>
      <c r="G863" s="3145"/>
      <c r="H863" s="3300"/>
      <c r="I863" s="3141" t="s">
        <v>116</v>
      </c>
      <c r="J863" s="3139" t="s">
        <v>1292</v>
      </c>
      <c r="K863" s="3138"/>
      <c r="L863" s="3162"/>
      <c r="M863" s="3140" t="s">
        <v>116</v>
      </c>
      <c r="N863" s="3139" t="s">
        <v>1283</v>
      </c>
      <c r="O863" s="3162"/>
      <c r="P863" s="3162"/>
      <c r="Q863" s="3162"/>
      <c r="R863" s="3162"/>
      <c r="S863" s="3162"/>
      <c r="T863" s="3162"/>
      <c r="U863" s="3162"/>
      <c r="V863" s="3162"/>
      <c r="W863" s="3162"/>
      <c r="X863" s="3161"/>
      <c r="Y863" s="3158" t="s">
        <v>116</v>
      </c>
      <c r="Z863" s="1200" t="s">
        <v>1226</v>
      </c>
      <c r="AA863" s="1201"/>
      <c r="AB863" s="1202"/>
      <c r="AC863" s="3292"/>
      <c r="AD863" s="3291"/>
      <c r="AE863" s="3291"/>
      <c r="AF863" s="3290"/>
      <c r="AG863" s="3120" t="str">
        <f>"55:sisetukbn_code:" &amp; IF(D879="■",2,0)</f>
        <v>55:sisetukbn_code:0</v>
      </c>
    </row>
    <row r="864" spans="1:36" s="3120" customFormat="1" ht="18.75" customHeight="1" x14ac:dyDescent="0.2">
      <c r="A864" s="834"/>
      <c r="B864" s="3148"/>
      <c r="C864" s="3295"/>
      <c r="D864" s="3294"/>
      <c r="E864" s="3145"/>
      <c r="F864" s="3144"/>
      <c r="G864" s="3145"/>
      <c r="H864" s="3304" t="s">
        <v>90</v>
      </c>
      <c r="I864" s="3303" t="s">
        <v>116</v>
      </c>
      <c r="J864" s="3302" t="s">
        <v>1230</v>
      </c>
      <c r="K864" s="3302"/>
      <c r="L864" s="3167"/>
      <c r="M864" s="3301" t="s">
        <v>116</v>
      </c>
      <c r="N864" s="3302" t="s">
        <v>1262</v>
      </c>
      <c r="O864" s="3302"/>
      <c r="P864" s="3167"/>
      <c r="Q864" s="3301" t="s">
        <v>116</v>
      </c>
      <c r="R864" s="3167" t="s">
        <v>1302</v>
      </c>
      <c r="S864" s="3167"/>
      <c r="T864" s="3167"/>
      <c r="U864" s="3301" t="s">
        <v>116</v>
      </c>
      <c r="V864" s="3167" t="s">
        <v>1303</v>
      </c>
      <c r="W864" s="3209"/>
      <c r="X864" s="3208"/>
      <c r="Y864" s="3293"/>
      <c r="Z864" s="1201"/>
      <c r="AA864" s="1201"/>
      <c r="AB864" s="1202"/>
      <c r="AC864" s="3292"/>
      <c r="AD864" s="3291"/>
      <c r="AE864" s="3291"/>
      <c r="AF864" s="3290"/>
      <c r="AI864" s="3120" t="str">
        <f>"55:"&amp;IF(AND(I864="□",M864="□",Q864="□",U864="□",I865="□",M865="□"),"ketu_doctor_code:0",IF(I864="■","ketu_doctor_code:1:field197:1:ketu_kangos_code:1:ketu_kshoku_code:1:ketu_ksiensou_code:1",IF(M864="■","ketu_doctor_code:2","ketu_doctor_code:1")
&amp;IF(Q864="■",":field197:2",":field197:1")
&amp;IF(U864="■",":ketu_kangos_code:2",":ketu_kangos_code:1")
&amp;IF(I865="■",":ketu_kshoku_code:2",":ketu_kshoku_code:1")
&amp;IF(M865="■",":ketu_ksiensou_code:2",":ketu_ksiensou_code:1")))</f>
        <v>55:ketu_doctor_code:0</v>
      </c>
    </row>
    <row r="865" spans="1:35" s="3120" customFormat="1" ht="18.75" customHeight="1" x14ac:dyDescent="0.2">
      <c r="A865" s="834"/>
      <c r="B865" s="3148"/>
      <c r="C865" s="3295"/>
      <c r="D865" s="3294"/>
      <c r="E865" s="3145"/>
      <c r="F865" s="3144"/>
      <c r="G865" s="3145"/>
      <c r="H865" s="3300"/>
      <c r="I865" s="3141" t="s">
        <v>116</v>
      </c>
      <c r="J865" s="3162" t="s">
        <v>1304</v>
      </c>
      <c r="K865" s="3139"/>
      <c r="L865" s="3162"/>
      <c r="M865" s="3140" t="s">
        <v>116</v>
      </c>
      <c r="N865" s="3139" t="s">
        <v>1328</v>
      </c>
      <c r="O865" s="3139"/>
      <c r="P865" s="3162"/>
      <c r="Q865" s="3162"/>
      <c r="R865" s="3162"/>
      <c r="S865" s="3162"/>
      <c r="T865" s="3162"/>
      <c r="U865" s="3162"/>
      <c r="V865" s="3162"/>
      <c r="W865" s="3207"/>
      <c r="X865" s="3206"/>
      <c r="Y865" s="3293"/>
      <c r="Z865" s="1201"/>
      <c r="AA865" s="1201"/>
      <c r="AB865" s="1202"/>
      <c r="AC865" s="3292"/>
      <c r="AD865" s="3291"/>
      <c r="AE865" s="3291"/>
      <c r="AF865" s="3290"/>
    </row>
    <row r="866" spans="1:35" s="3120" customFormat="1" ht="18.75" customHeight="1" x14ac:dyDescent="0.2">
      <c r="A866" s="834"/>
      <c r="B866" s="3148"/>
      <c r="C866" s="3295"/>
      <c r="D866" s="3294"/>
      <c r="E866" s="3145"/>
      <c r="F866" s="3144"/>
      <c r="G866" s="3145"/>
      <c r="H866" s="3151" t="s">
        <v>1325</v>
      </c>
      <c r="I866" s="3155" t="s">
        <v>116</v>
      </c>
      <c r="J866" s="3137" t="s">
        <v>1228</v>
      </c>
      <c r="K866" s="3171"/>
      <c r="L866" s="3173"/>
      <c r="M866" s="3154" t="s">
        <v>116</v>
      </c>
      <c r="N866" s="3137" t="s">
        <v>1322</v>
      </c>
      <c r="O866" s="3150"/>
      <c r="P866" s="3150"/>
      <c r="Q866" s="3171"/>
      <c r="R866" s="3171"/>
      <c r="S866" s="3171"/>
      <c r="T866" s="3171"/>
      <c r="U866" s="3171"/>
      <c r="V866" s="3171"/>
      <c r="W866" s="3171"/>
      <c r="X866" s="3297"/>
      <c r="Y866" s="3293"/>
      <c r="Z866" s="1201"/>
      <c r="AA866" s="1201"/>
      <c r="AB866" s="1202"/>
      <c r="AC866" s="3292"/>
      <c r="AD866" s="3291"/>
      <c r="AE866" s="3291"/>
      <c r="AF866" s="3290"/>
      <c r="AI866" s="3120" t="str">
        <f>"55:sintaikousoku_code:" &amp; IF(I866="■",1,IF(M866="■",2,0))</f>
        <v>55:sintaikousoku_code:0</v>
      </c>
    </row>
    <row r="867" spans="1:35" s="3120" customFormat="1" ht="18.75" customHeight="1" x14ac:dyDescent="0.2">
      <c r="A867" s="834"/>
      <c r="B867" s="3148"/>
      <c r="C867" s="3295"/>
      <c r="D867" s="3294"/>
      <c r="E867" s="3145"/>
      <c r="F867" s="3144"/>
      <c r="G867" s="3145"/>
      <c r="H867" s="3151" t="s">
        <v>792</v>
      </c>
      <c r="I867" s="3155" t="s">
        <v>116</v>
      </c>
      <c r="J867" s="3137" t="s">
        <v>1228</v>
      </c>
      <c r="K867" s="3171"/>
      <c r="L867" s="3173"/>
      <c r="M867" s="3154" t="s">
        <v>116</v>
      </c>
      <c r="N867" s="3137" t="s">
        <v>1322</v>
      </c>
      <c r="O867" s="3150"/>
      <c r="P867" s="3150"/>
      <c r="Q867" s="3171"/>
      <c r="R867" s="3171"/>
      <c r="S867" s="3171"/>
      <c r="T867" s="3171"/>
      <c r="U867" s="3171"/>
      <c r="V867" s="3171"/>
      <c r="W867" s="3171"/>
      <c r="X867" s="3297"/>
      <c r="Y867" s="3293"/>
      <c r="Z867" s="1201"/>
      <c r="AA867" s="1201"/>
      <c r="AB867" s="1202"/>
      <c r="AC867" s="3292"/>
      <c r="AD867" s="3291"/>
      <c r="AE867" s="3291"/>
      <c r="AF867" s="3290"/>
      <c r="AI867" s="3120" t="str">
        <f>"55:field208:" &amp; IF(I867="■",1,IF(M867="■",2,0))</f>
        <v>55:field208:0</v>
      </c>
    </row>
    <row r="868" spans="1:35" s="3120" customFormat="1" ht="19.5" customHeight="1" x14ac:dyDescent="0.2">
      <c r="A868" s="834"/>
      <c r="B868" s="3148"/>
      <c r="C868" s="3147"/>
      <c r="D868" s="3146"/>
      <c r="E868" s="3145"/>
      <c r="F868" s="3144"/>
      <c r="G868" s="3175"/>
      <c r="H868" s="3174" t="s">
        <v>1227</v>
      </c>
      <c r="I868" s="3155" t="s">
        <v>116</v>
      </c>
      <c r="J868" s="3137" t="s">
        <v>1228</v>
      </c>
      <c r="K868" s="3171"/>
      <c r="L868" s="3173"/>
      <c r="M868" s="3154" t="s">
        <v>116</v>
      </c>
      <c r="N868" s="3137" t="s">
        <v>1229</v>
      </c>
      <c r="O868" s="3299"/>
      <c r="P868" s="3137"/>
      <c r="Q868" s="3150"/>
      <c r="R868" s="3150"/>
      <c r="S868" s="3150"/>
      <c r="T868" s="3150"/>
      <c r="U868" s="3150"/>
      <c r="V868" s="3150"/>
      <c r="W868" s="3150"/>
      <c r="X868" s="3149"/>
      <c r="Y868" s="1201"/>
      <c r="Z868" s="1201"/>
      <c r="AA868" s="1201"/>
      <c r="AB868" s="1202"/>
      <c r="AC868" s="3292"/>
      <c r="AD868" s="3291"/>
      <c r="AE868" s="3291"/>
      <c r="AF868" s="3290"/>
      <c r="AI868" s="3120" t="str">
        <f>"55:field223:" &amp; IF(I868="■",1,IF(M868="■",2,0))</f>
        <v>55:field223:0</v>
      </c>
    </row>
    <row r="869" spans="1:35" s="3120" customFormat="1" ht="19.5" customHeight="1" x14ac:dyDescent="0.2">
      <c r="A869" s="834"/>
      <c r="B869" s="3148"/>
      <c r="C869" s="3147"/>
      <c r="D869" s="3146"/>
      <c r="E869" s="3145"/>
      <c r="F869" s="3144"/>
      <c r="G869" s="3175"/>
      <c r="H869" s="3174" t="s">
        <v>1253</v>
      </c>
      <c r="I869" s="3155" t="s">
        <v>116</v>
      </c>
      <c r="J869" s="3137" t="s">
        <v>1228</v>
      </c>
      <c r="K869" s="3171"/>
      <c r="L869" s="3173"/>
      <c r="M869" s="3154" t="s">
        <v>116</v>
      </c>
      <c r="N869" s="3137" t="s">
        <v>1229</v>
      </c>
      <c r="O869" s="3299"/>
      <c r="P869" s="3137"/>
      <c r="Q869" s="3150"/>
      <c r="R869" s="3150"/>
      <c r="S869" s="3150"/>
      <c r="T869" s="3150"/>
      <c r="U869" s="3150"/>
      <c r="V869" s="3150"/>
      <c r="W869" s="3150"/>
      <c r="X869" s="3149"/>
      <c r="Y869" s="1201"/>
      <c r="Z869" s="1201"/>
      <c r="AA869" s="1201"/>
      <c r="AB869" s="1202"/>
      <c r="AC869" s="3292"/>
      <c r="AD869" s="3291"/>
      <c r="AE869" s="3291"/>
      <c r="AF869" s="3290"/>
      <c r="AI869" s="3120" t="str">
        <f>"55:field232:" &amp; IF(I869="■",1,IF(M869="■",2,0))</f>
        <v>55:field232:0</v>
      </c>
    </row>
    <row r="870" spans="1:35" s="3120" customFormat="1" ht="18.75" customHeight="1" x14ac:dyDescent="0.2">
      <c r="A870" s="834"/>
      <c r="B870" s="3148"/>
      <c r="C870" s="3295"/>
      <c r="D870" s="3294"/>
      <c r="E870" s="3145"/>
      <c r="F870" s="3144"/>
      <c r="G870" s="3145"/>
      <c r="H870" s="3170" t="s">
        <v>1326</v>
      </c>
      <c r="I870" s="3248" t="s">
        <v>116</v>
      </c>
      <c r="J870" s="3210" t="s">
        <v>1230</v>
      </c>
      <c r="K870" s="3210"/>
      <c r="L870" s="3298" t="s">
        <v>116</v>
      </c>
      <c r="M870" s="3210" t="s">
        <v>1233</v>
      </c>
      <c r="N870" s="3210"/>
      <c r="O870" s="3167"/>
      <c r="P870" s="3167"/>
      <c r="Q870" s="3167"/>
      <c r="R870" s="3167"/>
      <c r="S870" s="3167"/>
      <c r="T870" s="3167"/>
      <c r="U870" s="3167"/>
      <c r="V870" s="3167"/>
      <c r="W870" s="3167"/>
      <c r="X870" s="3166"/>
      <c r="Y870" s="3293"/>
      <c r="Z870" s="1201"/>
      <c r="AA870" s="1201"/>
      <c r="AB870" s="1202"/>
      <c r="AC870" s="3292"/>
      <c r="AD870" s="3291"/>
      <c r="AE870" s="3291"/>
      <c r="AF870" s="3290"/>
      <c r="AI870" s="3120" t="str">
        <f>"55:field206:" &amp; IF(I870="■",1,IF(L870="■",2,0))</f>
        <v>55:field206:0</v>
      </c>
    </row>
    <row r="871" spans="1:35" s="3120" customFormat="1" ht="18.75" customHeight="1" x14ac:dyDescent="0.2">
      <c r="A871" s="834"/>
      <c r="B871" s="3148"/>
      <c r="C871" s="3295"/>
      <c r="D871" s="3294"/>
      <c r="E871" s="3145"/>
      <c r="F871" s="3144"/>
      <c r="G871" s="3145"/>
      <c r="H871" s="3165"/>
      <c r="I871" s="3200"/>
      <c r="J871" s="3163"/>
      <c r="K871" s="3163"/>
      <c r="L871" s="3199"/>
      <c r="M871" s="3163"/>
      <c r="N871" s="3163"/>
      <c r="O871" s="3162"/>
      <c r="P871" s="3162"/>
      <c r="Q871" s="3162"/>
      <c r="R871" s="3162"/>
      <c r="S871" s="3162"/>
      <c r="T871" s="3162"/>
      <c r="U871" s="3162"/>
      <c r="V871" s="3162"/>
      <c r="W871" s="3162"/>
      <c r="X871" s="3161"/>
      <c r="Y871" s="3293"/>
      <c r="Z871" s="1201"/>
      <c r="AA871" s="1201"/>
      <c r="AB871" s="1202"/>
      <c r="AC871" s="3292"/>
      <c r="AD871" s="3291"/>
      <c r="AE871" s="3291"/>
      <c r="AF871" s="3290"/>
    </row>
    <row r="872" spans="1:35" s="3120" customFormat="1" ht="18.75" customHeight="1" x14ac:dyDescent="0.2">
      <c r="A872" s="834"/>
      <c r="B872" s="3148"/>
      <c r="C872" s="3295"/>
      <c r="D872" s="3294"/>
      <c r="E872" s="3145"/>
      <c r="F872" s="3144"/>
      <c r="G872" s="3145"/>
      <c r="H872" s="3151" t="s">
        <v>236</v>
      </c>
      <c r="I872" s="3155" t="s">
        <v>116</v>
      </c>
      <c r="J872" s="3137" t="s">
        <v>1329</v>
      </c>
      <c r="K872" s="3171"/>
      <c r="L872" s="3173"/>
      <c r="M872" s="3154" t="s">
        <v>116</v>
      </c>
      <c r="N872" s="3137" t="s">
        <v>1293</v>
      </c>
      <c r="O872" s="3150"/>
      <c r="P872" s="3150"/>
      <c r="Q872" s="3171"/>
      <c r="R872" s="3171"/>
      <c r="S872" s="3171"/>
      <c r="T872" s="3171"/>
      <c r="U872" s="3171"/>
      <c r="V872" s="3171"/>
      <c r="W872" s="3171"/>
      <c r="X872" s="3297"/>
      <c r="Y872" s="3293"/>
      <c r="Z872" s="1201"/>
      <c r="AA872" s="1201"/>
      <c r="AB872" s="1202"/>
      <c r="AC872" s="3292"/>
      <c r="AD872" s="3291"/>
      <c r="AE872" s="3291"/>
      <c r="AF872" s="3290"/>
      <c r="AI872" s="3120" t="str">
        <f>"55:field190:" &amp; IF(I872="■",1,IF(M872="■",2,0))</f>
        <v>55:field190:0</v>
      </c>
    </row>
    <row r="873" spans="1:35" s="3120" customFormat="1" ht="18.75" customHeight="1" x14ac:dyDescent="0.2">
      <c r="A873" s="834"/>
      <c r="B873" s="3148"/>
      <c r="C873" s="3295"/>
      <c r="D873" s="3294"/>
      <c r="E873" s="3145"/>
      <c r="F873" s="3144"/>
      <c r="G873" s="3145"/>
      <c r="H873" s="3151" t="s">
        <v>1305</v>
      </c>
      <c r="I873" s="3155" t="s">
        <v>116</v>
      </c>
      <c r="J873" s="3137" t="s">
        <v>1329</v>
      </c>
      <c r="K873" s="3171"/>
      <c r="L873" s="3173"/>
      <c r="M873" s="3154" t="s">
        <v>116</v>
      </c>
      <c r="N873" s="3137" t="s">
        <v>1293</v>
      </c>
      <c r="O873" s="3150"/>
      <c r="P873" s="3150"/>
      <c r="Q873" s="3171"/>
      <c r="R873" s="3171"/>
      <c r="S873" s="3171"/>
      <c r="T873" s="3171"/>
      <c r="U873" s="3171"/>
      <c r="V873" s="3171"/>
      <c r="W873" s="3171"/>
      <c r="X873" s="3297"/>
      <c r="Y873" s="3293"/>
      <c r="Z873" s="1201"/>
      <c r="AA873" s="1201"/>
      <c r="AB873" s="1202"/>
      <c r="AC873" s="3292"/>
      <c r="AD873" s="3291"/>
      <c r="AE873" s="3291"/>
      <c r="AF873" s="3290"/>
      <c r="AI873" s="3120" t="str">
        <f>"55:field191:" &amp; IF(I873="■",1,IF(M873="■",2,0))</f>
        <v>55:field191:0</v>
      </c>
    </row>
    <row r="874" spans="1:35" s="1247" customFormat="1" ht="19.5" customHeight="1" x14ac:dyDescent="0.2">
      <c r="A874" s="579"/>
      <c r="B874" s="1250"/>
      <c r="C874" s="581"/>
      <c r="D874" s="1251"/>
      <c r="E874" s="1253"/>
      <c r="F874" s="1249"/>
      <c r="G874" s="583"/>
      <c r="H874" s="3324" t="s">
        <v>2133</v>
      </c>
      <c r="I874" s="3155" t="s">
        <v>116</v>
      </c>
      <c r="J874" s="3320" t="s">
        <v>2131</v>
      </c>
      <c r="K874" s="3323"/>
      <c r="L874" s="3322"/>
      <c r="M874" s="3154" t="s">
        <v>116</v>
      </c>
      <c r="N874" s="3320" t="s">
        <v>2130</v>
      </c>
      <c r="O874" s="3321"/>
      <c r="P874" s="3320"/>
      <c r="Q874" s="3319"/>
      <c r="R874" s="3319"/>
      <c r="S874" s="3319"/>
      <c r="T874" s="3319"/>
      <c r="U874" s="3319"/>
      <c r="V874" s="3319"/>
      <c r="W874" s="3319"/>
      <c r="X874" s="3318"/>
      <c r="Y874" s="1248"/>
      <c r="Z874" s="2"/>
      <c r="AA874" s="584"/>
      <c r="AB874" s="585"/>
      <c r="AC874" s="3292"/>
      <c r="AD874" s="3291"/>
      <c r="AE874" s="3291"/>
      <c r="AF874" s="3290"/>
      <c r="AI874" s="3120" t="str">
        <f>"55:field242:" &amp; IF(I874="■",1,IF(M874="■",2,0))</f>
        <v>55:field242:0</v>
      </c>
    </row>
    <row r="875" spans="1:35" s="3120" customFormat="1" ht="18.75" customHeight="1" x14ac:dyDescent="0.2">
      <c r="A875" s="834"/>
      <c r="B875" s="3148"/>
      <c r="C875" s="3295"/>
      <c r="D875" s="3294"/>
      <c r="E875" s="3145"/>
      <c r="F875" s="3144"/>
      <c r="G875" s="3145"/>
      <c r="H875" s="3151" t="s">
        <v>1330</v>
      </c>
      <c r="I875" s="3141" t="s">
        <v>116</v>
      </c>
      <c r="J875" s="3139" t="s">
        <v>1230</v>
      </c>
      <c r="K875" s="3138"/>
      <c r="L875" s="3140" t="s">
        <v>116</v>
      </c>
      <c r="M875" s="3139" t="s">
        <v>1233</v>
      </c>
      <c r="N875" s="3153"/>
      <c r="O875" s="3150"/>
      <c r="P875" s="3171"/>
      <c r="Q875" s="3171"/>
      <c r="R875" s="3171"/>
      <c r="S875" s="3171"/>
      <c r="T875" s="3171"/>
      <c r="U875" s="3171"/>
      <c r="V875" s="3171"/>
      <c r="W875" s="3171"/>
      <c r="X875" s="3297"/>
      <c r="Y875" s="3293"/>
      <c r="Z875" s="1201"/>
      <c r="AA875" s="1201"/>
      <c r="AB875" s="1202"/>
      <c r="AC875" s="3292"/>
      <c r="AD875" s="3291"/>
      <c r="AE875" s="3291"/>
      <c r="AF875" s="3290"/>
      <c r="AI875" s="3120" t="str">
        <f>"55:jyakuninti_uke_code:" &amp; IF(I875="■",1,IF(L875="■",2,0))</f>
        <v>55:jyakuninti_uke_code:0</v>
      </c>
    </row>
    <row r="876" spans="1:35" s="3120" customFormat="1" ht="18.75" customHeight="1" x14ac:dyDescent="0.2">
      <c r="A876" s="834"/>
      <c r="B876" s="3148"/>
      <c r="C876" s="3295"/>
      <c r="D876" s="3294"/>
      <c r="E876" s="3145"/>
      <c r="F876" s="3144"/>
      <c r="G876" s="3145"/>
      <c r="H876" s="3151" t="s">
        <v>794</v>
      </c>
      <c r="I876" s="3141" t="s">
        <v>116</v>
      </c>
      <c r="J876" s="3139" t="s">
        <v>1230</v>
      </c>
      <c r="K876" s="3138"/>
      <c r="L876" s="3140" t="s">
        <v>116</v>
      </c>
      <c r="M876" s="3139" t="s">
        <v>1233</v>
      </c>
      <c r="N876" s="3153"/>
      <c r="O876" s="3150"/>
      <c r="P876" s="3171"/>
      <c r="Q876" s="3171"/>
      <c r="R876" s="3171"/>
      <c r="S876" s="3171"/>
      <c r="T876" s="3171"/>
      <c r="U876" s="3171"/>
      <c r="V876" s="3171"/>
      <c r="W876" s="3171"/>
      <c r="X876" s="3297"/>
      <c r="Y876" s="3293"/>
      <c r="Z876" s="1201"/>
      <c r="AA876" s="1201"/>
      <c r="AB876" s="1202"/>
      <c r="AC876" s="3292"/>
      <c r="AD876" s="3291"/>
      <c r="AE876" s="3291"/>
      <c r="AF876" s="3290"/>
      <c r="AI876" s="3120" t="str">
        <f>"55:field207:" &amp; IF(I876="■",1,IF(L876="■",2,0))</f>
        <v>55:field207:0</v>
      </c>
    </row>
    <row r="877" spans="1:35" s="3120" customFormat="1" ht="18.75" customHeight="1" x14ac:dyDescent="0.2">
      <c r="A877" s="834"/>
      <c r="B877" s="3148"/>
      <c r="C877" s="3295"/>
      <c r="D877" s="3294"/>
      <c r="E877" s="3145"/>
      <c r="F877" s="3144"/>
      <c r="G877" s="3145"/>
      <c r="H877" s="3151" t="s">
        <v>140</v>
      </c>
      <c r="I877" s="3141" t="s">
        <v>116</v>
      </c>
      <c r="J877" s="3139" t="s">
        <v>1230</v>
      </c>
      <c r="K877" s="3138"/>
      <c r="L877" s="3140" t="s">
        <v>116</v>
      </c>
      <c r="M877" s="3139" t="s">
        <v>1233</v>
      </c>
      <c r="N877" s="3153"/>
      <c r="O877" s="3150"/>
      <c r="P877" s="3171"/>
      <c r="Q877" s="3171"/>
      <c r="R877" s="3171"/>
      <c r="S877" s="3171"/>
      <c r="T877" s="3171"/>
      <c r="U877" s="3171"/>
      <c r="V877" s="3171"/>
      <c r="W877" s="3171"/>
      <c r="X877" s="3297"/>
      <c r="Y877" s="3293"/>
      <c r="Z877" s="1201"/>
      <c r="AA877" s="1201"/>
      <c r="AB877" s="1202"/>
      <c r="AC877" s="3292"/>
      <c r="AD877" s="3291"/>
      <c r="AE877" s="3291"/>
      <c r="AF877" s="3290"/>
      <c r="AI877" s="3120" t="str">
        <f>"55:ryouyoushoku_code:" &amp; IF(I877="■",1,IF(L877="■",2,0))</f>
        <v>55:ryouyoushoku_code:0</v>
      </c>
    </row>
    <row r="878" spans="1:35" s="3120" customFormat="1" ht="18.75" customHeight="1" x14ac:dyDescent="0.2">
      <c r="A878" s="834"/>
      <c r="B878" s="3148"/>
      <c r="C878" s="3295"/>
      <c r="D878" s="3294"/>
      <c r="E878" s="3145"/>
      <c r="F878" s="3158" t="s">
        <v>116</v>
      </c>
      <c r="G878" s="3145" t="s">
        <v>1312</v>
      </c>
      <c r="H878" s="3304" t="s">
        <v>1332</v>
      </c>
      <c r="I878" s="3303" t="s">
        <v>116</v>
      </c>
      <c r="J878" s="3302" t="s">
        <v>1287</v>
      </c>
      <c r="K878" s="3302"/>
      <c r="L878" s="3209"/>
      <c r="M878" s="3209"/>
      <c r="N878" s="3209"/>
      <c r="O878" s="3209"/>
      <c r="P878" s="3301" t="s">
        <v>116</v>
      </c>
      <c r="Q878" s="3302" t="s">
        <v>1288</v>
      </c>
      <c r="R878" s="3209"/>
      <c r="S878" s="3209"/>
      <c r="T878" s="3209"/>
      <c r="U878" s="3209"/>
      <c r="V878" s="3209"/>
      <c r="W878" s="3209"/>
      <c r="X878" s="3208"/>
      <c r="Y878" s="3293"/>
      <c r="Z878" s="1201"/>
      <c r="AA878" s="1201"/>
      <c r="AB878" s="1202"/>
      <c r="AC878" s="3292"/>
      <c r="AD878" s="3291"/>
      <c r="AE878" s="3291"/>
      <c r="AF878" s="3290"/>
      <c r="AI878" s="3120" t="str">
        <f>"55:" &amp; IF(AND(I878="□",P878="□",I879="□"),"tokusin_jyusho_code:0:tokusin_yakuzai_code:0:shuudan_comu_code:0",IF(I878="■","tokusin_jyusho_code:2","tokusin_jyusho_code:1")
&amp;IF(P878="■",":tokusin_yakuzai_code:2",":tokusin_yakuzai_code:1")
&amp;IF(I879="■",":shuudan_comu_code:2",":shuudan_comu_code:1"))</f>
        <v>55:tokusin_jyusho_code:0:tokusin_yakuzai_code:0:shuudan_comu_code:0</v>
      </c>
    </row>
    <row r="879" spans="1:35" s="3120" customFormat="1" ht="18.75" customHeight="1" x14ac:dyDescent="0.2">
      <c r="A879" s="3158" t="s">
        <v>116</v>
      </c>
      <c r="B879" s="3148">
        <v>55</v>
      </c>
      <c r="C879" s="3295" t="s">
        <v>1331</v>
      </c>
      <c r="D879" s="3158" t="s">
        <v>116</v>
      </c>
      <c r="E879" s="3145" t="s">
        <v>1339</v>
      </c>
      <c r="F879" s="3158" t="s">
        <v>116</v>
      </c>
      <c r="G879" s="3145" t="s">
        <v>1314</v>
      </c>
      <c r="H879" s="3300"/>
      <c r="I879" s="3141" t="s">
        <v>116</v>
      </c>
      <c r="J879" s="3139" t="s">
        <v>1294</v>
      </c>
      <c r="K879" s="3207"/>
      <c r="L879" s="3207"/>
      <c r="M879" s="3207"/>
      <c r="N879" s="3207"/>
      <c r="O879" s="3207"/>
      <c r="P879" s="3207"/>
      <c r="Q879" s="836"/>
      <c r="R879" s="3207"/>
      <c r="S879" s="3207"/>
      <c r="T879" s="3207"/>
      <c r="U879" s="3207"/>
      <c r="V879" s="3207"/>
      <c r="W879" s="3207"/>
      <c r="X879" s="3206"/>
      <c r="Y879" s="3293"/>
      <c r="Z879" s="1201"/>
      <c r="AA879" s="1201"/>
      <c r="AB879" s="1202"/>
      <c r="AC879" s="3292"/>
      <c r="AD879" s="3291"/>
      <c r="AE879" s="3291"/>
      <c r="AF879" s="3290"/>
    </row>
    <row r="880" spans="1:35" s="3120" customFormat="1" ht="18.75" customHeight="1" x14ac:dyDescent="0.2">
      <c r="A880" s="834"/>
      <c r="B880" s="3148"/>
      <c r="C880" s="3295"/>
      <c r="D880" s="3294"/>
      <c r="E880" s="3145"/>
      <c r="F880" s="3158" t="s">
        <v>116</v>
      </c>
      <c r="G880" s="3145" t="s">
        <v>1316</v>
      </c>
      <c r="H880" s="3304" t="s">
        <v>1300</v>
      </c>
      <c r="I880" s="3303" t="s">
        <v>116</v>
      </c>
      <c r="J880" s="3302" t="s">
        <v>1295</v>
      </c>
      <c r="K880" s="3317"/>
      <c r="L880" s="3316"/>
      <c r="M880" s="3301" t="s">
        <v>116</v>
      </c>
      <c r="N880" s="3302" t="s">
        <v>1296</v>
      </c>
      <c r="O880" s="3209"/>
      <c r="P880" s="3209"/>
      <c r="Q880" s="3301" t="s">
        <v>116</v>
      </c>
      <c r="R880" s="3302" t="s">
        <v>1297</v>
      </c>
      <c r="S880" s="3209"/>
      <c r="T880" s="3209"/>
      <c r="U880" s="3209"/>
      <c r="V880" s="3209"/>
      <c r="W880" s="3209"/>
      <c r="X880" s="3208"/>
      <c r="Y880" s="3293"/>
      <c r="Z880" s="1201"/>
      <c r="AA880" s="1201"/>
      <c r="AB880" s="1202"/>
      <c r="AC880" s="3292"/>
      <c r="AD880" s="3291"/>
      <c r="AE880" s="3291"/>
      <c r="AF880" s="3290"/>
      <c r="AI880" s="3120" t="str">
        <f>"55:"&amp;IF(AND(I880="□",M880="□",Q880="□",I881="□",Q881="□"),"koriha_rryoho1_code:0:koriha_sryoho_code:0:koriha_gengo_code:0:riha_seisin_code:0:koriha_other_code:0",IF(I880="■","koriha_rryoho1_code:2","koriha_rryoho1_code:1")
&amp;IF(M880="■",":koriha_sryoho_code:2",":koriha_sryoho_code:1")
&amp;IF(Q880="■",":koriha_gengo_code:2",":koriha_gengo_code:1")
&amp;IF(I881="■",":riha_seisin_code:2",":riha_seisin_code:1")
&amp;IF(Q881="■",":koriha_other_code:2",":koriha_other_code:1"))</f>
        <v>55:koriha_rryoho1_code:0:koriha_sryoho_code:0:koriha_gengo_code:0:riha_seisin_code:0:koriha_other_code:0</v>
      </c>
    </row>
    <row r="881" spans="1:35" s="3120" customFormat="1" ht="18.75" customHeight="1" x14ac:dyDescent="0.2">
      <c r="A881" s="834"/>
      <c r="B881" s="3148"/>
      <c r="C881" s="3295"/>
      <c r="D881" s="3294"/>
      <c r="E881" s="3145"/>
      <c r="F881" s="3294"/>
      <c r="G881" s="3145"/>
      <c r="H881" s="3300"/>
      <c r="I881" s="3141" t="s">
        <v>116</v>
      </c>
      <c r="J881" s="3139" t="s">
        <v>1298</v>
      </c>
      <c r="K881" s="3207"/>
      <c r="L881" s="3207"/>
      <c r="M881" s="3207"/>
      <c r="N881" s="3207"/>
      <c r="O881" s="3207"/>
      <c r="P881" s="3207"/>
      <c r="Q881" s="3258" t="s">
        <v>116</v>
      </c>
      <c r="R881" s="3139" t="s">
        <v>1299</v>
      </c>
      <c r="S881" s="3162"/>
      <c r="T881" s="3207"/>
      <c r="U881" s="3207"/>
      <c r="V881" s="3207"/>
      <c r="W881" s="3207"/>
      <c r="X881" s="3206"/>
      <c r="Y881" s="3293"/>
      <c r="Z881" s="1201"/>
      <c r="AA881" s="1201"/>
      <c r="AB881" s="1202"/>
      <c r="AC881" s="3292"/>
      <c r="AD881" s="3291"/>
      <c r="AE881" s="3291"/>
      <c r="AF881" s="3290"/>
    </row>
    <row r="882" spans="1:35" s="3120" customFormat="1" ht="18.75" customHeight="1" x14ac:dyDescent="0.2">
      <c r="A882" s="834"/>
      <c r="B882" s="3148"/>
      <c r="C882" s="3295"/>
      <c r="D882" s="3294"/>
      <c r="E882" s="3145"/>
      <c r="F882" s="3294"/>
      <c r="G882" s="3145"/>
      <c r="H882" s="3170" t="s">
        <v>1334</v>
      </c>
      <c r="I882" s="3248" t="s">
        <v>116</v>
      </c>
      <c r="J882" s="3210" t="s">
        <v>1230</v>
      </c>
      <c r="K882" s="3210"/>
      <c r="L882" s="3298" t="s">
        <v>116</v>
      </c>
      <c r="M882" s="3210" t="s">
        <v>1335</v>
      </c>
      <c r="N882" s="3210"/>
      <c r="O882" s="3210"/>
      <c r="P882" s="3298" t="s">
        <v>116</v>
      </c>
      <c r="Q882" s="3210" t="s">
        <v>1336</v>
      </c>
      <c r="R882" s="3210"/>
      <c r="S882" s="3210"/>
      <c r="T882" s="3298" t="s">
        <v>116</v>
      </c>
      <c r="U882" s="3210" t="s">
        <v>1337</v>
      </c>
      <c r="V882" s="3210"/>
      <c r="W882" s="3210"/>
      <c r="X882" s="3315"/>
      <c r="Y882" s="3293"/>
      <c r="Z882" s="1201"/>
      <c r="AA882" s="1201"/>
      <c r="AB882" s="1202"/>
      <c r="AC882" s="3292"/>
      <c r="AD882" s="3291"/>
      <c r="AE882" s="3291"/>
      <c r="AF882" s="3290"/>
      <c r="AI882" s="3120" t="str">
        <f>"55:"&amp;IF(AND(I882="□",L882="□",P882="□",T882="□"),"field236:0:field237:0:field238:0",IF(I882="■","field236:1:field237:1:field238:1",IF(L882="■","field236:2","field236:1")
&amp;IF(P882="■",":field237:2",":field237:1")
&amp;IF(T882="■",":field238:2",":field238:1")))</f>
        <v>55:field236:0:field237:0:field238:0</v>
      </c>
    </row>
    <row r="883" spans="1:35" s="3120" customFormat="1" ht="18.75" customHeight="1" x14ac:dyDescent="0.2">
      <c r="A883" s="834"/>
      <c r="B883" s="3148"/>
      <c r="C883" s="3295"/>
      <c r="D883" s="3294"/>
      <c r="E883" s="3145"/>
      <c r="F883" s="3144"/>
      <c r="G883" s="3145"/>
      <c r="H883" s="3165"/>
      <c r="I883" s="3200"/>
      <c r="J883" s="3163"/>
      <c r="K883" s="3163"/>
      <c r="L883" s="3199"/>
      <c r="M883" s="3163"/>
      <c r="N883" s="3163"/>
      <c r="O883" s="3163"/>
      <c r="P883" s="3199"/>
      <c r="Q883" s="3163"/>
      <c r="R883" s="3163"/>
      <c r="S883" s="3163"/>
      <c r="T883" s="3199"/>
      <c r="U883" s="3163"/>
      <c r="V883" s="3163"/>
      <c r="W883" s="3163"/>
      <c r="X883" s="3314"/>
      <c r="Y883" s="3293"/>
      <c r="Z883" s="1201"/>
      <c r="AA883" s="1201"/>
      <c r="AB883" s="1202"/>
      <c r="AC883" s="3292"/>
      <c r="AD883" s="3291"/>
      <c r="AE883" s="3291"/>
      <c r="AF883" s="3290"/>
    </row>
    <row r="884" spans="1:35" s="3120" customFormat="1" ht="18.75" customHeight="1" x14ac:dyDescent="0.2">
      <c r="A884" s="834"/>
      <c r="B884" s="3148"/>
      <c r="C884" s="3295"/>
      <c r="D884" s="3294"/>
      <c r="E884" s="3145"/>
      <c r="F884" s="3144"/>
      <c r="G884" s="3145"/>
      <c r="H884" s="3142" t="s">
        <v>1338</v>
      </c>
      <c r="I884" s="3141" t="s">
        <v>116</v>
      </c>
      <c r="J884" s="3139" t="s">
        <v>1230</v>
      </c>
      <c r="K884" s="3138"/>
      <c r="L884" s="3140" t="s">
        <v>116</v>
      </c>
      <c r="M884" s="3139" t="s">
        <v>1233</v>
      </c>
      <c r="N884" s="3153"/>
      <c r="O884" s="3150"/>
      <c r="P884" s="3171"/>
      <c r="Q884" s="3171"/>
      <c r="R884" s="3171"/>
      <c r="S884" s="3171"/>
      <c r="T884" s="3171"/>
      <c r="U884" s="3171"/>
      <c r="V884" s="3171"/>
      <c r="W884" s="3171"/>
      <c r="X884" s="3297"/>
      <c r="Y884" s="3293"/>
      <c r="Z884" s="1201"/>
      <c r="AA884" s="1201"/>
      <c r="AB884" s="1202"/>
      <c r="AC884" s="3292"/>
      <c r="AD884" s="3291"/>
      <c r="AE884" s="3291"/>
      <c r="AF884" s="3290"/>
      <c r="AI884" s="3120" t="str">
        <f>"55:ninti_riha_code:" &amp; IF(I884="■",1,IF(L884="■",2,0))</f>
        <v>55:ninti_riha_code:0</v>
      </c>
    </row>
    <row r="885" spans="1:35" s="3120" customFormat="1" ht="18.75" customHeight="1" x14ac:dyDescent="0.2">
      <c r="A885" s="834"/>
      <c r="B885" s="3148"/>
      <c r="C885" s="3295"/>
      <c r="D885" s="3294"/>
      <c r="E885" s="3145"/>
      <c r="F885" s="3144"/>
      <c r="G885" s="3145"/>
      <c r="H885" s="3151" t="s">
        <v>1237</v>
      </c>
      <c r="I885" s="3155" t="s">
        <v>116</v>
      </c>
      <c r="J885" s="3137" t="s">
        <v>1230</v>
      </c>
      <c r="K885" s="3137"/>
      <c r="L885" s="3154" t="s">
        <v>116</v>
      </c>
      <c r="M885" s="3137" t="s">
        <v>1231</v>
      </c>
      <c r="N885" s="3137"/>
      <c r="O885" s="3154" t="s">
        <v>116</v>
      </c>
      <c r="P885" s="3137" t="s">
        <v>1232</v>
      </c>
      <c r="Q885" s="3150"/>
      <c r="R885" s="3171"/>
      <c r="S885" s="3171"/>
      <c r="T885" s="3171"/>
      <c r="U885" s="3171"/>
      <c r="V885" s="3171"/>
      <c r="W885" s="3171"/>
      <c r="X885" s="3297"/>
      <c r="Y885" s="3293"/>
      <c r="Z885" s="1201"/>
      <c r="AA885" s="1201"/>
      <c r="AB885" s="1202"/>
      <c r="AC885" s="3292"/>
      <c r="AD885" s="3291"/>
      <c r="AE885" s="3291"/>
      <c r="AF885" s="3290"/>
      <c r="AI885" s="3120" t="str">
        <f>"55:ninti_senmoncare_code:" &amp; IF(I885="■",1,IF(O885="■",3,IF(L885="■",2,0)))</f>
        <v>55:ninti_senmoncare_code:0</v>
      </c>
    </row>
    <row r="886" spans="1:35" s="3120" customFormat="1" ht="18.75" customHeight="1" x14ac:dyDescent="0.2">
      <c r="A886" s="834"/>
      <c r="B886" s="3148"/>
      <c r="C886" s="3295"/>
      <c r="D886" s="3294"/>
      <c r="E886" s="3145"/>
      <c r="F886" s="3144"/>
      <c r="G886" s="3145"/>
      <c r="H886" s="3151" t="s">
        <v>1327</v>
      </c>
      <c r="I886" s="3155" t="s">
        <v>116</v>
      </c>
      <c r="J886" s="3137" t="s">
        <v>1230</v>
      </c>
      <c r="K886" s="3137"/>
      <c r="L886" s="3154" t="s">
        <v>116</v>
      </c>
      <c r="M886" s="3137" t="s">
        <v>1231</v>
      </c>
      <c r="N886" s="3137"/>
      <c r="O886" s="3154" t="s">
        <v>116</v>
      </c>
      <c r="P886" s="3137" t="s">
        <v>1232</v>
      </c>
      <c r="Q886" s="3171"/>
      <c r="R886" s="3171"/>
      <c r="S886" s="3171"/>
      <c r="T886" s="3171"/>
      <c r="U886" s="3171"/>
      <c r="V886" s="3171"/>
      <c r="W886" s="3171"/>
      <c r="X886" s="3297"/>
      <c r="Y886" s="3293"/>
      <c r="Z886" s="1201"/>
      <c r="AA886" s="1201"/>
      <c r="AB886" s="1202"/>
      <c r="AC886" s="3292"/>
      <c r="AD886" s="3291"/>
      <c r="AE886" s="3291"/>
      <c r="AF886" s="3290"/>
      <c r="AI886" s="3120" t="str">
        <f>"55:field228:" &amp; IF(I886="■",1,IF(L886="■",2,IF(O886="■",3,0)))</f>
        <v>55:field228:0</v>
      </c>
    </row>
    <row r="887" spans="1:35" s="3120" customFormat="1" ht="18.75" customHeight="1" x14ac:dyDescent="0.2">
      <c r="A887" s="834"/>
      <c r="B887" s="3148"/>
      <c r="C887" s="3295"/>
      <c r="D887" s="3294"/>
      <c r="E887" s="3145"/>
      <c r="F887" s="3144"/>
      <c r="G887" s="3145"/>
      <c r="H887" s="3151" t="s">
        <v>237</v>
      </c>
      <c r="I887" s="3155" t="s">
        <v>116</v>
      </c>
      <c r="J887" s="3137" t="s">
        <v>1230</v>
      </c>
      <c r="K887" s="3137"/>
      <c r="L887" s="3154" t="s">
        <v>116</v>
      </c>
      <c r="M887" s="3137" t="s">
        <v>1231</v>
      </c>
      <c r="N887" s="3137"/>
      <c r="O887" s="3154" t="s">
        <v>116</v>
      </c>
      <c r="P887" s="3137" t="s">
        <v>1232</v>
      </c>
      <c r="Q887" s="3150"/>
      <c r="R887" s="3137"/>
      <c r="S887" s="3137"/>
      <c r="T887" s="3137"/>
      <c r="U887" s="3137"/>
      <c r="V887" s="3137"/>
      <c r="W887" s="3137"/>
      <c r="X887" s="3136"/>
      <c r="Y887" s="3293"/>
      <c r="Z887" s="1201"/>
      <c r="AA887" s="1201"/>
      <c r="AB887" s="1202"/>
      <c r="AC887" s="3292"/>
      <c r="AD887" s="3291"/>
      <c r="AE887" s="3291"/>
      <c r="AF887" s="3290"/>
      <c r="AI887" s="3120" t="str">
        <f>"55:field164:" &amp; IF(I887="■",1,IF(L887="■",2,IF(O887="■",3,0)))</f>
        <v>55:field164:0</v>
      </c>
    </row>
    <row r="888" spans="1:35" s="3120" customFormat="1" ht="18.75" customHeight="1" x14ac:dyDescent="0.2">
      <c r="A888" s="834"/>
      <c r="B888" s="3148"/>
      <c r="C888" s="3295"/>
      <c r="D888" s="3294"/>
      <c r="E888" s="3145"/>
      <c r="F888" s="3144"/>
      <c r="G888" s="3145"/>
      <c r="H888" s="3159" t="s">
        <v>795</v>
      </c>
      <c r="I888" s="3141" t="s">
        <v>116</v>
      </c>
      <c r="J888" s="3139" t="s">
        <v>1230</v>
      </c>
      <c r="K888" s="3138"/>
      <c r="L888" s="3140" t="s">
        <v>116</v>
      </c>
      <c r="M888" s="3139" t="s">
        <v>1233</v>
      </c>
      <c r="N888" s="3153"/>
      <c r="O888" s="3150"/>
      <c r="P888" s="3171"/>
      <c r="Q888" s="3171"/>
      <c r="R888" s="3171"/>
      <c r="S888" s="3171"/>
      <c r="T888" s="3171"/>
      <c r="U888" s="3171"/>
      <c r="V888" s="3171"/>
      <c r="W888" s="3171"/>
      <c r="X888" s="3297"/>
      <c r="Y888" s="3293"/>
      <c r="Z888" s="1201"/>
      <c r="AA888" s="1201"/>
      <c r="AB888" s="1202"/>
      <c r="AC888" s="3292"/>
      <c r="AD888" s="3291"/>
      <c r="AE888" s="3291"/>
      <c r="AF888" s="3290"/>
      <c r="AI888" s="3120" t="str">
        <f>"55:field210:" &amp; IF(I888="■",1,IF(L888="■",2,0))</f>
        <v>55:field210:0</v>
      </c>
    </row>
    <row r="889" spans="1:35" s="3120" customFormat="1" ht="18.75" customHeight="1" x14ac:dyDescent="0.2">
      <c r="A889" s="834"/>
      <c r="B889" s="3148"/>
      <c r="C889" s="3295"/>
      <c r="D889" s="3294"/>
      <c r="E889" s="3145"/>
      <c r="F889" s="3144"/>
      <c r="G889" s="3145"/>
      <c r="H889" s="3151" t="s">
        <v>796</v>
      </c>
      <c r="I889" s="3141" t="s">
        <v>116</v>
      </c>
      <c r="J889" s="3139" t="s">
        <v>1230</v>
      </c>
      <c r="K889" s="3138"/>
      <c r="L889" s="3140" t="s">
        <v>116</v>
      </c>
      <c r="M889" s="3139" t="s">
        <v>1233</v>
      </c>
      <c r="N889" s="3153"/>
      <c r="O889" s="3150"/>
      <c r="P889" s="3171"/>
      <c r="Q889" s="3171"/>
      <c r="R889" s="3171"/>
      <c r="S889" s="3171"/>
      <c r="T889" s="3171"/>
      <c r="U889" s="3171"/>
      <c r="V889" s="3171"/>
      <c r="W889" s="3171"/>
      <c r="X889" s="3297"/>
      <c r="Y889" s="3293"/>
      <c r="Z889" s="1201"/>
      <c r="AA889" s="1201"/>
      <c r="AB889" s="1202"/>
      <c r="AC889" s="3292"/>
      <c r="AD889" s="3291"/>
      <c r="AE889" s="3291"/>
      <c r="AF889" s="3290"/>
      <c r="AI889" s="3120" t="str">
        <f>"55:field211:" &amp; IF(I889="■",1,IF(L889="■",2,0))</f>
        <v>55:field211:0</v>
      </c>
    </row>
    <row r="890" spans="1:35" s="3120" customFormat="1" ht="18.75" customHeight="1" x14ac:dyDescent="0.2">
      <c r="A890" s="834"/>
      <c r="B890" s="3148"/>
      <c r="C890" s="3295"/>
      <c r="D890" s="3294"/>
      <c r="E890" s="3145"/>
      <c r="F890" s="3144"/>
      <c r="G890" s="3145"/>
      <c r="H890" s="3151" t="s">
        <v>797</v>
      </c>
      <c r="I890" s="3141" t="s">
        <v>116</v>
      </c>
      <c r="J890" s="3139" t="s">
        <v>1230</v>
      </c>
      <c r="K890" s="3138"/>
      <c r="L890" s="3140" t="s">
        <v>116</v>
      </c>
      <c r="M890" s="3139" t="s">
        <v>1233</v>
      </c>
      <c r="N890" s="3153"/>
      <c r="O890" s="3150"/>
      <c r="P890" s="3171"/>
      <c r="Q890" s="3171"/>
      <c r="R890" s="3171"/>
      <c r="S890" s="3171"/>
      <c r="T890" s="3171"/>
      <c r="U890" s="3171"/>
      <c r="V890" s="3171"/>
      <c r="W890" s="3171"/>
      <c r="X890" s="3297"/>
      <c r="Y890" s="3293"/>
      <c r="Z890" s="1201"/>
      <c r="AA890" s="1201"/>
      <c r="AB890" s="1202"/>
      <c r="AC890" s="3292"/>
      <c r="AD890" s="3291"/>
      <c r="AE890" s="3291"/>
      <c r="AF890" s="3290"/>
      <c r="AI890" s="3120" t="str">
        <f>"55:field212:" &amp; IF(I890="■",1,IF(L890="■",2,0))</f>
        <v>55:field212:0</v>
      </c>
    </row>
    <row r="891" spans="1:35" s="3120" customFormat="1" ht="18.75" customHeight="1" x14ac:dyDescent="0.2">
      <c r="A891" s="834"/>
      <c r="B891" s="3148"/>
      <c r="C891" s="3295"/>
      <c r="D891" s="3294"/>
      <c r="E891" s="3145"/>
      <c r="F891" s="3144"/>
      <c r="G891" s="3145"/>
      <c r="H891" s="3151" t="s">
        <v>798</v>
      </c>
      <c r="I891" s="3141" t="s">
        <v>116</v>
      </c>
      <c r="J891" s="3139" t="s">
        <v>1230</v>
      </c>
      <c r="K891" s="3138"/>
      <c r="L891" s="3140" t="s">
        <v>116</v>
      </c>
      <c r="M891" s="3139" t="s">
        <v>1233</v>
      </c>
      <c r="N891" s="3153"/>
      <c r="O891" s="3150"/>
      <c r="P891" s="3171"/>
      <c r="Q891" s="3171"/>
      <c r="R891" s="3171"/>
      <c r="S891" s="3171"/>
      <c r="T891" s="3171"/>
      <c r="U891" s="3171"/>
      <c r="V891" s="3171"/>
      <c r="W891" s="3171"/>
      <c r="X891" s="3297"/>
      <c r="Y891" s="3293"/>
      <c r="Z891" s="1201"/>
      <c r="AA891" s="1201"/>
      <c r="AB891" s="1202"/>
      <c r="AC891" s="3292"/>
      <c r="AD891" s="3291"/>
      <c r="AE891" s="3291"/>
      <c r="AF891" s="3290"/>
      <c r="AI891" s="3120" t="str">
        <f>"55:field209:" &amp; IF(I891="■",1,IF(L891="■",2,0))</f>
        <v>55:field209:0</v>
      </c>
    </row>
    <row r="892" spans="1:35" s="3120" customFormat="1" ht="18.75" customHeight="1" x14ac:dyDescent="0.2">
      <c r="A892" s="834"/>
      <c r="B892" s="3148"/>
      <c r="C892" s="3295"/>
      <c r="D892" s="3294"/>
      <c r="E892" s="3145"/>
      <c r="F892" s="3144"/>
      <c r="G892" s="3145"/>
      <c r="H892" s="3151" t="s">
        <v>1323</v>
      </c>
      <c r="I892" s="3155" t="s">
        <v>116</v>
      </c>
      <c r="J892" s="3137" t="s">
        <v>1230</v>
      </c>
      <c r="K892" s="3137"/>
      <c r="L892" s="3154" t="s">
        <v>116</v>
      </c>
      <c r="M892" s="3139" t="s">
        <v>1233</v>
      </c>
      <c r="N892" s="3137"/>
      <c r="O892" s="3137"/>
      <c r="P892" s="3137"/>
      <c r="Q892" s="3171"/>
      <c r="R892" s="3171"/>
      <c r="S892" s="3171"/>
      <c r="T892" s="3171"/>
      <c r="U892" s="3171"/>
      <c r="V892" s="3171"/>
      <c r="W892" s="3171"/>
      <c r="X892" s="3297"/>
      <c r="Y892" s="3293"/>
      <c r="Z892" s="1201"/>
      <c r="AA892" s="1201"/>
      <c r="AB892" s="1202"/>
      <c r="AC892" s="3292"/>
      <c r="AD892" s="3291"/>
      <c r="AE892" s="3291"/>
      <c r="AF892" s="3290"/>
      <c r="AI892" s="3120" t="str">
        <f>"55:field226:" &amp; IF(I892="■",1,IF(L892="■",2,0))</f>
        <v>55:field226:0</v>
      </c>
    </row>
    <row r="893" spans="1:35" s="3120" customFormat="1" ht="18.75" customHeight="1" x14ac:dyDescent="0.2">
      <c r="A893" s="834"/>
      <c r="B893" s="3148"/>
      <c r="C893" s="3295"/>
      <c r="D893" s="3294"/>
      <c r="E893" s="3145"/>
      <c r="F893" s="3144"/>
      <c r="G893" s="3145"/>
      <c r="H893" s="3151" t="s">
        <v>1324</v>
      </c>
      <c r="I893" s="3155" t="s">
        <v>116</v>
      </c>
      <c r="J893" s="3137" t="s">
        <v>1230</v>
      </c>
      <c r="K893" s="3137"/>
      <c r="L893" s="3154" t="s">
        <v>116</v>
      </c>
      <c r="M893" s="3139" t="s">
        <v>1233</v>
      </c>
      <c r="N893" s="3137"/>
      <c r="O893" s="3137"/>
      <c r="P893" s="3137"/>
      <c r="Q893" s="3171"/>
      <c r="R893" s="3171"/>
      <c r="S893" s="3171"/>
      <c r="T893" s="3171"/>
      <c r="U893" s="3171"/>
      <c r="V893" s="3171"/>
      <c r="W893" s="3171"/>
      <c r="X893" s="3297"/>
      <c r="Y893" s="3293"/>
      <c r="Z893" s="1201"/>
      <c r="AA893" s="1201"/>
      <c r="AB893" s="1202"/>
      <c r="AC893" s="3292"/>
      <c r="AD893" s="3291"/>
      <c r="AE893" s="3291"/>
      <c r="AF893" s="3290"/>
      <c r="AI893" s="3120" t="str">
        <f>"55:field227:" &amp; IF(I893="■",1,IF(L893="■",2,0))</f>
        <v>55:field227:0</v>
      </c>
    </row>
    <row r="894" spans="1:35" s="3120" customFormat="1" ht="18.75" customHeight="1" x14ac:dyDescent="0.2">
      <c r="A894" s="834"/>
      <c r="B894" s="3148"/>
      <c r="C894" s="3295"/>
      <c r="D894" s="3294"/>
      <c r="E894" s="3145"/>
      <c r="F894" s="3144"/>
      <c r="G894" s="3145"/>
      <c r="H894" s="3296" t="s">
        <v>1285</v>
      </c>
      <c r="I894" s="3155" t="s">
        <v>116</v>
      </c>
      <c r="J894" s="3137" t="s">
        <v>1230</v>
      </c>
      <c r="K894" s="3137"/>
      <c r="L894" s="3154" t="s">
        <v>116</v>
      </c>
      <c r="M894" s="3137" t="s">
        <v>1231</v>
      </c>
      <c r="N894" s="3137"/>
      <c r="O894" s="3154" t="s">
        <v>116</v>
      </c>
      <c r="P894" s="3137" t="s">
        <v>1232</v>
      </c>
      <c r="Q894" s="3150"/>
      <c r="R894" s="3150"/>
      <c r="S894" s="3150"/>
      <c r="T894" s="3150"/>
      <c r="U894" s="3209"/>
      <c r="V894" s="3209"/>
      <c r="W894" s="3209"/>
      <c r="X894" s="3208"/>
      <c r="Y894" s="3293"/>
      <c r="Z894" s="1201"/>
      <c r="AA894" s="1201"/>
      <c r="AB894" s="1202"/>
      <c r="AC894" s="3292"/>
      <c r="AD894" s="3291"/>
      <c r="AE894" s="3291"/>
      <c r="AF894" s="3290"/>
      <c r="AI894" s="3120" t="str">
        <f>"55:field225:" &amp; IF(I894="■",1,IF(L894="■",2,IF(O894="■",3,0)))</f>
        <v>55:field225:0</v>
      </c>
    </row>
    <row r="895" spans="1:35" s="3120" customFormat="1" ht="18.75" customHeight="1" x14ac:dyDescent="0.2">
      <c r="A895" s="834"/>
      <c r="B895" s="3148"/>
      <c r="C895" s="3295"/>
      <c r="D895" s="3294"/>
      <c r="E895" s="3145"/>
      <c r="F895" s="3144"/>
      <c r="G895" s="3145"/>
      <c r="H895" s="3151" t="s">
        <v>238</v>
      </c>
      <c r="I895" s="3155" t="s">
        <v>116</v>
      </c>
      <c r="J895" s="3137" t="s">
        <v>1230</v>
      </c>
      <c r="K895" s="3137"/>
      <c r="L895" s="3154" t="s">
        <v>116</v>
      </c>
      <c r="M895" s="3137" t="s">
        <v>1259</v>
      </c>
      <c r="N895" s="3137"/>
      <c r="O895" s="3154" t="s">
        <v>116</v>
      </c>
      <c r="P895" s="3137" t="s">
        <v>1260</v>
      </c>
      <c r="Q895" s="3153"/>
      <c r="R895" s="3154" t="s">
        <v>116</v>
      </c>
      <c r="S895" s="3137" t="s">
        <v>1261</v>
      </c>
      <c r="T895" s="3137"/>
      <c r="U895" s="3137"/>
      <c r="V895" s="3137"/>
      <c r="W895" s="3137"/>
      <c r="X895" s="3136"/>
      <c r="Y895" s="3293"/>
      <c r="Z895" s="1201"/>
      <c r="AA895" s="1201"/>
      <c r="AB895" s="1202"/>
      <c r="AC895" s="3292"/>
      <c r="AD895" s="3291"/>
      <c r="AE895" s="3291"/>
      <c r="AF895" s="3290"/>
      <c r="AI895" s="3120" t="str">
        <f>"55:serteikyo_kyoka_code:" &amp; IF(I895="■",1,IF(L895="■",6,IF(O895="■",5,IF(R895="■",7,0))))</f>
        <v>55:serteikyo_kyoka_code:0</v>
      </c>
    </row>
    <row r="896" spans="1:35" s="3120" customFormat="1" ht="18.75" customHeight="1" x14ac:dyDescent="0.2">
      <c r="A896" s="835"/>
      <c r="B896" s="3135"/>
      <c r="C896" s="3134"/>
      <c r="D896" s="3133"/>
      <c r="E896" s="3132"/>
      <c r="F896" s="3131"/>
      <c r="G896" s="3189"/>
      <c r="H896" s="3289" t="s">
        <v>2129</v>
      </c>
      <c r="I896" s="3128" t="s">
        <v>116</v>
      </c>
      <c r="J896" s="3285" t="s">
        <v>1230</v>
      </c>
      <c r="K896" s="3285"/>
      <c r="L896" s="3127" t="s">
        <v>116</v>
      </c>
      <c r="M896" s="3285" t="s">
        <v>2128</v>
      </c>
      <c r="N896" s="3288"/>
      <c r="O896" s="3127" t="s">
        <v>116</v>
      </c>
      <c r="P896" s="3287" t="s">
        <v>2127</v>
      </c>
      <c r="Q896" s="3286"/>
      <c r="R896" s="3127" t="s">
        <v>116</v>
      </c>
      <c r="S896" s="3285" t="s">
        <v>2126</v>
      </c>
      <c r="T896" s="3286"/>
      <c r="U896" s="3127" t="s">
        <v>116</v>
      </c>
      <c r="V896" s="3285" t="s">
        <v>2125</v>
      </c>
      <c r="W896" s="3284"/>
      <c r="X896" s="3283"/>
      <c r="Y896" s="3282"/>
      <c r="Z896" s="3282"/>
      <c r="AA896" s="3282"/>
      <c r="AB896" s="3281"/>
      <c r="AC896" s="3280"/>
      <c r="AD896" s="3279"/>
      <c r="AE896" s="3279"/>
      <c r="AF896" s="3278"/>
      <c r="AI896" s="3120" t="str">
        <f>"55:shoguukaizen_code:"&amp;IF(I896="■",1,IF(L896="■",7,IF(O896="■",8,IF(R896="■",9,IF(U896="■","A",0)))))</f>
        <v>55:shoguukaizen_code:0</v>
      </c>
    </row>
    <row r="897" spans="1:36" s="3120" customFormat="1" ht="18.75" customHeight="1" x14ac:dyDescent="0.2">
      <c r="A897" s="3188"/>
      <c r="B897" s="3187"/>
      <c r="C897" s="3313"/>
      <c r="D897" s="3312"/>
      <c r="E897" s="3185"/>
      <c r="F897" s="3184"/>
      <c r="G897" s="3185"/>
      <c r="H897" s="3265" t="s">
        <v>1286</v>
      </c>
      <c r="I897" s="3253" t="s">
        <v>116</v>
      </c>
      <c r="J897" s="3252" t="s">
        <v>1282</v>
      </c>
      <c r="K897" s="3311"/>
      <c r="L897" s="3309"/>
      <c r="M897" s="3310" t="s">
        <v>116</v>
      </c>
      <c r="N897" s="3252" t="s">
        <v>1289</v>
      </c>
      <c r="O897" s="3309"/>
      <c r="P897" s="3309"/>
      <c r="Q897" s="3310" t="s">
        <v>116</v>
      </c>
      <c r="R897" s="3252" t="s">
        <v>1290</v>
      </c>
      <c r="S897" s="3309"/>
      <c r="T897" s="3309"/>
      <c r="U897" s="3310" t="s">
        <v>116</v>
      </c>
      <c r="V897" s="3252" t="s">
        <v>1291</v>
      </c>
      <c r="W897" s="3309"/>
      <c r="X897" s="3266"/>
      <c r="Y897" s="3253" t="s">
        <v>116</v>
      </c>
      <c r="Z897" s="3252" t="s">
        <v>1225</v>
      </c>
      <c r="AA897" s="3252"/>
      <c r="AB897" s="3308"/>
      <c r="AC897" s="3307"/>
      <c r="AD897" s="3306"/>
      <c r="AE897" s="3306"/>
      <c r="AF897" s="3305"/>
      <c r="AG897" s="3120" t="str">
        <f>"ser_code = '" &amp; IF(A907="■",55,"") &amp; "'"</f>
        <v>ser_code = ''</v>
      </c>
      <c r="AH897" s="3120" t="str">
        <f>"55:jininkbn_code:" &amp; IF(F907="■",1,IF(F908="■",2,0))</f>
        <v>55:jininkbn_code:0</v>
      </c>
      <c r="AI897" s="3120" t="str">
        <f>"55:yakan_kinmu_code:" &amp; IF(I897="■",1,IF(M897="■",2,IF(Q897="■",3,IF(U897="■",AJ7566,IF(I898="■",5,IF(M898="■",6,0))))))</f>
        <v>55:yakan_kinmu_code:0</v>
      </c>
      <c r="AJ897" s="3120" t="str">
        <f>"55:field203:" &amp; IF(Y897="■",1,IF(Y898="■",2,0))</f>
        <v>55:field203:0</v>
      </c>
    </row>
    <row r="898" spans="1:36" s="3120" customFormat="1" ht="18.75" customHeight="1" x14ac:dyDescent="0.2">
      <c r="A898" s="834"/>
      <c r="B898" s="3148"/>
      <c r="C898" s="3295"/>
      <c r="D898" s="3294"/>
      <c r="E898" s="3145"/>
      <c r="F898" s="3144"/>
      <c r="G898" s="3145"/>
      <c r="H898" s="3300"/>
      <c r="I898" s="3141" t="s">
        <v>116</v>
      </c>
      <c r="J898" s="3139" t="s">
        <v>1292</v>
      </c>
      <c r="K898" s="3138"/>
      <c r="L898" s="3162"/>
      <c r="M898" s="3140" t="s">
        <v>116</v>
      </c>
      <c r="N898" s="3139" t="s">
        <v>1283</v>
      </c>
      <c r="O898" s="3162"/>
      <c r="P898" s="3162"/>
      <c r="Q898" s="3162"/>
      <c r="R898" s="3162"/>
      <c r="S898" s="3162"/>
      <c r="T898" s="3162"/>
      <c r="U898" s="3162"/>
      <c r="V898" s="3162"/>
      <c r="W898" s="3162"/>
      <c r="X898" s="3161"/>
      <c r="Y898" s="3158" t="s">
        <v>116</v>
      </c>
      <c r="Z898" s="1200" t="s">
        <v>1226</v>
      </c>
      <c r="AA898" s="1201"/>
      <c r="AB898" s="1202"/>
      <c r="AC898" s="3292"/>
      <c r="AD898" s="3291"/>
      <c r="AE898" s="3291"/>
      <c r="AF898" s="3290"/>
      <c r="AG898" s="3120" t="str">
        <f>"55:sisetukbn_code:" &amp; IF(D907="■",3,0)</f>
        <v>55:sisetukbn_code:0</v>
      </c>
    </row>
    <row r="899" spans="1:36" s="3120" customFormat="1" ht="18.75" customHeight="1" x14ac:dyDescent="0.2">
      <c r="A899" s="834"/>
      <c r="B899" s="3148"/>
      <c r="C899" s="3295"/>
      <c r="D899" s="3294"/>
      <c r="E899" s="3145"/>
      <c r="F899" s="3144"/>
      <c r="G899" s="3145"/>
      <c r="H899" s="3304" t="s">
        <v>90</v>
      </c>
      <c r="I899" s="3303" t="s">
        <v>116</v>
      </c>
      <c r="J899" s="3302" t="s">
        <v>1230</v>
      </c>
      <c r="K899" s="3302"/>
      <c r="L899" s="3167"/>
      <c r="M899" s="3301" t="s">
        <v>116</v>
      </c>
      <c r="N899" s="3302" t="s">
        <v>1262</v>
      </c>
      <c r="O899" s="3302"/>
      <c r="P899" s="3167"/>
      <c r="Q899" s="3301" t="s">
        <v>116</v>
      </c>
      <c r="R899" s="3167" t="s">
        <v>1302</v>
      </c>
      <c r="S899" s="3167"/>
      <c r="T899" s="3167"/>
      <c r="U899" s="3301" t="s">
        <v>116</v>
      </c>
      <c r="V899" s="3167" t="s">
        <v>1303</v>
      </c>
      <c r="W899" s="3209"/>
      <c r="X899" s="3208"/>
      <c r="Y899" s="3293"/>
      <c r="Z899" s="1201"/>
      <c r="AA899" s="1201"/>
      <c r="AB899" s="1202"/>
      <c r="AC899" s="3292"/>
      <c r="AD899" s="3291"/>
      <c r="AE899" s="3291"/>
      <c r="AF899" s="3290"/>
      <c r="AI899" s="3120" t="str">
        <f>"55:"&amp;IF(AND(I899="□",M899="□",Q899="□",U899="□",I900="□",M900="□"),"ketu_doctor_code:0",IF(I899="■","ketu_doctor_code:1:field197:1:ketu_kangos_code:1:ketu_kshoku_code:1:ketu_ksiensou_code:1",IF(M899="■","ketu_doctor_code:2","ketu_doctor_code:1")
&amp;IF(Q899="■",":field197:2",":field197:1")
&amp;IF(U899="■",":ketu_kangos_code:2",":ketu_kangos_code:1")
&amp;IF(I900="■",":ketu_kshoku_code:2",":ketu_kshoku_code:1")
&amp;IF(M900="■",":ketu_ksiensou_code:2",":ketu_ksiensou_code:1")))</f>
        <v>55:ketu_doctor_code:0</v>
      </c>
    </row>
    <row r="900" spans="1:36" s="3120" customFormat="1" ht="18.75" customHeight="1" x14ac:dyDescent="0.2">
      <c r="A900" s="834"/>
      <c r="B900" s="3148"/>
      <c r="C900" s="3295"/>
      <c r="D900" s="3294"/>
      <c r="E900" s="3145"/>
      <c r="F900" s="3144"/>
      <c r="G900" s="3145"/>
      <c r="H900" s="3300"/>
      <c r="I900" s="3141" t="s">
        <v>116</v>
      </c>
      <c r="J900" s="3162" t="s">
        <v>1304</v>
      </c>
      <c r="K900" s="3139"/>
      <c r="L900" s="3162"/>
      <c r="M900" s="3140" t="s">
        <v>116</v>
      </c>
      <c r="N900" s="3139" t="s">
        <v>1328</v>
      </c>
      <c r="O900" s="3139"/>
      <c r="P900" s="3162"/>
      <c r="Q900" s="3162"/>
      <c r="R900" s="3162"/>
      <c r="S900" s="3162"/>
      <c r="T900" s="3162"/>
      <c r="U900" s="3162"/>
      <c r="V900" s="3162"/>
      <c r="W900" s="3207"/>
      <c r="X900" s="3206"/>
      <c r="Y900" s="3293"/>
      <c r="Z900" s="1201"/>
      <c r="AA900" s="1201"/>
      <c r="AB900" s="1202"/>
      <c r="AC900" s="3292"/>
      <c r="AD900" s="3291"/>
      <c r="AE900" s="3291"/>
      <c r="AF900" s="3290"/>
    </row>
    <row r="901" spans="1:36" s="3120" customFormat="1" ht="18.75" customHeight="1" x14ac:dyDescent="0.2">
      <c r="A901" s="834"/>
      <c r="B901" s="3148"/>
      <c r="C901" s="3295"/>
      <c r="D901" s="3294"/>
      <c r="E901" s="3145"/>
      <c r="F901" s="3144"/>
      <c r="G901" s="3145"/>
      <c r="H901" s="3151" t="s">
        <v>1325</v>
      </c>
      <c r="I901" s="3155" t="s">
        <v>116</v>
      </c>
      <c r="J901" s="3137" t="s">
        <v>1228</v>
      </c>
      <c r="K901" s="3171"/>
      <c r="L901" s="3173"/>
      <c r="M901" s="3154" t="s">
        <v>116</v>
      </c>
      <c r="N901" s="3137" t="s">
        <v>1322</v>
      </c>
      <c r="O901" s="3150"/>
      <c r="P901" s="3171"/>
      <c r="Q901" s="3171"/>
      <c r="R901" s="3171"/>
      <c r="S901" s="3171"/>
      <c r="T901" s="3171"/>
      <c r="U901" s="3171"/>
      <c r="V901" s="3171"/>
      <c r="W901" s="3171"/>
      <c r="X901" s="3297"/>
      <c r="Y901" s="3293"/>
      <c r="Z901" s="1201"/>
      <c r="AA901" s="1201"/>
      <c r="AB901" s="1202"/>
      <c r="AC901" s="3292"/>
      <c r="AD901" s="3291"/>
      <c r="AE901" s="3291"/>
      <c r="AF901" s="3290"/>
      <c r="AI901" s="3120" t="str">
        <f>"55:sintaikousoku_code:" &amp; IF(I901="■",1,IF(M901="■",2,0))</f>
        <v>55:sintaikousoku_code:0</v>
      </c>
    </row>
    <row r="902" spans="1:36" s="3120" customFormat="1" ht="18.75" customHeight="1" x14ac:dyDescent="0.2">
      <c r="A902" s="834"/>
      <c r="B902" s="3148"/>
      <c r="C902" s="3295"/>
      <c r="D902" s="3294"/>
      <c r="E902" s="3145"/>
      <c r="F902" s="3144"/>
      <c r="G902" s="3145"/>
      <c r="H902" s="3151" t="s">
        <v>792</v>
      </c>
      <c r="I902" s="3155" t="s">
        <v>116</v>
      </c>
      <c r="J902" s="3137" t="s">
        <v>1228</v>
      </c>
      <c r="K902" s="3171"/>
      <c r="L902" s="3173"/>
      <c r="M902" s="3154" t="s">
        <v>116</v>
      </c>
      <c r="N902" s="3137" t="s">
        <v>1322</v>
      </c>
      <c r="O902" s="3150"/>
      <c r="P902" s="3171"/>
      <c r="Q902" s="3171"/>
      <c r="R902" s="3171"/>
      <c r="S902" s="3171"/>
      <c r="T902" s="3171"/>
      <c r="U902" s="3171"/>
      <c r="V902" s="3171"/>
      <c r="W902" s="3171"/>
      <c r="X902" s="3297"/>
      <c r="Y902" s="3293"/>
      <c r="Z902" s="1201"/>
      <c r="AA902" s="1201"/>
      <c r="AB902" s="1202"/>
      <c r="AC902" s="3292"/>
      <c r="AD902" s="3291"/>
      <c r="AE902" s="3291"/>
      <c r="AF902" s="3290"/>
      <c r="AI902" s="3120" t="str">
        <f>"55:field208:" &amp; IF(I902="■",1,IF(M902="■",2,0))</f>
        <v>55:field208:0</v>
      </c>
    </row>
    <row r="903" spans="1:36" s="3120" customFormat="1" ht="19.5" customHeight="1" x14ac:dyDescent="0.2">
      <c r="A903" s="834"/>
      <c r="B903" s="3148"/>
      <c r="C903" s="3147"/>
      <c r="D903" s="3146"/>
      <c r="E903" s="3145"/>
      <c r="F903" s="3144"/>
      <c r="G903" s="3175"/>
      <c r="H903" s="3174" t="s">
        <v>1227</v>
      </c>
      <c r="I903" s="3155" t="s">
        <v>116</v>
      </c>
      <c r="J903" s="3137" t="s">
        <v>1228</v>
      </c>
      <c r="K903" s="3171"/>
      <c r="L903" s="3173"/>
      <c r="M903" s="3154" t="s">
        <v>116</v>
      </c>
      <c r="N903" s="3137" t="s">
        <v>1229</v>
      </c>
      <c r="O903" s="3299"/>
      <c r="P903" s="3137"/>
      <c r="Q903" s="3150"/>
      <c r="R903" s="3150"/>
      <c r="S903" s="3150"/>
      <c r="T903" s="3150"/>
      <c r="U903" s="3150"/>
      <c r="V903" s="3150"/>
      <c r="W903" s="3150"/>
      <c r="X903" s="3149"/>
      <c r="Y903" s="1201"/>
      <c r="Z903" s="1201"/>
      <c r="AA903" s="1201"/>
      <c r="AB903" s="1202"/>
      <c r="AC903" s="3292"/>
      <c r="AD903" s="3291"/>
      <c r="AE903" s="3291"/>
      <c r="AF903" s="3290"/>
      <c r="AI903" s="3120" t="str">
        <f>"55:field223:" &amp; IF(I903="■",1,IF(M903="■",2,0))</f>
        <v>55:field223:0</v>
      </c>
    </row>
    <row r="904" spans="1:36" s="3120" customFormat="1" ht="19.5" customHeight="1" x14ac:dyDescent="0.2">
      <c r="A904" s="834"/>
      <c r="B904" s="3148"/>
      <c r="C904" s="3147"/>
      <c r="D904" s="3146"/>
      <c r="E904" s="3145"/>
      <c r="F904" s="3144"/>
      <c r="G904" s="3175"/>
      <c r="H904" s="3174" t="s">
        <v>1253</v>
      </c>
      <c r="I904" s="3155" t="s">
        <v>116</v>
      </c>
      <c r="J904" s="3137" t="s">
        <v>1228</v>
      </c>
      <c r="K904" s="3171"/>
      <c r="L904" s="3173"/>
      <c r="M904" s="3154" t="s">
        <v>116</v>
      </c>
      <c r="N904" s="3137" t="s">
        <v>1229</v>
      </c>
      <c r="O904" s="3299"/>
      <c r="P904" s="3137"/>
      <c r="Q904" s="3150"/>
      <c r="R904" s="3150"/>
      <c r="S904" s="3150"/>
      <c r="T904" s="3150"/>
      <c r="U904" s="3150"/>
      <c r="V904" s="3150"/>
      <c r="W904" s="3150"/>
      <c r="X904" s="3149"/>
      <c r="Y904" s="1201"/>
      <c r="Z904" s="1201"/>
      <c r="AA904" s="1201"/>
      <c r="AB904" s="1202"/>
      <c r="AC904" s="3292"/>
      <c r="AD904" s="3291"/>
      <c r="AE904" s="3291"/>
      <c r="AF904" s="3290"/>
      <c r="AI904" s="3120" t="str">
        <f>"55:field232:" &amp; IF(I904="■",1,IF(M904="■",2,0))</f>
        <v>55:field232:0</v>
      </c>
    </row>
    <row r="905" spans="1:36" s="3120" customFormat="1" ht="18.75" customHeight="1" x14ac:dyDescent="0.2">
      <c r="A905" s="834"/>
      <c r="B905" s="3148"/>
      <c r="C905" s="3295"/>
      <c r="D905" s="3294"/>
      <c r="E905" s="3145"/>
      <c r="F905" s="3144"/>
      <c r="G905" s="3145"/>
      <c r="H905" s="3170" t="s">
        <v>1326</v>
      </c>
      <c r="I905" s="3248" t="s">
        <v>116</v>
      </c>
      <c r="J905" s="3210" t="s">
        <v>1230</v>
      </c>
      <c r="K905" s="3210"/>
      <c r="L905" s="3298" t="s">
        <v>116</v>
      </c>
      <c r="M905" s="3210" t="s">
        <v>1233</v>
      </c>
      <c r="N905" s="3210"/>
      <c r="O905" s="3167"/>
      <c r="P905" s="3167"/>
      <c r="Q905" s="3167"/>
      <c r="R905" s="3167"/>
      <c r="S905" s="3167"/>
      <c r="T905" s="3167"/>
      <c r="U905" s="3167"/>
      <c r="V905" s="3167"/>
      <c r="W905" s="3167"/>
      <c r="X905" s="3166"/>
      <c r="Y905" s="3293"/>
      <c r="Z905" s="1201"/>
      <c r="AA905" s="1201"/>
      <c r="AB905" s="1202"/>
      <c r="AC905" s="3292"/>
      <c r="AD905" s="3291"/>
      <c r="AE905" s="3291"/>
      <c r="AF905" s="3290"/>
      <c r="AI905" s="3120" t="str">
        <f>"55:field206:" &amp; IF(I905="■",1,IF(L905="■",2,0))</f>
        <v>55:field206:0</v>
      </c>
    </row>
    <row r="906" spans="1:36" s="3120" customFormat="1" ht="18.75" customHeight="1" x14ac:dyDescent="0.2">
      <c r="A906" s="834"/>
      <c r="B906" s="3148"/>
      <c r="C906" s="3295"/>
      <c r="D906" s="3294"/>
      <c r="E906" s="3145"/>
      <c r="F906" s="3144"/>
      <c r="G906" s="3145"/>
      <c r="H906" s="3165"/>
      <c r="I906" s="3200"/>
      <c r="J906" s="3163"/>
      <c r="K906" s="3163"/>
      <c r="L906" s="3199"/>
      <c r="M906" s="3163"/>
      <c r="N906" s="3163"/>
      <c r="O906" s="3162"/>
      <c r="P906" s="3162"/>
      <c r="Q906" s="3162"/>
      <c r="R906" s="3162"/>
      <c r="S906" s="3162"/>
      <c r="T906" s="3162"/>
      <c r="U906" s="3162"/>
      <c r="V906" s="3162"/>
      <c r="W906" s="3162"/>
      <c r="X906" s="3161"/>
      <c r="Y906" s="3293"/>
      <c r="Z906" s="1201"/>
      <c r="AA906" s="1201"/>
      <c r="AB906" s="1202"/>
      <c r="AC906" s="3292"/>
      <c r="AD906" s="3291"/>
      <c r="AE906" s="3291"/>
      <c r="AF906" s="3290"/>
    </row>
    <row r="907" spans="1:36" s="3120" customFormat="1" ht="18.75" customHeight="1" x14ac:dyDescent="0.2">
      <c r="A907" s="3158" t="s">
        <v>116</v>
      </c>
      <c r="B907" s="3148">
        <v>55</v>
      </c>
      <c r="C907" s="3295" t="s">
        <v>923</v>
      </c>
      <c r="D907" s="3158" t="s">
        <v>116</v>
      </c>
      <c r="E907" s="3145" t="s">
        <v>1317</v>
      </c>
      <c r="F907" s="3158" t="s">
        <v>116</v>
      </c>
      <c r="G907" s="3145" t="s">
        <v>1318</v>
      </c>
      <c r="H907" s="3151" t="s">
        <v>236</v>
      </c>
      <c r="I907" s="3155" t="s">
        <v>116</v>
      </c>
      <c r="J907" s="3137" t="s">
        <v>1329</v>
      </c>
      <c r="K907" s="3171"/>
      <c r="L907" s="3173"/>
      <c r="M907" s="3154" t="s">
        <v>116</v>
      </c>
      <c r="N907" s="3137" t="s">
        <v>1293</v>
      </c>
      <c r="O907" s="3150"/>
      <c r="P907" s="3171"/>
      <c r="Q907" s="3171"/>
      <c r="R907" s="3171"/>
      <c r="S907" s="3171"/>
      <c r="T907" s="3171"/>
      <c r="U907" s="3171"/>
      <c r="V907" s="3171"/>
      <c r="W907" s="3171"/>
      <c r="X907" s="3297"/>
      <c r="Y907" s="3293"/>
      <c r="Z907" s="1201"/>
      <c r="AA907" s="1201"/>
      <c r="AB907" s="1202"/>
      <c r="AC907" s="3292"/>
      <c r="AD907" s="3291"/>
      <c r="AE907" s="3291"/>
      <c r="AF907" s="3290"/>
      <c r="AI907" s="3120" t="str">
        <f>"55:field190:" &amp; IF(I907="■",1,IF(M907="■",2,0))</f>
        <v>55:field190:0</v>
      </c>
    </row>
    <row r="908" spans="1:36" s="3120" customFormat="1" ht="18.75" customHeight="1" x14ac:dyDescent="0.2">
      <c r="A908" s="834"/>
      <c r="B908" s="3148"/>
      <c r="C908" s="3295"/>
      <c r="D908" s="3294"/>
      <c r="E908" s="3145"/>
      <c r="F908" s="3294"/>
      <c r="G908" s="3145"/>
      <c r="H908" s="3151" t="s">
        <v>1305</v>
      </c>
      <c r="I908" s="3155" t="s">
        <v>116</v>
      </c>
      <c r="J908" s="3137" t="s">
        <v>1329</v>
      </c>
      <c r="K908" s="3171"/>
      <c r="L908" s="3173"/>
      <c r="M908" s="3154" t="s">
        <v>116</v>
      </c>
      <c r="N908" s="3137" t="s">
        <v>1293</v>
      </c>
      <c r="O908" s="3150"/>
      <c r="P908" s="3171"/>
      <c r="Q908" s="3171"/>
      <c r="R908" s="3171"/>
      <c r="S908" s="3171"/>
      <c r="T908" s="3171"/>
      <c r="U908" s="3171"/>
      <c r="V908" s="3171"/>
      <c r="W908" s="3171"/>
      <c r="X908" s="3297"/>
      <c r="Y908" s="3293"/>
      <c r="Z908" s="1201"/>
      <c r="AA908" s="1201"/>
      <c r="AB908" s="1202"/>
      <c r="AC908" s="3292"/>
      <c r="AD908" s="3291"/>
      <c r="AE908" s="3291"/>
      <c r="AF908" s="3290"/>
      <c r="AI908" s="3120" t="str">
        <f>"55:field191:" &amp; IF(I908="■",1,IF(M908="■",2,0))</f>
        <v>55:field191:0</v>
      </c>
    </row>
    <row r="909" spans="1:36" s="3120" customFormat="1" ht="18.75" customHeight="1" x14ac:dyDescent="0.2">
      <c r="A909" s="834"/>
      <c r="B909" s="3148"/>
      <c r="C909" s="3295"/>
      <c r="D909" s="3294"/>
      <c r="E909" s="3145"/>
      <c r="F909" s="3294"/>
      <c r="G909" s="3145"/>
      <c r="H909" s="3151" t="s">
        <v>1330</v>
      </c>
      <c r="I909" s="3141" t="s">
        <v>116</v>
      </c>
      <c r="J909" s="3139" t="s">
        <v>1230</v>
      </c>
      <c r="K909" s="3138"/>
      <c r="L909" s="3140" t="s">
        <v>116</v>
      </c>
      <c r="M909" s="3139" t="s">
        <v>1233</v>
      </c>
      <c r="N909" s="3153"/>
      <c r="O909" s="3171"/>
      <c r="P909" s="3171"/>
      <c r="Q909" s="3171"/>
      <c r="R909" s="3171"/>
      <c r="S909" s="3171"/>
      <c r="T909" s="3171"/>
      <c r="U909" s="3171"/>
      <c r="V909" s="3171"/>
      <c r="W909" s="3171"/>
      <c r="X909" s="3297"/>
      <c r="Y909" s="3293"/>
      <c r="Z909" s="1201"/>
      <c r="AA909" s="1201"/>
      <c r="AB909" s="1202"/>
      <c r="AC909" s="3292"/>
      <c r="AD909" s="3291"/>
      <c r="AE909" s="3291"/>
      <c r="AF909" s="3290"/>
      <c r="AI909" s="3120" t="str">
        <f>"55:jyakuninti_uke_code:" &amp; IF(I909="■",1,IF(L909="■",2,0))</f>
        <v>55:jyakuninti_uke_code:0</v>
      </c>
    </row>
    <row r="910" spans="1:36" s="3120" customFormat="1" ht="18.75" customHeight="1" x14ac:dyDescent="0.2">
      <c r="A910" s="834"/>
      <c r="B910" s="3148"/>
      <c r="C910" s="3295"/>
      <c r="D910" s="3294"/>
      <c r="E910" s="3145"/>
      <c r="F910" s="3294"/>
      <c r="G910" s="3145"/>
      <c r="H910" s="3151" t="s">
        <v>794</v>
      </c>
      <c r="I910" s="3141" t="s">
        <v>116</v>
      </c>
      <c r="J910" s="3139" t="s">
        <v>1230</v>
      </c>
      <c r="K910" s="3138"/>
      <c r="L910" s="3140" t="s">
        <v>116</v>
      </c>
      <c r="M910" s="3139" t="s">
        <v>1233</v>
      </c>
      <c r="N910" s="3153"/>
      <c r="O910" s="3171"/>
      <c r="P910" s="3171"/>
      <c r="Q910" s="3171"/>
      <c r="R910" s="3171"/>
      <c r="S910" s="3171"/>
      <c r="T910" s="3171"/>
      <c r="U910" s="3171"/>
      <c r="V910" s="3171"/>
      <c r="W910" s="3171"/>
      <c r="X910" s="3297"/>
      <c r="Y910" s="3293"/>
      <c r="Z910" s="1201"/>
      <c r="AA910" s="1201"/>
      <c r="AB910" s="1202"/>
      <c r="AC910" s="3292"/>
      <c r="AD910" s="3291"/>
      <c r="AE910" s="3291"/>
      <c r="AF910" s="3290"/>
      <c r="AI910" s="3120" t="str">
        <f>"55:field207:" &amp; IF(I910="■",1,IF(L910="■",2,0))</f>
        <v>55:field207:0</v>
      </c>
    </row>
    <row r="911" spans="1:36" s="3120" customFormat="1" ht="18.75" customHeight="1" x14ac:dyDescent="0.2">
      <c r="A911" s="834"/>
      <c r="B911" s="3148"/>
      <c r="C911" s="3295"/>
      <c r="D911" s="3294"/>
      <c r="E911" s="3145"/>
      <c r="F911" s="3144"/>
      <c r="G911" s="3145"/>
      <c r="H911" s="3151" t="s">
        <v>140</v>
      </c>
      <c r="I911" s="3141" t="s">
        <v>117</v>
      </c>
      <c r="J911" s="3139" t="s">
        <v>1230</v>
      </c>
      <c r="K911" s="3138"/>
      <c r="L911" s="3140" t="s">
        <v>116</v>
      </c>
      <c r="M911" s="3139" t="s">
        <v>1233</v>
      </c>
      <c r="N911" s="3153"/>
      <c r="O911" s="3171"/>
      <c r="P911" s="3171"/>
      <c r="Q911" s="3171"/>
      <c r="R911" s="3171"/>
      <c r="S911" s="3171"/>
      <c r="T911" s="3171"/>
      <c r="U911" s="3171"/>
      <c r="V911" s="3171"/>
      <c r="W911" s="3171"/>
      <c r="X911" s="3297"/>
      <c r="Y911" s="3293"/>
      <c r="Z911" s="1201"/>
      <c r="AA911" s="1201"/>
      <c r="AB911" s="1202"/>
      <c r="AC911" s="3292"/>
      <c r="AD911" s="3291"/>
      <c r="AE911" s="3291"/>
      <c r="AF911" s="3290"/>
      <c r="AI911" s="3120" t="str">
        <f>"55:ryouyoushoku_code:" &amp; IF(I911="■",1,IF(L911="■",2,0))</f>
        <v>55:ryouyoushoku_code:0</v>
      </c>
    </row>
    <row r="912" spans="1:36" s="3120" customFormat="1" ht="18.75" customHeight="1" x14ac:dyDescent="0.2">
      <c r="A912" s="834"/>
      <c r="B912" s="3148"/>
      <c r="C912" s="3295"/>
      <c r="D912" s="3294"/>
      <c r="E912" s="3145"/>
      <c r="F912" s="3144"/>
      <c r="G912" s="3145"/>
      <c r="H912" s="3151" t="s">
        <v>1237</v>
      </c>
      <c r="I912" s="3155" t="s">
        <v>116</v>
      </c>
      <c r="J912" s="3137" t="s">
        <v>1230</v>
      </c>
      <c r="K912" s="3137"/>
      <c r="L912" s="3154" t="s">
        <v>116</v>
      </c>
      <c r="M912" s="3137" t="s">
        <v>1231</v>
      </c>
      <c r="N912" s="3137"/>
      <c r="O912" s="3154" t="s">
        <v>116</v>
      </c>
      <c r="P912" s="3137" t="s">
        <v>1232</v>
      </c>
      <c r="Q912" s="3150"/>
      <c r="R912" s="3171"/>
      <c r="S912" s="3171"/>
      <c r="T912" s="3171"/>
      <c r="U912" s="3171"/>
      <c r="V912" s="3171"/>
      <c r="W912" s="3171"/>
      <c r="X912" s="3297"/>
      <c r="Y912" s="3293"/>
      <c r="Z912" s="1201"/>
      <c r="AA912" s="1201"/>
      <c r="AB912" s="1202"/>
      <c r="AC912" s="3292"/>
      <c r="AD912" s="3291"/>
      <c r="AE912" s="3291"/>
      <c r="AF912" s="3290"/>
      <c r="AI912" s="3120" t="str">
        <f>"55:ninti_senmoncare_code:" &amp; IF(I912="■",1,IF(O912="■",3,IF(L912="■",2,0)))</f>
        <v>55:ninti_senmoncare_code:0</v>
      </c>
    </row>
    <row r="913" spans="1:36" s="3120" customFormat="1" ht="18.75" customHeight="1" x14ac:dyDescent="0.2">
      <c r="A913" s="834"/>
      <c r="B913" s="3148"/>
      <c r="C913" s="3295"/>
      <c r="D913" s="3294"/>
      <c r="E913" s="3145"/>
      <c r="F913" s="3144"/>
      <c r="G913" s="3145"/>
      <c r="H913" s="3151" t="s">
        <v>1327</v>
      </c>
      <c r="I913" s="3155" t="s">
        <v>116</v>
      </c>
      <c r="J913" s="3137" t="s">
        <v>1230</v>
      </c>
      <c r="K913" s="3137"/>
      <c r="L913" s="3154" t="s">
        <v>116</v>
      </c>
      <c r="M913" s="3137" t="s">
        <v>1231</v>
      </c>
      <c r="N913" s="3137"/>
      <c r="O913" s="3154" t="s">
        <v>116</v>
      </c>
      <c r="P913" s="3137" t="s">
        <v>1232</v>
      </c>
      <c r="Q913" s="3171"/>
      <c r="R913" s="3171"/>
      <c r="S913" s="3171"/>
      <c r="T913" s="3171"/>
      <c r="U913" s="3171"/>
      <c r="V913" s="3171"/>
      <c r="W913" s="3171"/>
      <c r="X913" s="3297"/>
      <c r="Y913" s="3293"/>
      <c r="Z913" s="1201"/>
      <c r="AA913" s="1201"/>
      <c r="AB913" s="1202"/>
      <c r="AC913" s="3292"/>
      <c r="AD913" s="3291"/>
      <c r="AE913" s="3291"/>
      <c r="AF913" s="3290"/>
      <c r="AI913" s="3120" t="str">
        <f>"55:field228:" &amp; IF(I913="■",1,IF(L913="■",2,IF(O913="■",3,0)))</f>
        <v>55:field228:0</v>
      </c>
    </row>
    <row r="914" spans="1:36" s="3120" customFormat="1" ht="18.75" customHeight="1" x14ac:dyDescent="0.2">
      <c r="A914" s="834"/>
      <c r="B914" s="3148"/>
      <c r="C914" s="3295"/>
      <c r="D914" s="3294"/>
      <c r="E914" s="3145"/>
      <c r="F914" s="3144"/>
      <c r="G914" s="3145"/>
      <c r="H914" s="3151" t="s">
        <v>244</v>
      </c>
      <c r="I914" s="3155" t="s">
        <v>116</v>
      </c>
      <c r="J914" s="3137" t="s">
        <v>1230</v>
      </c>
      <c r="K914" s="3137"/>
      <c r="L914" s="3154" t="s">
        <v>116</v>
      </c>
      <c r="M914" s="3137" t="s">
        <v>1231</v>
      </c>
      <c r="N914" s="3137"/>
      <c r="O914" s="3154" t="s">
        <v>116</v>
      </c>
      <c r="P914" s="3137" t="s">
        <v>1232</v>
      </c>
      <c r="Q914" s="3150"/>
      <c r="R914" s="3137"/>
      <c r="S914" s="3137"/>
      <c r="T914" s="3137"/>
      <c r="U914" s="3137"/>
      <c r="V914" s="3137"/>
      <c r="W914" s="3137"/>
      <c r="X914" s="3136"/>
      <c r="Y914" s="3293"/>
      <c r="Z914" s="1201"/>
      <c r="AA914" s="1201"/>
      <c r="AB914" s="1202"/>
      <c r="AC914" s="3292"/>
      <c r="AD914" s="3291"/>
      <c r="AE914" s="3291"/>
      <c r="AF914" s="3290"/>
      <c r="AI914" s="3120" t="str">
        <f>"55:field164:" &amp; IF(I914="■",1,IF(L914="■",2,IF(O914="■",3,0)))</f>
        <v>55:field164:0</v>
      </c>
    </row>
    <row r="915" spans="1:36" s="3120" customFormat="1" ht="18.75" customHeight="1" x14ac:dyDescent="0.2">
      <c r="A915" s="834"/>
      <c r="B915" s="3148"/>
      <c r="C915" s="3295"/>
      <c r="D915" s="3294"/>
      <c r="E915" s="3145"/>
      <c r="F915" s="3144"/>
      <c r="G915" s="3145"/>
      <c r="H915" s="3151" t="s">
        <v>1323</v>
      </c>
      <c r="I915" s="3155" t="s">
        <v>116</v>
      </c>
      <c r="J915" s="3137" t="s">
        <v>1230</v>
      </c>
      <c r="K915" s="3137"/>
      <c r="L915" s="3154" t="s">
        <v>116</v>
      </c>
      <c r="M915" s="3139" t="s">
        <v>1233</v>
      </c>
      <c r="N915" s="3137"/>
      <c r="O915" s="3137"/>
      <c r="P915" s="3137"/>
      <c r="Q915" s="3171"/>
      <c r="R915" s="3171"/>
      <c r="S915" s="3171"/>
      <c r="T915" s="3171"/>
      <c r="U915" s="3171"/>
      <c r="V915" s="3171"/>
      <c r="W915" s="3171"/>
      <c r="X915" s="3297"/>
      <c r="Y915" s="3293"/>
      <c r="Z915" s="1201"/>
      <c r="AA915" s="1201"/>
      <c r="AB915" s="1202"/>
      <c r="AC915" s="3292"/>
      <c r="AD915" s="3291"/>
      <c r="AE915" s="3291"/>
      <c r="AF915" s="3290"/>
      <c r="AI915" s="3120" t="str">
        <f>"55:field226:" &amp; IF(I915="■",1,IF(L915="■",2,0))</f>
        <v>55:field226:0</v>
      </c>
    </row>
    <row r="916" spans="1:36" s="3120" customFormat="1" ht="18.75" customHeight="1" x14ac:dyDescent="0.2">
      <c r="A916" s="834"/>
      <c r="B916" s="3148"/>
      <c r="C916" s="3295"/>
      <c r="D916" s="3294"/>
      <c r="E916" s="3145"/>
      <c r="F916" s="3144"/>
      <c r="G916" s="3145"/>
      <c r="H916" s="3151" t="s">
        <v>1324</v>
      </c>
      <c r="I916" s="3155" t="s">
        <v>116</v>
      </c>
      <c r="J916" s="3137" t="s">
        <v>1230</v>
      </c>
      <c r="K916" s="3137"/>
      <c r="L916" s="3154" t="s">
        <v>116</v>
      </c>
      <c r="M916" s="3139" t="s">
        <v>1233</v>
      </c>
      <c r="N916" s="3137"/>
      <c r="O916" s="3137"/>
      <c r="P916" s="3137"/>
      <c r="Q916" s="3171"/>
      <c r="R916" s="3171"/>
      <c r="S916" s="3171"/>
      <c r="T916" s="3171"/>
      <c r="U916" s="3171"/>
      <c r="V916" s="3171"/>
      <c r="W916" s="3171"/>
      <c r="X916" s="3297"/>
      <c r="Y916" s="3293"/>
      <c r="Z916" s="1201"/>
      <c r="AA916" s="1201"/>
      <c r="AB916" s="1202"/>
      <c r="AC916" s="3292"/>
      <c r="AD916" s="3291"/>
      <c r="AE916" s="3291"/>
      <c r="AF916" s="3290"/>
      <c r="AI916" s="3120" t="str">
        <f>"55:field227:" &amp; IF(I916="■",1,IF(L916="■",2,0))</f>
        <v>55:field227:0</v>
      </c>
    </row>
    <row r="917" spans="1:36" s="3120" customFormat="1" ht="18.75" customHeight="1" x14ac:dyDescent="0.2">
      <c r="A917" s="834"/>
      <c r="B917" s="3148"/>
      <c r="C917" s="3295"/>
      <c r="D917" s="3294"/>
      <c r="E917" s="3145"/>
      <c r="F917" s="3144"/>
      <c r="G917" s="3145"/>
      <c r="H917" s="3296" t="s">
        <v>1285</v>
      </c>
      <c r="I917" s="3155" t="s">
        <v>116</v>
      </c>
      <c r="J917" s="3137" t="s">
        <v>1230</v>
      </c>
      <c r="K917" s="3137"/>
      <c r="L917" s="3154" t="s">
        <v>116</v>
      </c>
      <c r="M917" s="3137" t="s">
        <v>1231</v>
      </c>
      <c r="N917" s="3137"/>
      <c r="O917" s="3154" t="s">
        <v>116</v>
      </c>
      <c r="P917" s="3137" t="s">
        <v>1232</v>
      </c>
      <c r="Q917" s="3150"/>
      <c r="R917" s="3150"/>
      <c r="S917" s="3150"/>
      <c r="T917" s="3150"/>
      <c r="U917" s="3209"/>
      <c r="V917" s="3209"/>
      <c r="W917" s="3209"/>
      <c r="X917" s="3208"/>
      <c r="Y917" s="3293"/>
      <c r="Z917" s="1201"/>
      <c r="AA917" s="1201"/>
      <c r="AB917" s="1202"/>
      <c r="AC917" s="3292"/>
      <c r="AD917" s="3291"/>
      <c r="AE917" s="3291"/>
      <c r="AF917" s="3290"/>
      <c r="AI917" s="3120" t="str">
        <f>"55:field225:" &amp; IF(I917="■",1,IF(L917="■",2,IF(O917="■",3,0)))</f>
        <v>55:field225:0</v>
      </c>
    </row>
    <row r="918" spans="1:36" s="3120" customFormat="1" ht="18.75" customHeight="1" x14ac:dyDescent="0.2">
      <c r="A918" s="834"/>
      <c r="B918" s="3148"/>
      <c r="C918" s="3295"/>
      <c r="D918" s="3294"/>
      <c r="E918" s="3145"/>
      <c r="F918" s="3144"/>
      <c r="G918" s="3145"/>
      <c r="H918" s="3151" t="s">
        <v>238</v>
      </c>
      <c r="I918" s="3155" t="s">
        <v>116</v>
      </c>
      <c r="J918" s="3137" t="s">
        <v>1230</v>
      </c>
      <c r="K918" s="3137"/>
      <c r="L918" s="3154" t="s">
        <v>116</v>
      </c>
      <c r="M918" s="3137" t="s">
        <v>1259</v>
      </c>
      <c r="N918" s="3137"/>
      <c r="O918" s="3154" t="s">
        <v>116</v>
      </c>
      <c r="P918" s="3137" t="s">
        <v>1260</v>
      </c>
      <c r="Q918" s="3153"/>
      <c r="R918" s="3154" t="s">
        <v>116</v>
      </c>
      <c r="S918" s="3137" t="s">
        <v>1261</v>
      </c>
      <c r="T918" s="3137"/>
      <c r="U918" s="3137"/>
      <c r="V918" s="3137"/>
      <c r="W918" s="3137"/>
      <c r="X918" s="3136"/>
      <c r="Y918" s="3293"/>
      <c r="Z918" s="1201"/>
      <c r="AA918" s="1201"/>
      <c r="AB918" s="1202"/>
      <c r="AC918" s="3292"/>
      <c r="AD918" s="3291"/>
      <c r="AE918" s="3291"/>
      <c r="AF918" s="3290"/>
      <c r="AI918" s="3120" t="str">
        <f>"55:serteikyo_kyoka_code:" &amp; IF(I918="■",1,IF(L918="■",6,IF(O918="■",5,IF(R918="■",7,0))))</f>
        <v>55:serteikyo_kyoka_code:0</v>
      </c>
    </row>
    <row r="919" spans="1:36" s="3120" customFormat="1" ht="18.75" customHeight="1" x14ac:dyDescent="0.2">
      <c r="A919" s="834"/>
      <c r="B919" s="3148"/>
      <c r="C919" s="3147"/>
      <c r="D919" s="3146"/>
      <c r="E919" s="3145"/>
      <c r="F919" s="3144"/>
      <c r="G919" s="3175"/>
      <c r="H919" s="3331" t="s">
        <v>2129</v>
      </c>
      <c r="I919" s="3303" t="s">
        <v>116</v>
      </c>
      <c r="J919" s="3327" t="s">
        <v>1230</v>
      </c>
      <c r="K919" s="3327"/>
      <c r="L919" s="3301" t="s">
        <v>116</v>
      </c>
      <c r="M919" s="3327" t="s">
        <v>2128</v>
      </c>
      <c r="N919" s="3330"/>
      <c r="O919" s="3301" t="s">
        <v>116</v>
      </c>
      <c r="P919" s="3329" t="s">
        <v>2127</v>
      </c>
      <c r="Q919" s="3328"/>
      <c r="R919" s="3301" t="s">
        <v>116</v>
      </c>
      <c r="S919" s="3327" t="s">
        <v>2126</v>
      </c>
      <c r="T919" s="3328"/>
      <c r="U919" s="3301" t="s">
        <v>116</v>
      </c>
      <c r="V919" s="3327" t="s">
        <v>2125</v>
      </c>
      <c r="W919" s="3326"/>
      <c r="X919" s="3325"/>
      <c r="Y919" s="1201"/>
      <c r="Z919" s="1201"/>
      <c r="AA919" s="1201"/>
      <c r="AB919" s="1202"/>
      <c r="AC919" s="3292"/>
      <c r="AD919" s="3291"/>
      <c r="AE919" s="3291"/>
      <c r="AF919" s="3290"/>
      <c r="AI919" s="3120" t="str">
        <f>"55:shoguukaizen_code:"&amp;IF(I919="■",1,IF(L919="■",7,IF(O919="■",8,IF(R919="■",9,IF(U919="■","A",0)))))</f>
        <v>55:shoguukaizen_code:0</v>
      </c>
    </row>
    <row r="920" spans="1:36" s="3120" customFormat="1" ht="18.75" customHeight="1" x14ac:dyDescent="0.2">
      <c r="A920" s="3188"/>
      <c r="B920" s="3187"/>
      <c r="C920" s="3313"/>
      <c r="D920" s="3312"/>
      <c r="E920" s="3185"/>
      <c r="F920" s="3184"/>
      <c r="G920" s="3185"/>
      <c r="H920" s="3265" t="s">
        <v>1286</v>
      </c>
      <c r="I920" s="3253" t="s">
        <v>116</v>
      </c>
      <c r="J920" s="3252" t="s">
        <v>1282</v>
      </c>
      <c r="K920" s="3311"/>
      <c r="L920" s="3309"/>
      <c r="M920" s="3310" t="s">
        <v>116</v>
      </c>
      <c r="N920" s="3252" t="s">
        <v>1289</v>
      </c>
      <c r="O920" s="3309"/>
      <c r="P920" s="3309"/>
      <c r="Q920" s="3310" t="s">
        <v>116</v>
      </c>
      <c r="R920" s="3252" t="s">
        <v>1290</v>
      </c>
      <c r="S920" s="3309"/>
      <c r="T920" s="3309"/>
      <c r="U920" s="3310" t="s">
        <v>116</v>
      </c>
      <c r="V920" s="3252" t="s">
        <v>1291</v>
      </c>
      <c r="W920" s="3309"/>
      <c r="X920" s="3266"/>
      <c r="Y920" s="3253" t="s">
        <v>116</v>
      </c>
      <c r="Z920" s="3252" t="s">
        <v>1225</v>
      </c>
      <c r="AA920" s="3252"/>
      <c r="AB920" s="3308"/>
      <c r="AC920" s="3307"/>
      <c r="AD920" s="3306"/>
      <c r="AE920" s="3306"/>
      <c r="AF920" s="3305"/>
      <c r="AG920" s="3120" t="str">
        <f>"ser_code = '" &amp; IF(A930="■",55,"") &amp; "'"</f>
        <v>ser_code = ''</v>
      </c>
      <c r="AH920" s="3120" t="str">
        <f>"55:jininkbn_code:" &amp; IF(F930="■",2,0)</f>
        <v>55:jininkbn_code:0</v>
      </c>
      <c r="AI920" s="3120" t="str">
        <f>"55:yakan_kinmu_code:" &amp; IF(I920="■",1,IF(M920="■",2,IF(Q920="■",3,IF(U920="■",AJ7589,IF(I921="■",5,IF(M921="■",6,0))))))</f>
        <v>55:yakan_kinmu_code:0</v>
      </c>
      <c r="AJ920" s="3120" t="str">
        <f>"55:field203:" &amp; IF(Y920="■",1,IF(Y921="■",2,0))</f>
        <v>55:field203:0</v>
      </c>
    </row>
    <row r="921" spans="1:36" s="3120" customFormat="1" ht="18.75" customHeight="1" x14ac:dyDescent="0.2">
      <c r="A921" s="834"/>
      <c r="B921" s="3148"/>
      <c r="C921" s="3295"/>
      <c r="D921" s="3294"/>
      <c r="E921" s="3145"/>
      <c r="F921" s="3144"/>
      <c r="G921" s="3145"/>
      <c r="H921" s="3300"/>
      <c r="I921" s="3141" t="s">
        <v>116</v>
      </c>
      <c r="J921" s="3139" t="s">
        <v>1292</v>
      </c>
      <c r="K921" s="3138"/>
      <c r="L921" s="3162"/>
      <c r="M921" s="3140" t="s">
        <v>116</v>
      </c>
      <c r="N921" s="3139" t="s">
        <v>1283</v>
      </c>
      <c r="O921" s="3162"/>
      <c r="P921" s="3162"/>
      <c r="Q921" s="3162"/>
      <c r="R921" s="3162"/>
      <c r="S921" s="3162"/>
      <c r="T921" s="3162"/>
      <c r="U921" s="3162"/>
      <c r="V921" s="3162"/>
      <c r="W921" s="3162"/>
      <c r="X921" s="3161"/>
      <c r="Y921" s="3158" t="s">
        <v>116</v>
      </c>
      <c r="Z921" s="1200" t="s">
        <v>1226</v>
      </c>
      <c r="AA921" s="1201"/>
      <c r="AB921" s="1202"/>
      <c r="AC921" s="3292"/>
      <c r="AD921" s="3291"/>
      <c r="AE921" s="3291"/>
      <c r="AF921" s="3290"/>
      <c r="AG921" s="3120" t="str">
        <f>"55:sisetukbn_code:" &amp; IF(D930="■",3,0)</f>
        <v>55:sisetukbn_code:0</v>
      </c>
    </row>
    <row r="922" spans="1:36" s="3120" customFormat="1" ht="18.75" customHeight="1" x14ac:dyDescent="0.2">
      <c r="A922" s="834"/>
      <c r="B922" s="3148"/>
      <c r="C922" s="3295"/>
      <c r="D922" s="3294"/>
      <c r="E922" s="3145"/>
      <c r="F922" s="3144"/>
      <c r="G922" s="3145"/>
      <c r="H922" s="3304" t="s">
        <v>90</v>
      </c>
      <c r="I922" s="3303" t="s">
        <v>116</v>
      </c>
      <c r="J922" s="3302" t="s">
        <v>1230</v>
      </c>
      <c r="K922" s="3302"/>
      <c r="L922" s="3167"/>
      <c r="M922" s="3301" t="s">
        <v>116</v>
      </c>
      <c r="N922" s="3302" t="s">
        <v>1262</v>
      </c>
      <c r="O922" s="3302"/>
      <c r="P922" s="3167"/>
      <c r="Q922" s="3301" t="s">
        <v>116</v>
      </c>
      <c r="R922" s="3167" t="s">
        <v>1302</v>
      </c>
      <c r="S922" s="3167"/>
      <c r="T922" s="3167"/>
      <c r="U922" s="3301" t="s">
        <v>116</v>
      </c>
      <c r="V922" s="3167" t="s">
        <v>1303</v>
      </c>
      <c r="W922" s="3209"/>
      <c r="X922" s="3208"/>
      <c r="Y922" s="3293"/>
      <c r="Z922" s="1201"/>
      <c r="AA922" s="1201"/>
      <c r="AB922" s="1202"/>
      <c r="AC922" s="3292"/>
      <c r="AD922" s="3291"/>
      <c r="AE922" s="3291"/>
      <c r="AF922" s="3290"/>
      <c r="AI922" s="3120" t="str">
        <f>"55:"&amp;IF(AND(I922="□",M922="□",Q922="□",U922="□",I923="□",M923="□"),"ketu_doctor_code:0",IF(I922="■","ketu_doctor_code:1:field197:1:ketu_kangos_code:1:ketu_kshoku_code:1:ketu_ksiensou_code:1",IF(M922="■","ketu_doctor_code:2","ketu_doctor_code:1")
&amp;IF(Q922="■",":field197:2",":field197:1")
&amp;IF(U922="■",":ketu_kangos_code:2",":ketu_kangos_code:1")
&amp;IF(I923="■",":ketu_kshoku_code:2",":ketu_kshoku_code:1")
&amp;IF(M923="■",":ketu_ksiensou_code:2",":ketu_ksiensou_code:1")))</f>
        <v>55:ketu_doctor_code:0</v>
      </c>
    </row>
    <row r="923" spans="1:36" s="3120" customFormat="1" ht="18.75" customHeight="1" x14ac:dyDescent="0.2">
      <c r="A923" s="834"/>
      <c r="B923" s="3148"/>
      <c r="C923" s="3295"/>
      <c r="D923" s="3294"/>
      <c r="E923" s="3145"/>
      <c r="F923" s="3144"/>
      <c r="G923" s="3145"/>
      <c r="H923" s="3300"/>
      <c r="I923" s="3141" t="s">
        <v>116</v>
      </c>
      <c r="J923" s="3162" t="s">
        <v>1304</v>
      </c>
      <c r="K923" s="3139"/>
      <c r="L923" s="3162"/>
      <c r="M923" s="3140" t="s">
        <v>116</v>
      </c>
      <c r="N923" s="3139" t="s">
        <v>1328</v>
      </c>
      <c r="O923" s="3139"/>
      <c r="P923" s="3162"/>
      <c r="Q923" s="3162"/>
      <c r="R923" s="3162"/>
      <c r="S923" s="3162"/>
      <c r="T923" s="3162"/>
      <c r="U923" s="3162"/>
      <c r="V923" s="3162"/>
      <c r="W923" s="3207"/>
      <c r="X923" s="3206"/>
      <c r="Y923" s="3293"/>
      <c r="Z923" s="1201"/>
      <c r="AA923" s="1201"/>
      <c r="AB923" s="1202"/>
      <c r="AC923" s="3292"/>
      <c r="AD923" s="3291"/>
      <c r="AE923" s="3291"/>
      <c r="AF923" s="3290"/>
    </row>
    <row r="924" spans="1:36" s="3120" customFormat="1" ht="18.75" customHeight="1" x14ac:dyDescent="0.2">
      <c r="A924" s="834"/>
      <c r="B924" s="3148"/>
      <c r="C924" s="3295"/>
      <c r="D924" s="3294"/>
      <c r="E924" s="3145"/>
      <c r="F924" s="3144"/>
      <c r="G924" s="3145"/>
      <c r="H924" s="3151" t="s">
        <v>1325</v>
      </c>
      <c r="I924" s="3155" t="s">
        <v>116</v>
      </c>
      <c r="J924" s="3137" t="s">
        <v>1228</v>
      </c>
      <c r="K924" s="3171"/>
      <c r="L924" s="3173"/>
      <c r="M924" s="3154" t="s">
        <v>116</v>
      </c>
      <c r="N924" s="3137" t="s">
        <v>1322</v>
      </c>
      <c r="O924" s="3150"/>
      <c r="P924" s="3171"/>
      <c r="Q924" s="3171"/>
      <c r="R924" s="3171"/>
      <c r="S924" s="3171"/>
      <c r="T924" s="3171"/>
      <c r="U924" s="3171"/>
      <c r="V924" s="3171"/>
      <c r="W924" s="3171"/>
      <c r="X924" s="3297"/>
      <c r="Y924" s="3293"/>
      <c r="Z924" s="1201"/>
      <c r="AA924" s="1201"/>
      <c r="AB924" s="1202"/>
      <c r="AC924" s="3292"/>
      <c r="AD924" s="3291"/>
      <c r="AE924" s="3291"/>
      <c r="AF924" s="3290"/>
      <c r="AI924" s="3120" t="str">
        <f>"55:sintaikousoku_code:" &amp; IF(I924="■",1,IF(M924="■",2,0))</f>
        <v>55:sintaikousoku_code:0</v>
      </c>
    </row>
    <row r="925" spans="1:36" s="3120" customFormat="1" ht="18.75" customHeight="1" x14ac:dyDescent="0.2">
      <c r="A925" s="834"/>
      <c r="B925" s="3148"/>
      <c r="C925" s="3295"/>
      <c r="D925" s="3294"/>
      <c r="E925" s="3145"/>
      <c r="F925" s="3144"/>
      <c r="G925" s="3145"/>
      <c r="H925" s="3151" t="s">
        <v>792</v>
      </c>
      <c r="I925" s="3155" t="s">
        <v>116</v>
      </c>
      <c r="J925" s="3137" t="s">
        <v>1228</v>
      </c>
      <c r="K925" s="3171"/>
      <c r="L925" s="3173"/>
      <c r="M925" s="3154" t="s">
        <v>116</v>
      </c>
      <c r="N925" s="3137" t="s">
        <v>1322</v>
      </c>
      <c r="O925" s="3150"/>
      <c r="P925" s="3171"/>
      <c r="Q925" s="3171"/>
      <c r="R925" s="3171"/>
      <c r="S925" s="3171"/>
      <c r="T925" s="3171"/>
      <c r="U925" s="3171"/>
      <c r="V925" s="3171"/>
      <c r="W925" s="3171"/>
      <c r="X925" s="3297"/>
      <c r="Y925" s="3293"/>
      <c r="Z925" s="1201"/>
      <c r="AA925" s="1201"/>
      <c r="AB925" s="1202"/>
      <c r="AC925" s="3292"/>
      <c r="AD925" s="3291"/>
      <c r="AE925" s="3291"/>
      <c r="AF925" s="3290"/>
      <c r="AI925" s="3120" t="str">
        <f>"55:field208:" &amp; IF(I925="■",1,IF(M925="■",2,0))</f>
        <v>55:field208:0</v>
      </c>
    </row>
    <row r="926" spans="1:36" s="3120" customFormat="1" ht="19.5" customHeight="1" x14ac:dyDescent="0.2">
      <c r="A926" s="834"/>
      <c r="B926" s="3148"/>
      <c r="C926" s="3147"/>
      <c r="D926" s="3146"/>
      <c r="E926" s="3145"/>
      <c r="F926" s="3144"/>
      <c r="G926" s="3175"/>
      <c r="H926" s="3174" t="s">
        <v>1227</v>
      </c>
      <c r="I926" s="3155" t="s">
        <v>116</v>
      </c>
      <c r="J926" s="3137" t="s">
        <v>1228</v>
      </c>
      <c r="K926" s="3171"/>
      <c r="L926" s="3173"/>
      <c r="M926" s="3154" t="s">
        <v>116</v>
      </c>
      <c r="N926" s="3137" t="s">
        <v>1229</v>
      </c>
      <c r="O926" s="3299"/>
      <c r="P926" s="3137"/>
      <c r="Q926" s="3150"/>
      <c r="R926" s="3150"/>
      <c r="S926" s="3150"/>
      <c r="T926" s="3150"/>
      <c r="U926" s="3150"/>
      <c r="V926" s="3150"/>
      <c r="W926" s="3150"/>
      <c r="X926" s="3149"/>
      <c r="Y926" s="1201"/>
      <c r="Z926" s="1201"/>
      <c r="AA926" s="1201"/>
      <c r="AB926" s="1202"/>
      <c r="AC926" s="3292"/>
      <c r="AD926" s="3291"/>
      <c r="AE926" s="3291"/>
      <c r="AF926" s="3290"/>
      <c r="AI926" s="3120" t="str">
        <f>"55:field223:" &amp; IF(I926="■",1,IF(M926="■",2,0))</f>
        <v>55:field223:0</v>
      </c>
    </row>
    <row r="927" spans="1:36" s="3120" customFormat="1" ht="19.5" customHeight="1" x14ac:dyDescent="0.2">
      <c r="A927" s="834"/>
      <c r="B927" s="3148"/>
      <c r="C927" s="3147"/>
      <c r="D927" s="3146"/>
      <c r="E927" s="3145"/>
      <c r="F927" s="3144"/>
      <c r="G927" s="3175"/>
      <c r="H927" s="3174" t="s">
        <v>1253</v>
      </c>
      <c r="I927" s="3155" t="s">
        <v>116</v>
      </c>
      <c r="J927" s="3137" t="s">
        <v>1228</v>
      </c>
      <c r="K927" s="3171"/>
      <c r="L927" s="3173"/>
      <c r="M927" s="3154" t="s">
        <v>116</v>
      </c>
      <c r="N927" s="3137" t="s">
        <v>1229</v>
      </c>
      <c r="O927" s="3299"/>
      <c r="P927" s="3137"/>
      <c r="Q927" s="3150"/>
      <c r="R927" s="3150"/>
      <c r="S927" s="3150"/>
      <c r="T927" s="3150"/>
      <c r="U927" s="3150"/>
      <c r="V927" s="3150"/>
      <c r="W927" s="3150"/>
      <c r="X927" s="3149"/>
      <c r="Y927" s="1201"/>
      <c r="Z927" s="1201"/>
      <c r="AA927" s="1201"/>
      <c r="AB927" s="1202"/>
      <c r="AC927" s="3292"/>
      <c r="AD927" s="3291"/>
      <c r="AE927" s="3291"/>
      <c r="AF927" s="3290"/>
      <c r="AI927" s="3120" t="str">
        <f>"55:field232:" &amp; IF(I927="■",1,IF(M927="■",2,0))</f>
        <v>55:field232:0</v>
      </c>
    </row>
    <row r="928" spans="1:36" s="3120" customFormat="1" ht="18.75" customHeight="1" x14ac:dyDescent="0.2">
      <c r="A928" s="834"/>
      <c r="B928" s="3148"/>
      <c r="C928" s="3295"/>
      <c r="D928" s="3294"/>
      <c r="E928" s="3145"/>
      <c r="F928" s="3144"/>
      <c r="G928" s="3145"/>
      <c r="H928" s="3170" t="s">
        <v>1326</v>
      </c>
      <c r="I928" s="3248" t="s">
        <v>116</v>
      </c>
      <c r="J928" s="3210" t="s">
        <v>1230</v>
      </c>
      <c r="K928" s="3210"/>
      <c r="L928" s="3298" t="s">
        <v>116</v>
      </c>
      <c r="M928" s="3210" t="s">
        <v>1233</v>
      </c>
      <c r="N928" s="3210"/>
      <c r="O928" s="3167"/>
      <c r="P928" s="3167"/>
      <c r="Q928" s="3167"/>
      <c r="R928" s="3167"/>
      <c r="S928" s="3167"/>
      <c r="T928" s="3167"/>
      <c r="U928" s="3167"/>
      <c r="V928" s="3167"/>
      <c r="W928" s="3167"/>
      <c r="X928" s="3166"/>
      <c r="Y928" s="3293"/>
      <c r="Z928" s="1201"/>
      <c r="AA928" s="1201"/>
      <c r="AB928" s="1202"/>
      <c r="AC928" s="3292"/>
      <c r="AD928" s="3291"/>
      <c r="AE928" s="3291"/>
      <c r="AF928" s="3290"/>
      <c r="AI928" s="3120" t="str">
        <f>"55:field206:" &amp; IF(I928="■",1,IF(L928="■",2,0))</f>
        <v>55:field206:0</v>
      </c>
    </row>
    <row r="929" spans="1:36" s="3120" customFormat="1" ht="18.75" customHeight="1" x14ac:dyDescent="0.2">
      <c r="A929" s="834"/>
      <c r="B929" s="3148"/>
      <c r="C929" s="3295"/>
      <c r="D929" s="3294"/>
      <c r="E929" s="3145"/>
      <c r="F929" s="3144"/>
      <c r="G929" s="3145"/>
      <c r="H929" s="3165"/>
      <c r="I929" s="3200"/>
      <c r="J929" s="3163"/>
      <c r="K929" s="3163"/>
      <c r="L929" s="3199"/>
      <c r="M929" s="3163"/>
      <c r="N929" s="3163"/>
      <c r="O929" s="3162"/>
      <c r="P929" s="3162"/>
      <c r="Q929" s="3162"/>
      <c r="R929" s="3162"/>
      <c r="S929" s="3162"/>
      <c r="T929" s="3162"/>
      <c r="U929" s="3162"/>
      <c r="V929" s="3162"/>
      <c r="W929" s="3162"/>
      <c r="X929" s="3161"/>
      <c r="Y929" s="3293"/>
      <c r="Z929" s="1201"/>
      <c r="AA929" s="1201"/>
      <c r="AB929" s="1202"/>
      <c r="AC929" s="3292"/>
      <c r="AD929" s="3291"/>
      <c r="AE929" s="3291"/>
      <c r="AF929" s="3290"/>
    </row>
    <row r="930" spans="1:36" s="3120" customFormat="1" ht="18.75" customHeight="1" x14ac:dyDescent="0.2">
      <c r="A930" s="3158" t="s">
        <v>116</v>
      </c>
      <c r="B930" s="3148">
        <v>55</v>
      </c>
      <c r="C930" s="3295" t="s">
        <v>923</v>
      </c>
      <c r="D930" s="3158" t="s">
        <v>116</v>
      </c>
      <c r="E930" s="3145" t="s">
        <v>1317</v>
      </c>
      <c r="F930" s="3158" t="s">
        <v>116</v>
      </c>
      <c r="G930" s="3145" t="s">
        <v>1301</v>
      </c>
      <c r="H930" s="3151" t="s">
        <v>236</v>
      </c>
      <c r="I930" s="3155" t="s">
        <v>116</v>
      </c>
      <c r="J930" s="3137" t="s">
        <v>1329</v>
      </c>
      <c r="K930" s="3171"/>
      <c r="L930" s="3173"/>
      <c r="M930" s="3154" t="s">
        <v>116</v>
      </c>
      <c r="N930" s="3137" t="s">
        <v>1293</v>
      </c>
      <c r="O930" s="3150"/>
      <c r="P930" s="3171"/>
      <c r="Q930" s="3171"/>
      <c r="R930" s="3171"/>
      <c r="S930" s="3171"/>
      <c r="T930" s="3171"/>
      <c r="U930" s="3171"/>
      <c r="V930" s="3171"/>
      <c r="W930" s="3171"/>
      <c r="X930" s="3297"/>
      <c r="Y930" s="3293"/>
      <c r="Z930" s="1201"/>
      <c r="AA930" s="1201"/>
      <c r="AB930" s="1202"/>
      <c r="AC930" s="3292"/>
      <c r="AD930" s="3291"/>
      <c r="AE930" s="3291"/>
      <c r="AF930" s="3290"/>
      <c r="AI930" s="3120" t="str">
        <f>"55:field190:" &amp; IF(I930="■",1,IF(M930="■",2,0))</f>
        <v>55:field190:0</v>
      </c>
    </row>
    <row r="931" spans="1:36" s="3120" customFormat="1" ht="18.75" customHeight="1" x14ac:dyDescent="0.2">
      <c r="A931" s="834"/>
      <c r="B931" s="3148"/>
      <c r="C931" s="3295"/>
      <c r="D931" s="3294"/>
      <c r="E931" s="3145"/>
      <c r="F931" s="1249"/>
      <c r="G931" s="583"/>
      <c r="H931" s="3151" t="s">
        <v>1305</v>
      </c>
      <c r="I931" s="3155" t="s">
        <v>116</v>
      </c>
      <c r="J931" s="3137" t="s">
        <v>1329</v>
      </c>
      <c r="K931" s="3171"/>
      <c r="L931" s="3173"/>
      <c r="M931" s="3154" t="s">
        <v>116</v>
      </c>
      <c r="N931" s="3137" t="s">
        <v>1293</v>
      </c>
      <c r="O931" s="3150"/>
      <c r="P931" s="3171"/>
      <c r="Q931" s="3171"/>
      <c r="R931" s="3171"/>
      <c r="S931" s="3171"/>
      <c r="T931" s="3171"/>
      <c r="U931" s="3171"/>
      <c r="V931" s="3171"/>
      <c r="W931" s="3171"/>
      <c r="X931" s="3297"/>
      <c r="Y931" s="3293"/>
      <c r="Z931" s="1201"/>
      <c r="AA931" s="1201"/>
      <c r="AB931" s="1202"/>
      <c r="AC931" s="3292"/>
      <c r="AD931" s="3291"/>
      <c r="AE931" s="3291"/>
      <c r="AF931" s="3290"/>
      <c r="AI931" s="3120" t="str">
        <f>"55:field191:" &amp; IF(I931="■",1,IF(M931="■",2,0))</f>
        <v>55:field191:0</v>
      </c>
    </row>
    <row r="932" spans="1:36" s="1247" customFormat="1" ht="19.5" customHeight="1" x14ac:dyDescent="0.2">
      <c r="A932" s="579"/>
      <c r="B932" s="1250"/>
      <c r="C932" s="581"/>
      <c r="D932" s="1251"/>
      <c r="E932" s="1253"/>
      <c r="F932" s="1249"/>
      <c r="G932" s="583"/>
      <c r="H932" s="3324" t="s">
        <v>2133</v>
      </c>
      <c r="I932" s="3155" t="s">
        <v>2132</v>
      </c>
      <c r="J932" s="3320" t="s">
        <v>2131</v>
      </c>
      <c r="K932" s="3323"/>
      <c r="L932" s="3322"/>
      <c r="M932" s="3154" t="s">
        <v>116</v>
      </c>
      <c r="N932" s="3320" t="s">
        <v>2130</v>
      </c>
      <c r="O932" s="3321"/>
      <c r="P932" s="3320"/>
      <c r="Q932" s="3319"/>
      <c r="R932" s="3319"/>
      <c r="S932" s="3319"/>
      <c r="T932" s="3319"/>
      <c r="U932" s="3319"/>
      <c r="V932" s="3319"/>
      <c r="W932" s="3319"/>
      <c r="X932" s="3318"/>
      <c r="Y932" s="1248"/>
      <c r="Z932" s="2"/>
      <c r="AA932" s="584"/>
      <c r="AB932" s="585"/>
      <c r="AC932" s="3292"/>
      <c r="AD932" s="3291"/>
      <c r="AE932" s="3291"/>
      <c r="AF932" s="3290"/>
      <c r="AI932" s="3120" t="str">
        <f>"55:field242:" &amp; IF(I932="■",1,IF(M932="■",2,0))</f>
        <v>55:field242:1</v>
      </c>
    </row>
    <row r="933" spans="1:36" s="3120" customFormat="1" ht="18.75" customHeight="1" x14ac:dyDescent="0.2">
      <c r="A933" s="834"/>
      <c r="B933" s="3148"/>
      <c r="C933" s="3295"/>
      <c r="D933" s="3294"/>
      <c r="E933" s="3145"/>
      <c r="F933" s="3294"/>
      <c r="G933" s="3145"/>
      <c r="H933" s="3151" t="s">
        <v>1330</v>
      </c>
      <c r="I933" s="3141" t="s">
        <v>116</v>
      </c>
      <c r="J933" s="3139" t="s">
        <v>1230</v>
      </c>
      <c r="K933" s="3138"/>
      <c r="L933" s="3140" t="s">
        <v>116</v>
      </c>
      <c r="M933" s="3139" t="s">
        <v>1233</v>
      </c>
      <c r="N933" s="3153"/>
      <c r="O933" s="3171"/>
      <c r="P933" s="3171"/>
      <c r="Q933" s="3171"/>
      <c r="R933" s="3171"/>
      <c r="S933" s="3171"/>
      <c r="T933" s="3171"/>
      <c r="U933" s="3171"/>
      <c r="V933" s="3171"/>
      <c r="W933" s="3171"/>
      <c r="X933" s="3297"/>
      <c r="Y933" s="3293"/>
      <c r="Z933" s="1201"/>
      <c r="AA933" s="1201"/>
      <c r="AB933" s="1202"/>
      <c r="AC933" s="3292"/>
      <c r="AD933" s="3291"/>
      <c r="AE933" s="3291"/>
      <c r="AF933" s="3290"/>
      <c r="AI933" s="3120" t="str">
        <f>"55:jyakuninti_uke_code:" &amp; IF(I933="■",1,IF(L933="■",2,0))</f>
        <v>55:jyakuninti_uke_code:0</v>
      </c>
    </row>
    <row r="934" spans="1:36" s="3120" customFormat="1" ht="18.75" customHeight="1" x14ac:dyDescent="0.2">
      <c r="A934" s="834"/>
      <c r="B934" s="3148"/>
      <c r="C934" s="3295"/>
      <c r="D934" s="3294"/>
      <c r="E934" s="3145"/>
      <c r="F934" s="3294"/>
      <c r="G934" s="3145"/>
      <c r="H934" s="3151" t="s">
        <v>794</v>
      </c>
      <c r="I934" s="3141" t="s">
        <v>116</v>
      </c>
      <c r="J934" s="3139" t="s">
        <v>1230</v>
      </c>
      <c r="K934" s="3138"/>
      <c r="L934" s="3140" t="s">
        <v>116</v>
      </c>
      <c r="M934" s="3139" t="s">
        <v>1233</v>
      </c>
      <c r="N934" s="3153"/>
      <c r="O934" s="3171"/>
      <c r="P934" s="3171"/>
      <c r="Q934" s="3171"/>
      <c r="R934" s="3171"/>
      <c r="S934" s="3171"/>
      <c r="T934" s="3171"/>
      <c r="U934" s="3171"/>
      <c r="V934" s="3171"/>
      <c r="W934" s="3171"/>
      <c r="X934" s="3297"/>
      <c r="Y934" s="3293"/>
      <c r="Z934" s="1201"/>
      <c r="AA934" s="1201"/>
      <c r="AB934" s="1202"/>
      <c r="AC934" s="3292"/>
      <c r="AD934" s="3291"/>
      <c r="AE934" s="3291"/>
      <c r="AF934" s="3290"/>
      <c r="AI934" s="3120" t="str">
        <f>"55:field207:" &amp; IF(I934="■",1,IF(L934="■",2,0))</f>
        <v>55:field207:0</v>
      </c>
    </row>
    <row r="935" spans="1:36" s="3120" customFormat="1" ht="18.75" customHeight="1" x14ac:dyDescent="0.2">
      <c r="A935" s="834"/>
      <c r="B935" s="3148"/>
      <c r="C935" s="3295"/>
      <c r="D935" s="3294"/>
      <c r="E935" s="3145"/>
      <c r="F935" s="3144"/>
      <c r="G935" s="3145"/>
      <c r="H935" s="3151" t="s">
        <v>140</v>
      </c>
      <c r="I935" s="3141" t="s">
        <v>117</v>
      </c>
      <c r="J935" s="3139" t="s">
        <v>1230</v>
      </c>
      <c r="K935" s="3138"/>
      <c r="L935" s="3140" t="s">
        <v>116</v>
      </c>
      <c r="M935" s="3139" t="s">
        <v>1233</v>
      </c>
      <c r="N935" s="3153"/>
      <c r="O935" s="3171"/>
      <c r="P935" s="3171"/>
      <c r="Q935" s="3171"/>
      <c r="R935" s="3171"/>
      <c r="S935" s="3171"/>
      <c r="T935" s="3171"/>
      <c r="U935" s="3171"/>
      <c r="V935" s="3171"/>
      <c r="W935" s="3171"/>
      <c r="X935" s="3297"/>
      <c r="Y935" s="3293"/>
      <c r="Z935" s="1201"/>
      <c r="AA935" s="1201"/>
      <c r="AB935" s="1202"/>
      <c r="AC935" s="3292"/>
      <c r="AD935" s="3291"/>
      <c r="AE935" s="3291"/>
      <c r="AF935" s="3290"/>
      <c r="AI935" s="3120" t="str">
        <f>"55:ryouyoushoku_code:" &amp; IF(I935="■",1,IF(L935="■",2,0))</f>
        <v>55:ryouyoushoku_code:0</v>
      </c>
    </row>
    <row r="936" spans="1:36" s="3120" customFormat="1" ht="18.75" customHeight="1" x14ac:dyDescent="0.2">
      <c r="A936" s="834"/>
      <c r="B936" s="3148"/>
      <c r="C936" s="3295"/>
      <c r="D936" s="3294"/>
      <c r="E936" s="3145"/>
      <c r="F936" s="3144"/>
      <c r="G936" s="3145"/>
      <c r="H936" s="3151" t="s">
        <v>1237</v>
      </c>
      <c r="I936" s="3155" t="s">
        <v>116</v>
      </c>
      <c r="J936" s="3137" t="s">
        <v>1230</v>
      </c>
      <c r="K936" s="3137"/>
      <c r="L936" s="3154" t="s">
        <v>116</v>
      </c>
      <c r="M936" s="3137" t="s">
        <v>1231</v>
      </c>
      <c r="N936" s="3137"/>
      <c r="O936" s="3154" t="s">
        <v>116</v>
      </c>
      <c r="P936" s="3137" t="s">
        <v>1232</v>
      </c>
      <c r="Q936" s="3150"/>
      <c r="R936" s="3171"/>
      <c r="S936" s="3171"/>
      <c r="T936" s="3171"/>
      <c r="U936" s="3171"/>
      <c r="V936" s="3171"/>
      <c r="W936" s="3171"/>
      <c r="X936" s="3297"/>
      <c r="Y936" s="3293"/>
      <c r="Z936" s="1201"/>
      <c r="AA936" s="1201"/>
      <c r="AB936" s="1202"/>
      <c r="AC936" s="3292"/>
      <c r="AD936" s="3291"/>
      <c r="AE936" s="3291"/>
      <c r="AF936" s="3290"/>
      <c r="AI936" s="3120" t="str">
        <f>"55:ninti_senmoncare_code:" &amp; IF(I936="■",1,IF(O936="■",3,IF(L936="■",2,0)))</f>
        <v>55:ninti_senmoncare_code:0</v>
      </c>
    </row>
    <row r="937" spans="1:36" s="3120" customFormat="1" ht="18.75" customHeight="1" x14ac:dyDescent="0.2">
      <c r="A937" s="834"/>
      <c r="B937" s="3148"/>
      <c r="C937" s="3295"/>
      <c r="D937" s="3294"/>
      <c r="E937" s="3145"/>
      <c r="F937" s="3144"/>
      <c r="G937" s="3145"/>
      <c r="H937" s="3151" t="s">
        <v>1327</v>
      </c>
      <c r="I937" s="3155" t="s">
        <v>116</v>
      </c>
      <c r="J937" s="3137" t="s">
        <v>1230</v>
      </c>
      <c r="K937" s="3137"/>
      <c r="L937" s="3154" t="s">
        <v>116</v>
      </c>
      <c r="M937" s="3137" t="s">
        <v>1231</v>
      </c>
      <c r="N937" s="3137"/>
      <c r="O937" s="3154" t="s">
        <v>116</v>
      </c>
      <c r="P937" s="3137" t="s">
        <v>1232</v>
      </c>
      <c r="Q937" s="3171"/>
      <c r="R937" s="3171"/>
      <c r="S937" s="3171"/>
      <c r="T937" s="3171"/>
      <c r="U937" s="3171"/>
      <c r="V937" s="3171"/>
      <c r="W937" s="3171"/>
      <c r="X937" s="3297"/>
      <c r="Y937" s="3293"/>
      <c r="Z937" s="1201"/>
      <c r="AA937" s="1201"/>
      <c r="AB937" s="1202"/>
      <c r="AC937" s="3292"/>
      <c r="AD937" s="3291"/>
      <c r="AE937" s="3291"/>
      <c r="AF937" s="3290"/>
      <c r="AI937" s="3120" t="str">
        <f>"55:field228:" &amp; IF(I937="■",1,IF(L937="■",2,IF(O937="■",3,0)))</f>
        <v>55:field228:0</v>
      </c>
    </row>
    <row r="938" spans="1:36" s="3120" customFormat="1" ht="18.75" customHeight="1" x14ac:dyDescent="0.2">
      <c r="A938" s="834"/>
      <c r="B938" s="3148"/>
      <c r="C938" s="3295"/>
      <c r="D938" s="3294"/>
      <c r="E938" s="3145"/>
      <c r="F938" s="3144"/>
      <c r="G938" s="3145"/>
      <c r="H938" s="3151" t="s">
        <v>244</v>
      </c>
      <c r="I938" s="3155" t="s">
        <v>116</v>
      </c>
      <c r="J938" s="3137" t="s">
        <v>1230</v>
      </c>
      <c r="K938" s="3137"/>
      <c r="L938" s="3154" t="s">
        <v>116</v>
      </c>
      <c r="M938" s="3137" t="s">
        <v>1231</v>
      </c>
      <c r="N938" s="3137"/>
      <c r="O938" s="3154" t="s">
        <v>116</v>
      </c>
      <c r="P938" s="3137" t="s">
        <v>1232</v>
      </c>
      <c r="Q938" s="3150"/>
      <c r="R938" s="3137"/>
      <c r="S938" s="3137"/>
      <c r="T938" s="3137"/>
      <c r="U938" s="3137"/>
      <c r="V938" s="3137"/>
      <c r="W938" s="3137"/>
      <c r="X938" s="3136"/>
      <c r="Y938" s="3293"/>
      <c r="Z938" s="1201"/>
      <c r="AA938" s="1201"/>
      <c r="AB938" s="1202"/>
      <c r="AC938" s="3292"/>
      <c r="AD938" s="3291"/>
      <c r="AE938" s="3291"/>
      <c r="AF938" s="3290"/>
      <c r="AI938" s="3120" t="str">
        <f>"55:field164:" &amp; IF(I938="■",1,IF(L938="■",2,IF(O938="■",3,0)))</f>
        <v>55:field164:0</v>
      </c>
    </row>
    <row r="939" spans="1:36" s="3120" customFormat="1" ht="18.75" customHeight="1" x14ac:dyDescent="0.2">
      <c r="A939" s="834"/>
      <c r="B939" s="3148"/>
      <c r="C939" s="3295"/>
      <c r="D939" s="3294"/>
      <c r="E939" s="3145"/>
      <c r="F939" s="3144"/>
      <c r="G939" s="3145"/>
      <c r="H939" s="3151" t="s">
        <v>1323</v>
      </c>
      <c r="I939" s="3155" t="s">
        <v>116</v>
      </c>
      <c r="J939" s="3137" t="s">
        <v>1230</v>
      </c>
      <c r="K939" s="3137"/>
      <c r="L939" s="3154" t="s">
        <v>116</v>
      </c>
      <c r="M939" s="3139" t="s">
        <v>1233</v>
      </c>
      <c r="N939" s="3137"/>
      <c r="O939" s="3137"/>
      <c r="P939" s="3137"/>
      <c r="Q939" s="3171"/>
      <c r="R939" s="3171"/>
      <c r="S939" s="3171"/>
      <c r="T939" s="3171"/>
      <c r="U939" s="3171"/>
      <c r="V939" s="3171"/>
      <c r="W939" s="3171"/>
      <c r="X939" s="3297"/>
      <c r="Y939" s="3293"/>
      <c r="Z939" s="1201"/>
      <c r="AA939" s="1201"/>
      <c r="AB939" s="1202"/>
      <c r="AC939" s="3292"/>
      <c r="AD939" s="3291"/>
      <c r="AE939" s="3291"/>
      <c r="AF939" s="3290"/>
      <c r="AI939" s="3120" t="str">
        <f>"55:field226:" &amp; IF(I939="■",1,IF(L939="■",2,0))</f>
        <v>55:field226:0</v>
      </c>
    </row>
    <row r="940" spans="1:36" s="3120" customFormat="1" ht="18.75" customHeight="1" x14ac:dyDescent="0.2">
      <c r="A940" s="834"/>
      <c r="B940" s="3148"/>
      <c r="C940" s="3295"/>
      <c r="D940" s="3294"/>
      <c r="E940" s="3145"/>
      <c r="F940" s="3144"/>
      <c r="G940" s="3145"/>
      <c r="H940" s="3151" t="s">
        <v>1324</v>
      </c>
      <c r="I940" s="3155" t="s">
        <v>116</v>
      </c>
      <c r="J940" s="3137" t="s">
        <v>1230</v>
      </c>
      <c r="K940" s="3137"/>
      <c r="L940" s="3154" t="s">
        <v>116</v>
      </c>
      <c r="M940" s="3139" t="s">
        <v>1233</v>
      </c>
      <c r="N940" s="3137"/>
      <c r="O940" s="3137"/>
      <c r="P940" s="3137"/>
      <c r="Q940" s="3171"/>
      <c r="R940" s="3171"/>
      <c r="S940" s="3171"/>
      <c r="T940" s="3171"/>
      <c r="U940" s="3171"/>
      <c r="V940" s="3171"/>
      <c r="W940" s="3171"/>
      <c r="X940" s="3297"/>
      <c r="Y940" s="3293"/>
      <c r="Z940" s="1201"/>
      <c r="AA940" s="1201"/>
      <c r="AB940" s="1202"/>
      <c r="AC940" s="3292"/>
      <c r="AD940" s="3291"/>
      <c r="AE940" s="3291"/>
      <c r="AF940" s="3290"/>
      <c r="AI940" s="3120" t="str">
        <f>"55:field227:" &amp; IF(I940="■",1,IF(L940="■",2,0))</f>
        <v>55:field227:0</v>
      </c>
    </row>
    <row r="941" spans="1:36" s="3120" customFormat="1" ht="18.75" customHeight="1" x14ac:dyDescent="0.2">
      <c r="A941" s="834"/>
      <c r="B941" s="3148"/>
      <c r="C941" s="3295"/>
      <c r="D941" s="3294"/>
      <c r="E941" s="3145"/>
      <c r="F941" s="3144"/>
      <c r="G941" s="3145"/>
      <c r="H941" s="3296" t="s">
        <v>1285</v>
      </c>
      <c r="I941" s="3155" t="s">
        <v>116</v>
      </c>
      <c r="J941" s="3137" t="s">
        <v>1230</v>
      </c>
      <c r="K941" s="3137"/>
      <c r="L941" s="3154" t="s">
        <v>116</v>
      </c>
      <c r="M941" s="3137" t="s">
        <v>1231</v>
      </c>
      <c r="N941" s="3137"/>
      <c r="O941" s="3154" t="s">
        <v>116</v>
      </c>
      <c r="P941" s="3137" t="s">
        <v>1232</v>
      </c>
      <c r="Q941" s="3150"/>
      <c r="R941" s="3150"/>
      <c r="S941" s="3150"/>
      <c r="T941" s="3150"/>
      <c r="U941" s="3209"/>
      <c r="V941" s="3209"/>
      <c r="W941" s="3209"/>
      <c r="X941" s="3208"/>
      <c r="Y941" s="3293"/>
      <c r="Z941" s="1201"/>
      <c r="AA941" s="1201"/>
      <c r="AB941" s="1202"/>
      <c r="AC941" s="3292"/>
      <c r="AD941" s="3291"/>
      <c r="AE941" s="3291"/>
      <c r="AF941" s="3290"/>
      <c r="AI941" s="3120" t="str">
        <f>"55:field225:" &amp; IF(I941="■",1,IF(L941="■",2,IF(O941="■",3,0)))</f>
        <v>55:field225:0</v>
      </c>
    </row>
    <row r="942" spans="1:36" s="3120" customFormat="1" ht="18.75" customHeight="1" x14ac:dyDescent="0.2">
      <c r="A942" s="834"/>
      <c r="B942" s="3148"/>
      <c r="C942" s="3295"/>
      <c r="D942" s="3294"/>
      <c r="E942" s="3145"/>
      <c r="F942" s="3144"/>
      <c r="G942" s="3145"/>
      <c r="H942" s="3151" t="s">
        <v>238</v>
      </c>
      <c r="I942" s="3155" t="s">
        <v>116</v>
      </c>
      <c r="J942" s="3137" t="s">
        <v>1230</v>
      </c>
      <c r="K942" s="3137"/>
      <c r="L942" s="3154" t="s">
        <v>116</v>
      </c>
      <c r="M942" s="3137" t="s">
        <v>1259</v>
      </c>
      <c r="N942" s="3137"/>
      <c r="O942" s="3154" t="s">
        <v>116</v>
      </c>
      <c r="P942" s="3137" t="s">
        <v>1260</v>
      </c>
      <c r="Q942" s="3153"/>
      <c r="R942" s="3154" t="s">
        <v>116</v>
      </c>
      <c r="S942" s="3137" t="s">
        <v>1261</v>
      </c>
      <c r="T942" s="3137"/>
      <c r="U942" s="3137"/>
      <c r="V942" s="3137"/>
      <c r="W942" s="3137"/>
      <c r="X942" s="3136"/>
      <c r="Y942" s="3293"/>
      <c r="Z942" s="1201"/>
      <c r="AA942" s="1201"/>
      <c r="AB942" s="1202"/>
      <c r="AC942" s="3292"/>
      <c r="AD942" s="3291"/>
      <c r="AE942" s="3291"/>
      <c r="AF942" s="3290"/>
      <c r="AI942" s="3120" t="str">
        <f>"55:serteikyo_kyoka_code:" &amp; IF(I942="■",1,IF(L942="■",6,IF(O942="■",5,IF(R942="■",7,0))))</f>
        <v>55:serteikyo_kyoka_code:0</v>
      </c>
    </row>
    <row r="943" spans="1:36" s="3120" customFormat="1" ht="18.75" customHeight="1" x14ac:dyDescent="0.2">
      <c r="A943" s="835"/>
      <c r="B943" s="3135"/>
      <c r="C943" s="3134"/>
      <c r="D943" s="3133"/>
      <c r="E943" s="3132"/>
      <c r="F943" s="3131"/>
      <c r="G943" s="3189"/>
      <c r="H943" s="3289" t="s">
        <v>2129</v>
      </c>
      <c r="I943" s="3128" t="s">
        <v>116</v>
      </c>
      <c r="J943" s="3285" t="s">
        <v>1230</v>
      </c>
      <c r="K943" s="3285"/>
      <c r="L943" s="3127" t="s">
        <v>116</v>
      </c>
      <c r="M943" s="3285" t="s">
        <v>2128</v>
      </c>
      <c r="N943" s="3288"/>
      <c r="O943" s="3127" t="s">
        <v>116</v>
      </c>
      <c r="P943" s="3287" t="s">
        <v>2127</v>
      </c>
      <c r="Q943" s="3286"/>
      <c r="R943" s="3127" t="s">
        <v>116</v>
      </c>
      <c r="S943" s="3285" t="s">
        <v>2126</v>
      </c>
      <c r="T943" s="3286"/>
      <c r="U943" s="3127" t="s">
        <v>116</v>
      </c>
      <c r="V943" s="3285" t="s">
        <v>2125</v>
      </c>
      <c r="W943" s="3284"/>
      <c r="X943" s="3283"/>
      <c r="Y943" s="3282"/>
      <c r="Z943" s="3282"/>
      <c r="AA943" s="3282"/>
      <c r="AB943" s="3281"/>
      <c r="AC943" s="3280"/>
      <c r="AD943" s="3279"/>
      <c r="AE943" s="3279"/>
      <c r="AF943" s="3278"/>
      <c r="AI943" s="3120" t="str">
        <f>"55:shoguukaizen_code:"&amp;IF(I943="■",1,IF(L943="■",7,IF(O943="■",8,IF(R943="■",9,IF(U943="■","A",0)))))</f>
        <v>55:shoguukaizen_code:0</v>
      </c>
    </row>
    <row r="944" spans="1:36" s="3120" customFormat="1" ht="18.75" customHeight="1" x14ac:dyDescent="0.2">
      <c r="A944" s="3188"/>
      <c r="B944" s="3187"/>
      <c r="C944" s="3313"/>
      <c r="D944" s="3312"/>
      <c r="E944" s="3185"/>
      <c r="F944" s="3184"/>
      <c r="G944" s="3185"/>
      <c r="H944" s="3265" t="s">
        <v>1286</v>
      </c>
      <c r="I944" s="3253" t="s">
        <v>116</v>
      </c>
      <c r="J944" s="3252" t="s">
        <v>1282</v>
      </c>
      <c r="K944" s="3311"/>
      <c r="L944" s="3309"/>
      <c r="M944" s="3310" t="s">
        <v>116</v>
      </c>
      <c r="N944" s="3252" t="s">
        <v>1289</v>
      </c>
      <c r="O944" s="3309"/>
      <c r="P944" s="3309"/>
      <c r="Q944" s="3310" t="s">
        <v>116</v>
      </c>
      <c r="R944" s="3252" t="s">
        <v>1290</v>
      </c>
      <c r="S944" s="3309"/>
      <c r="T944" s="3309"/>
      <c r="U944" s="3310" t="s">
        <v>116</v>
      </c>
      <c r="V944" s="3252" t="s">
        <v>1291</v>
      </c>
      <c r="W944" s="3309"/>
      <c r="X944" s="3266"/>
      <c r="Y944" s="3253" t="s">
        <v>116</v>
      </c>
      <c r="Z944" s="3252" t="s">
        <v>1225</v>
      </c>
      <c r="AA944" s="3252"/>
      <c r="AB944" s="3308"/>
      <c r="AC944" s="3307"/>
      <c r="AD944" s="3306"/>
      <c r="AE944" s="3306"/>
      <c r="AF944" s="3305"/>
      <c r="AG944" s="3120" t="str">
        <f>"ser_code = '" &amp; IF(A960="■",55,"") &amp; "'"</f>
        <v>ser_code = ''</v>
      </c>
      <c r="AH944" s="3120" t="str">
        <f>"55:jininkbn_code:"&amp;IF(F960="■",1,IF(F961="■",2,0))</f>
        <v>55:jininkbn_code:0</v>
      </c>
      <c r="AI944" s="3120" t="str">
        <f>"55:yakan_kinmu_code:" &amp; IF(I944="■",1,IF(M944="■",2,IF(Q944="■",3,IF(U944="■",7,IF(I945="■",5,IF(M945="■",6,0))))))</f>
        <v>55:yakan_kinmu_code:0</v>
      </c>
      <c r="AJ944" s="3120" t="str">
        <f>"55:field203:" &amp; IF(Y944="■",1,IF(Y945="■",2,0))</f>
        <v>55:field203:0</v>
      </c>
    </row>
    <row r="945" spans="1:35" s="3120" customFormat="1" ht="18.75" customHeight="1" x14ac:dyDescent="0.2">
      <c r="A945" s="834"/>
      <c r="B945" s="3148"/>
      <c r="C945" s="3295"/>
      <c r="D945" s="3294"/>
      <c r="E945" s="3145"/>
      <c r="F945" s="3144"/>
      <c r="G945" s="3145"/>
      <c r="H945" s="3300"/>
      <c r="I945" s="3141" t="s">
        <v>116</v>
      </c>
      <c r="J945" s="3139" t="s">
        <v>1292</v>
      </c>
      <c r="K945" s="3138"/>
      <c r="L945" s="3162"/>
      <c r="M945" s="3140" t="s">
        <v>116</v>
      </c>
      <c r="N945" s="3139" t="s">
        <v>1283</v>
      </c>
      <c r="O945" s="3162"/>
      <c r="P945" s="3162"/>
      <c r="Q945" s="3162"/>
      <c r="R945" s="3162"/>
      <c r="S945" s="3162"/>
      <c r="T945" s="3162"/>
      <c r="U945" s="3162"/>
      <c r="V945" s="3162"/>
      <c r="W945" s="3162"/>
      <c r="X945" s="3161"/>
      <c r="Y945" s="3158" t="s">
        <v>116</v>
      </c>
      <c r="Z945" s="1200" t="s">
        <v>1226</v>
      </c>
      <c r="AA945" s="1201"/>
      <c r="AB945" s="1202"/>
      <c r="AC945" s="3292"/>
      <c r="AD945" s="3291"/>
      <c r="AE945" s="3291"/>
      <c r="AF945" s="3290"/>
      <c r="AG945" s="3120" t="str">
        <f>"55:sisetukbn_code:" &amp; IF(D960="■",4,0)</f>
        <v>55:sisetukbn_code:0</v>
      </c>
    </row>
    <row r="946" spans="1:35" s="3120" customFormat="1" ht="18.75" customHeight="1" x14ac:dyDescent="0.2">
      <c r="A946" s="834"/>
      <c r="B946" s="3148"/>
      <c r="C946" s="3295"/>
      <c r="D946" s="3294"/>
      <c r="E946" s="3145"/>
      <c r="F946" s="3144"/>
      <c r="G946" s="3145"/>
      <c r="H946" s="3304" t="s">
        <v>90</v>
      </c>
      <c r="I946" s="3303" t="s">
        <v>116</v>
      </c>
      <c r="J946" s="3302" t="s">
        <v>1230</v>
      </c>
      <c r="K946" s="3302"/>
      <c r="L946" s="3167"/>
      <c r="M946" s="3301" t="s">
        <v>116</v>
      </c>
      <c r="N946" s="3302" t="s">
        <v>1262</v>
      </c>
      <c r="O946" s="3302"/>
      <c r="P946" s="3167"/>
      <c r="Q946" s="3310" t="s">
        <v>116</v>
      </c>
      <c r="R946" s="3167" t="s">
        <v>1302</v>
      </c>
      <c r="S946" s="3167"/>
      <c r="T946" s="3167"/>
      <c r="U946" s="3310" t="s">
        <v>116</v>
      </c>
      <c r="V946" s="3167" t="s">
        <v>1303</v>
      </c>
      <c r="W946" s="3209"/>
      <c r="X946" s="3208"/>
      <c r="Y946" s="3293"/>
      <c r="Z946" s="1201"/>
      <c r="AA946" s="1201"/>
      <c r="AB946" s="1202"/>
      <c r="AC946" s="3292"/>
      <c r="AD946" s="3291"/>
      <c r="AE946" s="3291"/>
      <c r="AF946" s="3290"/>
      <c r="AI946" s="3120" t="str">
        <f>"55:"&amp;IF(AND(I946="□",M946="□",Q946="□",U946="□",I947="□",M947="□"),"ketu_doctor_code:0",IF(I946="■","ketu_doctor_code:1:field197:1:ketu_kangos_code:1:ketu_kshoku_code:1:ketu_ksiensou_code:1",IF(M946="■","ketu_doctor_code:2","ketu_doctor_code:1")
&amp;IF(Q946="■",":field197:2",":field197:1")
&amp;IF(U946="■",":ketu_kangos_code:2",":ketu_kangos_code:1")
&amp;IF(I947="■",":ketu_kshoku_code:2",":ketu_kshoku_code:1")
&amp;IF(M947="■",":ketu_ksiensou_code:2",":ketu_ksiensou_code:1")))</f>
        <v>55:ketu_doctor_code:0</v>
      </c>
    </row>
    <row r="947" spans="1:35" s="3120" customFormat="1" ht="18.75" customHeight="1" x14ac:dyDescent="0.2">
      <c r="A947" s="834"/>
      <c r="B947" s="3148"/>
      <c r="C947" s="3295"/>
      <c r="D947" s="3294"/>
      <c r="E947" s="3145"/>
      <c r="F947" s="3144"/>
      <c r="G947" s="3145"/>
      <c r="H947" s="3300"/>
      <c r="I947" s="3141" t="s">
        <v>116</v>
      </c>
      <c r="J947" s="3162" t="s">
        <v>1304</v>
      </c>
      <c r="K947" s="3139"/>
      <c r="L947" s="3162"/>
      <c r="M947" s="3140" t="s">
        <v>116</v>
      </c>
      <c r="N947" s="3139" t="s">
        <v>1328</v>
      </c>
      <c r="O947" s="3139"/>
      <c r="P947" s="3162"/>
      <c r="Q947" s="3162"/>
      <c r="R947" s="3162"/>
      <c r="S947" s="3162"/>
      <c r="T947" s="3162"/>
      <c r="U947" s="3162"/>
      <c r="V947" s="3162"/>
      <c r="W947" s="3207"/>
      <c r="X947" s="3206"/>
      <c r="Y947" s="3293"/>
      <c r="Z947" s="1201"/>
      <c r="AA947" s="1201"/>
      <c r="AB947" s="1202"/>
      <c r="AC947" s="3292"/>
      <c r="AD947" s="3291"/>
      <c r="AE947" s="3291"/>
      <c r="AF947" s="3290"/>
    </row>
    <row r="948" spans="1:35" s="3120" customFormat="1" ht="18.75" customHeight="1" x14ac:dyDescent="0.2">
      <c r="A948" s="834"/>
      <c r="B948" s="3148"/>
      <c r="C948" s="3295"/>
      <c r="D948" s="3294"/>
      <c r="E948" s="3145"/>
      <c r="F948" s="3144"/>
      <c r="G948" s="3145"/>
      <c r="H948" s="3151" t="s">
        <v>91</v>
      </c>
      <c r="I948" s="3155" t="s">
        <v>116</v>
      </c>
      <c r="J948" s="3137" t="s">
        <v>1240</v>
      </c>
      <c r="K948" s="3171"/>
      <c r="L948" s="3173"/>
      <c r="M948" s="3154" t="s">
        <v>116</v>
      </c>
      <c r="N948" s="3137" t="s">
        <v>1241</v>
      </c>
      <c r="O948" s="3171"/>
      <c r="P948" s="3171"/>
      <c r="Q948" s="3171"/>
      <c r="R948" s="3171"/>
      <c r="S948" s="3171"/>
      <c r="T948" s="3171"/>
      <c r="U948" s="3171"/>
      <c r="V948" s="3171"/>
      <c r="W948" s="3171"/>
      <c r="X948" s="3297"/>
      <c r="Y948" s="3293"/>
      <c r="Z948" s="1201"/>
      <c r="AA948" s="1201"/>
      <c r="AB948" s="1202"/>
      <c r="AC948" s="3292"/>
      <c r="AD948" s="3291"/>
      <c r="AE948" s="3291"/>
      <c r="AF948" s="3290"/>
      <c r="AI948" s="3120" t="str">
        <f>"55:unitcare_code:" &amp; IF(I948="■",1,IF(M948="■",2,0))</f>
        <v>55:unitcare_code:0</v>
      </c>
    </row>
    <row r="949" spans="1:35" s="3120" customFormat="1" ht="18.75" customHeight="1" x14ac:dyDescent="0.2">
      <c r="A949" s="834"/>
      <c r="B949" s="3148"/>
      <c r="C949" s="3295"/>
      <c r="D949" s="3294"/>
      <c r="E949" s="3145"/>
      <c r="F949" s="3144"/>
      <c r="G949" s="3145"/>
      <c r="H949" s="3151" t="s">
        <v>1325</v>
      </c>
      <c r="I949" s="3155" t="s">
        <v>116</v>
      </c>
      <c r="J949" s="3137" t="s">
        <v>1228</v>
      </c>
      <c r="K949" s="3171"/>
      <c r="L949" s="3173"/>
      <c r="M949" s="3154" t="s">
        <v>116</v>
      </c>
      <c r="N949" s="3137" t="s">
        <v>1322</v>
      </c>
      <c r="O949" s="3150"/>
      <c r="P949" s="3171"/>
      <c r="Q949" s="3171"/>
      <c r="R949" s="3171"/>
      <c r="S949" s="3171"/>
      <c r="T949" s="3171"/>
      <c r="U949" s="3171"/>
      <c r="V949" s="3171"/>
      <c r="W949" s="3171"/>
      <c r="X949" s="3297"/>
      <c r="Y949" s="3293"/>
      <c r="Z949" s="1201"/>
      <c r="AA949" s="1201"/>
      <c r="AB949" s="1202"/>
      <c r="AC949" s="3292"/>
      <c r="AD949" s="3291"/>
      <c r="AE949" s="3291"/>
      <c r="AF949" s="3290"/>
      <c r="AI949" s="3120" t="str">
        <f>"55:sintaikousoku_code:" &amp; IF(I949="■",1,IF(M949="■",2,0))</f>
        <v>55:sintaikousoku_code:0</v>
      </c>
    </row>
    <row r="950" spans="1:35" s="3120" customFormat="1" ht="18.75" customHeight="1" x14ac:dyDescent="0.2">
      <c r="A950" s="834"/>
      <c r="B950" s="3148"/>
      <c r="C950" s="3295"/>
      <c r="D950" s="3294"/>
      <c r="E950" s="3145"/>
      <c r="F950" s="3144"/>
      <c r="G950" s="3145"/>
      <c r="H950" s="3151" t="s">
        <v>792</v>
      </c>
      <c r="I950" s="3155" t="s">
        <v>116</v>
      </c>
      <c r="J950" s="3137" t="s">
        <v>1228</v>
      </c>
      <c r="K950" s="3171"/>
      <c r="L950" s="3173"/>
      <c r="M950" s="3154" t="s">
        <v>116</v>
      </c>
      <c r="N950" s="3137" t="s">
        <v>1322</v>
      </c>
      <c r="O950" s="3150"/>
      <c r="P950" s="3171"/>
      <c r="Q950" s="3171"/>
      <c r="R950" s="3171"/>
      <c r="S950" s="3171"/>
      <c r="T950" s="3171"/>
      <c r="U950" s="3171"/>
      <c r="V950" s="3171"/>
      <c r="W950" s="3171"/>
      <c r="X950" s="3297"/>
      <c r="Y950" s="3293"/>
      <c r="Z950" s="1201"/>
      <c r="AA950" s="1201"/>
      <c r="AB950" s="1202"/>
      <c r="AC950" s="3292"/>
      <c r="AD950" s="3291"/>
      <c r="AE950" s="3291"/>
      <c r="AF950" s="3290"/>
      <c r="AI950" s="3120" t="str">
        <f>"55:field208:" &amp; IF(I950="■",1,IF(M950="■",2,0))</f>
        <v>55:field208:0</v>
      </c>
    </row>
    <row r="951" spans="1:35" s="3120" customFormat="1" ht="19.5" customHeight="1" x14ac:dyDescent="0.2">
      <c r="A951" s="834"/>
      <c r="B951" s="3148"/>
      <c r="C951" s="3147"/>
      <c r="D951" s="3146"/>
      <c r="E951" s="3145"/>
      <c r="F951" s="3144"/>
      <c r="G951" s="3175"/>
      <c r="H951" s="3174" t="s">
        <v>1227</v>
      </c>
      <c r="I951" s="3155" t="s">
        <v>116</v>
      </c>
      <c r="J951" s="3137" t="s">
        <v>1228</v>
      </c>
      <c r="K951" s="3171"/>
      <c r="L951" s="3173"/>
      <c r="M951" s="3154" t="s">
        <v>116</v>
      </c>
      <c r="N951" s="3137" t="s">
        <v>1229</v>
      </c>
      <c r="O951" s="3299"/>
      <c r="P951" s="3137"/>
      <c r="Q951" s="3150"/>
      <c r="R951" s="3150"/>
      <c r="S951" s="3150"/>
      <c r="T951" s="3150"/>
      <c r="U951" s="3150"/>
      <c r="V951" s="3150"/>
      <c r="W951" s="3150"/>
      <c r="X951" s="3149"/>
      <c r="Y951" s="1201"/>
      <c r="Z951" s="1201"/>
      <c r="AA951" s="1201"/>
      <c r="AB951" s="1202"/>
      <c r="AC951" s="3292"/>
      <c r="AD951" s="3291"/>
      <c r="AE951" s="3291"/>
      <c r="AF951" s="3290"/>
      <c r="AI951" s="3120" t="str">
        <f>"55:field223:" &amp; IF(I951="■",1,IF(M951="■",2,0))</f>
        <v>55:field223:0</v>
      </c>
    </row>
    <row r="952" spans="1:35" s="3120" customFormat="1" ht="19.5" customHeight="1" x14ac:dyDescent="0.2">
      <c r="A952" s="834"/>
      <c r="B952" s="3148"/>
      <c r="C952" s="3147"/>
      <c r="D952" s="3146"/>
      <c r="E952" s="3145"/>
      <c r="F952" s="3144"/>
      <c r="G952" s="3175"/>
      <c r="H952" s="3174" t="s">
        <v>1253</v>
      </c>
      <c r="I952" s="3155" t="s">
        <v>116</v>
      </c>
      <c r="J952" s="3137" t="s">
        <v>1228</v>
      </c>
      <c r="K952" s="3171"/>
      <c r="L952" s="3173"/>
      <c r="M952" s="3154" t="s">
        <v>116</v>
      </c>
      <c r="N952" s="3137" t="s">
        <v>1229</v>
      </c>
      <c r="O952" s="3299"/>
      <c r="P952" s="3137"/>
      <c r="Q952" s="3150"/>
      <c r="R952" s="3150"/>
      <c r="S952" s="3150"/>
      <c r="T952" s="3150"/>
      <c r="U952" s="3150"/>
      <c r="V952" s="3150"/>
      <c r="W952" s="3150"/>
      <c r="X952" s="3149"/>
      <c r="Y952" s="1201"/>
      <c r="Z952" s="1201"/>
      <c r="AA952" s="1201"/>
      <c r="AB952" s="1202"/>
      <c r="AC952" s="3292"/>
      <c r="AD952" s="3291"/>
      <c r="AE952" s="3291"/>
      <c r="AF952" s="3290"/>
      <c r="AI952" s="3120" t="str">
        <f>"55:field232:" &amp; IF(I952="■",1,IF(M952="■",2,0))</f>
        <v>55:field232:0</v>
      </c>
    </row>
    <row r="953" spans="1:35" s="3120" customFormat="1" ht="18.75" customHeight="1" x14ac:dyDescent="0.2">
      <c r="A953" s="834"/>
      <c r="B953" s="3148"/>
      <c r="C953" s="3295"/>
      <c r="D953" s="3294"/>
      <c r="E953" s="3145"/>
      <c r="F953" s="3144"/>
      <c r="G953" s="3145"/>
      <c r="H953" s="3170" t="s">
        <v>1326</v>
      </c>
      <c r="I953" s="3248" t="s">
        <v>116</v>
      </c>
      <c r="J953" s="3210" t="s">
        <v>1230</v>
      </c>
      <c r="K953" s="3210"/>
      <c r="L953" s="3298" t="s">
        <v>116</v>
      </c>
      <c r="M953" s="3210" t="s">
        <v>1233</v>
      </c>
      <c r="N953" s="3210"/>
      <c r="O953" s="3167"/>
      <c r="P953" s="3167"/>
      <c r="Q953" s="3167"/>
      <c r="R953" s="3167"/>
      <c r="S953" s="3167"/>
      <c r="T953" s="3167"/>
      <c r="U953" s="3167"/>
      <c r="V953" s="3167"/>
      <c r="W953" s="3167"/>
      <c r="X953" s="3166"/>
      <c r="Y953" s="3293"/>
      <c r="Z953" s="1201"/>
      <c r="AA953" s="1201"/>
      <c r="AB953" s="1202"/>
      <c r="AC953" s="3292"/>
      <c r="AD953" s="3291"/>
      <c r="AE953" s="3291"/>
      <c r="AF953" s="3290"/>
      <c r="AI953" s="3120" t="str">
        <f>"55:field206:" &amp; IF(I953="■",1,IF(L953="■",2,0))</f>
        <v>55:field206:0</v>
      </c>
    </row>
    <row r="954" spans="1:35" s="3120" customFormat="1" ht="18.75" customHeight="1" x14ac:dyDescent="0.2">
      <c r="A954" s="834"/>
      <c r="B954" s="3148"/>
      <c r="C954" s="3295"/>
      <c r="D954" s="3294"/>
      <c r="E954" s="3145"/>
      <c r="F954" s="3144"/>
      <c r="G954" s="3145"/>
      <c r="H954" s="3165"/>
      <c r="I954" s="3200"/>
      <c r="J954" s="3163"/>
      <c r="K954" s="3163"/>
      <c r="L954" s="3199"/>
      <c r="M954" s="3163"/>
      <c r="N954" s="3163"/>
      <c r="O954" s="3162"/>
      <c r="P954" s="3162"/>
      <c r="Q954" s="3162"/>
      <c r="R954" s="3162"/>
      <c r="S954" s="3162"/>
      <c r="T954" s="3162"/>
      <c r="U954" s="3162"/>
      <c r="V954" s="3162"/>
      <c r="W954" s="3162"/>
      <c r="X954" s="3161"/>
      <c r="Y954" s="3293"/>
      <c r="Z954" s="1201"/>
      <c r="AA954" s="1201"/>
      <c r="AB954" s="1202"/>
      <c r="AC954" s="3292"/>
      <c r="AD954" s="3291"/>
      <c r="AE954" s="3291"/>
      <c r="AF954" s="3290"/>
    </row>
    <row r="955" spans="1:35" s="3120" customFormat="1" ht="18.75" customHeight="1" x14ac:dyDescent="0.2">
      <c r="A955" s="834"/>
      <c r="B955" s="3148"/>
      <c r="C955" s="3295"/>
      <c r="D955" s="3294"/>
      <c r="E955" s="3145"/>
      <c r="F955" s="3144"/>
      <c r="G955" s="3145"/>
      <c r="H955" s="3151" t="s">
        <v>236</v>
      </c>
      <c r="I955" s="3155" t="s">
        <v>116</v>
      </c>
      <c r="J955" s="3137" t="s">
        <v>1329</v>
      </c>
      <c r="K955" s="3171"/>
      <c r="L955" s="3173"/>
      <c r="M955" s="3154" t="s">
        <v>116</v>
      </c>
      <c r="N955" s="3137" t="s">
        <v>1293</v>
      </c>
      <c r="O955" s="3150"/>
      <c r="P955" s="3171"/>
      <c r="Q955" s="3171"/>
      <c r="R955" s="3171"/>
      <c r="S955" s="3171"/>
      <c r="T955" s="3171"/>
      <c r="U955" s="3171"/>
      <c r="V955" s="3171"/>
      <c r="W955" s="3171"/>
      <c r="X955" s="3297"/>
      <c r="Y955" s="3293"/>
      <c r="Z955" s="1201"/>
      <c r="AA955" s="1201"/>
      <c r="AB955" s="1202"/>
      <c r="AC955" s="3292"/>
      <c r="AD955" s="3291"/>
      <c r="AE955" s="3291"/>
      <c r="AF955" s="3290"/>
      <c r="AI955" s="3120" t="str">
        <f>"55:field190:" &amp; IF(I955="■",1,IF(M955="■",2,0))</f>
        <v>55:field190:0</v>
      </c>
    </row>
    <row r="956" spans="1:35" s="3120" customFormat="1" ht="18.75" customHeight="1" x14ac:dyDescent="0.2">
      <c r="A956" s="834"/>
      <c r="B956" s="3148"/>
      <c r="C956" s="3295"/>
      <c r="D956" s="3294"/>
      <c r="E956" s="3145"/>
      <c r="F956" s="3144"/>
      <c r="G956" s="3145"/>
      <c r="H956" s="3151" t="s">
        <v>1305</v>
      </c>
      <c r="I956" s="3155" t="s">
        <v>116</v>
      </c>
      <c r="J956" s="3137" t="s">
        <v>1329</v>
      </c>
      <c r="K956" s="3171"/>
      <c r="L956" s="3173"/>
      <c r="M956" s="3154" t="s">
        <v>116</v>
      </c>
      <c r="N956" s="3137" t="s">
        <v>1293</v>
      </c>
      <c r="O956" s="3150"/>
      <c r="P956" s="3171"/>
      <c r="Q956" s="3171"/>
      <c r="R956" s="3171"/>
      <c r="S956" s="3171"/>
      <c r="T956" s="3171"/>
      <c r="U956" s="3171"/>
      <c r="V956" s="3171"/>
      <c r="W956" s="3171"/>
      <c r="X956" s="3297"/>
      <c r="Y956" s="3293"/>
      <c r="Z956" s="1201"/>
      <c r="AA956" s="1201"/>
      <c r="AB956" s="1202"/>
      <c r="AC956" s="3292"/>
      <c r="AD956" s="3291"/>
      <c r="AE956" s="3291"/>
      <c r="AF956" s="3290"/>
      <c r="AI956" s="3120" t="str">
        <f>"55:field191:" &amp; IF(I956="■",1,IF(M956="■",2,0))</f>
        <v>55:field191:0</v>
      </c>
    </row>
    <row r="957" spans="1:35" s="3120" customFormat="1" ht="18.75" customHeight="1" x14ac:dyDescent="0.2">
      <c r="A957" s="834"/>
      <c r="B957" s="3148"/>
      <c r="C957" s="3295"/>
      <c r="D957" s="3294"/>
      <c r="E957" s="3145"/>
      <c r="F957" s="3144"/>
      <c r="G957" s="3145"/>
      <c r="H957" s="3151" t="s">
        <v>1330</v>
      </c>
      <c r="I957" s="3141" t="s">
        <v>116</v>
      </c>
      <c r="J957" s="3139" t="s">
        <v>1230</v>
      </c>
      <c r="K957" s="3138"/>
      <c r="L957" s="3140" t="s">
        <v>116</v>
      </c>
      <c r="M957" s="3139" t="s">
        <v>1233</v>
      </c>
      <c r="N957" s="3153"/>
      <c r="O957" s="3171"/>
      <c r="P957" s="3171"/>
      <c r="Q957" s="3171"/>
      <c r="R957" s="3171"/>
      <c r="S957" s="3171"/>
      <c r="T957" s="3171"/>
      <c r="U957" s="3171"/>
      <c r="V957" s="3171"/>
      <c r="W957" s="3171"/>
      <c r="X957" s="3297"/>
      <c r="Y957" s="3293"/>
      <c r="Z957" s="1201"/>
      <c r="AA957" s="1201"/>
      <c r="AB957" s="1202"/>
      <c r="AC957" s="3292"/>
      <c r="AD957" s="3291"/>
      <c r="AE957" s="3291"/>
      <c r="AF957" s="3290"/>
      <c r="AI957" s="3120" t="str">
        <f>"55:jyakuninti_uke_code:" &amp; IF(I957="■",1,IF(L957="■",2,0))</f>
        <v>55:jyakuninti_uke_code:0</v>
      </c>
    </row>
    <row r="958" spans="1:35" s="3120" customFormat="1" ht="18.75" customHeight="1" x14ac:dyDescent="0.2">
      <c r="A958" s="834"/>
      <c r="B958" s="3148"/>
      <c r="C958" s="3295"/>
      <c r="D958" s="3294"/>
      <c r="E958" s="3145"/>
      <c r="F958" s="3144"/>
      <c r="G958" s="3145"/>
      <c r="H958" s="3151" t="s">
        <v>794</v>
      </c>
      <c r="I958" s="3141" t="s">
        <v>116</v>
      </c>
      <c r="J958" s="3139" t="s">
        <v>1230</v>
      </c>
      <c r="K958" s="3138"/>
      <c r="L958" s="3140" t="s">
        <v>116</v>
      </c>
      <c r="M958" s="3139" t="s">
        <v>1233</v>
      </c>
      <c r="N958" s="3153"/>
      <c r="O958" s="3171"/>
      <c r="P958" s="3171"/>
      <c r="Q958" s="3171"/>
      <c r="R958" s="3171"/>
      <c r="S958" s="3171"/>
      <c r="T958" s="3171"/>
      <c r="U958" s="3171"/>
      <c r="V958" s="3171"/>
      <c r="W958" s="3171"/>
      <c r="X958" s="3297"/>
      <c r="Y958" s="3293"/>
      <c r="Z958" s="1201"/>
      <c r="AA958" s="1201"/>
      <c r="AB958" s="1202"/>
      <c r="AC958" s="3292"/>
      <c r="AD958" s="3291"/>
      <c r="AE958" s="3291"/>
      <c r="AF958" s="3290"/>
      <c r="AI958" s="3120" t="str">
        <f>"55:field207:" &amp; IF(I958="■",1,IF(L958="■",2,0))</f>
        <v>55:field207:0</v>
      </c>
    </row>
    <row r="959" spans="1:35" s="3120" customFormat="1" ht="18.75" customHeight="1" x14ac:dyDescent="0.2">
      <c r="A959" s="834"/>
      <c r="B959" s="3148"/>
      <c r="C959" s="3295"/>
      <c r="D959" s="3294"/>
      <c r="E959" s="3145"/>
      <c r="F959" s="3144"/>
      <c r="G959" s="3145"/>
      <c r="H959" s="3151" t="s">
        <v>140</v>
      </c>
      <c r="I959" s="3141" t="s">
        <v>116</v>
      </c>
      <c r="J959" s="3139" t="s">
        <v>1230</v>
      </c>
      <c r="K959" s="3138"/>
      <c r="L959" s="3140" t="s">
        <v>116</v>
      </c>
      <c r="M959" s="3139" t="s">
        <v>1233</v>
      </c>
      <c r="N959" s="3153"/>
      <c r="O959" s="3171"/>
      <c r="P959" s="3171"/>
      <c r="Q959" s="3171"/>
      <c r="R959" s="3171"/>
      <c r="S959" s="3171"/>
      <c r="T959" s="3171"/>
      <c r="U959" s="3171"/>
      <c r="V959" s="3171"/>
      <c r="W959" s="3171"/>
      <c r="X959" s="3297"/>
      <c r="Y959" s="3293"/>
      <c r="Z959" s="1201"/>
      <c r="AA959" s="1201"/>
      <c r="AB959" s="1202"/>
      <c r="AC959" s="3292"/>
      <c r="AD959" s="3291"/>
      <c r="AE959" s="3291"/>
      <c r="AF959" s="3290"/>
      <c r="AI959" s="3120" t="str">
        <f>"55:ryouyoushoku_code:" &amp; IF(I959="■",1,IF(L959="■",2,0))</f>
        <v>55:ryouyoushoku_code:0</v>
      </c>
    </row>
    <row r="960" spans="1:35" s="3120" customFormat="1" ht="18.75" customHeight="1" x14ac:dyDescent="0.2">
      <c r="A960" s="3158" t="s">
        <v>116</v>
      </c>
      <c r="B960" s="3148">
        <v>55</v>
      </c>
      <c r="C960" s="3295" t="s">
        <v>570</v>
      </c>
      <c r="D960" s="3158" t="s">
        <v>116</v>
      </c>
      <c r="E960" s="3145" t="s">
        <v>1340</v>
      </c>
      <c r="F960" s="3158" t="s">
        <v>116</v>
      </c>
      <c r="G960" s="3145" t="s">
        <v>1307</v>
      </c>
      <c r="H960" s="3304" t="s">
        <v>1332</v>
      </c>
      <c r="I960" s="3303" t="s">
        <v>116</v>
      </c>
      <c r="J960" s="3302" t="s">
        <v>1287</v>
      </c>
      <c r="K960" s="3302"/>
      <c r="L960" s="3209"/>
      <c r="M960" s="3209"/>
      <c r="N960" s="3209"/>
      <c r="O960" s="3209"/>
      <c r="P960" s="3301" t="s">
        <v>116</v>
      </c>
      <c r="Q960" s="3302" t="s">
        <v>1288</v>
      </c>
      <c r="R960" s="3209"/>
      <c r="S960" s="3209"/>
      <c r="T960" s="3209"/>
      <c r="U960" s="3209"/>
      <c r="V960" s="3209"/>
      <c r="W960" s="3209"/>
      <c r="X960" s="3208"/>
      <c r="Y960" s="3293"/>
      <c r="Z960" s="1201"/>
      <c r="AA960" s="1201"/>
      <c r="AB960" s="1202"/>
      <c r="AC960" s="3292"/>
      <c r="AD960" s="3291"/>
      <c r="AE960" s="3291"/>
      <c r="AF960" s="3290"/>
      <c r="AI960" s="3120" t="str">
        <f>"55:" &amp; IF(AND(I960="□",P960="□",I961="□"),"tokusin_jyusho_code:0:tokusin_yakuzai_code:0:shuudan_comu_code:0",IF(I960="■","tokusin_jyusho_code:2","tokusin_jyusho_code:1")
&amp;IF(P960="■",":tokusin_yakuzai_code:2",":tokusin_yakuzai_code:1")
&amp;IF(I961="■",":shuudan_comu_code:2",":shuudan_comu_code:1"))</f>
        <v>55:tokusin_jyusho_code:0:tokusin_yakuzai_code:0:shuudan_comu_code:0</v>
      </c>
    </row>
    <row r="961" spans="1:35" s="3120" customFormat="1" ht="18.75" customHeight="1" x14ac:dyDescent="0.2">
      <c r="A961" s="834"/>
      <c r="B961" s="3148"/>
      <c r="C961" s="3295"/>
      <c r="D961" s="3294"/>
      <c r="E961" s="3145"/>
      <c r="F961" s="3158" t="s">
        <v>116</v>
      </c>
      <c r="G961" s="3145" t="s">
        <v>1309</v>
      </c>
      <c r="H961" s="3300"/>
      <c r="I961" s="3141" t="s">
        <v>116</v>
      </c>
      <c r="J961" s="3139" t="s">
        <v>1294</v>
      </c>
      <c r="K961" s="3207"/>
      <c r="L961" s="3207"/>
      <c r="M961" s="3207"/>
      <c r="N961" s="3207"/>
      <c r="O961" s="3207"/>
      <c r="P961" s="3207"/>
      <c r="Q961" s="3162"/>
      <c r="R961" s="3207"/>
      <c r="S961" s="3207"/>
      <c r="T961" s="3207"/>
      <c r="U961" s="3207"/>
      <c r="V961" s="3207"/>
      <c r="W961" s="3207"/>
      <c r="X961" s="3206"/>
      <c r="Y961" s="3293"/>
      <c r="Z961" s="1201"/>
      <c r="AA961" s="1201"/>
      <c r="AB961" s="1202"/>
      <c r="AC961" s="3292"/>
      <c r="AD961" s="3291"/>
      <c r="AE961" s="3291"/>
      <c r="AF961" s="3290"/>
    </row>
    <row r="962" spans="1:35" s="3120" customFormat="1" ht="18.75" customHeight="1" x14ac:dyDescent="0.2">
      <c r="A962" s="834"/>
      <c r="B962" s="3148"/>
      <c r="C962" s="3295"/>
      <c r="D962" s="3294"/>
      <c r="E962" s="3145"/>
      <c r="F962" s="3144"/>
      <c r="G962" s="3145"/>
      <c r="H962" s="3304" t="s">
        <v>1300</v>
      </c>
      <c r="I962" s="3303" t="s">
        <v>116</v>
      </c>
      <c r="J962" s="3302" t="s">
        <v>1295</v>
      </c>
      <c r="K962" s="3317"/>
      <c r="L962" s="3316"/>
      <c r="M962" s="3301" t="s">
        <v>116</v>
      </c>
      <c r="N962" s="3302" t="s">
        <v>1296</v>
      </c>
      <c r="O962" s="3209"/>
      <c r="P962" s="3209"/>
      <c r="Q962" s="3301" t="s">
        <v>116</v>
      </c>
      <c r="R962" s="3302" t="s">
        <v>1297</v>
      </c>
      <c r="S962" s="3209"/>
      <c r="T962" s="3209"/>
      <c r="U962" s="3209"/>
      <c r="V962" s="3209"/>
      <c r="W962" s="3209"/>
      <c r="X962" s="3208"/>
      <c r="Y962" s="3293"/>
      <c r="Z962" s="1201"/>
      <c r="AA962" s="1201"/>
      <c r="AB962" s="1202"/>
      <c r="AC962" s="3292"/>
      <c r="AD962" s="3291"/>
      <c r="AE962" s="3291"/>
      <c r="AF962" s="3290"/>
      <c r="AI962" s="3120" t="str">
        <f>"55:"&amp;IF(AND(I962="□",M962="□",Q962="□",I963="□",Q963="□"),"koriha_rryoho1_code:0:koriha_sryoho_code:0:koriha_gengo_code:0:riha_seisin_code:0:koriha_other_code:0",IF(I962="■","koriha_rryoho1_code:2","koriha_rryoho1_code:1")
&amp;IF(M962="■",":koriha_sryoho_code:2",":koriha_sryoho_code:1")
&amp;IF(Q962="■",":koriha_gengo_code:2",":koriha_gengo_code:1")
&amp;IF(I963="■",":riha_seisin_code:2",":riha_seisin_code:1")
&amp;IF(Q963="■",":koriha_other_code:2",":koriha_other_code:1"))</f>
        <v>55:koriha_rryoho1_code:0:koriha_sryoho_code:0:koriha_gengo_code:0:riha_seisin_code:0:koriha_other_code:0</v>
      </c>
    </row>
    <row r="963" spans="1:35" s="3120" customFormat="1" ht="18.75" customHeight="1" x14ac:dyDescent="0.2">
      <c r="A963" s="834"/>
      <c r="B963" s="3148"/>
      <c r="C963" s="3295"/>
      <c r="D963" s="3294"/>
      <c r="E963" s="3145"/>
      <c r="F963" s="3144"/>
      <c r="G963" s="3145"/>
      <c r="H963" s="3300"/>
      <c r="I963" s="3141" t="s">
        <v>116</v>
      </c>
      <c r="J963" s="3139" t="s">
        <v>1298</v>
      </c>
      <c r="K963" s="3207"/>
      <c r="L963" s="3207"/>
      <c r="M963" s="3207"/>
      <c r="N963" s="3207"/>
      <c r="O963" s="3207"/>
      <c r="P963" s="3207"/>
      <c r="Q963" s="3140" t="s">
        <v>116</v>
      </c>
      <c r="R963" s="3139" t="s">
        <v>1299</v>
      </c>
      <c r="S963" s="3162"/>
      <c r="T963" s="3207"/>
      <c r="U963" s="3207"/>
      <c r="V963" s="3207"/>
      <c r="W963" s="3207"/>
      <c r="X963" s="3206"/>
      <c r="Y963" s="3293"/>
      <c r="Z963" s="1201"/>
      <c r="AA963" s="1201"/>
      <c r="AB963" s="1202"/>
      <c r="AC963" s="3292"/>
      <c r="AD963" s="3291"/>
      <c r="AE963" s="3291"/>
      <c r="AF963" s="3290"/>
    </row>
    <row r="964" spans="1:35" s="3120" customFormat="1" ht="18.75" customHeight="1" x14ac:dyDescent="0.2">
      <c r="A964" s="834"/>
      <c r="B964" s="3148"/>
      <c r="C964" s="3295"/>
      <c r="D964" s="3294"/>
      <c r="E964" s="3145"/>
      <c r="F964" s="3144"/>
      <c r="G964" s="3145"/>
      <c r="H964" s="3170" t="s">
        <v>1334</v>
      </c>
      <c r="I964" s="3248" t="s">
        <v>116</v>
      </c>
      <c r="J964" s="3210" t="s">
        <v>1230</v>
      </c>
      <c r="K964" s="3210"/>
      <c r="L964" s="3298" t="s">
        <v>116</v>
      </c>
      <c r="M964" s="3210" t="s">
        <v>1335</v>
      </c>
      <c r="N964" s="3210"/>
      <c r="O964" s="3210"/>
      <c r="P964" s="3298" t="s">
        <v>116</v>
      </c>
      <c r="Q964" s="3210" t="s">
        <v>1336</v>
      </c>
      <c r="R964" s="3210"/>
      <c r="S964" s="3210"/>
      <c r="T964" s="3298" t="s">
        <v>116</v>
      </c>
      <c r="U964" s="3210" t="s">
        <v>1337</v>
      </c>
      <c r="V964" s="3210"/>
      <c r="W964" s="3210"/>
      <c r="X964" s="3315"/>
      <c r="Y964" s="3293"/>
      <c r="Z964" s="1201"/>
      <c r="AA964" s="1201"/>
      <c r="AB964" s="1202"/>
      <c r="AC964" s="3292"/>
      <c r="AD964" s="3291"/>
      <c r="AE964" s="3291"/>
      <c r="AF964" s="3290"/>
      <c r="AI964" s="3120" t="str">
        <f>"55:"&amp;IF(AND(I964="□",L964="□",P964="□",T964="□"),"field236:0:field237:0:field238:0",IF(I964="■","field236:1:field237:1:field238:1",IF(L964="■","field236:2","field236:1")
&amp;IF(P964="■",":field237:2",":field237:1")
&amp;IF(T964="■",":field238:2",":field238:1")))</f>
        <v>55:field236:0:field237:0:field238:0</v>
      </c>
    </row>
    <row r="965" spans="1:35" s="3120" customFormat="1" ht="18.75" customHeight="1" x14ac:dyDescent="0.2">
      <c r="A965" s="834"/>
      <c r="B965" s="3148"/>
      <c r="C965" s="3295"/>
      <c r="D965" s="3294"/>
      <c r="E965" s="3145"/>
      <c r="F965" s="3144"/>
      <c r="G965" s="3145"/>
      <c r="H965" s="3165"/>
      <c r="I965" s="3200"/>
      <c r="J965" s="3163"/>
      <c r="K965" s="3163"/>
      <c r="L965" s="3199"/>
      <c r="M965" s="3163"/>
      <c r="N965" s="3163"/>
      <c r="O965" s="3163"/>
      <c r="P965" s="3199"/>
      <c r="Q965" s="3163"/>
      <c r="R965" s="3163"/>
      <c r="S965" s="3163"/>
      <c r="T965" s="3199"/>
      <c r="U965" s="3163"/>
      <c r="V965" s="3163"/>
      <c r="W965" s="3163"/>
      <c r="X965" s="3314"/>
      <c r="Y965" s="3293"/>
      <c r="Z965" s="1201"/>
      <c r="AA965" s="1201"/>
      <c r="AB965" s="1202"/>
      <c r="AC965" s="3292"/>
      <c r="AD965" s="3291"/>
      <c r="AE965" s="3291"/>
      <c r="AF965" s="3290"/>
    </row>
    <row r="966" spans="1:35" s="3120" customFormat="1" ht="18.75" customHeight="1" x14ac:dyDescent="0.2">
      <c r="A966" s="834"/>
      <c r="B966" s="3148"/>
      <c r="C966" s="3295"/>
      <c r="D966" s="3294"/>
      <c r="E966" s="3145"/>
      <c r="F966" s="3144"/>
      <c r="G966" s="3145"/>
      <c r="H966" s="3142" t="s">
        <v>1338</v>
      </c>
      <c r="I966" s="3141" t="s">
        <v>116</v>
      </c>
      <c r="J966" s="3139" t="s">
        <v>1230</v>
      </c>
      <c r="K966" s="3138"/>
      <c r="L966" s="3140" t="s">
        <v>116</v>
      </c>
      <c r="M966" s="3139" t="s">
        <v>1233</v>
      </c>
      <c r="N966" s="3171"/>
      <c r="O966" s="3171"/>
      <c r="P966" s="3171"/>
      <c r="Q966" s="3171"/>
      <c r="R966" s="3171"/>
      <c r="S966" s="3171"/>
      <c r="T966" s="3171"/>
      <c r="U966" s="3171"/>
      <c r="V966" s="3171"/>
      <c r="W966" s="3171"/>
      <c r="X966" s="3297"/>
      <c r="Y966" s="3293"/>
      <c r="Z966" s="1201"/>
      <c r="AA966" s="1201"/>
      <c r="AB966" s="1202"/>
      <c r="AC966" s="3292"/>
      <c r="AD966" s="3291"/>
      <c r="AE966" s="3291"/>
      <c r="AF966" s="3290"/>
      <c r="AI966" s="3120" t="str">
        <f>"55:ninti_riha_code:" &amp; IF(I966="■",1,IF(L966="■",2,0))</f>
        <v>55:ninti_riha_code:0</v>
      </c>
    </row>
    <row r="967" spans="1:35" s="3120" customFormat="1" ht="18.75" customHeight="1" x14ac:dyDescent="0.2">
      <c r="A967" s="834"/>
      <c r="B967" s="3148"/>
      <c r="C967" s="3295"/>
      <c r="D967" s="3294"/>
      <c r="E967" s="3145"/>
      <c r="F967" s="3144"/>
      <c r="G967" s="3145"/>
      <c r="H967" s="3151" t="s">
        <v>1237</v>
      </c>
      <c r="I967" s="3155" t="s">
        <v>116</v>
      </c>
      <c r="J967" s="3137" t="s">
        <v>1230</v>
      </c>
      <c r="K967" s="3137"/>
      <c r="L967" s="3154" t="s">
        <v>116</v>
      </c>
      <c r="M967" s="3137" t="s">
        <v>1231</v>
      </c>
      <c r="N967" s="3137"/>
      <c r="O967" s="3154" t="s">
        <v>116</v>
      </c>
      <c r="P967" s="3137" t="s">
        <v>1232</v>
      </c>
      <c r="Q967" s="3150"/>
      <c r="R967" s="3171"/>
      <c r="S967" s="3171"/>
      <c r="T967" s="3171"/>
      <c r="U967" s="3171"/>
      <c r="V967" s="3171"/>
      <c r="W967" s="3171"/>
      <c r="X967" s="3297"/>
      <c r="Y967" s="3293"/>
      <c r="Z967" s="1201"/>
      <c r="AA967" s="1201"/>
      <c r="AB967" s="1202"/>
      <c r="AC967" s="3292"/>
      <c r="AD967" s="3291"/>
      <c r="AE967" s="3291"/>
      <c r="AF967" s="3290"/>
      <c r="AI967" s="3120" t="str">
        <f>"55:ninti_senmoncare_code:" &amp; IF(I967="■",1,IF(O967="■",3,IF(L967="■",2,0)))</f>
        <v>55:ninti_senmoncare_code:0</v>
      </c>
    </row>
    <row r="968" spans="1:35" s="3120" customFormat="1" ht="18.75" customHeight="1" x14ac:dyDescent="0.2">
      <c r="A968" s="834"/>
      <c r="B968" s="3148"/>
      <c r="C968" s="3295"/>
      <c r="D968" s="3294"/>
      <c r="E968" s="3145"/>
      <c r="F968" s="3144"/>
      <c r="G968" s="3145"/>
      <c r="H968" s="3151" t="s">
        <v>1327</v>
      </c>
      <c r="I968" s="3155" t="s">
        <v>116</v>
      </c>
      <c r="J968" s="3137" t="s">
        <v>1230</v>
      </c>
      <c r="K968" s="3137"/>
      <c r="L968" s="3154" t="s">
        <v>116</v>
      </c>
      <c r="M968" s="3137" t="s">
        <v>1231</v>
      </c>
      <c r="N968" s="3137"/>
      <c r="O968" s="3154" t="s">
        <v>116</v>
      </c>
      <c r="P968" s="3137" t="s">
        <v>1232</v>
      </c>
      <c r="Q968" s="3171"/>
      <c r="R968" s="3171"/>
      <c r="S968" s="3171"/>
      <c r="T968" s="3171"/>
      <c r="U968" s="3171"/>
      <c r="V968" s="3171"/>
      <c r="W968" s="3171"/>
      <c r="X968" s="3297"/>
      <c r="Y968" s="3293"/>
      <c r="Z968" s="1201"/>
      <c r="AA968" s="1201"/>
      <c r="AB968" s="1202"/>
      <c r="AC968" s="3292"/>
      <c r="AD968" s="3291"/>
      <c r="AE968" s="3291"/>
      <c r="AF968" s="3290"/>
      <c r="AI968" s="3120" t="str">
        <f>"55:field228:" &amp; IF(I968="■",1,IF(L968="■",2,IF(O968="■",3,0)))</f>
        <v>55:field228:0</v>
      </c>
    </row>
    <row r="969" spans="1:35" s="3120" customFormat="1" ht="18.75" customHeight="1" x14ac:dyDescent="0.2">
      <c r="A969" s="834"/>
      <c r="B969" s="3148"/>
      <c r="C969" s="3295"/>
      <c r="D969" s="3294"/>
      <c r="E969" s="3145"/>
      <c r="F969" s="3144"/>
      <c r="G969" s="3145"/>
      <c r="H969" s="3151" t="s">
        <v>237</v>
      </c>
      <c r="I969" s="3155" t="s">
        <v>116</v>
      </c>
      <c r="J969" s="3137" t="s">
        <v>1230</v>
      </c>
      <c r="K969" s="3137"/>
      <c r="L969" s="3154" t="s">
        <v>116</v>
      </c>
      <c r="M969" s="3137" t="s">
        <v>1231</v>
      </c>
      <c r="N969" s="3137"/>
      <c r="O969" s="3154" t="s">
        <v>116</v>
      </c>
      <c r="P969" s="3137" t="s">
        <v>1232</v>
      </c>
      <c r="Q969" s="3150"/>
      <c r="R969" s="3137"/>
      <c r="S969" s="3137"/>
      <c r="T969" s="3137"/>
      <c r="U969" s="3137"/>
      <c r="V969" s="3137"/>
      <c r="W969" s="3137"/>
      <c r="X969" s="3136"/>
      <c r="Y969" s="3293"/>
      <c r="Z969" s="1201"/>
      <c r="AA969" s="1201"/>
      <c r="AB969" s="1202"/>
      <c r="AC969" s="3292"/>
      <c r="AD969" s="3291"/>
      <c r="AE969" s="3291"/>
      <c r="AF969" s="3290"/>
      <c r="AI969" s="3120" t="str">
        <f>"55:field164:" &amp; IF(I969="■",1,IF(L969="■",2,IF(O969="■",3,0)))</f>
        <v>55:field164:0</v>
      </c>
    </row>
    <row r="970" spans="1:35" s="3120" customFormat="1" ht="18.75" customHeight="1" x14ac:dyDescent="0.2">
      <c r="A970" s="834"/>
      <c r="B970" s="3148"/>
      <c r="C970" s="3295"/>
      <c r="D970" s="3294"/>
      <c r="E970" s="3145"/>
      <c r="F970" s="3144"/>
      <c r="G970" s="3145"/>
      <c r="H970" s="3159" t="s">
        <v>795</v>
      </c>
      <c r="I970" s="3141" t="s">
        <v>116</v>
      </c>
      <c r="J970" s="3139" t="s">
        <v>1230</v>
      </c>
      <c r="K970" s="3138"/>
      <c r="L970" s="3140" t="s">
        <v>116</v>
      </c>
      <c r="M970" s="3139" t="s">
        <v>1233</v>
      </c>
      <c r="N970" s="3171"/>
      <c r="O970" s="3171"/>
      <c r="P970" s="3171"/>
      <c r="Q970" s="3171"/>
      <c r="R970" s="3171"/>
      <c r="S970" s="3171"/>
      <c r="T970" s="3171"/>
      <c r="U970" s="3171"/>
      <c r="V970" s="3171"/>
      <c r="W970" s="3171"/>
      <c r="X970" s="3297"/>
      <c r="Y970" s="3293"/>
      <c r="Z970" s="1201"/>
      <c r="AA970" s="1201"/>
      <c r="AB970" s="1202"/>
      <c r="AC970" s="3292"/>
      <c r="AD970" s="3291"/>
      <c r="AE970" s="3291"/>
      <c r="AF970" s="3290"/>
      <c r="AI970" s="3120" t="str">
        <f>"55:field210:" &amp; IF(I970="■",1,IF(L970="■",2,0))</f>
        <v>55:field210:0</v>
      </c>
    </row>
    <row r="971" spans="1:35" s="3120" customFormat="1" ht="18.75" customHeight="1" x14ac:dyDescent="0.2">
      <c r="A971" s="834"/>
      <c r="B971" s="3148"/>
      <c r="C971" s="3295"/>
      <c r="D971" s="3294"/>
      <c r="E971" s="3145"/>
      <c r="F971" s="3144"/>
      <c r="G971" s="3145"/>
      <c r="H971" s="3151" t="s">
        <v>796</v>
      </c>
      <c r="I971" s="3141" t="s">
        <v>116</v>
      </c>
      <c r="J971" s="3139" t="s">
        <v>1230</v>
      </c>
      <c r="K971" s="3138"/>
      <c r="L971" s="3140" t="s">
        <v>116</v>
      </c>
      <c r="M971" s="3139" t="s">
        <v>1233</v>
      </c>
      <c r="N971" s="3171"/>
      <c r="O971" s="3171"/>
      <c r="P971" s="3171"/>
      <c r="Q971" s="3171"/>
      <c r="R971" s="3171"/>
      <c r="S971" s="3171"/>
      <c r="T971" s="3171"/>
      <c r="U971" s="3171"/>
      <c r="V971" s="3171"/>
      <c r="W971" s="3171"/>
      <c r="X971" s="3297"/>
      <c r="Y971" s="3293"/>
      <c r="Z971" s="1201"/>
      <c r="AA971" s="1201"/>
      <c r="AB971" s="1202"/>
      <c r="AC971" s="3292"/>
      <c r="AD971" s="3291"/>
      <c r="AE971" s="3291"/>
      <c r="AF971" s="3290"/>
      <c r="AI971" s="3120" t="str">
        <f>"55:field211:" &amp; IF(I971="■",1,IF(L971="■",2,0))</f>
        <v>55:field211:0</v>
      </c>
    </row>
    <row r="972" spans="1:35" s="3120" customFormat="1" ht="18.75" customHeight="1" x14ac:dyDescent="0.2">
      <c r="A972" s="834"/>
      <c r="B972" s="3148"/>
      <c r="C972" s="3295"/>
      <c r="D972" s="3294"/>
      <c r="E972" s="3145"/>
      <c r="F972" s="3144"/>
      <c r="G972" s="3145"/>
      <c r="H972" s="3151" t="s">
        <v>797</v>
      </c>
      <c r="I972" s="3141" t="s">
        <v>116</v>
      </c>
      <c r="J972" s="3139" t="s">
        <v>1230</v>
      </c>
      <c r="K972" s="3138"/>
      <c r="L972" s="3140" t="s">
        <v>116</v>
      </c>
      <c r="M972" s="3139" t="s">
        <v>1233</v>
      </c>
      <c r="N972" s="3171"/>
      <c r="O972" s="3171"/>
      <c r="P972" s="3171"/>
      <c r="Q972" s="3171"/>
      <c r="R972" s="3171"/>
      <c r="S972" s="3171"/>
      <c r="T972" s="3171"/>
      <c r="U972" s="3171"/>
      <c r="V972" s="3171"/>
      <c r="W972" s="3171"/>
      <c r="X972" s="3297"/>
      <c r="Y972" s="3293"/>
      <c r="Z972" s="1201"/>
      <c r="AA972" s="1201"/>
      <c r="AB972" s="1202"/>
      <c r="AC972" s="3292"/>
      <c r="AD972" s="3291"/>
      <c r="AE972" s="3291"/>
      <c r="AF972" s="3290"/>
      <c r="AI972" s="3120" t="str">
        <f>"55:field212:" &amp; IF(I972="■",1,IF(L972="■",2,0))</f>
        <v>55:field212:0</v>
      </c>
    </row>
    <row r="973" spans="1:35" s="3120" customFormat="1" ht="18.75" customHeight="1" x14ac:dyDescent="0.2">
      <c r="A973" s="834"/>
      <c r="B973" s="3148"/>
      <c r="C973" s="3295"/>
      <c r="D973" s="3294"/>
      <c r="E973" s="3145"/>
      <c r="F973" s="3144"/>
      <c r="G973" s="3145"/>
      <c r="H973" s="3151" t="s">
        <v>798</v>
      </c>
      <c r="I973" s="3141" t="s">
        <v>116</v>
      </c>
      <c r="J973" s="3139" t="s">
        <v>1230</v>
      </c>
      <c r="K973" s="3138"/>
      <c r="L973" s="3140" t="s">
        <v>116</v>
      </c>
      <c r="M973" s="3139" t="s">
        <v>1233</v>
      </c>
      <c r="N973" s="3171"/>
      <c r="O973" s="3171"/>
      <c r="P973" s="3171"/>
      <c r="Q973" s="3171"/>
      <c r="R973" s="3171"/>
      <c r="S973" s="3171"/>
      <c r="T973" s="3171"/>
      <c r="U973" s="3171"/>
      <c r="V973" s="3171"/>
      <c r="W973" s="3171"/>
      <c r="X973" s="3297"/>
      <c r="Y973" s="3293"/>
      <c r="Z973" s="1201"/>
      <c r="AA973" s="1201"/>
      <c r="AB973" s="1202"/>
      <c r="AC973" s="3292"/>
      <c r="AD973" s="3291"/>
      <c r="AE973" s="3291"/>
      <c r="AF973" s="3290"/>
      <c r="AI973" s="3120" t="str">
        <f>"55:field209:" &amp; IF(I973="■",1,IF(L973="■",2,0))</f>
        <v>55:field209:0</v>
      </c>
    </row>
    <row r="974" spans="1:35" s="3120" customFormat="1" ht="18.75" customHeight="1" x14ac:dyDescent="0.2">
      <c r="A974" s="834"/>
      <c r="B974" s="3148"/>
      <c r="C974" s="3295"/>
      <c r="D974" s="3294"/>
      <c r="E974" s="3145"/>
      <c r="F974" s="3144"/>
      <c r="G974" s="3145"/>
      <c r="H974" s="3151" t="s">
        <v>1323</v>
      </c>
      <c r="I974" s="3155" t="s">
        <v>116</v>
      </c>
      <c r="J974" s="3137" t="s">
        <v>1230</v>
      </c>
      <c r="K974" s="3137"/>
      <c r="L974" s="3154" t="s">
        <v>116</v>
      </c>
      <c r="M974" s="3139" t="s">
        <v>1233</v>
      </c>
      <c r="N974" s="3137"/>
      <c r="O974" s="3137"/>
      <c r="P974" s="3137"/>
      <c r="Q974" s="3171"/>
      <c r="R974" s="3171"/>
      <c r="S974" s="3171"/>
      <c r="T974" s="3171"/>
      <c r="U974" s="3171"/>
      <c r="V974" s="3171"/>
      <c r="W974" s="3171"/>
      <c r="X974" s="3297"/>
      <c r="Y974" s="3293"/>
      <c r="Z974" s="1201"/>
      <c r="AA974" s="1201"/>
      <c r="AB974" s="1202"/>
      <c r="AC974" s="3292"/>
      <c r="AD974" s="3291"/>
      <c r="AE974" s="3291"/>
      <c r="AF974" s="3290"/>
      <c r="AI974" s="3120" t="str">
        <f>"55:field226:" &amp; IF(I974="■",1,IF(L974="■",2,0))</f>
        <v>55:field226:0</v>
      </c>
    </row>
    <row r="975" spans="1:35" s="3120" customFormat="1" ht="18.75" customHeight="1" x14ac:dyDescent="0.2">
      <c r="A975" s="834"/>
      <c r="B975" s="3148"/>
      <c r="C975" s="3295"/>
      <c r="D975" s="3294"/>
      <c r="E975" s="3145"/>
      <c r="F975" s="3144"/>
      <c r="G975" s="3145"/>
      <c r="H975" s="3151" t="s">
        <v>1324</v>
      </c>
      <c r="I975" s="3155" t="s">
        <v>116</v>
      </c>
      <c r="J975" s="3137" t="s">
        <v>1230</v>
      </c>
      <c r="K975" s="3137"/>
      <c r="L975" s="3154" t="s">
        <v>116</v>
      </c>
      <c r="M975" s="3139" t="s">
        <v>1233</v>
      </c>
      <c r="N975" s="3137"/>
      <c r="O975" s="3137"/>
      <c r="P975" s="3137"/>
      <c r="Q975" s="3171"/>
      <c r="R975" s="3171"/>
      <c r="S975" s="3171"/>
      <c r="T975" s="3171"/>
      <c r="U975" s="3171"/>
      <c r="V975" s="3171"/>
      <c r="W975" s="3171"/>
      <c r="X975" s="3297"/>
      <c r="Y975" s="3293"/>
      <c r="Z975" s="1201"/>
      <c r="AA975" s="1201"/>
      <c r="AB975" s="1202"/>
      <c r="AC975" s="3292"/>
      <c r="AD975" s="3291"/>
      <c r="AE975" s="3291"/>
      <c r="AF975" s="3290"/>
      <c r="AI975" s="3120" t="str">
        <f>"55:field227:" &amp; IF(I975="■",1,IF(L975="■",2,0))</f>
        <v>55:field227:0</v>
      </c>
    </row>
    <row r="976" spans="1:35" s="3120" customFormat="1" ht="18.75" customHeight="1" x14ac:dyDescent="0.2">
      <c r="A976" s="834"/>
      <c r="B976" s="3148"/>
      <c r="C976" s="3295"/>
      <c r="D976" s="3294"/>
      <c r="E976" s="3145"/>
      <c r="F976" s="3144"/>
      <c r="G976" s="3145"/>
      <c r="H976" s="3296" t="s">
        <v>1285</v>
      </c>
      <c r="I976" s="3155" t="s">
        <v>116</v>
      </c>
      <c r="J976" s="3137" t="s">
        <v>1230</v>
      </c>
      <c r="K976" s="3137"/>
      <c r="L976" s="3154" t="s">
        <v>116</v>
      </c>
      <c r="M976" s="3137" t="s">
        <v>1231</v>
      </c>
      <c r="N976" s="3137"/>
      <c r="O976" s="3154" t="s">
        <v>116</v>
      </c>
      <c r="P976" s="3137" t="s">
        <v>1232</v>
      </c>
      <c r="Q976" s="3150"/>
      <c r="R976" s="3150"/>
      <c r="S976" s="3150"/>
      <c r="T976" s="3150"/>
      <c r="U976" s="3209"/>
      <c r="V976" s="3209"/>
      <c r="W976" s="3209"/>
      <c r="X976" s="3208"/>
      <c r="Y976" s="3293"/>
      <c r="Z976" s="1201"/>
      <c r="AA976" s="1201"/>
      <c r="AB976" s="1202"/>
      <c r="AC976" s="3292"/>
      <c r="AD976" s="3291"/>
      <c r="AE976" s="3291"/>
      <c r="AF976" s="3290"/>
      <c r="AI976" s="3120" t="str">
        <f>"55:field225:" &amp; IF(I976="■",1,IF(L976="■",2,IF(O976="■",3,0)))</f>
        <v>55:field225:0</v>
      </c>
    </row>
    <row r="977" spans="1:36" s="3120" customFormat="1" ht="18.75" customHeight="1" x14ac:dyDescent="0.2">
      <c r="A977" s="834"/>
      <c r="B977" s="3148"/>
      <c r="C977" s="3295"/>
      <c r="D977" s="3294"/>
      <c r="E977" s="3145"/>
      <c r="F977" s="3144"/>
      <c r="G977" s="3145"/>
      <c r="H977" s="3151" t="s">
        <v>238</v>
      </c>
      <c r="I977" s="3155" t="s">
        <v>116</v>
      </c>
      <c r="J977" s="3137" t="s">
        <v>1230</v>
      </c>
      <c r="K977" s="3137"/>
      <c r="L977" s="3154" t="s">
        <v>116</v>
      </c>
      <c r="M977" s="3137" t="s">
        <v>1259</v>
      </c>
      <c r="N977" s="3137"/>
      <c r="O977" s="3154" t="s">
        <v>116</v>
      </c>
      <c r="P977" s="3137" t="s">
        <v>1260</v>
      </c>
      <c r="Q977" s="3153"/>
      <c r="R977" s="3154" t="s">
        <v>116</v>
      </c>
      <c r="S977" s="3137" t="s">
        <v>1261</v>
      </c>
      <c r="T977" s="3137"/>
      <c r="U977" s="3137"/>
      <c r="V977" s="3137"/>
      <c r="W977" s="3137"/>
      <c r="X977" s="3136"/>
      <c r="Y977" s="3293"/>
      <c r="Z977" s="1201"/>
      <c r="AA977" s="1201"/>
      <c r="AB977" s="1202"/>
      <c r="AC977" s="3292"/>
      <c r="AD977" s="3291"/>
      <c r="AE977" s="3291"/>
      <c r="AF977" s="3290"/>
      <c r="AI977" s="3120" t="str">
        <f>"55:serteikyo_kyoka_code:" &amp; IF(I977="■",1,IF(L977="■",6,IF(O977="■",5,IF(R977="■",7,0))))</f>
        <v>55:serteikyo_kyoka_code:0</v>
      </c>
    </row>
    <row r="978" spans="1:36" s="3120" customFormat="1" ht="18.75" customHeight="1" x14ac:dyDescent="0.2">
      <c r="A978" s="835"/>
      <c r="B978" s="3135"/>
      <c r="C978" s="3134"/>
      <c r="D978" s="3133"/>
      <c r="E978" s="3132"/>
      <c r="F978" s="3131"/>
      <c r="G978" s="3189"/>
      <c r="H978" s="3289" t="s">
        <v>2129</v>
      </c>
      <c r="I978" s="3128" t="s">
        <v>116</v>
      </c>
      <c r="J978" s="3285" t="s">
        <v>1230</v>
      </c>
      <c r="K978" s="3285"/>
      <c r="L978" s="3127" t="s">
        <v>116</v>
      </c>
      <c r="M978" s="3285" t="s">
        <v>2128</v>
      </c>
      <c r="N978" s="3288"/>
      <c r="O978" s="3127" t="s">
        <v>116</v>
      </c>
      <c r="P978" s="3287" t="s">
        <v>2127</v>
      </c>
      <c r="Q978" s="3286"/>
      <c r="R978" s="3127" t="s">
        <v>116</v>
      </c>
      <c r="S978" s="3285" t="s">
        <v>2126</v>
      </c>
      <c r="T978" s="3286"/>
      <c r="U978" s="3127" t="s">
        <v>116</v>
      </c>
      <c r="V978" s="3285" t="s">
        <v>2125</v>
      </c>
      <c r="W978" s="3284"/>
      <c r="X978" s="3283"/>
      <c r="Y978" s="3282"/>
      <c r="Z978" s="3282"/>
      <c r="AA978" s="3282"/>
      <c r="AB978" s="3281"/>
      <c r="AC978" s="3280"/>
      <c r="AD978" s="3279"/>
      <c r="AE978" s="3279"/>
      <c r="AF978" s="3278"/>
      <c r="AI978" s="3120" t="str">
        <f>"55:shoguukaizen_code:"&amp;IF(I978="■",1,IF(L978="■",7,IF(O978="■",8,IF(R978="■",9,IF(U978="■","A",0)))))</f>
        <v>55:shoguukaizen_code:0</v>
      </c>
    </row>
    <row r="979" spans="1:36" s="3120" customFormat="1" ht="18.75" customHeight="1" x14ac:dyDescent="0.2">
      <c r="A979" s="3188"/>
      <c r="B979" s="3187"/>
      <c r="C979" s="3313"/>
      <c r="D979" s="3312"/>
      <c r="E979" s="3185"/>
      <c r="F979" s="3184"/>
      <c r="G979" s="3185"/>
      <c r="H979" s="3265" t="s">
        <v>1286</v>
      </c>
      <c r="I979" s="3253" t="s">
        <v>116</v>
      </c>
      <c r="J979" s="3252" t="s">
        <v>1282</v>
      </c>
      <c r="K979" s="3311"/>
      <c r="L979" s="3309"/>
      <c r="M979" s="3310" t="s">
        <v>116</v>
      </c>
      <c r="N979" s="3252" t="s">
        <v>1289</v>
      </c>
      <c r="O979" s="3309"/>
      <c r="P979" s="3309"/>
      <c r="Q979" s="3310" t="s">
        <v>116</v>
      </c>
      <c r="R979" s="3252" t="s">
        <v>1290</v>
      </c>
      <c r="S979" s="3309"/>
      <c r="T979" s="3309"/>
      <c r="U979" s="3310" t="s">
        <v>116</v>
      </c>
      <c r="V979" s="3252" t="s">
        <v>1291</v>
      </c>
      <c r="W979" s="3309"/>
      <c r="X979" s="3266"/>
      <c r="Y979" s="3253" t="s">
        <v>116</v>
      </c>
      <c r="Z979" s="3252" t="s">
        <v>1225</v>
      </c>
      <c r="AA979" s="3252"/>
      <c r="AB979" s="3308"/>
      <c r="AC979" s="3307"/>
      <c r="AD979" s="3306"/>
      <c r="AE979" s="3306"/>
      <c r="AF979" s="3305"/>
      <c r="AG979" s="3120" t="str">
        <f>"ser_code = '" &amp; IF(A996="■",55,"") &amp; "'"</f>
        <v>ser_code = ''</v>
      </c>
      <c r="AI979" s="3120" t="str">
        <f>"55:yakan_kinmu_code:" &amp; IF(I979="■",1,IF(M979="■",2,IF(Q979="■",3,IF(U979="■",7,IF(I980="■",5,IF(M980="■",6,0))))))</f>
        <v>55:yakan_kinmu_code:0</v>
      </c>
      <c r="AJ979" s="3120" t="str">
        <f>"55:field203:" &amp; IF(Y979="■",1,IF(Y980="■",2,0))</f>
        <v>55:field203:0</v>
      </c>
    </row>
    <row r="980" spans="1:36" s="3120" customFormat="1" ht="18.75" customHeight="1" x14ac:dyDescent="0.2">
      <c r="A980" s="834"/>
      <c r="B980" s="3148"/>
      <c r="C980" s="3295"/>
      <c r="D980" s="3294"/>
      <c r="E980" s="3145"/>
      <c r="F980" s="3144"/>
      <c r="G980" s="3145"/>
      <c r="H980" s="3300"/>
      <c r="I980" s="3141" t="s">
        <v>116</v>
      </c>
      <c r="J980" s="3139" t="s">
        <v>1292</v>
      </c>
      <c r="K980" s="3138"/>
      <c r="L980" s="3162"/>
      <c r="M980" s="3140" t="s">
        <v>116</v>
      </c>
      <c r="N980" s="3139" t="s">
        <v>1283</v>
      </c>
      <c r="O980" s="3162"/>
      <c r="P980" s="3162"/>
      <c r="Q980" s="3162"/>
      <c r="R980" s="3162"/>
      <c r="S980" s="3162"/>
      <c r="T980" s="3162"/>
      <c r="U980" s="3162"/>
      <c r="V980" s="3162"/>
      <c r="W980" s="3162"/>
      <c r="X980" s="3161"/>
      <c r="Y980" s="3158" t="s">
        <v>116</v>
      </c>
      <c r="Z980" s="1200" t="s">
        <v>1226</v>
      </c>
      <c r="AA980" s="1201"/>
      <c r="AB980" s="1202"/>
      <c r="AC980" s="3292"/>
      <c r="AD980" s="3291"/>
      <c r="AE980" s="3291"/>
      <c r="AF980" s="3290"/>
      <c r="AG980" s="3120" t="str">
        <f>"55:sisetukbn_code:" &amp; IF(D996="■",5,0)</f>
        <v>55:sisetukbn_code:0</v>
      </c>
    </row>
    <row r="981" spans="1:36" s="3120" customFormat="1" ht="18.75" customHeight="1" x14ac:dyDescent="0.2">
      <c r="A981" s="834"/>
      <c r="B981" s="3148"/>
      <c r="C981" s="3295"/>
      <c r="D981" s="3294"/>
      <c r="E981" s="3145"/>
      <c r="F981" s="3144"/>
      <c r="G981" s="3145"/>
      <c r="H981" s="3304" t="s">
        <v>90</v>
      </c>
      <c r="I981" s="3303" t="s">
        <v>116</v>
      </c>
      <c r="J981" s="3302" t="s">
        <v>1230</v>
      </c>
      <c r="K981" s="3302"/>
      <c r="L981" s="3167"/>
      <c r="M981" s="3301" t="s">
        <v>116</v>
      </c>
      <c r="N981" s="3302" t="s">
        <v>1262</v>
      </c>
      <c r="O981" s="3302"/>
      <c r="P981" s="3167"/>
      <c r="Q981" s="3301" t="s">
        <v>116</v>
      </c>
      <c r="R981" s="3167" t="s">
        <v>1302</v>
      </c>
      <c r="S981" s="3167"/>
      <c r="T981" s="3167"/>
      <c r="U981" s="3301" t="s">
        <v>116</v>
      </c>
      <c r="V981" s="3167" t="s">
        <v>1303</v>
      </c>
      <c r="W981" s="3209"/>
      <c r="X981" s="3208"/>
      <c r="Y981" s="3293"/>
      <c r="Z981" s="1201"/>
      <c r="AA981" s="1201"/>
      <c r="AB981" s="1202"/>
      <c r="AC981" s="3292"/>
      <c r="AD981" s="3291"/>
      <c r="AE981" s="3291"/>
      <c r="AF981" s="3290"/>
      <c r="AI981" s="3120" t="str">
        <f>"55:"&amp;IF(AND(I981="□",M981="□",Q981="□",U981="□",I982="□",M982="□"),"ketu_doctor_code:0",IF(I981="■","ketu_doctor_code:1:field197:1:ketu_kangos_code:1:ketu_kshoku_code:1:ketu_ksiensou_code:1",IF(M981="■","ketu_doctor_code:2","ketu_doctor_code:1")
&amp;IF(Q981="■",":field197:2",":field197:1")
&amp;IF(U981="■",":ketu_kangos_code:2",":ketu_kangos_code:1")
&amp;IF(I982="■",":ketu_kshoku_code:2",":ketu_kshoku_code:1")
&amp;IF(M982="■",":ketu_ksiensou_code:2",":ketu_ksiensou_code:1")))</f>
        <v>55:ketu_doctor_code:0</v>
      </c>
    </row>
    <row r="982" spans="1:36" s="3120" customFormat="1" ht="18.75" customHeight="1" x14ac:dyDescent="0.2">
      <c r="A982" s="834"/>
      <c r="B982" s="3148"/>
      <c r="C982" s="3295"/>
      <c r="D982" s="3294"/>
      <c r="E982" s="3145"/>
      <c r="F982" s="3144"/>
      <c r="G982" s="3145"/>
      <c r="H982" s="3300"/>
      <c r="I982" s="3141" t="s">
        <v>116</v>
      </c>
      <c r="J982" s="3162" t="s">
        <v>1304</v>
      </c>
      <c r="K982" s="3139"/>
      <c r="L982" s="3162"/>
      <c r="M982" s="3140" t="s">
        <v>116</v>
      </c>
      <c r="N982" s="3139" t="s">
        <v>1328</v>
      </c>
      <c r="O982" s="3139"/>
      <c r="P982" s="3162"/>
      <c r="Q982" s="3162"/>
      <c r="R982" s="3162"/>
      <c r="S982" s="3162"/>
      <c r="T982" s="3162"/>
      <c r="U982" s="3162"/>
      <c r="V982" s="3162"/>
      <c r="W982" s="3207"/>
      <c r="X982" s="3206"/>
      <c r="Y982" s="3293"/>
      <c r="Z982" s="1201"/>
      <c r="AA982" s="1201"/>
      <c r="AB982" s="1202"/>
      <c r="AC982" s="3292"/>
      <c r="AD982" s="3291"/>
      <c r="AE982" s="3291"/>
      <c r="AF982" s="3290"/>
    </row>
    <row r="983" spans="1:36" s="3120" customFormat="1" ht="18.75" customHeight="1" x14ac:dyDescent="0.2">
      <c r="A983" s="834"/>
      <c r="B983" s="3148"/>
      <c r="C983" s="3295"/>
      <c r="D983" s="3294"/>
      <c r="E983" s="3145"/>
      <c r="F983" s="3144"/>
      <c r="G983" s="3145"/>
      <c r="H983" s="3151" t="s">
        <v>91</v>
      </c>
      <c r="I983" s="3155" t="s">
        <v>116</v>
      </c>
      <c r="J983" s="3137" t="s">
        <v>1240</v>
      </c>
      <c r="K983" s="3171"/>
      <c r="L983" s="3173"/>
      <c r="M983" s="3154" t="s">
        <v>116</v>
      </c>
      <c r="N983" s="3137" t="s">
        <v>1241</v>
      </c>
      <c r="O983" s="3171"/>
      <c r="P983" s="3171"/>
      <c r="Q983" s="3153"/>
      <c r="R983" s="3153"/>
      <c r="S983" s="3153"/>
      <c r="T983" s="3153"/>
      <c r="U983" s="3153"/>
      <c r="V983" s="3153"/>
      <c r="W983" s="3153"/>
      <c r="X983" s="3152"/>
      <c r="Y983" s="3293"/>
      <c r="Z983" s="1201"/>
      <c r="AA983" s="1201"/>
      <c r="AB983" s="1202"/>
      <c r="AC983" s="3292"/>
      <c r="AD983" s="3291"/>
      <c r="AE983" s="3291"/>
      <c r="AF983" s="3290"/>
      <c r="AI983" s="3120" t="str">
        <f>"55:unitcare_code:" &amp; IF(I983="■",1,IF(M983="■",2,0))</f>
        <v>55:unitcare_code:0</v>
      </c>
    </row>
    <row r="984" spans="1:36" s="3120" customFormat="1" ht="18.75" customHeight="1" x14ac:dyDescent="0.2">
      <c r="A984" s="834"/>
      <c r="B984" s="3148"/>
      <c r="C984" s="3295"/>
      <c r="D984" s="3294"/>
      <c r="E984" s="3145"/>
      <c r="F984" s="3144"/>
      <c r="G984" s="3145"/>
      <c r="H984" s="3151" t="s">
        <v>1325</v>
      </c>
      <c r="I984" s="3155" t="s">
        <v>116</v>
      </c>
      <c r="J984" s="3137" t="s">
        <v>1228</v>
      </c>
      <c r="K984" s="3171"/>
      <c r="L984" s="3173"/>
      <c r="M984" s="3154" t="s">
        <v>116</v>
      </c>
      <c r="N984" s="3137" t="s">
        <v>1322</v>
      </c>
      <c r="O984" s="3150"/>
      <c r="P984" s="3171"/>
      <c r="Q984" s="3153"/>
      <c r="R984" s="3153"/>
      <c r="S984" s="3153"/>
      <c r="T984" s="3153"/>
      <c r="U984" s="3153"/>
      <c r="V984" s="3153"/>
      <c r="W984" s="3153"/>
      <c r="X984" s="3152"/>
      <c r="Y984" s="3293"/>
      <c r="Z984" s="1201"/>
      <c r="AA984" s="1201"/>
      <c r="AB984" s="1202"/>
      <c r="AC984" s="3292"/>
      <c r="AD984" s="3291"/>
      <c r="AE984" s="3291"/>
      <c r="AF984" s="3290"/>
      <c r="AI984" s="3120" t="str">
        <f>"55:sintaikousoku_code:" &amp; IF(I984="■",1,IF(M984="■",2,0))</f>
        <v>55:sintaikousoku_code:0</v>
      </c>
    </row>
    <row r="985" spans="1:36" s="3120" customFormat="1" ht="18.75" customHeight="1" x14ac:dyDescent="0.2">
      <c r="A985" s="834"/>
      <c r="B985" s="3148"/>
      <c r="C985" s="3295"/>
      <c r="D985" s="3294"/>
      <c r="E985" s="3145"/>
      <c r="F985" s="3144"/>
      <c r="G985" s="3145"/>
      <c r="H985" s="3151" t="s">
        <v>792</v>
      </c>
      <c r="I985" s="3155" t="s">
        <v>116</v>
      </c>
      <c r="J985" s="3137" t="s">
        <v>1228</v>
      </c>
      <c r="K985" s="3171"/>
      <c r="L985" s="3173"/>
      <c r="M985" s="3154" t="s">
        <v>116</v>
      </c>
      <c r="N985" s="3137" t="s">
        <v>1322</v>
      </c>
      <c r="O985" s="3150"/>
      <c r="P985" s="3171"/>
      <c r="Q985" s="3150"/>
      <c r="R985" s="3150"/>
      <c r="S985" s="3150"/>
      <c r="T985" s="3150"/>
      <c r="U985" s="3150"/>
      <c r="V985" s="3150"/>
      <c r="W985" s="3150"/>
      <c r="X985" s="3149"/>
      <c r="Y985" s="3293"/>
      <c r="Z985" s="1201"/>
      <c r="AA985" s="1201"/>
      <c r="AB985" s="1202"/>
      <c r="AC985" s="3292"/>
      <c r="AD985" s="3291"/>
      <c r="AE985" s="3291"/>
      <c r="AF985" s="3290"/>
      <c r="AI985" s="3120" t="str">
        <f>"55:field208:" &amp; IF(I985="■",1,IF(M985="■",2,0))</f>
        <v>55:field208:0</v>
      </c>
    </row>
    <row r="986" spans="1:36" s="3120" customFormat="1" ht="19.5" customHeight="1" x14ac:dyDescent="0.2">
      <c r="A986" s="834"/>
      <c r="B986" s="3148"/>
      <c r="C986" s="3147"/>
      <c r="D986" s="3146"/>
      <c r="E986" s="3145"/>
      <c r="F986" s="3144"/>
      <c r="G986" s="3175"/>
      <c r="H986" s="3174" t="s">
        <v>1227</v>
      </c>
      <c r="I986" s="3155" t="s">
        <v>116</v>
      </c>
      <c r="J986" s="3137" t="s">
        <v>1228</v>
      </c>
      <c r="K986" s="3171"/>
      <c r="L986" s="3173"/>
      <c r="M986" s="3154" t="s">
        <v>116</v>
      </c>
      <c r="N986" s="3137" t="s">
        <v>1229</v>
      </c>
      <c r="O986" s="3299"/>
      <c r="P986" s="3137"/>
      <c r="Q986" s="3150"/>
      <c r="R986" s="3150"/>
      <c r="S986" s="3150"/>
      <c r="T986" s="3150"/>
      <c r="U986" s="3150"/>
      <c r="V986" s="3150"/>
      <c r="W986" s="3150"/>
      <c r="X986" s="3149"/>
      <c r="Y986" s="1201"/>
      <c r="Z986" s="1201"/>
      <c r="AA986" s="1201"/>
      <c r="AB986" s="1202"/>
      <c r="AC986" s="3292"/>
      <c r="AD986" s="3291"/>
      <c r="AE986" s="3291"/>
      <c r="AF986" s="3290"/>
      <c r="AI986" s="3120" t="str">
        <f>"55:field223:" &amp; IF(I986="■",1,IF(M986="■",2,0))</f>
        <v>55:field223:0</v>
      </c>
    </row>
    <row r="987" spans="1:36" s="3120" customFormat="1" ht="19.5" customHeight="1" x14ac:dyDescent="0.2">
      <c r="A987" s="834"/>
      <c r="B987" s="3148"/>
      <c r="C987" s="3147"/>
      <c r="D987" s="3146"/>
      <c r="E987" s="3145"/>
      <c r="F987" s="3144"/>
      <c r="G987" s="3175"/>
      <c r="H987" s="3174" t="s">
        <v>1253</v>
      </c>
      <c r="I987" s="3155" t="s">
        <v>116</v>
      </c>
      <c r="J987" s="3137" t="s">
        <v>1228</v>
      </c>
      <c r="K987" s="3171"/>
      <c r="L987" s="3173"/>
      <c r="M987" s="3154" t="s">
        <v>116</v>
      </c>
      <c r="N987" s="3137" t="s">
        <v>1229</v>
      </c>
      <c r="O987" s="3299"/>
      <c r="P987" s="3137"/>
      <c r="Q987" s="3150"/>
      <c r="R987" s="3150"/>
      <c r="S987" s="3150"/>
      <c r="T987" s="3150"/>
      <c r="U987" s="3150"/>
      <c r="V987" s="3150"/>
      <c r="W987" s="3150"/>
      <c r="X987" s="3149"/>
      <c r="Y987" s="1201"/>
      <c r="Z987" s="1201"/>
      <c r="AA987" s="1201"/>
      <c r="AB987" s="1202"/>
      <c r="AC987" s="3292"/>
      <c r="AD987" s="3291"/>
      <c r="AE987" s="3291"/>
      <c r="AF987" s="3290"/>
      <c r="AI987" s="3120" t="str">
        <f>"55:field232:" &amp; IF(I987="■",1,IF(M987="■",2,0))</f>
        <v>55:field232:0</v>
      </c>
    </row>
    <row r="988" spans="1:36" s="3120" customFormat="1" ht="18.75" customHeight="1" x14ac:dyDescent="0.2">
      <c r="A988" s="834"/>
      <c r="B988" s="3148"/>
      <c r="C988" s="3295"/>
      <c r="D988" s="3294"/>
      <c r="E988" s="3145"/>
      <c r="F988" s="3144"/>
      <c r="G988" s="3145"/>
      <c r="H988" s="3170" t="s">
        <v>1326</v>
      </c>
      <c r="I988" s="3248" t="s">
        <v>116</v>
      </c>
      <c r="J988" s="3210" t="s">
        <v>1230</v>
      </c>
      <c r="K988" s="3210"/>
      <c r="L988" s="3298" t="s">
        <v>116</v>
      </c>
      <c r="M988" s="3210" t="s">
        <v>1233</v>
      </c>
      <c r="N988" s="3210"/>
      <c r="O988" s="3167"/>
      <c r="P988" s="3167"/>
      <c r="Q988" s="3167"/>
      <c r="R988" s="3167"/>
      <c r="S988" s="3167"/>
      <c r="T988" s="3167"/>
      <c r="U988" s="3167"/>
      <c r="V988" s="3167"/>
      <c r="W988" s="3167"/>
      <c r="X988" s="3166"/>
      <c r="Y988" s="3293"/>
      <c r="Z988" s="1201"/>
      <c r="AA988" s="1201"/>
      <c r="AB988" s="1202"/>
      <c r="AC988" s="3292"/>
      <c r="AD988" s="3291"/>
      <c r="AE988" s="3291"/>
      <c r="AF988" s="3290"/>
      <c r="AI988" s="3120" t="str">
        <f>"55:field206:" &amp; IF(I988="■",1,IF(L988="■",2,0))</f>
        <v>55:field206:0</v>
      </c>
    </row>
    <row r="989" spans="1:36" s="3120" customFormat="1" ht="18.75" customHeight="1" x14ac:dyDescent="0.2">
      <c r="A989" s="834"/>
      <c r="B989" s="3148"/>
      <c r="C989" s="3295"/>
      <c r="D989" s="3294"/>
      <c r="E989" s="3145"/>
      <c r="F989" s="3144"/>
      <c r="G989" s="3145"/>
      <c r="H989" s="3165"/>
      <c r="I989" s="3200"/>
      <c r="J989" s="3163"/>
      <c r="K989" s="3163"/>
      <c r="L989" s="3199"/>
      <c r="M989" s="3163"/>
      <c r="N989" s="3163"/>
      <c r="O989" s="3162"/>
      <c r="P989" s="3162"/>
      <c r="Q989" s="3162"/>
      <c r="R989" s="3162"/>
      <c r="S989" s="3162"/>
      <c r="T989" s="3162"/>
      <c r="U989" s="3162"/>
      <c r="V989" s="3162"/>
      <c r="W989" s="3162"/>
      <c r="X989" s="3161"/>
      <c r="Y989" s="3293"/>
      <c r="Z989" s="1201"/>
      <c r="AA989" s="1201"/>
      <c r="AB989" s="1202"/>
      <c r="AC989" s="3292"/>
      <c r="AD989" s="3291"/>
      <c r="AE989" s="3291"/>
      <c r="AF989" s="3290"/>
    </row>
    <row r="990" spans="1:36" s="3120" customFormat="1" ht="18.75" customHeight="1" x14ac:dyDescent="0.2">
      <c r="A990" s="834"/>
      <c r="B990" s="3148"/>
      <c r="C990" s="3295"/>
      <c r="D990" s="3294"/>
      <c r="E990" s="3145"/>
      <c r="F990" s="3144"/>
      <c r="G990" s="3145"/>
      <c r="H990" s="3151" t="s">
        <v>236</v>
      </c>
      <c r="I990" s="3155" t="s">
        <v>116</v>
      </c>
      <c r="J990" s="3137" t="s">
        <v>1329</v>
      </c>
      <c r="K990" s="3171"/>
      <c r="L990" s="3173"/>
      <c r="M990" s="3154" t="s">
        <v>116</v>
      </c>
      <c r="N990" s="3137" t="s">
        <v>1293</v>
      </c>
      <c r="O990" s="3150"/>
      <c r="P990" s="3153"/>
      <c r="Q990" s="3153"/>
      <c r="R990" s="3153"/>
      <c r="S990" s="3153"/>
      <c r="T990" s="3153"/>
      <c r="U990" s="3153"/>
      <c r="V990" s="3153"/>
      <c r="W990" s="3153"/>
      <c r="X990" s="3152"/>
      <c r="Y990" s="3293"/>
      <c r="Z990" s="1201"/>
      <c r="AA990" s="1201"/>
      <c r="AB990" s="1202"/>
      <c r="AC990" s="3292"/>
      <c r="AD990" s="3291"/>
      <c r="AE990" s="3291"/>
      <c r="AF990" s="3290"/>
      <c r="AI990" s="3120" t="str">
        <f>"55:field190:" &amp; IF(I990="■",1,IF(M990="■",2,0))</f>
        <v>55:field190:0</v>
      </c>
    </row>
    <row r="991" spans="1:36" s="3120" customFormat="1" ht="18.75" customHeight="1" x14ac:dyDescent="0.2">
      <c r="A991" s="834"/>
      <c r="B991" s="3148"/>
      <c r="C991" s="3295"/>
      <c r="D991" s="3294"/>
      <c r="E991" s="3145"/>
      <c r="F991" s="3144"/>
      <c r="G991" s="3145"/>
      <c r="H991" s="3151" t="s">
        <v>1305</v>
      </c>
      <c r="I991" s="3155" t="s">
        <v>116</v>
      </c>
      <c r="J991" s="3137" t="s">
        <v>1329</v>
      </c>
      <c r="K991" s="3171"/>
      <c r="L991" s="3173"/>
      <c r="M991" s="3154" t="s">
        <v>116</v>
      </c>
      <c r="N991" s="3137" t="s">
        <v>1293</v>
      </c>
      <c r="O991" s="3150"/>
      <c r="P991" s="3153"/>
      <c r="Q991" s="3153"/>
      <c r="R991" s="3153"/>
      <c r="S991" s="3153"/>
      <c r="T991" s="3153"/>
      <c r="U991" s="3153"/>
      <c r="V991" s="3153"/>
      <c r="W991" s="3153"/>
      <c r="X991" s="3152"/>
      <c r="Y991" s="3293"/>
      <c r="Z991" s="1201"/>
      <c r="AA991" s="1201"/>
      <c r="AB991" s="1202"/>
      <c r="AC991" s="3292"/>
      <c r="AD991" s="3291"/>
      <c r="AE991" s="3291"/>
      <c r="AF991" s="3290"/>
      <c r="AI991" s="3120" t="str">
        <f>"55:field191:" &amp; IF(I991="■",1,IF(M991="■",2,0))</f>
        <v>55:field191:0</v>
      </c>
    </row>
    <row r="992" spans="1:36" s="3120" customFormat="1" ht="18.75" customHeight="1" x14ac:dyDescent="0.2">
      <c r="A992" s="834"/>
      <c r="B992" s="3148"/>
      <c r="C992" s="3295"/>
      <c r="D992" s="3294"/>
      <c r="E992" s="3145"/>
      <c r="F992" s="3144"/>
      <c r="G992" s="3145"/>
      <c r="H992" s="3151" t="s">
        <v>1330</v>
      </c>
      <c r="I992" s="3141" t="s">
        <v>116</v>
      </c>
      <c r="J992" s="3139" t="s">
        <v>1230</v>
      </c>
      <c r="K992" s="3138"/>
      <c r="L992" s="3140" t="s">
        <v>116</v>
      </c>
      <c r="M992" s="3139" t="s">
        <v>1233</v>
      </c>
      <c r="N992" s="3171"/>
      <c r="O992" s="3153"/>
      <c r="P992" s="3153"/>
      <c r="Q992" s="3153"/>
      <c r="R992" s="3153"/>
      <c r="S992" s="3153"/>
      <c r="T992" s="3153"/>
      <c r="U992" s="3153"/>
      <c r="V992" s="3153"/>
      <c r="W992" s="3153"/>
      <c r="X992" s="3152"/>
      <c r="Y992" s="3293"/>
      <c r="Z992" s="1201"/>
      <c r="AA992" s="1201"/>
      <c r="AB992" s="1202"/>
      <c r="AC992" s="3292"/>
      <c r="AD992" s="3291"/>
      <c r="AE992" s="3291"/>
      <c r="AF992" s="3290"/>
      <c r="AI992" s="3120" t="str">
        <f>"55:jyakuninti_uke_code:" &amp; IF(I992="■",1,IF(L992="■",2,0))</f>
        <v>55:jyakuninti_uke_code:0</v>
      </c>
    </row>
    <row r="993" spans="1:35" s="3120" customFormat="1" ht="18.75" customHeight="1" x14ac:dyDescent="0.2">
      <c r="A993" s="834"/>
      <c r="B993" s="3148"/>
      <c r="C993" s="3295"/>
      <c r="D993" s="3294"/>
      <c r="E993" s="3145"/>
      <c r="F993" s="3144"/>
      <c r="G993" s="3145"/>
      <c r="H993" s="3151" t="s">
        <v>794</v>
      </c>
      <c r="I993" s="3141" t="s">
        <v>116</v>
      </c>
      <c r="J993" s="3139" t="s">
        <v>1230</v>
      </c>
      <c r="K993" s="3138"/>
      <c r="L993" s="3140" t="s">
        <v>116</v>
      </c>
      <c r="M993" s="3139" t="s">
        <v>1233</v>
      </c>
      <c r="N993" s="3171"/>
      <c r="O993" s="3153"/>
      <c r="P993" s="3153"/>
      <c r="Q993" s="3153"/>
      <c r="R993" s="3153"/>
      <c r="S993" s="3153"/>
      <c r="T993" s="3153"/>
      <c r="U993" s="3153"/>
      <c r="V993" s="3153"/>
      <c r="W993" s="3153"/>
      <c r="X993" s="3152"/>
      <c r="Y993" s="3293"/>
      <c r="Z993" s="1201"/>
      <c r="AA993" s="1201"/>
      <c r="AB993" s="1202"/>
      <c r="AC993" s="3292"/>
      <c r="AD993" s="3291"/>
      <c r="AE993" s="3291"/>
      <c r="AF993" s="3290"/>
      <c r="AI993" s="3120" t="str">
        <f>"55:field207:" &amp; IF(I993="■",1,IF(L993="■",2,0))</f>
        <v>55:field207:0</v>
      </c>
    </row>
    <row r="994" spans="1:35" s="3120" customFormat="1" ht="18.75" customHeight="1" x14ac:dyDescent="0.2">
      <c r="A994" s="834"/>
      <c r="B994" s="3148"/>
      <c r="C994" s="3295"/>
      <c r="D994" s="3294"/>
      <c r="E994" s="3145"/>
      <c r="F994" s="3144"/>
      <c r="G994" s="3145"/>
      <c r="H994" s="3151" t="s">
        <v>140</v>
      </c>
      <c r="I994" s="3141" t="s">
        <v>116</v>
      </c>
      <c r="J994" s="3139" t="s">
        <v>1230</v>
      </c>
      <c r="K994" s="3138"/>
      <c r="L994" s="3140" t="s">
        <v>116</v>
      </c>
      <c r="M994" s="3139" t="s">
        <v>1233</v>
      </c>
      <c r="N994" s="3171"/>
      <c r="O994" s="3153"/>
      <c r="P994" s="3153"/>
      <c r="Q994" s="3153"/>
      <c r="R994" s="3153"/>
      <c r="S994" s="3153"/>
      <c r="T994" s="3153"/>
      <c r="U994" s="3153"/>
      <c r="V994" s="3153"/>
      <c r="W994" s="3153"/>
      <c r="X994" s="3152"/>
      <c r="Y994" s="3293"/>
      <c r="Z994" s="1201"/>
      <c r="AA994" s="1201"/>
      <c r="AB994" s="1202"/>
      <c r="AC994" s="3292"/>
      <c r="AD994" s="3291"/>
      <c r="AE994" s="3291"/>
      <c r="AF994" s="3290"/>
      <c r="AI994" s="3120" t="str">
        <f>"55:ryouyoushoku_code:" &amp; IF(I994="■",1,IF(L994="■",2,0))</f>
        <v>55:ryouyoushoku_code:0</v>
      </c>
    </row>
    <row r="995" spans="1:35" s="3120" customFormat="1" ht="18.75" customHeight="1" x14ac:dyDescent="0.2">
      <c r="A995" s="834"/>
      <c r="B995" s="3148"/>
      <c r="C995" s="3295"/>
      <c r="D995" s="3294"/>
      <c r="E995" s="3145"/>
      <c r="F995" s="3144"/>
      <c r="G995" s="3145"/>
      <c r="H995" s="3304" t="s">
        <v>1332</v>
      </c>
      <c r="I995" s="3303" t="s">
        <v>116</v>
      </c>
      <c r="J995" s="3302" t="s">
        <v>1287</v>
      </c>
      <c r="K995" s="3302"/>
      <c r="L995" s="3209"/>
      <c r="M995" s="3209"/>
      <c r="N995" s="3209"/>
      <c r="O995" s="3209"/>
      <c r="P995" s="3301" t="s">
        <v>116</v>
      </c>
      <c r="Q995" s="3302" t="s">
        <v>1288</v>
      </c>
      <c r="R995" s="3209"/>
      <c r="S995" s="3209"/>
      <c r="T995" s="3209"/>
      <c r="U995" s="3209"/>
      <c r="V995" s="3209"/>
      <c r="W995" s="3209"/>
      <c r="X995" s="3208"/>
      <c r="Y995" s="3293"/>
      <c r="Z995" s="1201"/>
      <c r="AA995" s="1201"/>
      <c r="AB995" s="1202"/>
      <c r="AC995" s="3292"/>
      <c r="AD995" s="3291"/>
      <c r="AE995" s="3291"/>
      <c r="AF995" s="3290"/>
      <c r="AI995" s="3120" t="str">
        <f>"55:" &amp; IF(AND(I995="□",P995="□",I996="□"),"tokusin_jyusho_code:0:tokusin_yakuzai_code:0:shuudan_comu_code:0",IF(I995="■","tokusin_jyusho_code:2","tokusin_jyusho_code:1")
&amp;IF(P995="■",":tokusin_yakuzai_code:2",":tokusin_yakuzai_code:1")
&amp;IF(I996="■",":shuudan_comu_code:2",":shuudan_comu_code:1"))</f>
        <v>55:tokusin_jyusho_code:0:tokusin_yakuzai_code:0:shuudan_comu_code:0</v>
      </c>
    </row>
    <row r="996" spans="1:35" s="3120" customFormat="1" ht="18.75" customHeight="1" x14ac:dyDescent="0.2">
      <c r="A996" s="3158" t="s">
        <v>116</v>
      </c>
      <c r="B996" s="3148">
        <v>55</v>
      </c>
      <c r="C996" s="3295" t="s">
        <v>923</v>
      </c>
      <c r="D996" s="3158" t="s">
        <v>116</v>
      </c>
      <c r="E996" s="3145" t="s">
        <v>1320</v>
      </c>
      <c r="F996" s="3144"/>
      <c r="G996" s="3145"/>
      <c r="H996" s="3300"/>
      <c r="I996" s="3141" t="s">
        <v>116</v>
      </c>
      <c r="J996" s="3139" t="s">
        <v>1294</v>
      </c>
      <c r="K996" s="3207"/>
      <c r="L996" s="3207"/>
      <c r="M996" s="3207"/>
      <c r="N996" s="3207"/>
      <c r="O996" s="3207"/>
      <c r="P996" s="3207"/>
      <c r="Q996" s="3162"/>
      <c r="R996" s="3207"/>
      <c r="S996" s="3207"/>
      <c r="T996" s="3207"/>
      <c r="U996" s="3207"/>
      <c r="V996" s="3207"/>
      <c r="W996" s="3207"/>
      <c r="X996" s="3206"/>
      <c r="Y996" s="3293"/>
      <c r="Z996" s="1201"/>
      <c r="AA996" s="1201"/>
      <c r="AB996" s="1202"/>
      <c r="AC996" s="3292"/>
      <c r="AD996" s="3291"/>
      <c r="AE996" s="3291"/>
      <c r="AF996" s="3290"/>
    </row>
    <row r="997" spans="1:35" s="3120" customFormat="1" ht="18.75" customHeight="1" x14ac:dyDescent="0.2">
      <c r="A997" s="834"/>
      <c r="B997" s="3148"/>
      <c r="C997" s="3295"/>
      <c r="D997" s="3294"/>
      <c r="E997" s="3145"/>
      <c r="F997" s="3144"/>
      <c r="G997" s="3145"/>
      <c r="H997" s="3304" t="s">
        <v>1300</v>
      </c>
      <c r="I997" s="3303" t="s">
        <v>116</v>
      </c>
      <c r="J997" s="3302" t="s">
        <v>1295</v>
      </c>
      <c r="K997" s="3317"/>
      <c r="L997" s="3316"/>
      <c r="M997" s="3301" t="s">
        <v>116</v>
      </c>
      <c r="N997" s="3302" t="s">
        <v>1296</v>
      </c>
      <c r="O997" s="3209"/>
      <c r="P997" s="3209"/>
      <c r="Q997" s="3301" t="s">
        <v>116</v>
      </c>
      <c r="R997" s="3302" t="s">
        <v>1297</v>
      </c>
      <c r="S997" s="3209"/>
      <c r="T997" s="3209"/>
      <c r="U997" s="3209"/>
      <c r="V997" s="3209"/>
      <c r="W997" s="3209"/>
      <c r="X997" s="3208"/>
      <c r="Y997" s="3293"/>
      <c r="Z997" s="1201"/>
      <c r="AA997" s="1201"/>
      <c r="AB997" s="1202"/>
      <c r="AC997" s="3292"/>
      <c r="AD997" s="3291"/>
      <c r="AE997" s="3291"/>
      <c r="AF997" s="3290"/>
      <c r="AI997" s="3120" t="str">
        <f>"55:"&amp;IF(AND(I997="□",M997="□",Q997="□",I998="□",Q998="□"),"koriha_rryoho1_code:0:koriha_sryoho_code:0:koriha_gengo_code:0:riha_seisin_code:0:koriha_other_code:0",IF(I997="■","koriha_rryoho1_code:2","koriha_rryoho1_code:1")
&amp;IF(M997="■",":koriha_sryoho_code:2",":koriha_sryoho_code:1")
&amp;IF(Q997="■",":koriha_gengo_code:2",":koriha_gengo_code:1")
&amp;IF(I998="■",":riha_seisin_code:2",":riha_seisin_code:1")
&amp;IF(Q998="■",":koriha_other_code:2",":koriha_other_code:1"))</f>
        <v>55:koriha_rryoho1_code:0:koriha_sryoho_code:0:koriha_gengo_code:0:riha_seisin_code:0:koriha_other_code:0</v>
      </c>
    </row>
    <row r="998" spans="1:35" s="3120" customFormat="1" ht="18.75" customHeight="1" x14ac:dyDescent="0.2">
      <c r="A998" s="834"/>
      <c r="B998" s="3148"/>
      <c r="C998" s="3295"/>
      <c r="D998" s="834"/>
      <c r="E998" s="3145"/>
      <c r="F998" s="3144"/>
      <c r="G998" s="3145"/>
      <c r="H998" s="3300"/>
      <c r="I998" s="3141" t="s">
        <v>116</v>
      </c>
      <c r="J998" s="3139" t="s">
        <v>1298</v>
      </c>
      <c r="K998" s="3207"/>
      <c r="L998" s="3207"/>
      <c r="M998" s="3207"/>
      <c r="N998" s="3207"/>
      <c r="O998" s="3207"/>
      <c r="P998" s="3207"/>
      <c r="Q998" s="3140" t="s">
        <v>116</v>
      </c>
      <c r="R998" s="3139" t="s">
        <v>1299</v>
      </c>
      <c r="S998" s="3162"/>
      <c r="T998" s="3207"/>
      <c r="U998" s="3207"/>
      <c r="V998" s="3207"/>
      <c r="W998" s="3207"/>
      <c r="X998" s="3206"/>
      <c r="Y998" s="3293"/>
      <c r="Z998" s="1201"/>
      <c r="AA998" s="1201"/>
      <c r="AB998" s="1202"/>
      <c r="AC998" s="3292"/>
      <c r="AD998" s="3291"/>
      <c r="AE998" s="3291"/>
      <c r="AF998" s="3290"/>
    </row>
    <row r="999" spans="1:35" s="3120" customFormat="1" ht="18.75" customHeight="1" x14ac:dyDescent="0.2">
      <c r="A999" s="834"/>
      <c r="B999" s="3148"/>
      <c r="C999" s="3295"/>
      <c r="D999" s="3294"/>
      <c r="E999" s="3145"/>
      <c r="F999" s="3144"/>
      <c r="G999" s="3145"/>
      <c r="H999" s="3170" t="s">
        <v>1334</v>
      </c>
      <c r="I999" s="3248" t="s">
        <v>116</v>
      </c>
      <c r="J999" s="3210" t="s">
        <v>1230</v>
      </c>
      <c r="K999" s="3210"/>
      <c r="L999" s="3298" t="s">
        <v>116</v>
      </c>
      <c r="M999" s="3210" t="s">
        <v>1335</v>
      </c>
      <c r="N999" s="3210"/>
      <c r="O999" s="3210"/>
      <c r="P999" s="3298" t="s">
        <v>116</v>
      </c>
      <c r="Q999" s="3210" t="s">
        <v>1336</v>
      </c>
      <c r="R999" s="3210"/>
      <c r="S999" s="3210"/>
      <c r="T999" s="3298" t="s">
        <v>116</v>
      </c>
      <c r="U999" s="3210" t="s">
        <v>1337</v>
      </c>
      <c r="V999" s="3210"/>
      <c r="W999" s="3210"/>
      <c r="X999" s="3315"/>
      <c r="Y999" s="3293"/>
      <c r="Z999" s="1201"/>
      <c r="AA999" s="1201"/>
      <c r="AB999" s="1202"/>
      <c r="AC999" s="3292"/>
      <c r="AD999" s="3291"/>
      <c r="AE999" s="3291"/>
      <c r="AF999" s="3290"/>
      <c r="AI999" s="3120" t="str">
        <f>"55:"&amp;IF(AND(I999="□",L999="□",P999="□",T999="□"),"field236:0:field237:0:field238:0",IF(I999="■","field236:1:field237:1:field238:1",IF(L999="■","field236:2","field236:1")
&amp;IF(P999="■",":field237:2",":field237:1")
&amp;IF(T999="■",":field238:2",":field238:1")))</f>
        <v>55:field236:0:field237:0:field238:0</v>
      </c>
    </row>
    <row r="1000" spans="1:35" s="3120" customFormat="1" ht="18.75" customHeight="1" x14ac:dyDescent="0.2">
      <c r="A1000" s="834"/>
      <c r="B1000" s="3148"/>
      <c r="C1000" s="3295"/>
      <c r="D1000" s="3294"/>
      <c r="E1000" s="3145"/>
      <c r="F1000" s="3144"/>
      <c r="G1000" s="3145"/>
      <c r="H1000" s="3165"/>
      <c r="I1000" s="3200"/>
      <c r="J1000" s="3163"/>
      <c r="K1000" s="3163"/>
      <c r="L1000" s="3199"/>
      <c r="M1000" s="3163"/>
      <c r="N1000" s="3163"/>
      <c r="O1000" s="3163"/>
      <c r="P1000" s="3199"/>
      <c r="Q1000" s="3163"/>
      <c r="R1000" s="3163"/>
      <c r="S1000" s="3163"/>
      <c r="T1000" s="3199"/>
      <c r="U1000" s="3163"/>
      <c r="V1000" s="3163"/>
      <c r="W1000" s="3163"/>
      <c r="X1000" s="3314"/>
      <c r="Y1000" s="3293"/>
      <c r="Z1000" s="1201"/>
      <c r="AA1000" s="1201"/>
      <c r="AB1000" s="1202"/>
      <c r="AC1000" s="3292"/>
      <c r="AD1000" s="3291"/>
      <c r="AE1000" s="3291"/>
      <c r="AF1000" s="3290"/>
    </row>
    <row r="1001" spans="1:35" s="3120" customFormat="1" ht="18.75" customHeight="1" x14ac:dyDescent="0.2">
      <c r="A1001" s="834"/>
      <c r="B1001" s="3148"/>
      <c r="C1001" s="3295"/>
      <c r="D1001" s="3294"/>
      <c r="E1001" s="3145"/>
      <c r="F1001" s="3144"/>
      <c r="G1001" s="3145"/>
      <c r="H1001" s="3142" t="s">
        <v>1338</v>
      </c>
      <c r="I1001" s="3141" t="s">
        <v>116</v>
      </c>
      <c r="J1001" s="3139" t="s">
        <v>1230</v>
      </c>
      <c r="K1001" s="3138"/>
      <c r="L1001" s="3140" t="s">
        <v>116</v>
      </c>
      <c r="M1001" s="3139" t="s">
        <v>1233</v>
      </c>
      <c r="N1001" s="3171"/>
      <c r="O1001" s="3171"/>
      <c r="P1001" s="3171"/>
      <c r="Q1001" s="3171"/>
      <c r="R1001" s="3171"/>
      <c r="S1001" s="3171"/>
      <c r="T1001" s="3171"/>
      <c r="U1001" s="3171"/>
      <c r="V1001" s="3171"/>
      <c r="W1001" s="3171"/>
      <c r="X1001" s="3297"/>
      <c r="Y1001" s="3293"/>
      <c r="Z1001" s="1201"/>
      <c r="AA1001" s="1201"/>
      <c r="AB1001" s="1202"/>
      <c r="AC1001" s="3292"/>
      <c r="AD1001" s="3291"/>
      <c r="AE1001" s="3291"/>
      <c r="AF1001" s="3290"/>
      <c r="AI1001" s="3120" t="str">
        <f>"55:ninti_riha_code:" &amp; IF(I1001="■",1,IF(L1001="■",2,0))</f>
        <v>55:ninti_riha_code:0</v>
      </c>
    </row>
    <row r="1002" spans="1:35" s="3120" customFormat="1" ht="18.75" customHeight="1" x14ac:dyDescent="0.2">
      <c r="A1002" s="834"/>
      <c r="B1002" s="3148"/>
      <c r="C1002" s="3295"/>
      <c r="D1002" s="3294"/>
      <c r="E1002" s="3145"/>
      <c r="F1002" s="3144"/>
      <c r="G1002" s="3145"/>
      <c r="H1002" s="3151" t="s">
        <v>1237</v>
      </c>
      <c r="I1002" s="3155" t="s">
        <v>116</v>
      </c>
      <c r="J1002" s="3137" t="s">
        <v>1230</v>
      </c>
      <c r="K1002" s="3137"/>
      <c r="L1002" s="3154" t="s">
        <v>116</v>
      </c>
      <c r="M1002" s="3137" t="s">
        <v>1231</v>
      </c>
      <c r="N1002" s="3137"/>
      <c r="O1002" s="3154" t="s">
        <v>116</v>
      </c>
      <c r="P1002" s="3137" t="s">
        <v>1232</v>
      </c>
      <c r="Q1002" s="3150"/>
      <c r="R1002" s="3171"/>
      <c r="S1002" s="3171"/>
      <c r="T1002" s="3171"/>
      <c r="U1002" s="3171"/>
      <c r="V1002" s="3171"/>
      <c r="W1002" s="3171"/>
      <c r="X1002" s="3297"/>
      <c r="Y1002" s="3293"/>
      <c r="Z1002" s="1201"/>
      <c r="AA1002" s="1201"/>
      <c r="AB1002" s="1202"/>
      <c r="AC1002" s="3292"/>
      <c r="AD1002" s="3291"/>
      <c r="AE1002" s="3291"/>
      <c r="AF1002" s="3290"/>
      <c r="AI1002" s="3120" t="str">
        <f>"55:ninti_senmoncare_code:" &amp; IF(I1002="■",1,IF(O1002="■",3,IF(L1002="■",2,0)))</f>
        <v>55:ninti_senmoncare_code:0</v>
      </c>
    </row>
    <row r="1003" spans="1:35" s="3120" customFormat="1" ht="18.75" customHeight="1" x14ac:dyDescent="0.2">
      <c r="A1003" s="834"/>
      <c r="B1003" s="3148"/>
      <c r="C1003" s="3295"/>
      <c r="D1003" s="3294"/>
      <c r="E1003" s="3145"/>
      <c r="F1003" s="3144"/>
      <c r="G1003" s="3145"/>
      <c r="H1003" s="3151" t="s">
        <v>1327</v>
      </c>
      <c r="I1003" s="3155" t="s">
        <v>116</v>
      </c>
      <c r="J1003" s="3137" t="s">
        <v>1230</v>
      </c>
      <c r="K1003" s="3137"/>
      <c r="L1003" s="3154" t="s">
        <v>116</v>
      </c>
      <c r="M1003" s="3137" t="s">
        <v>1231</v>
      </c>
      <c r="N1003" s="3137"/>
      <c r="O1003" s="3154" t="s">
        <v>116</v>
      </c>
      <c r="P1003" s="3137" t="s">
        <v>1232</v>
      </c>
      <c r="Q1003" s="3171"/>
      <c r="R1003" s="3171"/>
      <c r="S1003" s="3171"/>
      <c r="T1003" s="3171"/>
      <c r="U1003" s="3171"/>
      <c r="V1003" s="3171"/>
      <c r="W1003" s="3171"/>
      <c r="X1003" s="3297"/>
      <c r="Y1003" s="3293"/>
      <c r="Z1003" s="1201"/>
      <c r="AA1003" s="1201"/>
      <c r="AB1003" s="1202"/>
      <c r="AC1003" s="3292"/>
      <c r="AD1003" s="3291"/>
      <c r="AE1003" s="3291"/>
      <c r="AF1003" s="3290"/>
      <c r="AI1003" s="3120" t="str">
        <f>"55:field228:" &amp; IF(I1003="■",1,IF(L1003="■",2,IF(O1003="■",3,0)))</f>
        <v>55:field228:0</v>
      </c>
    </row>
    <row r="1004" spans="1:35" s="3120" customFormat="1" ht="18.75" customHeight="1" x14ac:dyDescent="0.2">
      <c r="A1004" s="834"/>
      <c r="B1004" s="3148"/>
      <c r="C1004" s="3295"/>
      <c r="D1004" s="3294"/>
      <c r="E1004" s="3145"/>
      <c r="F1004" s="3144"/>
      <c r="G1004" s="3145"/>
      <c r="H1004" s="3151" t="s">
        <v>237</v>
      </c>
      <c r="I1004" s="3155" t="s">
        <v>116</v>
      </c>
      <c r="J1004" s="3137" t="s">
        <v>1230</v>
      </c>
      <c r="K1004" s="3137"/>
      <c r="L1004" s="3154" t="s">
        <v>116</v>
      </c>
      <c r="M1004" s="3137" t="s">
        <v>1231</v>
      </c>
      <c r="N1004" s="3137"/>
      <c r="O1004" s="3154" t="s">
        <v>116</v>
      </c>
      <c r="P1004" s="3137" t="s">
        <v>1232</v>
      </c>
      <c r="Q1004" s="3150"/>
      <c r="R1004" s="3137"/>
      <c r="S1004" s="3137"/>
      <c r="T1004" s="3137"/>
      <c r="U1004" s="3137"/>
      <c r="V1004" s="3137"/>
      <c r="W1004" s="3137"/>
      <c r="X1004" s="3136"/>
      <c r="Y1004" s="3293"/>
      <c r="Z1004" s="1201"/>
      <c r="AA1004" s="1201"/>
      <c r="AB1004" s="1202"/>
      <c r="AC1004" s="3292"/>
      <c r="AD1004" s="3291"/>
      <c r="AE1004" s="3291"/>
      <c r="AF1004" s="3290"/>
      <c r="AI1004" s="3120" t="str">
        <f>"55:field164:" &amp; IF(I1004="■",1,IF(L1004="■",2,IF(O1004="■",3,0)))</f>
        <v>55:field164:0</v>
      </c>
    </row>
    <row r="1005" spans="1:35" s="3120" customFormat="1" ht="18.75" customHeight="1" x14ac:dyDescent="0.2">
      <c r="A1005" s="834"/>
      <c r="B1005" s="3148"/>
      <c r="C1005" s="3295"/>
      <c r="D1005" s="3294"/>
      <c r="E1005" s="3145"/>
      <c r="F1005" s="3144"/>
      <c r="G1005" s="3145"/>
      <c r="H1005" s="3159" t="s">
        <v>795</v>
      </c>
      <c r="I1005" s="3141" t="s">
        <v>116</v>
      </c>
      <c r="J1005" s="3139" t="s">
        <v>1230</v>
      </c>
      <c r="K1005" s="3138"/>
      <c r="L1005" s="3140" t="s">
        <v>116</v>
      </c>
      <c r="M1005" s="3139" t="s">
        <v>1233</v>
      </c>
      <c r="N1005" s="3171"/>
      <c r="O1005" s="3171"/>
      <c r="P1005" s="3171"/>
      <c r="Q1005" s="3171"/>
      <c r="R1005" s="3171"/>
      <c r="S1005" s="3171"/>
      <c r="T1005" s="3171"/>
      <c r="U1005" s="3171"/>
      <c r="V1005" s="3171"/>
      <c r="W1005" s="3171"/>
      <c r="X1005" s="3297"/>
      <c r="Y1005" s="3293"/>
      <c r="Z1005" s="1201"/>
      <c r="AA1005" s="1201"/>
      <c r="AB1005" s="1202"/>
      <c r="AC1005" s="3292"/>
      <c r="AD1005" s="3291"/>
      <c r="AE1005" s="3291"/>
      <c r="AF1005" s="3290"/>
      <c r="AI1005" s="3120" t="str">
        <f>"55:field210:" &amp; IF(I1005="■",1,IF(L1005="■",2,0))</f>
        <v>55:field210:0</v>
      </c>
    </row>
    <row r="1006" spans="1:35" s="3120" customFormat="1" ht="18.75" customHeight="1" x14ac:dyDescent="0.2">
      <c r="A1006" s="834"/>
      <c r="B1006" s="3148"/>
      <c r="C1006" s="3295"/>
      <c r="D1006" s="3294"/>
      <c r="E1006" s="3145"/>
      <c r="F1006" s="3144"/>
      <c r="G1006" s="3145"/>
      <c r="H1006" s="3151" t="s">
        <v>796</v>
      </c>
      <c r="I1006" s="3141" t="s">
        <v>116</v>
      </c>
      <c r="J1006" s="3139" t="s">
        <v>1230</v>
      </c>
      <c r="K1006" s="3138"/>
      <c r="L1006" s="3140" t="s">
        <v>116</v>
      </c>
      <c r="M1006" s="3139" t="s">
        <v>1233</v>
      </c>
      <c r="N1006" s="3171"/>
      <c r="O1006" s="3171"/>
      <c r="P1006" s="3171"/>
      <c r="Q1006" s="3171"/>
      <c r="R1006" s="3171"/>
      <c r="S1006" s="3171"/>
      <c r="T1006" s="3171"/>
      <c r="U1006" s="3171"/>
      <c r="V1006" s="3171"/>
      <c r="W1006" s="3171"/>
      <c r="X1006" s="3297"/>
      <c r="Y1006" s="3293"/>
      <c r="Z1006" s="1201"/>
      <c r="AA1006" s="1201"/>
      <c r="AB1006" s="1202"/>
      <c r="AC1006" s="3292"/>
      <c r="AD1006" s="3291"/>
      <c r="AE1006" s="3291"/>
      <c r="AF1006" s="3290"/>
      <c r="AI1006" s="3120" t="str">
        <f>"55:field211:" &amp; IF(I1006="■",1,IF(L1006="■",2,0))</f>
        <v>55:field211:0</v>
      </c>
    </row>
    <row r="1007" spans="1:35" s="3120" customFormat="1" ht="18.75" customHeight="1" x14ac:dyDescent="0.2">
      <c r="A1007" s="834"/>
      <c r="B1007" s="3148"/>
      <c r="C1007" s="3295"/>
      <c r="D1007" s="3294"/>
      <c r="E1007" s="3145"/>
      <c r="F1007" s="3144"/>
      <c r="G1007" s="3145"/>
      <c r="H1007" s="3151" t="s">
        <v>797</v>
      </c>
      <c r="I1007" s="3141" t="s">
        <v>116</v>
      </c>
      <c r="J1007" s="3139" t="s">
        <v>1230</v>
      </c>
      <c r="K1007" s="3138"/>
      <c r="L1007" s="3140" t="s">
        <v>116</v>
      </c>
      <c r="M1007" s="3139" t="s">
        <v>1233</v>
      </c>
      <c r="N1007" s="3171"/>
      <c r="O1007" s="3171"/>
      <c r="P1007" s="3171"/>
      <c r="Q1007" s="3171"/>
      <c r="R1007" s="3171"/>
      <c r="S1007" s="3171"/>
      <c r="T1007" s="3171"/>
      <c r="U1007" s="3171"/>
      <c r="V1007" s="3171"/>
      <c r="W1007" s="3171"/>
      <c r="X1007" s="3297"/>
      <c r="Y1007" s="3293"/>
      <c r="Z1007" s="1201"/>
      <c r="AA1007" s="1201"/>
      <c r="AB1007" s="1202"/>
      <c r="AC1007" s="3292"/>
      <c r="AD1007" s="3291"/>
      <c r="AE1007" s="3291"/>
      <c r="AF1007" s="3290"/>
      <c r="AI1007" s="3120" t="str">
        <f>"55:field212:" &amp; IF(I1007="■",1,IF(L1007="■",2,0))</f>
        <v>55:field212:0</v>
      </c>
    </row>
    <row r="1008" spans="1:35" s="3120" customFormat="1" ht="18.75" customHeight="1" x14ac:dyDescent="0.2">
      <c r="A1008" s="834"/>
      <c r="B1008" s="3148"/>
      <c r="C1008" s="3295"/>
      <c r="D1008" s="3294"/>
      <c r="E1008" s="3145"/>
      <c r="F1008" s="3144"/>
      <c r="G1008" s="3145"/>
      <c r="H1008" s="3151" t="s">
        <v>798</v>
      </c>
      <c r="I1008" s="3141" t="s">
        <v>116</v>
      </c>
      <c r="J1008" s="3139" t="s">
        <v>1230</v>
      </c>
      <c r="K1008" s="3138"/>
      <c r="L1008" s="3140" t="s">
        <v>116</v>
      </c>
      <c r="M1008" s="3139" t="s">
        <v>1233</v>
      </c>
      <c r="N1008" s="3171"/>
      <c r="O1008" s="3171"/>
      <c r="P1008" s="3171"/>
      <c r="Q1008" s="3171"/>
      <c r="R1008" s="3171"/>
      <c r="S1008" s="3171"/>
      <c r="T1008" s="3171"/>
      <c r="U1008" s="3171"/>
      <c r="V1008" s="3171"/>
      <c r="W1008" s="3171"/>
      <c r="X1008" s="3297"/>
      <c r="Y1008" s="3293"/>
      <c r="Z1008" s="1201"/>
      <c r="AA1008" s="1201"/>
      <c r="AB1008" s="1202"/>
      <c r="AC1008" s="3292"/>
      <c r="AD1008" s="3291"/>
      <c r="AE1008" s="3291"/>
      <c r="AF1008" s="3290"/>
      <c r="AI1008" s="3120" t="str">
        <f>"55:field209:" &amp; IF(I1008="■",1,IF(L1008="■",2,0))</f>
        <v>55:field209:0</v>
      </c>
    </row>
    <row r="1009" spans="1:36" s="3120" customFormat="1" ht="18.75" customHeight="1" x14ac:dyDescent="0.2">
      <c r="A1009" s="834"/>
      <c r="B1009" s="3148"/>
      <c r="C1009" s="3295"/>
      <c r="D1009" s="3294"/>
      <c r="E1009" s="3145"/>
      <c r="F1009" s="3144"/>
      <c r="G1009" s="3145"/>
      <c r="H1009" s="3151" t="s">
        <v>1323</v>
      </c>
      <c r="I1009" s="3155" t="s">
        <v>116</v>
      </c>
      <c r="J1009" s="3137" t="s">
        <v>1230</v>
      </c>
      <c r="K1009" s="3137"/>
      <c r="L1009" s="3154" t="s">
        <v>116</v>
      </c>
      <c r="M1009" s="3139" t="s">
        <v>1233</v>
      </c>
      <c r="N1009" s="3137"/>
      <c r="O1009" s="3137"/>
      <c r="P1009" s="3137"/>
      <c r="Q1009" s="3171"/>
      <c r="R1009" s="3171"/>
      <c r="S1009" s="3171"/>
      <c r="T1009" s="3171"/>
      <c r="U1009" s="3171"/>
      <c r="V1009" s="3171"/>
      <c r="W1009" s="3171"/>
      <c r="X1009" s="3297"/>
      <c r="Y1009" s="3293"/>
      <c r="Z1009" s="1201"/>
      <c r="AA1009" s="1201"/>
      <c r="AB1009" s="1202"/>
      <c r="AC1009" s="3292"/>
      <c r="AD1009" s="3291"/>
      <c r="AE1009" s="3291"/>
      <c r="AF1009" s="3290"/>
      <c r="AI1009" s="3120" t="str">
        <f>"55:field226:" &amp; IF(I1009="■",1,IF(L1009="■",2,0))</f>
        <v>55:field226:0</v>
      </c>
    </row>
    <row r="1010" spans="1:36" s="3120" customFormat="1" ht="18.75" customHeight="1" x14ac:dyDescent="0.2">
      <c r="A1010" s="834"/>
      <c r="B1010" s="3148"/>
      <c r="C1010" s="3295"/>
      <c r="D1010" s="3294"/>
      <c r="E1010" s="3145"/>
      <c r="F1010" s="3144"/>
      <c r="G1010" s="3145"/>
      <c r="H1010" s="3151" t="s">
        <v>1324</v>
      </c>
      <c r="I1010" s="3155" t="s">
        <v>116</v>
      </c>
      <c r="J1010" s="3137" t="s">
        <v>1230</v>
      </c>
      <c r="K1010" s="3137"/>
      <c r="L1010" s="3154" t="s">
        <v>116</v>
      </c>
      <c r="M1010" s="3139" t="s">
        <v>1233</v>
      </c>
      <c r="N1010" s="3137"/>
      <c r="O1010" s="3137"/>
      <c r="P1010" s="3137"/>
      <c r="Q1010" s="3171"/>
      <c r="R1010" s="3171"/>
      <c r="S1010" s="3171"/>
      <c r="T1010" s="3171"/>
      <c r="U1010" s="3171"/>
      <c r="V1010" s="3171"/>
      <c r="W1010" s="3171"/>
      <c r="X1010" s="3297"/>
      <c r="Y1010" s="3293"/>
      <c r="Z1010" s="1201"/>
      <c r="AA1010" s="1201"/>
      <c r="AB1010" s="1202"/>
      <c r="AC1010" s="3292"/>
      <c r="AD1010" s="3291"/>
      <c r="AE1010" s="3291"/>
      <c r="AF1010" s="3290"/>
      <c r="AI1010" s="3120" t="str">
        <f>"55:field227:" &amp; IF(I1010="■",1,IF(L1010="■",2,0))</f>
        <v>55:field227:0</v>
      </c>
    </row>
    <row r="1011" spans="1:36" s="3120" customFormat="1" ht="18.75" customHeight="1" x14ac:dyDescent="0.2">
      <c r="A1011" s="834"/>
      <c r="B1011" s="3148"/>
      <c r="C1011" s="3295"/>
      <c r="D1011" s="3294"/>
      <c r="E1011" s="3145"/>
      <c r="F1011" s="3144"/>
      <c r="G1011" s="3145"/>
      <c r="H1011" s="3296" t="s">
        <v>1285</v>
      </c>
      <c r="I1011" s="3155" t="s">
        <v>116</v>
      </c>
      <c r="J1011" s="3137" t="s">
        <v>1230</v>
      </c>
      <c r="K1011" s="3137"/>
      <c r="L1011" s="3154" t="s">
        <v>116</v>
      </c>
      <c r="M1011" s="3137" t="s">
        <v>1231</v>
      </c>
      <c r="N1011" s="3137"/>
      <c r="O1011" s="3154" t="s">
        <v>116</v>
      </c>
      <c r="P1011" s="3137" t="s">
        <v>1232</v>
      </c>
      <c r="Q1011" s="3150"/>
      <c r="R1011" s="3150"/>
      <c r="S1011" s="3150"/>
      <c r="T1011" s="3150"/>
      <c r="U1011" s="3209"/>
      <c r="V1011" s="3209"/>
      <c r="W1011" s="3209"/>
      <c r="X1011" s="3208"/>
      <c r="Y1011" s="3293"/>
      <c r="Z1011" s="1201"/>
      <c r="AA1011" s="1201"/>
      <c r="AB1011" s="1202"/>
      <c r="AC1011" s="3292"/>
      <c r="AD1011" s="3291"/>
      <c r="AE1011" s="3291"/>
      <c r="AF1011" s="3290"/>
      <c r="AI1011" s="3120" t="str">
        <f>"55:field225:" &amp; IF(I1011="■",1,IF(L1011="■",2,IF(O1011="■",3,0)))</f>
        <v>55:field225:0</v>
      </c>
    </row>
    <row r="1012" spans="1:36" s="3120" customFormat="1" ht="18.75" customHeight="1" x14ac:dyDescent="0.2">
      <c r="A1012" s="834"/>
      <c r="B1012" s="3148"/>
      <c r="C1012" s="3295"/>
      <c r="D1012" s="3294"/>
      <c r="E1012" s="3145"/>
      <c r="F1012" s="3144"/>
      <c r="G1012" s="3145"/>
      <c r="H1012" s="3151" t="s">
        <v>238</v>
      </c>
      <c r="I1012" s="3155" t="s">
        <v>116</v>
      </c>
      <c r="J1012" s="3137" t="s">
        <v>1230</v>
      </c>
      <c r="K1012" s="3137"/>
      <c r="L1012" s="3154" t="s">
        <v>116</v>
      </c>
      <c r="M1012" s="3137" t="s">
        <v>1259</v>
      </c>
      <c r="N1012" s="3137"/>
      <c r="O1012" s="3154" t="s">
        <v>116</v>
      </c>
      <c r="P1012" s="3137" t="s">
        <v>1260</v>
      </c>
      <c r="Q1012" s="3153"/>
      <c r="R1012" s="3154" t="s">
        <v>116</v>
      </c>
      <c r="S1012" s="3137" t="s">
        <v>1261</v>
      </c>
      <c r="T1012" s="3137"/>
      <c r="U1012" s="3137"/>
      <c r="V1012" s="3137"/>
      <c r="W1012" s="3137"/>
      <c r="X1012" s="3136"/>
      <c r="Y1012" s="3293"/>
      <c r="Z1012" s="1201"/>
      <c r="AA1012" s="1201"/>
      <c r="AB1012" s="1202"/>
      <c r="AC1012" s="3292"/>
      <c r="AD1012" s="3291"/>
      <c r="AE1012" s="3291"/>
      <c r="AF1012" s="3290"/>
      <c r="AI1012" s="3120" t="str">
        <f>"55:serteikyo_kyoka_code:" &amp; IF(I1012="■",1,IF(L1012="■",6,IF(O1012="■",5,IF(R1012="■",7,0))))</f>
        <v>55:serteikyo_kyoka_code:0</v>
      </c>
    </row>
    <row r="1013" spans="1:36" s="3120" customFormat="1" ht="18.75" customHeight="1" x14ac:dyDescent="0.2">
      <c r="A1013" s="835"/>
      <c r="B1013" s="3135"/>
      <c r="C1013" s="3134"/>
      <c r="D1013" s="3133"/>
      <c r="E1013" s="3132"/>
      <c r="F1013" s="3131"/>
      <c r="G1013" s="3189"/>
      <c r="H1013" s="3289" t="s">
        <v>2129</v>
      </c>
      <c r="I1013" s="3128" t="s">
        <v>116</v>
      </c>
      <c r="J1013" s="3285" t="s">
        <v>1230</v>
      </c>
      <c r="K1013" s="3285"/>
      <c r="L1013" s="3127" t="s">
        <v>116</v>
      </c>
      <c r="M1013" s="3285" t="s">
        <v>2128</v>
      </c>
      <c r="N1013" s="3288"/>
      <c r="O1013" s="3127" t="s">
        <v>116</v>
      </c>
      <c r="P1013" s="3287" t="s">
        <v>2127</v>
      </c>
      <c r="Q1013" s="3286"/>
      <c r="R1013" s="3127" t="s">
        <v>116</v>
      </c>
      <c r="S1013" s="3285" t="s">
        <v>2126</v>
      </c>
      <c r="T1013" s="3286"/>
      <c r="U1013" s="3127" t="s">
        <v>116</v>
      </c>
      <c r="V1013" s="3285" t="s">
        <v>2125</v>
      </c>
      <c r="W1013" s="3284"/>
      <c r="X1013" s="3283"/>
      <c r="Y1013" s="3282"/>
      <c r="Z1013" s="3282"/>
      <c r="AA1013" s="3282"/>
      <c r="AB1013" s="3281"/>
      <c r="AC1013" s="3280"/>
      <c r="AD1013" s="3279"/>
      <c r="AE1013" s="3279"/>
      <c r="AF1013" s="3278"/>
      <c r="AI1013" s="3120" t="str">
        <f>"55:shoguukaizen_code:"&amp;IF(I1013="■",1,IF(L1013="■",7,IF(O1013="■",8,IF(R1013="■",9,IF(U1013="■","A",0)))))</f>
        <v>55:shoguukaizen_code:0</v>
      </c>
    </row>
    <row r="1014" spans="1:36" s="3120" customFormat="1" ht="18.75" customHeight="1" x14ac:dyDescent="0.2">
      <c r="A1014" s="3188"/>
      <c r="B1014" s="3187"/>
      <c r="C1014" s="3313"/>
      <c r="D1014" s="3312"/>
      <c r="E1014" s="3185"/>
      <c r="F1014" s="3184"/>
      <c r="G1014" s="3185"/>
      <c r="H1014" s="3265" t="s">
        <v>1286</v>
      </c>
      <c r="I1014" s="3253" t="s">
        <v>116</v>
      </c>
      <c r="J1014" s="3252" t="s">
        <v>1282</v>
      </c>
      <c r="K1014" s="3311"/>
      <c r="L1014" s="3309"/>
      <c r="M1014" s="3310" t="s">
        <v>116</v>
      </c>
      <c r="N1014" s="3252" t="s">
        <v>1289</v>
      </c>
      <c r="O1014" s="3309"/>
      <c r="P1014" s="3309"/>
      <c r="Q1014" s="3310" t="s">
        <v>116</v>
      </c>
      <c r="R1014" s="3252" t="s">
        <v>1290</v>
      </c>
      <c r="S1014" s="3309"/>
      <c r="T1014" s="3309"/>
      <c r="U1014" s="3310" t="s">
        <v>116</v>
      </c>
      <c r="V1014" s="3252" t="s">
        <v>1291</v>
      </c>
      <c r="W1014" s="3309"/>
      <c r="X1014" s="3266"/>
      <c r="Y1014" s="3253" t="s">
        <v>116</v>
      </c>
      <c r="Z1014" s="3252" t="s">
        <v>1225</v>
      </c>
      <c r="AA1014" s="3252"/>
      <c r="AB1014" s="3308"/>
      <c r="AC1014" s="3307"/>
      <c r="AD1014" s="3306"/>
      <c r="AE1014" s="3306"/>
      <c r="AF1014" s="3305"/>
      <c r="AG1014" s="3120" t="str">
        <f>"ser_code = '" &amp; IF(A1025="■",55,"") &amp; "'"</f>
        <v>ser_code = ''</v>
      </c>
      <c r="AH1014" s="3120" t="str">
        <f>"55:jininkbn_code:"&amp;IF(F1025="■",1,IF(F1026="■",2,0))</f>
        <v>55:jininkbn_code:0</v>
      </c>
      <c r="AI1014" s="3120" t="str">
        <f>"55:yakan_kinmu_code:" &amp; IF(I1014="■",1,IF(M1014="■",2,IF(Q1014="■",3,IF(U1014="■",7,IF(I1015="■",5,IF(M1015="■",6,0))))))</f>
        <v>55:yakan_kinmu_code:0</v>
      </c>
      <c r="AJ1014" s="3120" t="str">
        <f>"55:field203:" &amp; IF(Y1014="■",1,IF(Y1015="■",2,0))</f>
        <v>55:field203:0</v>
      </c>
    </row>
    <row r="1015" spans="1:36" s="3120" customFormat="1" ht="18.75" customHeight="1" x14ac:dyDescent="0.2">
      <c r="A1015" s="834"/>
      <c r="B1015" s="3148"/>
      <c r="C1015" s="3295"/>
      <c r="D1015" s="3294"/>
      <c r="E1015" s="3145"/>
      <c r="F1015" s="3144"/>
      <c r="G1015" s="3145"/>
      <c r="H1015" s="3300"/>
      <c r="I1015" s="3141" t="s">
        <v>116</v>
      </c>
      <c r="J1015" s="3139" t="s">
        <v>1292</v>
      </c>
      <c r="K1015" s="3138"/>
      <c r="L1015" s="3162"/>
      <c r="M1015" s="3140" t="s">
        <v>116</v>
      </c>
      <c r="N1015" s="3139" t="s">
        <v>1283</v>
      </c>
      <c r="O1015" s="3162"/>
      <c r="P1015" s="3162"/>
      <c r="Q1015" s="3162"/>
      <c r="R1015" s="3162"/>
      <c r="S1015" s="3162"/>
      <c r="T1015" s="3162"/>
      <c r="U1015" s="3162"/>
      <c r="V1015" s="3162"/>
      <c r="W1015" s="3162"/>
      <c r="X1015" s="3161"/>
      <c r="Y1015" s="3158" t="s">
        <v>116</v>
      </c>
      <c r="Z1015" s="1200" t="s">
        <v>1226</v>
      </c>
      <c r="AA1015" s="1201"/>
      <c r="AB1015" s="1202"/>
      <c r="AC1015" s="3292"/>
      <c r="AD1015" s="3291"/>
      <c r="AE1015" s="3291"/>
      <c r="AF1015" s="3290"/>
      <c r="AG1015" s="3120" t="str">
        <f>"55:sisetukbn_code:" &amp; IF(D1025="■",6,0)</f>
        <v>55:sisetukbn_code:0</v>
      </c>
    </row>
    <row r="1016" spans="1:36" s="3120" customFormat="1" ht="18.75" customHeight="1" x14ac:dyDescent="0.2">
      <c r="A1016" s="834"/>
      <c r="B1016" s="3148"/>
      <c r="C1016" s="3295"/>
      <c r="D1016" s="3294"/>
      <c r="E1016" s="3145"/>
      <c r="F1016" s="3144"/>
      <c r="G1016" s="3145"/>
      <c r="H1016" s="3304" t="s">
        <v>90</v>
      </c>
      <c r="I1016" s="3303" t="s">
        <v>116</v>
      </c>
      <c r="J1016" s="3302" t="s">
        <v>1230</v>
      </c>
      <c r="K1016" s="3302"/>
      <c r="L1016" s="3167"/>
      <c r="M1016" s="3301" t="s">
        <v>116</v>
      </c>
      <c r="N1016" s="3302" t="s">
        <v>1262</v>
      </c>
      <c r="O1016" s="3302"/>
      <c r="P1016" s="3167"/>
      <c r="Q1016" s="3301" t="s">
        <v>116</v>
      </c>
      <c r="R1016" s="3167" t="s">
        <v>1302</v>
      </c>
      <c r="S1016" s="3167"/>
      <c r="T1016" s="3167"/>
      <c r="U1016" s="3301" t="s">
        <v>116</v>
      </c>
      <c r="V1016" s="3167" t="s">
        <v>1303</v>
      </c>
      <c r="W1016" s="3209"/>
      <c r="X1016" s="3208"/>
      <c r="Y1016" s="3293"/>
      <c r="Z1016" s="1201"/>
      <c r="AA1016" s="1201"/>
      <c r="AB1016" s="1202"/>
      <c r="AC1016" s="3292"/>
      <c r="AD1016" s="3291"/>
      <c r="AE1016" s="3291"/>
      <c r="AF1016" s="3290"/>
      <c r="AI1016" s="3120" t="str">
        <f>"55:"&amp;IF(AND(I1016="□",M1016="□",Q1016="□",U1016="□",I1017="□",M1017="□"),"ketu_doctor_code:0",IF(I1016="■","ketu_doctor_code:1:field197:1:ketu_kangos_code:1:ketu_kshoku_code:1:ketu_ksiensou_code:1",IF(M1016="■","ketu_doctor_code:2","ketu_doctor_code:1")
&amp;IF(Q1016="■",":field197:2",":field197:1")
&amp;IF(U1016="■",":ketu_kangos_code:2",":ketu_kangos_code:1")
&amp;IF(I1017="■",":ketu_kshoku_code:2",":ketu_kshoku_code:1")
&amp;IF(M1017="■",":ketu_ksiensou_code:2",":ketu_ksiensou_code:1")))</f>
        <v>55:ketu_doctor_code:0</v>
      </c>
    </row>
    <row r="1017" spans="1:36" s="3120" customFormat="1" ht="18.75" customHeight="1" x14ac:dyDescent="0.2">
      <c r="A1017" s="834"/>
      <c r="B1017" s="3148"/>
      <c r="C1017" s="3295"/>
      <c r="D1017" s="3294"/>
      <c r="E1017" s="3145"/>
      <c r="F1017" s="3144"/>
      <c r="G1017" s="3145"/>
      <c r="H1017" s="3300"/>
      <c r="I1017" s="3141" t="s">
        <v>116</v>
      </c>
      <c r="J1017" s="3162" t="s">
        <v>1304</v>
      </c>
      <c r="K1017" s="3139"/>
      <c r="L1017" s="3162"/>
      <c r="M1017" s="3140" t="s">
        <v>116</v>
      </c>
      <c r="N1017" s="3139" t="s">
        <v>1328</v>
      </c>
      <c r="O1017" s="3139"/>
      <c r="P1017" s="3162"/>
      <c r="Q1017" s="3162"/>
      <c r="R1017" s="3162"/>
      <c r="S1017" s="3162"/>
      <c r="T1017" s="3162"/>
      <c r="U1017" s="3162"/>
      <c r="V1017" s="3162"/>
      <c r="W1017" s="3207"/>
      <c r="X1017" s="3206"/>
      <c r="Y1017" s="3293"/>
      <c r="Z1017" s="1201"/>
      <c r="AA1017" s="1201"/>
      <c r="AB1017" s="1202"/>
      <c r="AC1017" s="3292"/>
      <c r="AD1017" s="3291"/>
      <c r="AE1017" s="3291"/>
      <c r="AF1017" s="3290"/>
    </row>
    <row r="1018" spans="1:36" s="3120" customFormat="1" ht="18.75" customHeight="1" x14ac:dyDescent="0.2">
      <c r="A1018" s="834"/>
      <c r="B1018" s="3148"/>
      <c r="C1018" s="3295"/>
      <c r="D1018" s="3294"/>
      <c r="E1018" s="3145"/>
      <c r="F1018" s="3144"/>
      <c r="G1018" s="3145"/>
      <c r="H1018" s="3151" t="s">
        <v>91</v>
      </c>
      <c r="I1018" s="3155" t="s">
        <v>116</v>
      </c>
      <c r="J1018" s="3137" t="s">
        <v>1240</v>
      </c>
      <c r="K1018" s="3171"/>
      <c r="L1018" s="3153"/>
      <c r="M1018" s="3154" t="s">
        <v>116</v>
      </c>
      <c r="N1018" s="3137" t="s">
        <v>1241</v>
      </c>
      <c r="O1018" s="3171"/>
      <c r="P1018" s="3150"/>
      <c r="Q1018" s="3150"/>
      <c r="R1018" s="3150"/>
      <c r="S1018" s="3150"/>
      <c r="T1018" s="3150"/>
      <c r="U1018" s="3150"/>
      <c r="V1018" s="3150"/>
      <c r="W1018" s="3150"/>
      <c r="X1018" s="3149"/>
      <c r="Y1018" s="3293"/>
      <c r="Z1018" s="1201"/>
      <c r="AA1018" s="1201"/>
      <c r="AB1018" s="1202"/>
      <c r="AC1018" s="3292"/>
      <c r="AD1018" s="3291"/>
      <c r="AE1018" s="3291"/>
      <c r="AF1018" s="3290"/>
      <c r="AI1018" s="3120" t="str">
        <f>"55:unitcare_code:" &amp; IF(I1018="■",1,IF(M1018="■",2,0))</f>
        <v>55:unitcare_code:0</v>
      </c>
    </row>
    <row r="1019" spans="1:36" s="3120" customFormat="1" ht="18.75" customHeight="1" x14ac:dyDescent="0.2">
      <c r="A1019" s="834"/>
      <c r="B1019" s="3148"/>
      <c r="C1019" s="3295"/>
      <c r="D1019" s="3294"/>
      <c r="E1019" s="3145"/>
      <c r="F1019" s="3144"/>
      <c r="G1019" s="3145"/>
      <c r="H1019" s="3151" t="s">
        <v>1325</v>
      </c>
      <c r="I1019" s="3155" t="s">
        <v>116</v>
      </c>
      <c r="J1019" s="3137" t="s">
        <v>1228</v>
      </c>
      <c r="K1019" s="3171"/>
      <c r="L1019" s="3153"/>
      <c r="M1019" s="3154" t="s">
        <v>116</v>
      </c>
      <c r="N1019" s="3137" t="s">
        <v>1322</v>
      </c>
      <c r="O1019" s="3150"/>
      <c r="P1019" s="3150"/>
      <c r="Q1019" s="3150"/>
      <c r="R1019" s="3150"/>
      <c r="S1019" s="3150"/>
      <c r="T1019" s="3150"/>
      <c r="U1019" s="3150"/>
      <c r="V1019" s="3150"/>
      <c r="W1019" s="3150"/>
      <c r="X1019" s="3149"/>
      <c r="Y1019" s="3293"/>
      <c r="Z1019" s="1201"/>
      <c r="AA1019" s="1201"/>
      <c r="AB1019" s="1202"/>
      <c r="AC1019" s="3292"/>
      <c r="AD1019" s="3291"/>
      <c r="AE1019" s="3291"/>
      <c r="AF1019" s="3290"/>
      <c r="AI1019" s="3120" t="str">
        <f>"55:sintaikousoku_code:" &amp; IF(I1019="■",1,IF(M1019="■",2,0))</f>
        <v>55:sintaikousoku_code:0</v>
      </c>
    </row>
    <row r="1020" spans="1:36" s="3120" customFormat="1" ht="18.75" customHeight="1" x14ac:dyDescent="0.2">
      <c r="A1020" s="834"/>
      <c r="B1020" s="3148"/>
      <c r="C1020" s="3295"/>
      <c r="D1020" s="3294"/>
      <c r="E1020" s="3145"/>
      <c r="F1020" s="3144"/>
      <c r="G1020" s="3145"/>
      <c r="H1020" s="3151" t="s">
        <v>792</v>
      </c>
      <c r="I1020" s="3155" t="s">
        <v>116</v>
      </c>
      <c r="J1020" s="3137" t="s">
        <v>1228</v>
      </c>
      <c r="K1020" s="3171"/>
      <c r="L1020" s="3153"/>
      <c r="M1020" s="3154" t="s">
        <v>116</v>
      </c>
      <c r="N1020" s="3137" t="s">
        <v>1322</v>
      </c>
      <c r="O1020" s="3150"/>
      <c r="P1020" s="3150"/>
      <c r="Q1020" s="3150"/>
      <c r="R1020" s="3150"/>
      <c r="S1020" s="3150"/>
      <c r="T1020" s="3150"/>
      <c r="U1020" s="3150"/>
      <c r="V1020" s="3150"/>
      <c r="W1020" s="3150"/>
      <c r="X1020" s="3149"/>
      <c r="Y1020" s="3293"/>
      <c r="Z1020" s="1201"/>
      <c r="AA1020" s="1201"/>
      <c r="AB1020" s="1202"/>
      <c r="AC1020" s="3292"/>
      <c r="AD1020" s="3291"/>
      <c r="AE1020" s="3291"/>
      <c r="AF1020" s="3290"/>
      <c r="AI1020" s="3120" t="str">
        <f>"55:field208:" &amp; IF(I1020="■",1,IF(M1020="■",2,0))</f>
        <v>55:field208:0</v>
      </c>
    </row>
    <row r="1021" spans="1:36" s="3120" customFormat="1" ht="19.5" customHeight="1" x14ac:dyDescent="0.2">
      <c r="A1021" s="834"/>
      <c r="B1021" s="3148"/>
      <c r="C1021" s="3147"/>
      <c r="D1021" s="3146"/>
      <c r="E1021" s="3145"/>
      <c r="F1021" s="3144"/>
      <c r="G1021" s="3175"/>
      <c r="H1021" s="3174" t="s">
        <v>1227</v>
      </c>
      <c r="I1021" s="3155" t="s">
        <v>116</v>
      </c>
      <c r="J1021" s="3137" t="s">
        <v>1228</v>
      </c>
      <c r="K1021" s="3171"/>
      <c r="L1021" s="3173"/>
      <c r="M1021" s="3154" t="s">
        <v>116</v>
      </c>
      <c r="N1021" s="3137" t="s">
        <v>1229</v>
      </c>
      <c r="O1021" s="3299"/>
      <c r="P1021" s="3137"/>
      <c r="Q1021" s="3150"/>
      <c r="R1021" s="3150"/>
      <c r="S1021" s="3150"/>
      <c r="T1021" s="3150"/>
      <c r="U1021" s="3150"/>
      <c r="V1021" s="3150"/>
      <c r="W1021" s="3150"/>
      <c r="X1021" s="3149"/>
      <c r="Y1021" s="1201"/>
      <c r="Z1021" s="1201"/>
      <c r="AA1021" s="1201"/>
      <c r="AB1021" s="1202"/>
      <c r="AC1021" s="3292"/>
      <c r="AD1021" s="3291"/>
      <c r="AE1021" s="3291"/>
      <c r="AF1021" s="3290"/>
      <c r="AI1021" s="3120" t="str">
        <f>"55:field223:" &amp; IF(I1021="■",1,IF(M1021="■",2,0))</f>
        <v>55:field223:0</v>
      </c>
    </row>
    <row r="1022" spans="1:36" s="3120" customFormat="1" ht="19.5" customHeight="1" x14ac:dyDescent="0.2">
      <c r="A1022" s="834"/>
      <c r="B1022" s="3148"/>
      <c r="C1022" s="3147"/>
      <c r="D1022" s="3146"/>
      <c r="E1022" s="3145"/>
      <c r="F1022" s="3144"/>
      <c r="G1022" s="3175"/>
      <c r="H1022" s="3174" t="s">
        <v>1253</v>
      </c>
      <c r="I1022" s="3155" t="s">
        <v>116</v>
      </c>
      <c r="J1022" s="3137" t="s">
        <v>1228</v>
      </c>
      <c r="K1022" s="3171"/>
      <c r="L1022" s="3173"/>
      <c r="M1022" s="3154" t="s">
        <v>116</v>
      </c>
      <c r="N1022" s="3137" t="s">
        <v>1229</v>
      </c>
      <c r="O1022" s="3299"/>
      <c r="P1022" s="3137"/>
      <c r="Q1022" s="3150"/>
      <c r="R1022" s="3150"/>
      <c r="S1022" s="3150"/>
      <c r="T1022" s="3150"/>
      <c r="U1022" s="3150"/>
      <c r="V1022" s="3150"/>
      <c r="W1022" s="3150"/>
      <c r="X1022" s="3149"/>
      <c r="Y1022" s="1201"/>
      <c r="Z1022" s="1201"/>
      <c r="AA1022" s="1201"/>
      <c r="AB1022" s="1202"/>
      <c r="AC1022" s="3292"/>
      <c r="AD1022" s="3291"/>
      <c r="AE1022" s="3291"/>
      <c r="AF1022" s="3290"/>
      <c r="AI1022" s="3120" t="str">
        <f>"55:field232:" &amp; IF(I1022="■",1,IF(M1022="■",2,0))</f>
        <v>55:field232:0</v>
      </c>
    </row>
    <row r="1023" spans="1:36" s="3120" customFormat="1" ht="18.75" customHeight="1" x14ac:dyDescent="0.2">
      <c r="A1023" s="834"/>
      <c r="B1023" s="3148"/>
      <c r="C1023" s="3295"/>
      <c r="D1023" s="3294"/>
      <c r="E1023" s="3145"/>
      <c r="F1023" s="3144"/>
      <c r="G1023" s="3145"/>
      <c r="H1023" s="3170" t="s">
        <v>1326</v>
      </c>
      <c r="I1023" s="3248" t="s">
        <v>116</v>
      </c>
      <c r="J1023" s="3210" t="s">
        <v>1230</v>
      </c>
      <c r="K1023" s="3210"/>
      <c r="L1023" s="3298" t="s">
        <v>116</v>
      </c>
      <c r="M1023" s="3210" t="s">
        <v>1233</v>
      </c>
      <c r="N1023" s="3210"/>
      <c r="O1023" s="3167"/>
      <c r="P1023" s="3167"/>
      <c r="Q1023" s="3167"/>
      <c r="R1023" s="3167"/>
      <c r="S1023" s="3167"/>
      <c r="T1023" s="3167"/>
      <c r="U1023" s="3167"/>
      <c r="V1023" s="3167"/>
      <c r="W1023" s="3167"/>
      <c r="X1023" s="3166"/>
      <c r="Y1023" s="3293"/>
      <c r="Z1023" s="1201"/>
      <c r="AA1023" s="1201"/>
      <c r="AB1023" s="1202"/>
      <c r="AC1023" s="3292"/>
      <c r="AD1023" s="3291"/>
      <c r="AE1023" s="3291"/>
      <c r="AF1023" s="3290"/>
      <c r="AI1023" s="3120" t="str">
        <f>"55:field206:" &amp; IF(I1023="■",1,IF(L1023="■",2,0))</f>
        <v>55:field206:0</v>
      </c>
    </row>
    <row r="1024" spans="1:36" s="3120" customFormat="1" ht="18.75" customHeight="1" x14ac:dyDescent="0.2">
      <c r="A1024" s="834"/>
      <c r="B1024" s="3148"/>
      <c r="C1024" s="3295"/>
      <c r="D1024" s="3294"/>
      <c r="E1024" s="3145"/>
      <c r="F1024" s="3144"/>
      <c r="G1024" s="3145"/>
      <c r="H1024" s="3165"/>
      <c r="I1024" s="3200"/>
      <c r="J1024" s="3163"/>
      <c r="K1024" s="3163"/>
      <c r="L1024" s="3199"/>
      <c r="M1024" s="3163"/>
      <c r="N1024" s="3163"/>
      <c r="O1024" s="3162"/>
      <c r="P1024" s="3162"/>
      <c r="Q1024" s="3162"/>
      <c r="R1024" s="3162"/>
      <c r="S1024" s="3162"/>
      <c r="T1024" s="3162"/>
      <c r="U1024" s="3162"/>
      <c r="V1024" s="3162"/>
      <c r="W1024" s="3162"/>
      <c r="X1024" s="3161"/>
      <c r="Y1024" s="3293"/>
      <c r="Z1024" s="1201"/>
      <c r="AA1024" s="1201"/>
      <c r="AB1024" s="1202"/>
      <c r="AC1024" s="3292"/>
      <c r="AD1024" s="3291"/>
      <c r="AE1024" s="3291"/>
      <c r="AF1024" s="3290"/>
    </row>
    <row r="1025" spans="1:35" s="3120" customFormat="1" ht="18.75" customHeight="1" x14ac:dyDescent="0.2">
      <c r="A1025" s="3158" t="s">
        <v>116</v>
      </c>
      <c r="B1025" s="3148">
        <v>55</v>
      </c>
      <c r="C1025" s="3295" t="s">
        <v>570</v>
      </c>
      <c r="D1025" s="3158" t="s">
        <v>116</v>
      </c>
      <c r="E1025" s="3145" t="s">
        <v>1341</v>
      </c>
      <c r="F1025" s="3158" t="s">
        <v>116</v>
      </c>
      <c r="G1025" s="3145" t="s">
        <v>1318</v>
      </c>
      <c r="H1025" s="3151" t="s">
        <v>236</v>
      </c>
      <c r="I1025" s="3155" t="s">
        <v>116</v>
      </c>
      <c r="J1025" s="3137" t="s">
        <v>1329</v>
      </c>
      <c r="K1025" s="3171"/>
      <c r="L1025" s="3173"/>
      <c r="M1025" s="3154" t="s">
        <v>116</v>
      </c>
      <c r="N1025" s="3137" t="s">
        <v>1293</v>
      </c>
      <c r="O1025" s="3150"/>
      <c r="P1025" s="3150"/>
      <c r="Q1025" s="3150"/>
      <c r="R1025" s="3150"/>
      <c r="S1025" s="3150"/>
      <c r="T1025" s="3150"/>
      <c r="U1025" s="3150"/>
      <c r="V1025" s="3150"/>
      <c r="W1025" s="3150"/>
      <c r="X1025" s="3149"/>
      <c r="Y1025" s="3293"/>
      <c r="Z1025" s="1201"/>
      <c r="AA1025" s="1201"/>
      <c r="AB1025" s="1202"/>
      <c r="AC1025" s="3292"/>
      <c r="AD1025" s="3291"/>
      <c r="AE1025" s="3291"/>
      <c r="AF1025" s="3290"/>
      <c r="AI1025" s="3120" t="str">
        <f>"55:field190:" &amp; IF(I1025="■",1,IF(M1025="■",2,0))</f>
        <v>55:field190:0</v>
      </c>
    </row>
    <row r="1026" spans="1:35" s="3120" customFormat="1" ht="18.75" customHeight="1" x14ac:dyDescent="0.2">
      <c r="A1026" s="834"/>
      <c r="B1026" s="3148"/>
      <c r="C1026" s="3295"/>
      <c r="D1026" s="3294"/>
      <c r="E1026" s="3145"/>
      <c r="F1026" s="3158" t="s">
        <v>116</v>
      </c>
      <c r="G1026" s="3145" t="s">
        <v>1301</v>
      </c>
      <c r="H1026" s="3151" t="s">
        <v>1305</v>
      </c>
      <c r="I1026" s="3155" t="s">
        <v>116</v>
      </c>
      <c r="J1026" s="3137" t="s">
        <v>1329</v>
      </c>
      <c r="K1026" s="3171"/>
      <c r="L1026" s="3173"/>
      <c r="M1026" s="3154" t="s">
        <v>116</v>
      </c>
      <c r="N1026" s="3137" t="s">
        <v>1293</v>
      </c>
      <c r="O1026" s="3150"/>
      <c r="P1026" s="3150"/>
      <c r="Q1026" s="3150"/>
      <c r="R1026" s="3150"/>
      <c r="S1026" s="3150"/>
      <c r="T1026" s="3150"/>
      <c r="U1026" s="3150"/>
      <c r="V1026" s="3150"/>
      <c r="W1026" s="3150"/>
      <c r="X1026" s="3149"/>
      <c r="Y1026" s="3293"/>
      <c r="Z1026" s="1201"/>
      <c r="AA1026" s="1201"/>
      <c r="AB1026" s="1202"/>
      <c r="AC1026" s="3292"/>
      <c r="AD1026" s="3291"/>
      <c r="AE1026" s="3291"/>
      <c r="AF1026" s="3290"/>
      <c r="AI1026" s="3120" t="str">
        <f>"55:field191:" &amp; IF(I1026="■",1,IF(M1026="■",2,0))</f>
        <v>55:field191:0</v>
      </c>
    </row>
    <row r="1027" spans="1:35" s="3120" customFormat="1" ht="18.75" customHeight="1" x14ac:dyDescent="0.2">
      <c r="A1027" s="834"/>
      <c r="B1027" s="3148"/>
      <c r="C1027" s="3295"/>
      <c r="D1027" s="3294"/>
      <c r="E1027" s="3145"/>
      <c r="F1027" s="3144"/>
      <c r="G1027" s="3145"/>
      <c r="H1027" s="3151" t="s">
        <v>1330</v>
      </c>
      <c r="I1027" s="3141" t="s">
        <v>116</v>
      </c>
      <c r="J1027" s="3139" t="s">
        <v>1230</v>
      </c>
      <c r="K1027" s="3138"/>
      <c r="L1027" s="3140" t="s">
        <v>116</v>
      </c>
      <c r="M1027" s="3139" t="s">
        <v>1233</v>
      </c>
      <c r="N1027" s="3171"/>
      <c r="O1027" s="3150"/>
      <c r="P1027" s="3150"/>
      <c r="Q1027" s="3150"/>
      <c r="R1027" s="3150"/>
      <c r="S1027" s="3150"/>
      <c r="T1027" s="3150"/>
      <c r="U1027" s="3150"/>
      <c r="V1027" s="3150"/>
      <c r="W1027" s="3150"/>
      <c r="X1027" s="3149"/>
      <c r="Y1027" s="3293"/>
      <c r="Z1027" s="1201"/>
      <c r="AA1027" s="1201"/>
      <c r="AB1027" s="1202"/>
      <c r="AC1027" s="3292"/>
      <c r="AD1027" s="3291"/>
      <c r="AE1027" s="3291"/>
      <c r="AF1027" s="3290"/>
      <c r="AI1027" s="3120" t="str">
        <f>"55:jyakuninti_uke_code:" &amp; IF(I1027="■",1,IF(L1027="■",2,0))</f>
        <v>55:jyakuninti_uke_code:0</v>
      </c>
    </row>
    <row r="1028" spans="1:35" s="3120" customFormat="1" ht="18.75" customHeight="1" x14ac:dyDescent="0.2">
      <c r="A1028" s="834"/>
      <c r="B1028" s="3148"/>
      <c r="C1028" s="3295"/>
      <c r="D1028" s="3294"/>
      <c r="E1028" s="3145"/>
      <c r="F1028" s="3144"/>
      <c r="G1028" s="3145"/>
      <c r="H1028" s="3151" t="s">
        <v>794</v>
      </c>
      <c r="I1028" s="3141" t="s">
        <v>116</v>
      </c>
      <c r="J1028" s="3139" t="s">
        <v>1230</v>
      </c>
      <c r="K1028" s="3138"/>
      <c r="L1028" s="3140" t="s">
        <v>116</v>
      </c>
      <c r="M1028" s="3139" t="s">
        <v>1233</v>
      </c>
      <c r="N1028" s="3171"/>
      <c r="O1028" s="3150"/>
      <c r="P1028" s="3150"/>
      <c r="Q1028" s="3150"/>
      <c r="R1028" s="3150"/>
      <c r="S1028" s="3150"/>
      <c r="T1028" s="3150"/>
      <c r="U1028" s="3150"/>
      <c r="V1028" s="3150"/>
      <c r="W1028" s="3150"/>
      <c r="X1028" s="3149"/>
      <c r="Y1028" s="3293"/>
      <c r="Z1028" s="1201"/>
      <c r="AA1028" s="1201"/>
      <c r="AB1028" s="1202"/>
      <c r="AC1028" s="3292"/>
      <c r="AD1028" s="3291"/>
      <c r="AE1028" s="3291"/>
      <c r="AF1028" s="3290"/>
      <c r="AI1028" s="3120" t="str">
        <f>"55:field207:" &amp; IF(I1028="■",1,IF(L1028="■",2,0))</f>
        <v>55:field207:0</v>
      </c>
    </row>
    <row r="1029" spans="1:35" s="3120" customFormat="1" ht="18.75" customHeight="1" x14ac:dyDescent="0.2">
      <c r="A1029" s="834"/>
      <c r="B1029" s="3148"/>
      <c r="C1029" s="3295"/>
      <c r="D1029" s="3294"/>
      <c r="E1029" s="3145"/>
      <c r="F1029" s="3144"/>
      <c r="G1029" s="3145"/>
      <c r="H1029" s="3151" t="s">
        <v>140</v>
      </c>
      <c r="I1029" s="3141" t="s">
        <v>116</v>
      </c>
      <c r="J1029" s="3139" t="s">
        <v>1230</v>
      </c>
      <c r="K1029" s="3138"/>
      <c r="L1029" s="3140" t="s">
        <v>116</v>
      </c>
      <c r="M1029" s="3139" t="s">
        <v>1233</v>
      </c>
      <c r="N1029" s="3171"/>
      <c r="O1029" s="3150"/>
      <c r="P1029" s="3150"/>
      <c r="Q1029" s="3150"/>
      <c r="R1029" s="3150"/>
      <c r="S1029" s="3150"/>
      <c r="T1029" s="3150"/>
      <c r="U1029" s="3150"/>
      <c r="V1029" s="3150"/>
      <c r="W1029" s="3150"/>
      <c r="X1029" s="3149"/>
      <c r="Y1029" s="3293"/>
      <c r="Z1029" s="1201"/>
      <c r="AA1029" s="1201"/>
      <c r="AB1029" s="1202"/>
      <c r="AC1029" s="3292"/>
      <c r="AD1029" s="3291"/>
      <c r="AE1029" s="3291"/>
      <c r="AF1029" s="3290"/>
      <c r="AI1029" s="3120" t="str">
        <f>"55:ryouyoushoku_code:" &amp; IF(I1029="■",1,IF(L1029="■",2,0))</f>
        <v>55:ryouyoushoku_code:0</v>
      </c>
    </row>
    <row r="1030" spans="1:35" s="3120" customFormat="1" ht="18.75" customHeight="1" x14ac:dyDescent="0.2">
      <c r="A1030" s="834"/>
      <c r="B1030" s="3148"/>
      <c r="C1030" s="3295"/>
      <c r="D1030" s="3294"/>
      <c r="E1030" s="3145"/>
      <c r="F1030" s="3144"/>
      <c r="G1030" s="3145"/>
      <c r="H1030" s="3151" t="s">
        <v>1237</v>
      </c>
      <c r="I1030" s="3155" t="s">
        <v>116</v>
      </c>
      <c r="J1030" s="3137" t="s">
        <v>1230</v>
      </c>
      <c r="K1030" s="3137"/>
      <c r="L1030" s="3154" t="s">
        <v>116</v>
      </c>
      <c r="M1030" s="3137" t="s">
        <v>1231</v>
      </c>
      <c r="N1030" s="3137"/>
      <c r="O1030" s="3154" t="s">
        <v>116</v>
      </c>
      <c r="P1030" s="3137" t="s">
        <v>1232</v>
      </c>
      <c r="Q1030" s="3150"/>
      <c r="R1030" s="3171"/>
      <c r="S1030" s="3150"/>
      <c r="T1030" s="3150"/>
      <c r="U1030" s="3150"/>
      <c r="V1030" s="3150"/>
      <c r="W1030" s="3150"/>
      <c r="X1030" s="3149"/>
      <c r="Y1030" s="3293"/>
      <c r="Z1030" s="1201"/>
      <c r="AA1030" s="1201"/>
      <c r="AB1030" s="1202"/>
      <c r="AC1030" s="3292"/>
      <c r="AD1030" s="3291"/>
      <c r="AE1030" s="3291"/>
      <c r="AF1030" s="3290"/>
      <c r="AI1030" s="3120" t="str">
        <f>"55:ninti_senmoncare_code:" &amp; IF(I1030="■",1,IF(O1030="■",3,IF(L1030="■",2,0)))</f>
        <v>55:ninti_senmoncare_code:0</v>
      </c>
    </row>
    <row r="1031" spans="1:35" s="3120" customFormat="1" ht="18.75" customHeight="1" x14ac:dyDescent="0.2">
      <c r="A1031" s="834"/>
      <c r="B1031" s="3148"/>
      <c r="C1031" s="3295"/>
      <c r="D1031" s="3294"/>
      <c r="E1031" s="3145"/>
      <c r="F1031" s="3144"/>
      <c r="G1031" s="3145"/>
      <c r="H1031" s="3151" t="s">
        <v>1327</v>
      </c>
      <c r="I1031" s="3155" t="s">
        <v>116</v>
      </c>
      <c r="J1031" s="3137" t="s">
        <v>1230</v>
      </c>
      <c r="K1031" s="3137"/>
      <c r="L1031" s="3154" t="s">
        <v>116</v>
      </c>
      <c r="M1031" s="3137" t="s">
        <v>1231</v>
      </c>
      <c r="N1031" s="3137"/>
      <c r="O1031" s="3154" t="s">
        <v>116</v>
      </c>
      <c r="P1031" s="3137" t="s">
        <v>1232</v>
      </c>
      <c r="Q1031" s="3171"/>
      <c r="R1031" s="3171"/>
      <c r="S1031" s="3171"/>
      <c r="T1031" s="3171"/>
      <c r="U1031" s="3171"/>
      <c r="V1031" s="3171"/>
      <c r="W1031" s="3171"/>
      <c r="X1031" s="3297"/>
      <c r="Y1031" s="3293"/>
      <c r="Z1031" s="1201"/>
      <c r="AA1031" s="1201"/>
      <c r="AB1031" s="1202"/>
      <c r="AC1031" s="3292"/>
      <c r="AD1031" s="3291"/>
      <c r="AE1031" s="3291"/>
      <c r="AF1031" s="3290"/>
      <c r="AI1031" s="3120" t="str">
        <f>"55:field228:" &amp; IF(I1031="■",1,IF(L1031="■",2,IF(O1031="■",3,0)))</f>
        <v>55:field228:0</v>
      </c>
    </row>
    <row r="1032" spans="1:35" s="3120" customFormat="1" ht="18.75" customHeight="1" x14ac:dyDescent="0.2">
      <c r="A1032" s="834"/>
      <c r="B1032" s="3148"/>
      <c r="C1032" s="3295"/>
      <c r="D1032" s="3294"/>
      <c r="E1032" s="3145"/>
      <c r="F1032" s="3144"/>
      <c r="G1032" s="3145"/>
      <c r="H1032" s="3151" t="s">
        <v>244</v>
      </c>
      <c r="I1032" s="3155" t="s">
        <v>116</v>
      </c>
      <c r="J1032" s="3137" t="s">
        <v>1230</v>
      </c>
      <c r="K1032" s="3137"/>
      <c r="L1032" s="3154" t="s">
        <v>116</v>
      </c>
      <c r="M1032" s="3137" t="s">
        <v>1231</v>
      </c>
      <c r="N1032" s="3137"/>
      <c r="O1032" s="3154" t="s">
        <v>116</v>
      </c>
      <c r="P1032" s="3137" t="s">
        <v>1232</v>
      </c>
      <c r="Q1032" s="3150"/>
      <c r="R1032" s="3137"/>
      <c r="S1032" s="3153"/>
      <c r="T1032" s="3153"/>
      <c r="U1032" s="3153"/>
      <c r="V1032" s="3153"/>
      <c r="W1032" s="3153"/>
      <c r="X1032" s="3152"/>
      <c r="Y1032" s="3293"/>
      <c r="Z1032" s="1201"/>
      <c r="AA1032" s="1201"/>
      <c r="AB1032" s="1202"/>
      <c r="AC1032" s="3292"/>
      <c r="AD1032" s="3291"/>
      <c r="AE1032" s="3291"/>
      <c r="AF1032" s="3290"/>
      <c r="AI1032" s="3120" t="str">
        <f>"55:field164:" &amp; IF(I1032="■",1,IF(L1032="■",2,IF(O1032="■",3,0)))</f>
        <v>55:field164:0</v>
      </c>
    </row>
    <row r="1033" spans="1:35" s="3120" customFormat="1" ht="18.75" customHeight="1" x14ac:dyDescent="0.2">
      <c r="A1033" s="834"/>
      <c r="B1033" s="3148"/>
      <c r="C1033" s="3295"/>
      <c r="D1033" s="3294"/>
      <c r="E1033" s="3145"/>
      <c r="F1033" s="3144"/>
      <c r="G1033" s="3145"/>
      <c r="H1033" s="3151" t="s">
        <v>1323</v>
      </c>
      <c r="I1033" s="3155" t="s">
        <v>116</v>
      </c>
      <c r="J1033" s="3137" t="s">
        <v>1230</v>
      </c>
      <c r="K1033" s="3137"/>
      <c r="L1033" s="3154" t="s">
        <v>116</v>
      </c>
      <c r="M1033" s="3139" t="s">
        <v>1233</v>
      </c>
      <c r="N1033" s="3137"/>
      <c r="O1033" s="3137"/>
      <c r="P1033" s="3137"/>
      <c r="Q1033" s="3171"/>
      <c r="R1033" s="3171"/>
      <c r="S1033" s="3171"/>
      <c r="T1033" s="3171"/>
      <c r="U1033" s="3171"/>
      <c r="V1033" s="3171"/>
      <c r="W1033" s="3171"/>
      <c r="X1033" s="3297"/>
      <c r="Y1033" s="3293"/>
      <c r="Z1033" s="1201"/>
      <c r="AA1033" s="1201"/>
      <c r="AB1033" s="1202"/>
      <c r="AC1033" s="3292"/>
      <c r="AD1033" s="3291"/>
      <c r="AE1033" s="3291"/>
      <c r="AF1033" s="3290"/>
      <c r="AI1033" s="3120" t="str">
        <f>"55:field226:" &amp; IF(I1033="■",1,IF(L1033="■",2,0))</f>
        <v>55:field226:0</v>
      </c>
    </row>
    <row r="1034" spans="1:35" s="3120" customFormat="1" ht="18.75" customHeight="1" x14ac:dyDescent="0.2">
      <c r="A1034" s="834"/>
      <c r="B1034" s="3148"/>
      <c r="C1034" s="3295"/>
      <c r="D1034" s="3294"/>
      <c r="E1034" s="3145"/>
      <c r="F1034" s="3144"/>
      <c r="G1034" s="3145"/>
      <c r="H1034" s="3151" t="s">
        <v>1324</v>
      </c>
      <c r="I1034" s="3155" t="s">
        <v>116</v>
      </c>
      <c r="J1034" s="3137" t="s">
        <v>1230</v>
      </c>
      <c r="K1034" s="3137"/>
      <c r="L1034" s="3154" t="s">
        <v>116</v>
      </c>
      <c r="M1034" s="3139" t="s">
        <v>1233</v>
      </c>
      <c r="N1034" s="3137"/>
      <c r="O1034" s="3137"/>
      <c r="P1034" s="3137"/>
      <c r="Q1034" s="3171"/>
      <c r="R1034" s="3171"/>
      <c r="S1034" s="3171"/>
      <c r="T1034" s="3171"/>
      <c r="U1034" s="3171"/>
      <c r="V1034" s="3171"/>
      <c r="W1034" s="3171"/>
      <c r="X1034" s="3297"/>
      <c r="Y1034" s="3293"/>
      <c r="Z1034" s="1201"/>
      <c r="AA1034" s="1201"/>
      <c r="AB1034" s="1202"/>
      <c r="AC1034" s="3292"/>
      <c r="AD1034" s="3291"/>
      <c r="AE1034" s="3291"/>
      <c r="AF1034" s="3290"/>
      <c r="AI1034" s="3120" t="str">
        <f>"55:field227:" &amp; IF(I1034="■",1,IF(L1034="■",2,0))</f>
        <v>55:field227:0</v>
      </c>
    </row>
    <row r="1035" spans="1:35" s="3120" customFormat="1" ht="18.75" customHeight="1" x14ac:dyDescent="0.2">
      <c r="A1035" s="834"/>
      <c r="B1035" s="3148"/>
      <c r="C1035" s="3295"/>
      <c r="D1035" s="3294"/>
      <c r="E1035" s="3145"/>
      <c r="F1035" s="3144"/>
      <c r="G1035" s="3145"/>
      <c r="H1035" s="3296" t="s">
        <v>1285</v>
      </c>
      <c r="I1035" s="3155" t="s">
        <v>116</v>
      </c>
      <c r="J1035" s="3137" t="s">
        <v>1230</v>
      </c>
      <c r="K1035" s="3137"/>
      <c r="L1035" s="3154" t="s">
        <v>116</v>
      </c>
      <c r="M1035" s="3137" t="s">
        <v>1231</v>
      </c>
      <c r="N1035" s="3137"/>
      <c r="O1035" s="3154" t="s">
        <v>116</v>
      </c>
      <c r="P1035" s="3137" t="s">
        <v>1232</v>
      </c>
      <c r="Q1035" s="3150"/>
      <c r="R1035" s="3150"/>
      <c r="S1035" s="3150"/>
      <c r="T1035" s="3150"/>
      <c r="U1035" s="3209"/>
      <c r="V1035" s="3209"/>
      <c r="W1035" s="3209"/>
      <c r="X1035" s="3208"/>
      <c r="Y1035" s="3293"/>
      <c r="Z1035" s="1201"/>
      <c r="AA1035" s="1201"/>
      <c r="AB1035" s="1202"/>
      <c r="AC1035" s="3292"/>
      <c r="AD1035" s="3291"/>
      <c r="AE1035" s="3291"/>
      <c r="AF1035" s="3290"/>
      <c r="AI1035" s="3120" t="str">
        <f>"55:field225:" &amp; IF(I1035="■",1,IF(L1035="■",2,IF(O1035="■",3,0)))</f>
        <v>55:field225:0</v>
      </c>
    </row>
    <row r="1036" spans="1:35" s="3120" customFormat="1" ht="18.75" customHeight="1" x14ac:dyDescent="0.2">
      <c r="A1036" s="834"/>
      <c r="B1036" s="3148"/>
      <c r="C1036" s="3295"/>
      <c r="D1036" s="3294"/>
      <c r="E1036" s="3145"/>
      <c r="F1036" s="3144"/>
      <c r="G1036" s="3145"/>
      <c r="H1036" s="3151" t="s">
        <v>238</v>
      </c>
      <c r="I1036" s="3155" t="s">
        <v>116</v>
      </c>
      <c r="J1036" s="3137" t="s">
        <v>1230</v>
      </c>
      <c r="K1036" s="3137"/>
      <c r="L1036" s="3154" t="s">
        <v>116</v>
      </c>
      <c r="M1036" s="3137" t="s">
        <v>1259</v>
      </c>
      <c r="N1036" s="3137"/>
      <c r="O1036" s="3154" t="s">
        <v>116</v>
      </c>
      <c r="P1036" s="3137" t="s">
        <v>1260</v>
      </c>
      <c r="Q1036" s="3153"/>
      <c r="R1036" s="3154" t="s">
        <v>116</v>
      </c>
      <c r="S1036" s="3137" t="s">
        <v>1261</v>
      </c>
      <c r="T1036" s="3137"/>
      <c r="U1036" s="3137"/>
      <c r="V1036" s="3153"/>
      <c r="W1036" s="3153"/>
      <c r="X1036" s="3152"/>
      <c r="Y1036" s="3293"/>
      <c r="Z1036" s="1201"/>
      <c r="AA1036" s="1201"/>
      <c r="AB1036" s="1202"/>
      <c r="AC1036" s="3292"/>
      <c r="AD1036" s="3291"/>
      <c r="AE1036" s="3291"/>
      <c r="AF1036" s="3290"/>
      <c r="AI1036" s="3120" t="str">
        <f>"55:serteikyo_kyoka_code:" &amp; IF(I1036="■",1,IF(L1036="■",6,IF(O1036="■",5,IF(R1036="■",7,0))))</f>
        <v>55:serteikyo_kyoka_code:0</v>
      </c>
    </row>
    <row r="1037" spans="1:35" s="3120" customFormat="1" ht="18.75" customHeight="1" x14ac:dyDescent="0.2">
      <c r="A1037" s="835"/>
      <c r="B1037" s="3135"/>
      <c r="C1037" s="3134"/>
      <c r="D1037" s="3133"/>
      <c r="E1037" s="3132"/>
      <c r="F1037" s="3131"/>
      <c r="G1037" s="3189"/>
      <c r="H1037" s="3289" t="s">
        <v>2129</v>
      </c>
      <c r="I1037" s="3128" t="s">
        <v>116</v>
      </c>
      <c r="J1037" s="3285" t="s">
        <v>1230</v>
      </c>
      <c r="K1037" s="3285"/>
      <c r="L1037" s="3127" t="s">
        <v>116</v>
      </c>
      <c r="M1037" s="3285" t="s">
        <v>2128</v>
      </c>
      <c r="N1037" s="3288"/>
      <c r="O1037" s="3127" t="s">
        <v>116</v>
      </c>
      <c r="P1037" s="3287" t="s">
        <v>2127</v>
      </c>
      <c r="Q1037" s="3286"/>
      <c r="R1037" s="3127" t="s">
        <v>116</v>
      </c>
      <c r="S1037" s="3285" t="s">
        <v>2126</v>
      </c>
      <c r="T1037" s="3286"/>
      <c r="U1037" s="3127" t="s">
        <v>116</v>
      </c>
      <c r="V1037" s="3285" t="s">
        <v>2125</v>
      </c>
      <c r="W1037" s="3284"/>
      <c r="X1037" s="3283"/>
      <c r="Y1037" s="3282"/>
      <c r="Z1037" s="3282"/>
      <c r="AA1037" s="3282"/>
      <c r="AB1037" s="3281"/>
      <c r="AC1037" s="3280"/>
      <c r="AD1037" s="3279"/>
      <c r="AE1037" s="3279"/>
      <c r="AF1037" s="3278"/>
      <c r="AI1037" s="3120" t="str">
        <f>"55:shoguukaizen_code:"&amp;IF(I1037="■",1,IF(L1037="■",7,IF(O1037="■",8,IF(R1037="■",9,IF(U1037="■","A",0)))))</f>
        <v>55:shoguukaizen_code:0</v>
      </c>
    </row>
    <row r="1038" spans="1:35" s="3120" customFormat="1" ht="20.25" customHeight="1" x14ac:dyDescent="0.2">
      <c r="A1038" s="3121"/>
      <c r="B1038" s="3121"/>
      <c r="C1038" s="836"/>
      <c r="D1038" s="836"/>
      <c r="E1038" s="836"/>
      <c r="F1038" s="836"/>
      <c r="G1038" s="836"/>
      <c r="H1038" s="836"/>
      <c r="I1038" s="836"/>
      <c r="J1038" s="836"/>
      <c r="K1038" s="836"/>
      <c r="L1038" s="836"/>
      <c r="M1038" s="836"/>
      <c r="N1038" s="836"/>
      <c r="O1038" s="836"/>
      <c r="P1038" s="836"/>
      <c r="Q1038" s="836"/>
      <c r="R1038" s="836"/>
      <c r="S1038" s="836"/>
      <c r="T1038" s="836"/>
      <c r="U1038" s="836"/>
      <c r="V1038" s="836"/>
      <c r="W1038" s="836"/>
      <c r="X1038" s="836"/>
      <c r="Y1038" s="836"/>
      <c r="Z1038" s="836"/>
      <c r="AA1038" s="836"/>
      <c r="AB1038" s="836"/>
      <c r="AC1038" s="836"/>
      <c r="AD1038" s="836"/>
      <c r="AE1038" s="836"/>
      <c r="AF1038" s="836"/>
    </row>
    <row r="1039" spans="1:35" s="3120" customFormat="1" ht="36" customHeight="1" x14ac:dyDescent="0.2">
      <c r="A1039" s="3277" t="s">
        <v>2124</v>
      </c>
      <c r="B1039" s="3277"/>
      <c r="C1039" s="3277"/>
      <c r="D1039" s="3277"/>
      <c r="E1039" s="3277"/>
      <c r="F1039" s="3277"/>
      <c r="G1039" s="3277"/>
      <c r="H1039" s="3277"/>
      <c r="I1039" s="3277"/>
      <c r="J1039" s="3277"/>
      <c r="K1039" s="3277"/>
      <c r="L1039" s="3277"/>
      <c r="M1039" s="3277"/>
      <c r="N1039" s="3277"/>
      <c r="O1039" s="3277"/>
      <c r="P1039" s="3277"/>
      <c r="Q1039" s="3277"/>
      <c r="R1039" s="3277"/>
      <c r="S1039" s="3277"/>
      <c r="T1039" s="3277"/>
      <c r="U1039" s="3277"/>
      <c r="V1039" s="3277"/>
      <c r="W1039" s="3277"/>
      <c r="X1039" s="3277"/>
      <c r="Y1039" s="3277"/>
      <c r="Z1039" s="3277"/>
      <c r="AA1039" s="3277"/>
      <c r="AB1039" s="3277"/>
      <c r="AC1039" s="3277"/>
      <c r="AD1039" s="3277"/>
      <c r="AE1039" s="3277"/>
      <c r="AF1039" s="3277"/>
    </row>
    <row r="1040" spans="1:35" s="3120" customFormat="1" ht="20.25" customHeight="1" x14ac:dyDescent="0.2">
      <c r="A1040" s="3121"/>
      <c r="B1040" s="3121"/>
      <c r="C1040" s="836"/>
      <c r="D1040" s="836"/>
      <c r="E1040" s="836"/>
      <c r="F1040" s="836"/>
      <c r="G1040" s="836"/>
      <c r="H1040" s="836"/>
      <c r="I1040" s="836"/>
      <c r="J1040" s="836"/>
      <c r="K1040" s="836"/>
      <c r="L1040" s="836"/>
      <c r="M1040" s="836"/>
      <c r="N1040" s="836"/>
      <c r="O1040" s="836"/>
      <c r="P1040" s="836"/>
      <c r="Q1040" s="836"/>
      <c r="R1040" s="836"/>
      <c r="S1040" s="836"/>
      <c r="T1040" s="836"/>
      <c r="U1040" s="836"/>
      <c r="V1040" s="836"/>
      <c r="W1040" s="836"/>
      <c r="X1040" s="836"/>
      <c r="Y1040" s="836"/>
      <c r="Z1040" s="836"/>
      <c r="AA1040" s="836"/>
      <c r="AB1040" s="836"/>
      <c r="AC1040" s="836"/>
      <c r="AD1040" s="836"/>
      <c r="AE1040" s="836"/>
      <c r="AF1040" s="836"/>
      <c r="AG1040" s="3120" t="s">
        <v>2123</v>
      </c>
    </row>
    <row r="1041" spans="1:35" s="3120" customFormat="1" ht="30" customHeight="1" x14ac:dyDescent="0.2">
      <c r="A1041" s="3121"/>
      <c r="B1041" s="3121"/>
      <c r="C1041" s="836"/>
      <c r="D1041" s="836"/>
      <c r="E1041" s="836"/>
      <c r="F1041" s="836"/>
      <c r="G1041" s="836"/>
      <c r="H1041" s="836"/>
      <c r="I1041" s="836"/>
      <c r="J1041" s="836"/>
      <c r="K1041" s="836"/>
      <c r="L1041" s="836"/>
      <c r="M1041" s="836"/>
      <c r="N1041" s="836"/>
      <c r="O1041" s="836"/>
      <c r="P1041" s="836"/>
      <c r="Q1041" s="836"/>
      <c r="R1041" s="836"/>
      <c r="S1041" s="3273" t="s">
        <v>1210</v>
      </c>
      <c r="T1041" s="3272"/>
      <c r="U1041" s="3272"/>
      <c r="V1041" s="3271"/>
      <c r="W1041" s="3276"/>
      <c r="X1041" s="3275"/>
      <c r="Y1041" s="3275"/>
      <c r="Z1041" s="3275"/>
      <c r="AA1041" s="3275"/>
      <c r="AB1041" s="3275"/>
      <c r="AC1041" s="3275"/>
      <c r="AD1041" s="3275"/>
      <c r="AE1041" s="3275"/>
      <c r="AF1041" s="3274"/>
      <c r="AG1041" s="3120" t="str">
        <f>"kaigo_num='" &amp;W1041&amp;X1041&amp;Y1041&amp;Z1041&amp;AA1041&amp;AB1041&amp;AC1041&amp;AD1041&amp;AE1041&amp;AF1041&amp; "'"</f>
        <v>kaigo_num=''</v>
      </c>
    </row>
    <row r="1042" spans="1:35" s="3120" customFormat="1" ht="20.25" customHeight="1" x14ac:dyDescent="0.2">
      <c r="A1042" s="3121"/>
      <c r="B1042" s="3121"/>
      <c r="C1042" s="836"/>
      <c r="D1042" s="836"/>
      <c r="E1042" s="836"/>
      <c r="F1042" s="836"/>
      <c r="G1042" s="836"/>
      <c r="H1042" s="836"/>
      <c r="I1042" s="836"/>
      <c r="J1042" s="836"/>
      <c r="K1042" s="836"/>
      <c r="L1042" s="836"/>
      <c r="M1042" s="836"/>
      <c r="N1042" s="836"/>
      <c r="O1042" s="836"/>
      <c r="P1042" s="836"/>
      <c r="Q1042" s="836"/>
      <c r="R1042" s="836"/>
      <c r="S1042" s="836"/>
      <c r="T1042" s="836"/>
      <c r="U1042" s="836"/>
      <c r="V1042" s="836"/>
      <c r="W1042" s="836"/>
      <c r="X1042" s="836"/>
      <c r="Y1042" s="836"/>
      <c r="Z1042" s="836"/>
      <c r="AA1042" s="836"/>
      <c r="AB1042" s="836"/>
      <c r="AC1042" s="836"/>
      <c r="AD1042" s="836"/>
      <c r="AE1042" s="836"/>
      <c r="AF1042" s="836"/>
    </row>
    <row r="1043" spans="1:35" s="3120" customFormat="1" ht="18" customHeight="1" x14ac:dyDescent="0.2">
      <c r="A1043" s="3273" t="s">
        <v>2122</v>
      </c>
      <c r="B1043" s="3272"/>
      <c r="C1043" s="3271"/>
      <c r="D1043" s="3273" t="s">
        <v>1</v>
      </c>
      <c r="E1043" s="3271"/>
      <c r="F1043" s="3273" t="s">
        <v>1212</v>
      </c>
      <c r="G1043" s="3271"/>
      <c r="H1043" s="3273" t="s">
        <v>1213</v>
      </c>
      <c r="I1043" s="3272"/>
      <c r="J1043" s="3272"/>
      <c r="K1043" s="3272"/>
      <c r="L1043" s="3272"/>
      <c r="M1043" s="3272"/>
      <c r="N1043" s="3272"/>
      <c r="O1043" s="3272"/>
      <c r="P1043" s="3272"/>
      <c r="Q1043" s="3272"/>
      <c r="R1043" s="3272"/>
      <c r="S1043" s="3272"/>
      <c r="T1043" s="3272"/>
      <c r="U1043" s="3272"/>
      <c r="V1043" s="3272"/>
      <c r="W1043" s="3272"/>
      <c r="X1043" s="3272"/>
      <c r="Y1043" s="3272"/>
      <c r="Z1043" s="3272"/>
      <c r="AA1043" s="3272"/>
      <c r="AB1043" s="3272"/>
      <c r="AC1043" s="3272"/>
      <c r="AD1043" s="3272"/>
      <c r="AE1043" s="3272"/>
      <c r="AF1043" s="3271"/>
    </row>
    <row r="1044" spans="1:35" s="3120" customFormat="1" ht="18.75" customHeight="1" x14ac:dyDescent="0.2">
      <c r="A1044" s="3270" t="s">
        <v>1215</v>
      </c>
      <c r="B1044" s="3269"/>
      <c r="C1044" s="3268"/>
      <c r="D1044" s="3267"/>
      <c r="E1044" s="3266"/>
      <c r="F1044" s="3228"/>
      <c r="G1044" s="3266"/>
      <c r="H1044" s="3265" t="s">
        <v>1216</v>
      </c>
      <c r="I1044" s="3258" t="s">
        <v>116</v>
      </c>
      <c r="J1044" s="3252" t="s">
        <v>1217</v>
      </c>
      <c r="K1044" s="3264"/>
      <c r="L1044" s="3264"/>
      <c r="M1044" s="3258" t="s">
        <v>116</v>
      </c>
      <c r="N1044" s="3252" t="s">
        <v>1218</v>
      </c>
      <c r="O1044" s="3264"/>
      <c r="P1044" s="3264"/>
      <c r="Q1044" s="3258" t="s">
        <v>116</v>
      </c>
      <c r="R1044" s="3252" t="s">
        <v>1219</v>
      </c>
      <c r="S1044" s="3264"/>
      <c r="T1044" s="3264"/>
      <c r="U1044" s="3258" t="s">
        <v>116</v>
      </c>
      <c r="V1044" s="3252" t="s">
        <v>1220</v>
      </c>
      <c r="W1044" s="3264"/>
      <c r="X1044" s="3264"/>
      <c r="Y1044" s="3252"/>
      <c r="Z1044" s="3252"/>
      <c r="AA1044" s="3252"/>
      <c r="AB1044" s="3252"/>
      <c r="AC1044" s="3252"/>
      <c r="AD1044" s="3252"/>
      <c r="AE1044" s="3252"/>
      <c r="AF1044" s="3183"/>
      <c r="AG1044" s="3120" t="str">
        <f>"tiikikbn_code:"&amp; IF(I1044="■",1,IF(M1044="■",6,IF(Q1044="■",7,IF(U1044="■",2,IF(I1045="■",3,IF(M1045="■",4,IF(Q1045="■",9,IF(U1045="■",5,0))))))))</f>
        <v>tiikikbn_code:0</v>
      </c>
    </row>
    <row r="1045" spans="1:35" s="3120" customFormat="1" ht="18.75" customHeight="1" x14ac:dyDescent="0.2">
      <c r="A1045" s="3263"/>
      <c r="B1045" s="3262"/>
      <c r="C1045" s="3261"/>
      <c r="D1045" s="3260"/>
      <c r="E1045" s="3255"/>
      <c r="F1045" s="3133"/>
      <c r="G1045" s="3255"/>
      <c r="H1045" s="3259"/>
      <c r="I1045" s="3193" t="s">
        <v>116</v>
      </c>
      <c r="J1045" s="3190" t="s">
        <v>1221</v>
      </c>
      <c r="K1045" s="3257"/>
      <c r="L1045" s="3257"/>
      <c r="M1045" s="3258" t="s">
        <v>116</v>
      </c>
      <c r="N1045" s="3190" t="s">
        <v>1222</v>
      </c>
      <c r="O1045" s="3257"/>
      <c r="P1045" s="3257"/>
      <c r="Q1045" s="3258" t="s">
        <v>116</v>
      </c>
      <c r="R1045" s="3190" t="s">
        <v>1223</v>
      </c>
      <c r="S1045" s="3257"/>
      <c r="T1045" s="3257"/>
      <c r="U1045" s="3258" t="s">
        <v>116</v>
      </c>
      <c r="V1045" s="3190" t="s">
        <v>1224</v>
      </c>
      <c r="W1045" s="3257"/>
      <c r="X1045" s="3257"/>
      <c r="Y1045" s="3256"/>
      <c r="Z1045" s="3256"/>
      <c r="AA1045" s="3256"/>
      <c r="AB1045" s="3256"/>
      <c r="AC1045" s="3256"/>
      <c r="AD1045" s="3256"/>
      <c r="AE1045" s="3256"/>
      <c r="AF1045" s="3255"/>
    </row>
    <row r="1046" spans="1:35" s="3120" customFormat="1" ht="18.75" hidden="1" customHeight="1" x14ac:dyDescent="0.2">
      <c r="A1046" s="3188"/>
      <c r="B1046" s="3187"/>
      <c r="C1046" s="3229"/>
      <c r="D1046" s="3228"/>
      <c r="E1046" s="3185"/>
      <c r="F1046" s="3184"/>
      <c r="G1046" s="3183"/>
      <c r="H1046" s="3254" t="s">
        <v>2121</v>
      </c>
      <c r="I1046" s="3253" t="s">
        <v>116</v>
      </c>
      <c r="J1046" s="3252" t="s">
        <v>2120</v>
      </c>
      <c r="K1046" s="3251"/>
      <c r="L1046" s="3251"/>
      <c r="M1046" s="3251"/>
      <c r="N1046" s="3251"/>
      <c r="O1046" s="3251"/>
      <c r="P1046" s="3251"/>
      <c r="Q1046" s="3251"/>
      <c r="R1046" s="3251"/>
      <c r="S1046" s="3251"/>
      <c r="T1046" s="3251"/>
      <c r="U1046" s="3251"/>
      <c r="V1046" s="3251"/>
      <c r="W1046" s="3251"/>
      <c r="X1046" s="3251"/>
      <c r="Y1046" s="3251"/>
      <c r="Z1046" s="3251"/>
      <c r="AA1046" s="3251"/>
      <c r="AB1046" s="3251"/>
      <c r="AC1046" s="3251"/>
      <c r="AD1046" s="3251"/>
      <c r="AE1046" s="3251"/>
      <c r="AF1046" s="3250"/>
      <c r="AG1046" s="3120" t="str">
        <f>"ser_code = '" &amp; IF(A1057="■","11S","") &amp; "'"</f>
        <v>ser_code = ''</v>
      </c>
      <c r="AI1046" s="3120" t="str">
        <f>"11S:sintaikaigo_taisei_code:" &amp; IF(I1046="■",1,IF(I1047="■",2,IF(I1048="■",3,0)))</f>
        <v>11S:sintaikaigo_taisei_code:0</v>
      </c>
    </row>
    <row r="1047" spans="1:35" s="3120" customFormat="1" ht="18.75" hidden="1" customHeight="1" x14ac:dyDescent="0.2">
      <c r="A1047" s="834"/>
      <c r="B1047" s="3148"/>
      <c r="C1047" s="3147"/>
      <c r="D1047" s="3146"/>
      <c r="E1047" s="3145"/>
      <c r="F1047" s="3144"/>
      <c r="G1047" s="3175"/>
      <c r="H1047" s="3232"/>
      <c r="I1047" s="3158" t="s">
        <v>116</v>
      </c>
      <c r="J1047" s="836" t="s">
        <v>2119</v>
      </c>
      <c r="K1047" s="3231"/>
      <c r="L1047" s="3231"/>
      <c r="M1047" s="3231"/>
      <c r="N1047" s="3231"/>
      <c r="O1047" s="3231"/>
      <c r="P1047" s="3231"/>
      <c r="Q1047" s="3231"/>
      <c r="R1047" s="3231"/>
      <c r="S1047" s="3231"/>
      <c r="T1047" s="3231"/>
      <c r="U1047" s="3231"/>
      <c r="V1047" s="3231"/>
      <c r="W1047" s="3231"/>
      <c r="X1047" s="3231"/>
      <c r="Y1047" s="3231"/>
      <c r="Z1047" s="3231"/>
      <c r="AA1047" s="3231"/>
      <c r="AB1047" s="3231"/>
      <c r="AC1047" s="3231"/>
      <c r="AD1047" s="3231"/>
      <c r="AE1047" s="3231"/>
      <c r="AF1047" s="3230"/>
      <c r="AG1047" s="3120" t="str">
        <f>"11S:sisetukbn_code:" &amp; IF(AND(D1056="■",D1057="■",D1058="■"),"1;2;3",IF(AND(D1056="■",D1057="■"),"1;2",0))</f>
        <v>11S:sisetukbn_code:0</v>
      </c>
    </row>
    <row r="1048" spans="1:35" s="3120" customFormat="1" ht="18.75" hidden="1" customHeight="1" x14ac:dyDescent="0.2">
      <c r="A1048" s="834"/>
      <c r="B1048" s="3148"/>
      <c r="C1048" s="3147"/>
      <c r="D1048" s="3146"/>
      <c r="E1048" s="3145"/>
      <c r="F1048" s="3144"/>
      <c r="G1048" s="3175"/>
      <c r="H1048" s="3234"/>
      <c r="I1048" s="3141" t="s">
        <v>116</v>
      </c>
      <c r="J1048" s="3162" t="s">
        <v>2118</v>
      </c>
      <c r="K1048" s="3207"/>
      <c r="L1048" s="3207"/>
      <c r="M1048" s="3207"/>
      <c r="N1048" s="3207"/>
      <c r="O1048" s="3207"/>
      <c r="P1048" s="3207"/>
      <c r="Q1048" s="3207"/>
      <c r="R1048" s="3207"/>
      <c r="S1048" s="3207"/>
      <c r="T1048" s="3207"/>
      <c r="U1048" s="3207"/>
      <c r="V1048" s="3207"/>
      <c r="W1048" s="3207"/>
      <c r="X1048" s="3207"/>
      <c r="Y1048" s="3207"/>
      <c r="Z1048" s="3207"/>
      <c r="AA1048" s="3207"/>
      <c r="AB1048" s="3207"/>
      <c r="AC1048" s="3207"/>
      <c r="AD1048" s="3207"/>
      <c r="AE1048" s="3207"/>
      <c r="AF1048" s="3206"/>
    </row>
    <row r="1049" spans="1:35" s="3120" customFormat="1" ht="19.5" hidden="1" customHeight="1" x14ac:dyDescent="0.2">
      <c r="A1049" s="834"/>
      <c r="B1049" s="3148"/>
      <c r="C1049" s="3147"/>
      <c r="D1049" s="3146"/>
      <c r="E1049" s="3145"/>
      <c r="F1049" s="3144"/>
      <c r="G1049" s="3175"/>
      <c r="H1049" s="3174" t="s">
        <v>1227</v>
      </c>
      <c r="I1049" s="3155" t="s">
        <v>116</v>
      </c>
      <c r="J1049" s="3137" t="s">
        <v>1228</v>
      </c>
      <c r="K1049" s="3171"/>
      <c r="L1049" s="3173"/>
      <c r="M1049" s="3154" t="s">
        <v>116</v>
      </c>
      <c r="N1049" s="3137" t="s">
        <v>1229</v>
      </c>
      <c r="O1049" s="3137"/>
      <c r="P1049" s="3137"/>
      <c r="Q1049" s="3150"/>
      <c r="R1049" s="3150"/>
      <c r="S1049" s="3150"/>
      <c r="T1049" s="3150"/>
      <c r="U1049" s="3150"/>
      <c r="V1049" s="3150"/>
      <c r="W1049" s="3150"/>
      <c r="X1049" s="3150"/>
      <c r="Y1049" s="3150"/>
      <c r="Z1049" s="3150"/>
      <c r="AA1049" s="3150"/>
      <c r="AB1049" s="3150"/>
      <c r="AC1049" s="3150"/>
      <c r="AD1049" s="3150"/>
      <c r="AE1049" s="3150"/>
      <c r="AF1049" s="1202"/>
      <c r="AI1049" s="3120" t="str">
        <f>"11S:field223:" &amp; IF(I1049="■",1,IF(M1049="■",2,0))</f>
        <v>11S:field223:0</v>
      </c>
    </row>
    <row r="1050" spans="1:35" s="3120" customFormat="1" ht="19.5" hidden="1" customHeight="1" x14ac:dyDescent="0.2">
      <c r="A1050" s="834"/>
      <c r="B1050" s="3148"/>
      <c r="C1050" s="3147"/>
      <c r="D1050" s="3146"/>
      <c r="E1050" s="3145"/>
      <c r="F1050" s="3144"/>
      <c r="G1050" s="3175"/>
      <c r="H1050" s="3223" t="s">
        <v>1253</v>
      </c>
      <c r="I1050" s="3222" t="s">
        <v>116</v>
      </c>
      <c r="J1050" s="3217" t="s">
        <v>1228</v>
      </c>
      <c r="K1050" s="3221"/>
      <c r="L1050" s="3220"/>
      <c r="M1050" s="3219" t="s">
        <v>116</v>
      </c>
      <c r="N1050" s="3217" t="s">
        <v>1229</v>
      </c>
      <c r="O1050" s="3218"/>
      <c r="P1050" s="3217"/>
      <c r="Q1050" s="3215"/>
      <c r="R1050" s="3215"/>
      <c r="S1050" s="3215"/>
      <c r="T1050" s="3215"/>
      <c r="U1050" s="3215"/>
      <c r="V1050" s="3215"/>
      <c r="W1050" s="3215"/>
      <c r="X1050" s="3215"/>
      <c r="Y1050" s="3216"/>
      <c r="Z1050" s="3216"/>
      <c r="AA1050" s="3216"/>
      <c r="AB1050" s="3216"/>
      <c r="AC1050" s="3249"/>
      <c r="AD1050" s="3249"/>
      <c r="AE1050" s="3249"/>
      <c r="AF1050" s="3214"/>
      <c r="AI1050" s="3120" t="str">
        <f>"11S:field232:" &amp; IF(I1050="■",1,IF(M1050="■",2,0))</f>
        <v>11S:field232:0</v>
      </c>
    </row>
    <row r="1051" spans="1:35" s="3120" customFormat="1" ht="18.75" hidden="1" customHeight="1" x14ac:dyDescent="0.2">
      <c r="A1051" s="834"/>
      <c r="B1051" s="3148"/>
      <c r="C1051" s="3147"/>
      <c r="D1051" s="3146"/>
      <c r="E1051" s="3145"/>
      <c r="F1051" s="3144"/>
      <c r="G1051" s="3175"/>
      <c r="H1051" s="3233" t="s">
        <v>2117</v>
      </c>
      <c r="I1051" s="3169" t="s">
        <v>116</v>
      </c>
      <c r="J1051" s="3168" t="s">
        <v>1230</v>
      </c>
      <c r="K1051" s="3168"/>
      <c r="L1051" s="3169" t="s">
        <v>116</v>
      </c>
      <c r="M1051" s="3168" t="s">
        <v>1233</v>
      </c>
      <c r="N1051" s="3168"/>
      <c r="O1051" s="3167"/>
      <c r="P1051" s="3167"/>
      <c r="Q1051" s="3167"/>
      <c r="R1051" s="3167"/>
      <c r="S1051" s="3167"/>
      <c r="T1051" s="3167"/>
      <c r="U1051" s="3167"/>
      <c r="V1051" s="3167"/>
      <c r="W1051" s="3167"/>
      <c r="X1051" s="3167"/>
      <c r="Y1051" s="3167"/>
      <c r="Z1051" s="3167"/>
      <c r="AA1051" s="3167"/>
      <c r="AB1051" s="3167"/>
      <c r="AC1051" s="3167"/>
      <c r="AD1051" s="3167"/>
      <c r="AE1051" s="3167"/>
      <c r="AF1051" s="3166"/>
      <c r="AI1051" s="3120" t="str">
        <f>"11S:field179:" &amp; IF(I1051="■",1,IF(L1051="■",2,0))</f>
        <v>11S:field179:0</v>
      </c>
    </row>
    <row r="1052" spans="1:35" s="3120" customFormat="1" ht="18.75" hidden="1" customHeight="1" x14ac:dyDescent="0.2">
      <c r="A1052" s="834"/>
      <c r="B1052" s="3148"/>
      <c r="C1052" s="3147"/>
      <c r="D1052" s="3146"/>
      <c r="E1052" s="3145"/>
      <c r="F1052" s="3144"/>
      <c r="G1052" s="3175"/>
      <c r="H1052" s="3234"/>
      <c r="I1052" s="3164"/>
      <c r="J1052" s="3163"/>
      <c r="K1052" s="3163"/>
      <c r="L1052" s="3164"/>
      <c r="M1052" s="3163"/>
      <c r="N1052" s="3163"/>
      <c r="O1052" s="3162"/>
      <c r="P1052" s="3162"/>
      <c r="Q1052" s="3162"/>
      <c r="R1052" s="3162"/>
      <c r="S1052" s="3162"/>
      <c r="T1052" s="3162"/>
      <c r="U1052" s="3162"/>
      <c r="V1052" s="3162"/>
      <c r="W1052" s="3162"/>
      <c r="X1052" s="3162"/>
      <c r="Y1052" s="3162"/>
      <c r="Z1052" s="3162"/>
      <c r="AA1052" s="3162"/>
      <c r="AB1052" s="3162"/>
      <c r="AC1052" s="3162"/>
      <c r="AD1052" s="3162"/>
      <c r="AE1052" s="3162"/>
      <c r="AF1052" s="3161"/>
    </row>
    <row r="1053" spans="1:35" s="3120" customFormat="1" ht="18.75" hidden="1" customHeight="1" x14ac:dyDescent="0.2">
      <c r="A1053" s="834"/>
      <c r="B1053" s="3148"/>
      <c r="C1053" s="3147"/>
      <c r="D1053" s="3146"/>
      <c r="E1053" s="3145"/>
      <c r="F1053" s="3144"/>
      <c r="G1053" s="3175"/>
      <c r="H1053" s="3233" t="s">
        <v>2116</v>
      </c>
      <c r="I1053" s="3169" t="s">
        <v>116</v>
      </c>
      <c r="J1053" s="3168" t="s">
        <v>1230</v>
      </c>
      <c r="K1053" s="3168"/>
      <c r="L1053" s="3169" t="s">
        <v>116</v>
      </c>
      <c r="M1053" s="3168" t="s">
        <v>1233</v>
      </c>
      <c r="N1053" s="3168"/>
      <c r="O1053" s="3167"/>
      <c r="P1053" s="3167"/>
      <c r="Q1053" s="3167"/>
      <c r="R1053" s="3167"/>
      <c r="S1053" s="3167"/>
      <c r="T1053" s="3167"/>
      <c r="U1053" s="3167"/>
      <c r="V1053" s="3167"/>
      <c r="W1053" s="3167"/>
      <c r="X1053" s="3167"/>
      <c r="Y1053" s="3167"/>
      <c r="Z1053" s="3167"/>
      <c r="AA1053" s="3167"/>
      <c r="AB1053" s="3167"/>
      <c r="AC1053" s="3167"/>
      <c r="AD1053" s="3167"/>
      <c r="AE1053" s="3167"/>
      <c r="AF1053" s="3166"/>
      <c r="AI1053" s="3120" t="str">
        <f>"11S:field180:" &amp; IF(I1053="■",1,IF(L1053="■",2,0))</f>
        <v>11S:field180:0</v>
      </c>
    </row>
    <row r="1054" spans="1:35" s="3120" customFormat="1" ht="18.75" hidden="1" customHeight="1" x14ac:dyDescent="0.2">
      <c r="A1054" s="834"/>
      <c r="B1054" s="3148"/>
      <c r="C1054" s="3147"/>
      <c r="D1054" s="3146"/>
      <c r="E1054" s="3145"/>
      <c r="F1054" s="3144"/>
      <c r="G1054" s="3175"/>
      <c r="H1054" s="3234"/>
      <c r="I1054" s="3164"/>
      <c r="J1054" s="3163"/>
      <c r="K1054" s="3163"/>
      <c r="L1054" s="3164"/>
      <c r="M1054" s="3163"/>
      <c r="N1054" s="3163"/>
      <c r="O1054" s="3162"/>
      <c r="P1054" s="3162"/>
      <c r="Q1054" s="3162"/>
      <c r="R1054" s="3162"/>
      <c r="S1054" s="3162"/>
      <c r="T1054" s="3162"/>
      <c r="U1054" s="3162"/>
      <c r="V1054" s="3162"/>
      <c r="W1054" s="3162"/>
      <c r="X1054" s="3162"/>
      <c r="Y1054" s="3162"/>
      <c r="Z1054" s="3162"/>
      <c r="AA1054" s="3162"/>
      <c r="AB1054" s="3162"/>
      <c r="AC1054" s="3162"/>
      <c r="AD1054" s="3162"/>
      <c r="AE1054" s="3162"/>
      <c r="AF1054" s="3161"/>
    </row>
    <row r="1055" spans="1:35" s="3120" customFormat="1" ht="18.75" hidden="1" customHeight="1" x14ac:dyDescent="0.2">
      <c r="A1055" s="1199"/>
      <c r="B1055" s="3148"/>
      <c r="C1055" s="3147"/>
      <c r="D1055" s="3197"/>
      <c r="E1055" s="3145"/>
      <c r="F1055" s="3144"/>
      <c r="G1055" s="3175"/>
      <c r="H1055" s="3170" t="s">
        <v>2115</v>
      </c>
      <c r="I1055" s="3248" t="s">
        <v>116</v>
      </c>
      <c r="J1055" s="3210" t="s">
        <v>1234</v>
      </c>
      <c r="K1055" s="3210"/>
      <c r="L1055" s="3210"/>
      <c r="M1055" s="3211" t="s">
        <v>116</v>
      </c>
      <c r="N1055" s="3210" t="s">
        <v>1235</v>
      </c>
      <c r="O1055" s="3210"/>
      <c r="P1055" s="3210"/>
      <c r="Q1055" s="3247"/>
      <c r="R1055" s="3247"/>
      <c r="S1055" s="3247"/>
      <c r="T1055" s="3247"/>
      <c r="U1055" s="3247"/>
      <c r="V1055" s="3247"/>
      <c r="W1055" s="3247"/>
      <c r="X1055" s="3247"/>
      <c r="Y1055" s="3247"/>
      <c r="Z1055" s="3247"/>
      <c r="AA1055" s="3247"/>
      <c r="AB1055" s="3247"/>
      <c r="AC1055" s="3247"/>
      <c r="AD1055" s="3247"/>
      <c r="AE1055" s="3247"/>
      <c r="AF1055" s="3246"/>
      <c r="AI1055" s="3120" t="str">
        <f>"11S:field233:" &amp; IF(I1055="■",1,IF(M1055="■",2,0))</f>
        <v>11S:field233:0</v>
      </c>
    </row>
    <row r="1056" spans="1:35" s="3120" customFormat="1" ht="19.5" hidden="1" customHeight="1" x14ac:dyDescent="0.2">
      <c r="A1056" s="834"/>
      <c r="B1056" s="3148"/>
      <c r="C1056" s="3147"/>
      <c r="D1056" s="3158" t="s">
        <v>116</v>
      </c>
      <c r="E1056" s="3145" t="s">
        <v>2114</v>
      </c>
      <c r="F1056" s="3144"/>
      <c r="G1056" s="3175"/>
      <c r="H1056" s="3165"/>
      <c r="I1056" s="3200"/>
      <c r="J1056" s="3163"/>
      <c r="K1056" s="3163"/>
      <c r="L1056" s="3163"/>
      <c r="M1056" s="3164"/>
      <c r="N1056" s="3163"/>
      <c r="O1056" s="3163"/>
      <c r="P1056" s="3163"/>
      <c r="Q1056" s="3245"/>
      <c r="R1056" s="3245"/>
      <c r="S1056" s="3245"/>
      <c r="T1056" s="3245"/>
      <c r="U1056" s="3245"/>
      <c r="V1056" s="3245"/>
      <c r="W1056" s="3245"/>
      <c r="X1056" s="3245"/>
      <c r="Y1056" s="3245"/>
      <c r="Z1056" s="3245"/>
      <c r="AA1056" s="3245"/>
      <c r="AB1056" s="3245"/>
      <c r="AC1056" s="3245"/>
      <c r="AD1056" s="3245"/>
      <c r="AE1056" s="3245"/>
      <c r="AF1056" s="3244"/>
    </row>
    <row r="1057" spans="1:35" s="3120" customFormat="1" ht="19.5" hidden="1" customHeight="1" x14ac:dyDescent="0.2">
      <c r="A1057" s="3158" t="s">
        <v>116</v>
      </c>
      <c r="B1057" s="3148">
        <v>11</v>
      </c>
      <c r="C1057" s="3147" t="s">
        <v>2</v>
      </c>
      <c r="D1057" s="3158" t="s">
        <v>116</v>
      </c>
      <c r="E1057" s="3145" t="s">
        <v>2113</v>
      </c>
      <c r="F1057" s="3144"/>
      <c r="G1057" s="3175"/>
      <c r="H1057" s="3170" t="s">
        <v>2112</v>
      </c>
      <c r="I1057" s="3248" t="s">
        <v>116</v>
      </c>
      <c r="J1057" s="3210" t="s">
        <v>1234</v>
      </c>
      <c r="K1057" s="3210"/>
      <c r="L1057" s="3210"/>
      <c r="M1057" s="3211" t="s">
        <v>116</v>
      </c>
      <c r="N1057" s="3210" t="s">
        <v>1235</v>
      </c>
      <c r="O1057" s="3210"/>
      <c r="P1057" s="3210"/>
      <c r="Q1057" s="3247"/>
      <c r="R1057" s="3247"/>
      <c r="S1057" s="3247"/>
      <c r="T1057" s="3247"/>
      <c r="U1057" s="3247"/>
      <c r="V1057" s="3247"/>
      <c r="W1057" s="3247"/>
      <c r="X1057" s="3247"/>
      <c r="Y1057" s="3247"/>
      <c r="Z1057" s="3247"/>
      <c r="AA1057" s="3247"/>
      <c r="AB1057" s="3247"/>
      <c r="AC1057" s="3247"/>
      <c r="AD1057" s="3247"/>
      <c r="AE1057" s="3247"/>
      <c r="AF1057" s="3246"/>
      <c r="AI1057" s="3120" t="str">
        <f>"11S:field234:" &amp; IF(I1057="■",1,IF(M1057="■",2,0))</f>
        <v>11S:field234:0</v>
      </c>
    </row>
    <row r="1058" spans="1:35" s="3120" customFormat="1" ht="19.5" hidden="1" customHeight="1" x14ac:dyDescent="0.2">
      <c r="A1058" s="1199"/>
      <c r="B1058" s="3148"/>
      <c r="C1058" s="3147"/>
      <c r="D1058" s="3158" t="s">
        <v>116</v>
      </c>
      <c r="E1058" s="3145" t="s">
        <v>2111</v>
      </c>
      <c r="F1058" s="3144"/>
      <c r="G1058" s="3175"/>
      <c r="H1058" s="3165"/>
      <c r="I1058" s="3200"/>
      <c r="J1058" s="3163"/>
      <c r="K1058" s="3163"/>
      <c r="L1058" s="3163"/>
      <c r="M1058" s="3164"/>
      <c r="N1058" s="3163"/>
      <c r="O1058" s="3163"/>
      <c r="P1058" s="3163"/>
      <c r="Q1058" s="3245"/>
      <c r="R1058" s="3245"/>
      <c r="S1058" s="3245"/>
      <c r="T1058" s="3245"/>
      <c r="U1058" s="3245"/>
      <c r="V1058" s="3245"/>
      <c r="W1058" s="3245"/>
      <c r="X1058" s="3245"/>
      <c r="Y1058" s="3245"/>
      <c r="Z1058" s="3245"/>
      <c r="AA1058" s="3245"/>
      <c r="AB1058" s="3245"/>
      <c r="AC1058" s="3245"/>
      <c r="AD1058" s="3245"/>
      <c r="AE1058" s="3245"/>
      <c r="AF1058" s="3244"/>
    </row>
    <row r="1059" spans="1:35" s="3120" customFormat="1" ht="19.5" hidden="1" customHeight="1" x14ac:dyDescent="0.2">
      <c r="A1059" s="1199"/>
      <c r="B1059" s="3148"/>
      <c r="C1059" s="3147"/>
      <c r="D1059" s="3197"/>
      <c r="E1059" s="3145"/>
      <c r="F1059" s="3144"/>
      <c r="G1059" s="3175"/>
      <c r="H1059" s="3170" t="s">
        <v>2110</v>
      </c>
      <c r="I1059" s="3248" t="s">
        <v>116</v>
      </c>
      <c r="J1059" s="3210" t="s">
        <v>1234</v>
      </c>
      <c r="K1059" s="3210"/>
      <c r="L1059" s="3210"/>
      <c r="M1059" s="3211" t="s">
        <v>116</v>
      </c>
      <c r="N1059" s="3210" t="s">
        <v>1235</v>
      </c>
      <c r="O1059" s="3210"/>
      <c r="P1059" s="3210"/>
      <c r="Q1059" s="3247"/>
      <c r="R1059" s="3247"/>
      <c r="S1059" s="3247"/>
      <c r="T1059" s="3247"/>
      <c r="U1059" s="3247"/>
      <c r="V1059" s="3247"/>
      <c r="W1059" s="3247"/>
      <c r="X1059" s="3247"/>
      <c r="Y1059" s="3247"/>
      <c r="Z1059" s="3247"/>
      <c r="AA1059" s="3247"/>
      <c r="AB1059" s="3247"/>
      <c r="AC1059" s="3247"/>
      <c r="AD1059" s="3247"/>
      <c r="AE1059" s="3247"/>
      <c r="AF1059" s="3246"/>
      <c r="AI1059" s="3120" t="str">
        <f>"11S:field235:" &amp; IF(I1059="■",1,IF(M1059="■",2,0))</f>
        <v>11S:field235:0</v>
      </c>
    </row>
    <row r="1060" spans="1:35" s="3120" customFormat="1" ht="19.5" hidden="1" customHeight="1" x14ac:dyDescent="0.2">
      <c r="A1060" s="834"/>
      <c r="B1060" s="3148"/>
      <c r="C1060" s="3147"/>
      <c r="D1060" s="836"/>
      <c r="E1060" s="836"/>
      <c r="F1060" s="3144"/>
      <c r="G1060" s="3175"/>
      <c r="H1060" s="3165"/>
      <c r="I1060" s="3200"/>
      <c r="J1060" s="3163"/>
      <c r="K1060" s="3163"/>
      <c r="L1060" s="3163"/>
      <c r="M1060" s="3164"/>
      <c r="N1060" s="3163"/>
      <c r="O1060" s="3163"/>
      <c r="P1060" s="3163"/>
      <c r="Q1060" s="3245"/>
      <c r="R1060" s="3245"/>
      <c r="S1060" s="3245"/>
      <c r="T1060" s="3245"/>
      <c r="U1060" s="3245"/>
      <c r="V1060" s="3245"/>
      <c r="W1060" s="3245"/>
      <c r="X1060" s="3245"/>
      <c r="Y1060" s="3245"/>
      <c r="Z1060" s="3245"/>
      <c r="AA1060" s="3245"/>
      <c r="AB1060" s="3245"/>
      <c r="AC1060" s="3245"/>
      <c r="AD1060" s="3245"/>
      <c r="AE1060" s="3245"/>
      <c r="AF1060" s="3244"/>
    </row>
    <row r="1061" spans="1:35" s="3120" customFormat="1" ht="18.75" hidden="1" customHeight="1" x14ac:dyDescent="0.2">
      <c r="A1061" s="834"/>
      <c r="B1061" s="3148"/>
      <c r="C1061" s="3147"/>
      <c r="D1061" s="836"/>
      <c r="E1061" s="836"/>
      <c r="F1061" s="3144"/>
      <c r="G1061" s="3175"/>
      <c r="H1061" s="3243" t="s">
        <v>2106</v>
      </c>
      <c r="I1061" s="3141" t="s">
        <v>116</v>
      </c>
      <c r="J1061" s="3139" t="s">
        <v>1230</v>
      </c>
      <c r="K1061" s="3138"/>
      <c r="L1061" s="3140" t="s">
        <v>116</v>
      </c>
      <c r="M1061" s="3139" t="s">
        <v>1233</v>
      </c>
      <c r="N1061" s="3171"/>
      <c r="O1061" s="3150"/>
      <c r="P1061" s="3150"/>
      <c r="Q1061" s="3150"/>
      <c r="R1061" s="3150"/>
      <c r="S1061" s="3150"/>
      <c r="T1061" s="3150"/>
      <c r="U1061" s="3150"/>
      <c r="V1061" s="3150"/>
      <c r="W1061" s="3150"/>
      <c r="X1061" s="3150"/>
      <c r="Y1061" s="3150"/>
      <c r="Z1061" s="3150"/>
      <c r="AA1061" s="3150"/>
      <c r="AB1061" s="3150"/>
      <c r="AC1061" s="3150"/>
      <c r="AD1061" s="3150"/>
      <c r="AE1061" s="3150"/>
      <c r="AF1061" s="3149"/>
      <c r="AI1061" s="3120" t="str">
        <f>"11S:tokutiiki_code:" &amp; IF(I1061="■",1,IF(L1061="■",2,0))</f>
        <v>11S:tokutiiki_code:0</v>
      </c>
    </row>
    <row r="1062" spans="1:35" s="3120" customFormat="1" ht="18.75" hidden="1" customHeight="1" x14ac:dyDescent="0.2">
      <c r="A1062" s="834"/>
      <c r="B1062" s="3148"/>
      <c r="C1062" s="3147"/>
      <c r="D1062" s="3146"/>
      <c r="E1062" s="3145"/>
      <c r="F1062" s="3144"/>
      <c r="G1062" s="3175"/>
      <c r="H1062" s="3233" t="s">
        <v>1243</v>
      </c>
      <c r="I1062" s="3242" t="s">
        <v>116</v>
      </c>
      <c r="J1062" s="3210" t="s">
        <v>1234</v>
      </c>
      <c r="K1062" s="3210"/>
      <c r="L1062" s="3210"/>
      <c r="M1062" s="3242" t="s">
        <v>116</v>
      </c>
      <c r="N1062" s="3210" t="s">
        <v>1235</v>
      </c>
      <c r="O1062" s="3210"/>
      <c r="P1062" s="3210"/>
      <c r="Q1062" s="3209"/>
      <c r="R1062" s="3209"/>
      <c r="S1062" s="3209"/>
      <c r="T1062" s="3209"/>
      <c r="U1062" s="3209"/>
      <c r="V1062" s="3209"/>
      <c r="W1062" s="3209"/>
      <c r="X1062" s="3209"/>
      <c r="Y1062" s="3209"/>
      <c r="Z1062" s="3209"/>
      <c r="AA1062" s="3209"/>
      <c r="AB1062" s="3209"/>
      <c r="AC1062" s="3209"/>
      <c r="AD1062" s="3209"/>
      <c r="AE1062" s="3209"/>
      <c r="AF1062" s="3208"/>
      <c r="AI1062" s="3120" t="str">
        <f>"11S:chuusankanti_tiiki_code:" &amp; IF(I1062="■",1,IF(M1062="■",2,0))</f>
        <v>11S:chuusankanti_tiiki_code:0</v>
      </c>
    </row>
    <row r="1063" spans="1:35" s="3120" customFormat="1" ht="18.75" hidden="1" customHeight="1" x14ac:dyDescent="0.2">
      <c r="A1063" s="834"/>
      <c r="B1063" s="3148"/>
      <c r="C1063" s="3147"/>
      <c r="D1063" s="3146"/>
      <c r="E1063" s="3145"/>
      <c r="F1063" s="3144"/>
      <c r="G1063" s="3175"/>
      <c r="H1063" s="3234"/>
      <c r="I1063" s="3241"/>
      <c r="J1063" s="3163"/>
      <c r="K1063" s="3163"/>
      <c r="L1063" s="3163"/>
      <c r="M1063" s="3241"/>
      <c r="N1063" s="3163"/>
      <c r="O1063" s="3163"/>
      <c r="P1063" s="3163"/>
      <c r="Q1063" s="3207"/>
      <c r="R1063" s="3207"/>
      <c r="S1063" s="3207"/>
      <c r="T1063" s="3207"/>
      <c r="U1063" s="3207"/>
      <c r="V1063" s="3207"/>
      <c r="W1063" s="3207"/>
      <c r="X1063" s="3207"/>
      <c r="Y1063" s="3207"/>
      <c r="Z1063" s="3207"/>
      <c r="AA1063" s="3207"/>
      <c r="AB1063" s="3207"/>
      <c r="AC1063" s="3207"/>
      <c r="AD1063" s="3207"/>
      <c r="AE1063" s="3207"/>
      <c r="AF1063" s="3206"/>
    </row>
    <row r="1064" spans="1:35" s="3120" customFormat="1" ht="18.75" hidden="1" customHeight="1" x14ac:dyDescent="0.2">
      <c r="A1064" s="834"/>
      <c r="B1064" s="3148"/>
      <c r="C1064" s="3147"/>
      <c r="D1064" s="3146"/>
      <c r="E1064" s="3145"/>
      <c r="F1064" s="3144"/>
      <c r="G1064" s="3175"/>
      <c r="H1064" s="3233" t="s">
        <v>1244</v>
      </c>
      <c r="I1064" s="3242" t="s">
        <v>116</v>
      </c>
      <c r="J1064" s="3210" t="s">
        <v>1234</v>
      </c>
      <c r="K1064" s="3210"/>
      <c r="L1064" s="3210"/>
      <c r="M1064" s="3242" t="s">
        <v>116</v>
      </c>
      <c r="N1064" s="3210" t="s">
        <v>1235</v>
      </c>
      <c r="O1064" s="3210"/>
      <c r="P1064" s="3210"/>
      <c r="Q1064" s="3209"/>
      <c r="R1064" s="3209"/>
      <c r="S1064" s="3209"/>
      <c r="T1064" s="3209"/>
      <c r="U1064" s="3209"/>
      <c r="V1064" s="3209"/>
      <c r="W1064" s="3209"/>
      <c r="X1064" s="3209"/>
      <c r="Y1064" s="3209"/>
      <c r="Z1064" s="3209"/>
      <c r="AA1064" s="3209"/>
      <c r="AB1064" s="3209"/>
      <c r="AC1064" s="3209"/>
      <c r="AD1064" s="3209"/>
      <c r="AE1064" s="3209"/>
      <c r="AF1064" s="3208"/>
      <c r="AI1064" s="3120" t="str">
        <f>"11S:chuusankanti_kibo_code:" &amp; IF(I1064="■",1,IF(M1064="■",2,0))</f>
        <v>11S:chuusankanti_kibo_code:0</v>
      </c>
    </row>
    <row r="1065" spans="1:35" s="3120" customFormat="1" ht="18.75" hidden="1" customHeight="1" x14ac:dyDescent="0.2">
      <c r="A1065" s="834"/>
      <c r="B1065" s="3148"/>
      <c r="C1065" s="3147"/>
      <c r="D1065" s="3146"/>
      <c r="E1065" s="3145"/>
      <c r="F1065" s="3144"/>
      <c r="G1065" s="3175"/>
      <c r="H1065" s="3234"/>
      <c r="I1065" s="3241"/>
      <c r="J1065" s="3163"/>
      <c r="K1065" s="3163"/>
      <c r="L1065" s="3163"/>
      <c r="M1065" s="3241"/>
      <c r="N1065" s="3163"/>
      <c r="O1065" s="3163"/>
      <c r="P1065" s="3163"/>
      <c r="Q1065" s="3207"/>
      <c r="R1065" s="3207"/>
      <c r="S1065" s="3207"/>
      <c r="T1065" s="3207"/>
      <c r="U1065" s="3207"/>
      <c r="V1065" s="3207"/>
      <c r="W1065" s="3207"/>
      <c r="X1065" s="3207"/>
      <c r="Y1065" s="3207"/>
      <c r="Z1065" s="3207"/>
      <c r="AA1065" s="3207"/>
      <c r="AB1065" s="3207"/>
      <c r="AC1065" s="3207"/>
      <c r="AD1065" s="3207"/>
      <c r="AE1065" s="3207"/>
      <c r="AF1065" s="3206"/>
    </row>
    <row r="1066" spans="1:35" s="3120" customFormat="1" ht="19.5" hidden="1" customHeight="1" x14ac:dyDescent="0.2">
      <c r="A1066" s="834"/>
      <c r="B1066" s="3148"/>
      <c r="C1066" s="3147"/>
      <c r="D1066" s="3146"/>
      <c r="E1066" s="3145"/>
      <c r="F1066" s="3144"/>
      <c r="G1066" s="3175"/>
      <c r="H1066" s="3174" t="s">
        <v>1236</v>
      </c>
      <c r="I1066" s="3155" t="s">
        <v>116</v>
      </c>
      <c r="J1066" s="3137" t="s">
        <v>1230</v>
      </c>
      <c r="K1066" s="3137"/>
      <c r="L1066" s="3154" t="s">
        <v>116</v>
      </c>
      <c r="M1066" s="3137" t="s">
        <v>1233</v>
      </c>
      <c r="N1066" s="3137"/>
      <c r="O1066" s="3150"/>
      <c r="P1066" s="3137"/>
      <c r="Q1066" s="3150"/>
      <c r="R1066" s="3150"/>
      <c r="S1066" s="3150"/>
      <c r="T1066" s="3150"/>
      <c r="U1066" s="3150"/>
      <c r="V1066" s="3150"/>
      <c r="W1066" s="3150"/>
      <c r="X1066" s="3150"/>
      <c r="Y1066" s="3150"/>
      <c r="Z1066" s="3150"/>
      <c r="AA1066" s="3150"/>
      <c r="AB1066" s="3150"/>
      <c r="AC1066" s="3150"/>
      <c r="AD1066" s="3150"/>
      <c r="AE1066" s="3150"/>
      <c r="AF1066" s="3172"/>
      <c r="AI1066" s="3120" t="str">
        <f>"11S:field224:" &amp; IF(I1066="■",1,IF(L1066="■",2,0))</f>
        <v>11S:field224:0</v>
      </c>
    </row>
    <row r="1067" spans="1:35" s="3120" customFormat="1" ht="18.75" hidden="1" customHeight="1" x14ac:dyDescent="0.2">
      <c r="A1067" s="835"/>
      <c r="B1067" s="3135"/>
      <c r="C1067" s="3134"/>
      <c r="D1067" s="3133"/>
      <c r="E1067" s="3132"/>
      <c r="F1067" s="3131"/>
      <c r="G1067" s="3189"/>
      <c r="H1067" s="3134" t="s">
        <v>1237</v>
      </c>
      <c r="I1067" s="3193" t="s">
        <v>116</v>
      </c>
      <c r="J1067" s="3190" t="s">
        <v>1230</v>
      </c>
      <c r="K1067" s="3190"/>
      <c r="L1067" s="3192" t="s">
        <v>116</v>
      </c>
      <c r="M1067" s="3190" t="s">
        <v>1231</v>
      </c>
      <c r="N1067" s="3190"/>
      <c r="O1067" s="3192" t="s">
        <v>116</v>
      </c>
      <c r="P1067" s="3190" t="s">
        <v>1232</v>
      </c>
      <c r="Q1067" s="3240"/>
      <c r="R1067" s="3240"/>
      <c r="S1067" s="3240"/>
      <c r="T1067" s="3240"/>
      <c r="U1067" s="3240"/>
      <c r="V1067" s="3240"/>
      <c r="W1067" s="3240"/>
      <c r="X1067" s="3240"/>
      <c r="Y1067" s="3240"/>
      <c r="Z1067" s="3240"/>
      <c r="AA1067" s="3240"/>
      <c r="AB1067" s="3240"/>
      <c r="AC1067" s="3240"/>
      <c r="AD1067" s="3240"/>
      <c r="AE1067" s="3240"/>
      <c r="AF1067" s="3239"/>
      <c r="AI1067" s="3120" t="str">
        <f>"11S:ninti_senmoncare_code:" &amp; IF(I1067="■",1,IF(O1067="■",3,IF(L1067="■",2,0)))</f>
        <v>11S:ninti_senmoncare_code:0</v>
      </c>
    </row>
    <row r="1068" spans="1:35" s="1247" customFormat="1" ht="18.75" hidden="1" customHeight="1" x14ac:dyDescent="0.2">
      <c r="A1068" s="579"/>
      <c r="B1068" s="1250"/>
      <c r="C1068" s="581"/>
      <c r="D1068" s="1251"/>
      <c r="E1068" s="1253"/>
      <c r="F1068" s="1252"/>
      <c r="G1068" s="583"/>
      <c r="H1068" s="3223" t="s">
        <v>1253</v>
      </c>
      <c r="I1068" s="3222" t="s">
        <v>116</v>
      </c>
      <c r="J1068" s="3217" t="s">
        <v>1228</v>
      </c>
      <c r="K1068" s="3221"/>
      <c r="L1068" s="3220"/>
      <c r="M1068" s="3219" t="s">
        <v>116</v>
      </c>
      <c r="N1068" s="3217" t="s">
        <v>1229</v>
      </c>
      <c r="O1068" s="3238"/>
      <c r="P1068" s="3238"/>
      <c r="Q1068" s="3238"/>
      <c r="R1068" s="3238"/>
      <c r="S1068" s="3238"/>
      <c r="T1068" s="3238"/>
      <c r="U1068" s="3238"/>
      <c r="V1068" s="3238"/>
      <c r="W1068" s="3238"/>
      <c r="X1068" s="3238"/>
      <c r="Y1068" s="3237"/>
      <c r="Z1068" s="3237"/>
      <c r="AA1068" s="3237"/>
      <c r="AB1068" s="3237"/>
      <c r="AC1068" s="3237"/>
      <c r="AD1068" s="3237"/>
      <c r="AE1068" s="3237"/>
      <c r="AF1068" s="3236"/>
      <c r="AG1068" s="1247" t="str">
        <f>"ser_code = '" &amp; IF(A1071="■","13S","") &amp; "'"</f>
        <v>ser_code = ''</v>
      </c>
      <c r="AI1068" s="3120" t="str">
        <f>"13S:field232:" &amp; IF(I1068="■",1,IF(M1068="■",2,0))</f>
        <v>13S:field232:0</v>
      </c>
    </row>
    <row r="1069" spans="1:35" s="3120" customFormat="1" ht="18.75" hidden="1" customHeight="1" x14ac:dyDescent="0.2">
      <c r="A1069" s="834"/>
      <c r="B1069" s="3148"/>
      <c r="C1069" s="3147"/>
      <c r="D1069" s="3146"/>
      <c r="E1069" s="3145"/>
      <c r="F1069" s="3144"/>
      <c r="G1069" s="3175"/>
      <c r="H1069" s="3235" t="s">
        <v>1242</v>
      </c>
      <c r="I1069" s="3141" t="s">
        <v>116</v>
      </c>
      <c r="J1069" s="3139" t="s">
        <v>1230</v>
      </c>
      <c r="K1069" s="3138"/>
      <c r="L1069" s="3140" t="s">
        <v>116</v>
      </c>
      <c r="M1069" s="3139" t="s">
        <v>1233</v>
      </c>
      <c r="N1069" s="3138"/>
      <c r="O1069" s="3207"/>
      <c r="P1069" s="3207"/>
      <c r="Q1069" s="3207"/>
      <c r="R1069" s="3207"/>
      <c r="S1069" s="3207"/>
      <c r="T1069" s="3207"/>
      <c r="U1069" s="3207"/>
      <c r="V1069" s="3207"/>
      <c r="W1069" s="3207"/>
      <c r="X1069" s="3207"/>
      <c r="Y1069" s="3207"/>
      <c r="Z1069" s="3207"/>
      <c r="AA1069" s="3207"/>
      <c r="AB1069" s="3207"/>
      <c r="AC1069" s="3207"/>
      <c r="AD1069" s="3207"/>
      <c r="AE1069" s="3207"/>
      <c r="AF1069" s="3206"/>
      <c r="AG1069" s="3120" t="str">
        <f>"13S:sisetukbn_code:" &amp; IF(D1070="■",1,IF(D1071="■",2,IF(D1072="■",3,0)))</f>
        <v>13S:sisetukbn_code:0</v>
      </c>
      <c r="AI1069" s="3120" t="str">
        <f>"13S:tokutiiki_code:" &amp; IF(I1069="■",1,IF(L1069="■",2,0))</f>
        <v>13S:tokutiiki_code:0</v>
      </c>
    </row>
    <row r="1070" spans="1:35" s="3120" customFormat="1" ht="18.75" hidden="1" customHeight="1" x14ac:dyDescent="0.2">
      <c r="A1070" s="834"/>
      <c r="B1070" s="3148"/>
      <c r="C1070" s="3147"/>
      <c r="D1070" s="3158" t="s">
        <v>116</v>
      </c>
      <c r="E1070" s="3145" t="s">
        <v>2109</v>
      </c>
      <c r="F1070" s="3144"/>
      <c r="G1070" s="3143"/>
      <c r="H1070" s="3233" t="s">
        <v>1243</v>
      </c>
      <c r="I1070" s="3211" t="s">
        <v>116</v>
      </c>
      <c r="J1070" s="3210" t="s">
        <v>1234</v>
      </c>
      <c r="K1070" s="3210"/>
      <c r="L1070" s="3210"/>
      <c r="M1070" s="3211" t="s">
        <v>116</v>
      </c>
      <c r="N1070" s="3210" t="s">
        <v>1235</v>
      </c>
      <c r="O1070" s="3210"/>
      <c r="P1070" s="3210"/>
      <c r="Q1070" s="3209"/>
      <c r="R1070" s="3209"/>
      <c r="S1070" s="3209"/>
      <c r="T1070" s="3209"/>
      <c r="U1070" s="3209"/>
      <c r="V1070" s="3209"/>
      <c r="W1070" s="3209"/>
      <c r="X1070" s="3209"/>
      <c r="Y1070" s="3209"/>
      <c r="Z1070" s="3209"/>
      <c r="AA1070" s="3209"/>
      <c r="AB1070" s="3209"/>
      <c r="AC1070" s="3209"/>
      <c r="AD1070" s="3209"/>
      <c r="AE1070" s="3209"/>
      <c r="AF1070" s="3208"/>
      <c r="AI1070" s="3120" t="str">
        <f>"13S:chuusankanti_tiiki_code:" &amp; IF(I1070="■",1,IF(M1070="■",2,0))</f>
        <v>13S:chuusankanti_tiiki_code:0</v>
      </c>
    </row>
    <row r="1071" spans="1:35" s="3120" customFormat="1" ht="18.75" hidden="1" customHeight="1" x14ac:dyDescent="0.2">
      <c r="A1071" s="3158" t="s">
        <v>116</v>
      </c>
      <c r="B1071" s="3148">
        <v>13</v>
      </c>
      <c r="C1071" s="3147" t="s">
        <v>634</v>
      </c>
      <c r="D1071" s="3158" t="s">
        <v>116</v>
      </c>
      <c r="E1071" s="3145" t="s">
        <v>2108</v>
      </c>
      <c r="F1071" s="3144"/>
      <c r="G1071" s="3143"/>
      <c r="H1071" s="3234"/>
      <c r="I1071" s="3164"/>
      <c r="J1071" s="3163"/>
      <c r="K1071" s="3163"/>
      <c r="L1071" s="3163"/>
      <c r="M1071" s="3164"/>
      <c r="N1071" s="3163"/>
      <c r="O1071" s="3163"/>
      <c r="P1071" s="3163"/>
      <c r="Q1071" s="3207"/>
      <c r="R1071" s="3207"/>
      <c r="S1071" s="3207"/>
      <c r="T1071" s="3207"/>
      <c r="U1071" s="3207"/>
      <c r="V1071" s="3207"/>
      <c r="W1071" s="3207"/>
      <c r="X1071" s="3207"/>
      <c r="Y1071" s="3207"/>
      <c r="Z1071" s="3207"/>
      <c r="AA1071" s="3207"/>
      <c r="AB1071" s="3207"/>
      <c r="AC1071" s="3207"/>
      <c r="AD1071" s="3207"/>
      <c r="AE1071" s="3207"/>
      <c r="AF1071" s="3206"/>
    </row>
    <row r="1072" spans="1:35" s="3120" customFormat="1" ht="18.75" hidden="1" customHeight="1" x14ac:dyDescent="0.2">
      <c r="A1072" s="834"/>
      <c r="B1072" s="3148"/>
      <c r="C1072" s="3147"/>
      <c r="D1072" s="3158" t="s">
        <v>116</v>
      </c>
      <c r="E1072" s="3145" t="s">
        <v>2107</v>
      </c>
      <c r="F1072" s="3144"/>
      <c r="G1072" s="3143"/>
      <c r="H1072" s="3233" t="s">
        <v>1244</v>
      </c>
      <c r="I1072" s="3211" t="s">
        <v>116</v>
      </c>
      <c r="J1072" s="3210" t="s">
        <v>1234</v>
      </c>
      <c r="K1072" s="3210"/>
      <c r="L1072" s="3210"/>
      <c r="M1072" s="3211" t="s">
        <v>116</v>
      </c>
      <c r="N1072" s="3210" t="s">
        <v>1235</v>
      </c>
      <c r="O1072" s="3210"/>
      <c r="P1072" s="3210"/>
      <c r="Q1072" s="3209"/>
      <c r="R1072" s="3209"/>
      <c r="S1072" s="3209"/>
      <c r="T1072" s="3209"/>
      <c r="U1072" s="3209"/>
      <c r="V1072" s="3209"/>
      <c r="W1072" s="3209"/>
      <c r="X1072" s="3209"/>
      <c r="Y1072" s="3209"/>
      <c r="Z1072" s="3209"/>
      <c r="AA1072" s="3209"/>
      <c r="AB1072" s="3209"/>
      <c r="AC1072" s="3209"/>
      <c r="AD1072" s="3209"/>
      <c r="AE1072" s="3209"/>
      <c r="AF1072" s="3208"/>
      <c r="AI1072" s="3120" t="str">
        <f>"13S:chuusankanti_kibo_code:" &amp; IF(I1072="■",1,IF(M1072="■",2,0))</f>
        <v>13S:chuusankanti_kibo_code:0</v>
      </c>
    </row>
    <row r="1073" spans="1:35" s="3120" customFormat="1" ht="18.75" hidden="1" customHeight="1" x14ac:dyDescent="0.2">
      <c r="A1073" s="834"/>
      <c r="B1073" s="3148"/>
      <c r="C1073" s="3147"/>
      <c r="D1073" s="3146"/>
      <c r="E1073" s="3145"/>
      <c r="F1073" s="3144"/>
      <c r="G1073" s="3143"/>
      <c r="H1073" s="3232"/>
      <c r="I1073" s="3169"/>
      <c r="J1073" s="3168"/>
      <c r="K1073" s="3168"/>
      <c r="L1073" s="3168"/>
      <c r="M1073" s="3169"/>
      <c r="N1073" s="3168"/>
      <c r="O1073" s="3168"/>
      <c r="P1073" s="3168"/>
      <c r="Q1073" s="3231"/>
      <c r="R1073" s="3231"/>
      <c r="S1073" s="3231"/>
      <c r="T1073" s="3231"/>
      <c r="U1073" s="3231"/>
      <c r="V1073" s="3231"/>
      <c r="W1073" s="3231"/>
      <c r="X1073" s="3231"/>
      <c r="Y1073" s="3231"/>
      <c r="Z1073" s="3231"/>
      <c r="AA1073" s="3231"/>
      <c r="AB1073" s="3231"/>
      <c r="AC1073" s="3231"/>
      <c r="AD1073" s="3231"/>
      <c r="AE1073" s="3231"/>
      <c r="AF1073" s="3230"/>
    </row>
    <row r="1074" spans="1:35" s="3120" customFormat="1" ht="19.5" customHeight="1" x14ac:dyDescent="0.2">
      <c r="A1074" s="3188"/>
      <c r="B1074" s="3187"/>
      <c r="C1074" s="3229"/>
      <c r="D1074" s="3228"/>
      <c r="E1074" s="3185"/>
      <c r="F1074" s="3184"/>
      <c r="G1074" s="3183"/>
      <c r="H1074" s="3227" t="s">
        <v>1227</v>
      </c>
      <c r="I1074" s="3181" t="s">
        <v>116</v>
      </c>
      <c r="J1074" s="3180" t="s">
        <v>1228</v>
      </c>
      <c r="K1074" s="3226"/>
      <c r="L1074" s="3225"/>
      <c r="M1074" s="3179" t="s">
        <v>116</v>
      </c>
      <c r="N1074" s="3180" t="s">
        <v>1229</v>
      </c>
      <c r="O1074" s="3180"/>
      <c r="P1074" s="3180"/>
      <c r="Q1074" s="3177"/>
      <c r="R1074" s="3177"/>
      <c r="S1074" s="3177"/>
      <c r="T1074" s="3177"/>
      <c r="U1074" s="3177"/>
      <c r="V1074" s="3177"/>
      <c r="W1074" s="3177"/>
      <c r="X1074" s="3177"/>
      <c r="Y1074" s="3177"/>
      <c r="Z1074" s="3177"/>
      <c r="AA1074" s="3177"/>
      <c r="AB1074" s="3177"/>
      <c r="AC1074" s="3177"/>
      <c r="AD1074" s="3177"/>
      <c r="AE1074" s="3177"/>
      <c r="AF1074" s="3224"/>
      <c r="AG1074" s="3120" t="str">
        <f>"ser_code = '" &amp; IF(A1079="■","14S","") &amp; "'"</f>
        <v>ser_code = ''</v>
      </c>
      <c r="AI1074" s="3120" t="str">
        <f>"14S:field223:" &amp; IF(I1074="■",1,IF(M1074="■",2,0))</f>
        <v>14S:field223:0</v>
      </c>
    </row>
    <row r="1075" spans="1:35" s="3120" customFormat="1" ht="19.5" customHeight="1" x14ac:dyDescent="0.2">
      <c r="A1075" s="834"/>
      <c r="B1075" s="3148"/>
      <c r="C1075" s="3147"/>
      <c r="D1075" s="3146"/>
      <c r="E1075" s="3145"/>
      <c r="F1075" s="3144"/>
      <c r="G1075" s="3175"/>
      <c r="H1075" s="3223" t="s">
        <v>1253</v>
      </c>
      <c r="I1075" s="3222" t="s">
        <v>116</v>
      </c>
      <c r="J1075" s="3217" t="s">
        <v>1228</v>
      </c>
      <c r="K1075" s="3221"/>
      <c r="L1075" s="3220"/>
      <c r="M1075" s="3219" t="s">
        <v>116</v>
      </c>
      <c r="N1075" s="3217" t="s">
        <v>1229</v>
      </c>
      <c r="O1075" s="3218"/>
      <c r="P1075" s="3217"/>
      <c r="Q1075" s="3215"/>
      <c r="R1075" s="3215"/>
      <c r="S1075" s="3215"/>
      <c r="T1075" s="3215"/>
      <c r="U1075" s="3215"/>
      <c r="V1075" s="3215"/>
      <c r="W1075" s="3215"/>
      <c r="X1075" s="3215"/>
      <c r="Y1075" s="3216"/>
      <c r="Z1075" s="3216"/>
      <c r="AA1075" s="3216"/>
      <c r="AB1075" s="3216"/>
      <c r="AC1075" s="3215"/>
      <c r="AD1075" s="3215"/>
      <c r="AE1075" s="3215"/>
      <c r="AF1075" s="3214"/>
      <c r="AG1075" s="3120" t="str">
        <f>"14S:sisetukbn_code:" &amp; IF(D1078="■",1,IF(D1079="■",2,IF(D1080="■",3,0)))</f>
        <v>14S:sisetukbn_code:0</v>
      </c>
      <c r="AI1075" s="3120" t="str">
        <f>"14S:field232:" &amp; IF(I1075="■",1,IF(M1075="■",2,0))</f>
        <v>14S:field232:0</v>
      </c>
    </row>
    <row r="1076" spans="1:35" s="3120" customFormat="1" ht="18.75" customHeight="1" x14ac:dyDescent="0.2">
      <c r="A1076" s="834"/>
      <c r="B1076" s="3148"/>
      <c r="C1076" s="3147"/>
      <c r="D1076" s="834"/>
      <c r="E1076" s="3145"/>
      <c r="F1076" s="3144"/>
      <c r="G1076" s="3175"/>
      <c r="H1076" s="3213" t="s">
        <v>2106</v>
      </c>
      <c r="I1076" s="3141" t="s">
        <v>116</v>
      </c>
      <c r="J1076" s="3139" t="s">
        <v>1230</v>
      </c>
      <c r="K1076" s="3138"/>
      <c r="L1076" s="3140" t="s">
        <v>116</v>
      </c>
      <c r="M1076" s="3139" t="s">
        <v>1233</v>
      </c>
      <c r="N1076" s="3138"/>
      <c r="O1076" s="3207"/>
      <c r="P1076" s="3138"/>
      <c r="Q1076" s="3138"/>
      <c r="R1076" s="3138"/>
      <c r="S1076" s="3138"/>
      <c r="T1076" s="3138"/>
      <c r="U1076" s="3138"/>
      <c r="V1076" s="3138"/>
      <c r="W1076" s="3138"/>
      <c r="X1076" s="3138"/>
      <c r="Y1076" s="3138"/>
      <c r="Z1076" s="3138"/>
      <c r="AA1076" s="3138"/>
      <c r="AB1076" s="3138"/>
      <c r="AC1076" s="3138"/>
      <c r="AD1076" s="3138"/>
      <c r="AE1076" s="3138"/>
      <c r="AF1076" s="3212"/>
      <c r="AI1076" s="3120" t="str">
        <f>"14S:tokutiiki_code:" &amp; IF(I1076="■",1,IF(L1076="■",2,0))</f>
        <v>14S:tokutiiki_code:0</v>
      </c>
    </row>
    <row r="1077" spans="1:35" s="3120" customFormat="1" ht="18.75" customHeight="1" x14ac:dyDescent="0.2">
      <c r="A1077" s="834"/>
      <c r="B1077" s="3148"/>
      <c r="C1077" s="3147"/>
      <c r="D1077" s="834"/>
      <c r="E1077" s="3145"/>
      <c r="F1077" s="3144"/>
      <c r="G1077" s="3175"/>
      <c r="H1077" s="3170" t="s">
        <v>1243</v>
      </c>
      <c r="I1077" s="3211" t="s">
        <v>116</v>
      </c>
      <c r="J1077" s="3210" t="s">
        <v>1234</v>
      </c>
      <c r="K1077" s="3210"/>
      <c r="L1077" s="3210"/>
      <c r="M1077" s="3211" t="s">
        <v>116</v>
      </c>
      <c r="N1077" s="3210" t="s">
        <v>1235</v>
      </c>
      <c r="O1077" s="3210"/>
      <c r="P1077" s="3210"/>
      <c r="Q1077" s="3209"/>
      <c r="R1077" s="3209"/>
      <c r="S1077" s="3209"/>
      <c r="T1077" s="3209"/>
      <c r="U1077" s="3209"/>
      <c r="V1077" s="3209"/>
      <c r="W1077" s="3209"/>
      <c r="X1077" s="3209"/>
      <c r="Y1077" s="3209"/>
      <c r="Z1077" s="3209"/>
      <c r="AA1077" s="3209"/>
      <c r="AB1077" s="3209"/>
      <c r="AC1077" s="3209"/>
      <c r="AD1077" s="3209"/>
      <c r="AE1077" s="3209"/>
      <c r="AF1077" s="3208"/>
      <c r="AI1077" s="3120" t="str">
        <f>"14S:chuusankanti_tiiki_code:" &amp; IF(I1077="■",1,IF(M1077="■",2,0))</f>
        <v>14S:chuusankanti_tiiki_code:0</v>
      </c>
    </row>
    <row r="1078" spans="1:35" s="3120" customFormat="1" ht="18.75" customHeight="1" x14ac:dyDescent="0.2">
      <c r="A1078" s="834"/>
      <c r="B1078" s="3148"/>
      <c r="C1078" s="3147"/>
      <c r="D1078" s="3158" t="s">
        <v>116</v>
      </c>
      <c r="E1078" s="3145" t="s">
        <v>1342</v>
      </c>
      <c r="F1078" s="3144"/>
      <c r="G1078" s="3175"/>
      <c r="H1078" s="3165"/>
      <c r="I1078" s="3164"/>
      <c r="J1078" s="3163"/>
      <c r="K1078" s="3163"/>
      <c r="L1078" s="3163"/>
      <c r="M1078" s="3164"/>
      <c r="N1078" s="3163"/>
      <c r="O1078" s="3163"/>
      <c r="P1078" s="3163"/>
      <c r="Q1078" s="3207"/>
      <c r="R1078" s="3207"/>
      <c r="S1078" s="3207"/>
      <c r="T1078" s="3207"/>
      <c r="U1078" s="3207"/>
      <c r="V1078" s="3207"/>
      <c r="W1078" s="3207"/>
      <c r="X1078" s="3207"/>
      <c r="Y1078" s="3207"/>
      <c r="Z1078" s="3207"/>
      <c r="AA1078" s="3207"/>
      <c r="AB1078" s="3207"/>
      <c r="AC1078" s="3207"/>
      <c r="AD1078" s="3207"/>
      <c r="AE1078" s="3207"/>
      <c r="AF1078" s="3206"/>
    </row>
    <row r="1079" spans="1:35" s="3120" customFormat="1" ht="18.75" customHeight="1" x14ac:dyDescent="0.2">
      <c r="A1079" s="3158" t="s">
        <v>116</v>
      </c>
      <c r="B1079" s="3148">
        <v>14</v>
      </c>
      <c r="C1079" s="3147" t="s">
        <v>2105</v>
      </c>
      <c r="D1079" s="3158" t="s">
        <v>116</v>
      </c>
      <c r="E1079" s="3145" t="s">
        <v>1247</v>
      </c>
      <c r="F1079" s="3144"/>
      <c r="G1079" s="3175"/>
      <c r="H1079" s="3170" t="s">
        <v>1244</v>
      </c>
      <c r="I1079" s="3211" t="s">
        <v>116</v>
      </c>
      <c r="J1079" s="3210" t="s">
        <v>1234</v>
      </c>
      <c r="K1079" s="3210"/>
      <c r="L1079" s="3210"/>
      <c r="M1079" s="3211" t="s">
        <v>116</v>
      </c>
      <c r="N1079" s="3210" t="s">
        <v>1235</v>
      </c>
      <c r="O1079" s="3210"/>
      <c r="P1079" s="3210"/>
      <c r="Q1079" s="3209"/>
      <c r="R1079" s="3209"/>
      <c r="S1079" s="3209"/>
      <c r="T1079" s="3209"/>
      <c r="U1079" s="3209"/>
      <c r="V1079" s="3209"/>
      <c r="W1079" s="3209"/>
      <c r="X1079" s="3209"/>
      <c r="Y1079" s="3209"/>
      <c r="Z1079" s="3209"/>
      <c r="AA1079" s="3209"/>
      <c r="AB1079" s="3209"/>
      <c r="AC1079" s="3209"/>
      <c r="AD1079" s="3209"/>
      <c r="AE1079" s="3209"/>
      <c r="AF1079" s="3208"/>
      <c r="AI1079" s="3120" t="str">
        <f>"14S:chuusankanti_kibo_code:" &amp; IF(I1079="■",1,IF(M1079="■",2,0))</f>
        <v>14S:chuusankanti_kibo_code:0</v>
      </c>
    </row>
    <row r="1080" spans="1:35" s="3120" customFormat="1" ht="18.75" customHeight="1" x14ac:dyDescent="0.2">
      <c r="A1080" s="834"/>
      <c r="B1080" s="3148"/>
      <c r="C1080" s="3147"/>
      <c r="D1080" s="3158" t="s">
        <v>116</v>
      </c>
      <c r="E1080" s="3145" t="s">
        <v>1249</v>
      </c>
      <c r="F1080" s="3144"/>
      <c r="G1080" s="3175"/>
      <c r="H1080" s="3165"/>
      <c r="I1080" s="3164"/>
      <c r="J1080" s="3163"/>
      <c r="K1080" s="3163"/>
      <c r="L1080" s="3163"/>
      <c r="M1080" s="3164"/>
      <c r="N1080" s="3163"/>
      <c r="O1080" s="3163"/>
      <c r="P1080" s="3163"/>
      <c r="Q1080" s="3207"/>
      <c r="R1080" s="3207"/>
      <c r="S1080" s="3207"/>
      <c r="T1080" s="3207"/>
      <c r="U1080" s="3207"/>
      <c r="V1080" s="3207"/>
      <c r="W1080" s="3207"/>
      <c r="X1080" s="3207"/>
      <c r="Y1080" s="3207"/>
      <c r="Z1080" s="3207"/>
      <c r="AA1080" s="3207"/>
      <c r="AB1080" s="3207"/>
      <c r="AC1080" s="3207"/>
      <c r="AD1080" s="3207"/>
      <c r="AE1080" s="3207"/>
      <c r="AF1080" s="3206"/>
    </row>
    <row r="1081" spans="1:35" s="3120" customFormat="1" ht="18.75" customHeight="1" x14ac:dyDescent="0.2">
      <c r="A1081" s="834"/>
      <c r="B1081" s="3148"/>
      <c r="C1081" s="3147"/>
      <c r="D1081" s="1199"/>
      <c r="E1081" s="3145"/>
      <c r="F1081" s="3144"/>
      <c r="G1081" s="3175"/>
      <c r="H1081" s="3159" t="s">
        <v>1248</v>
      </c>
      <c r="I1081" s="3155" t="s">
        <v>116</v>
      </c>
      <c r="J1081" s="3137" t="s">
        <v>1230</v>
      </c>
      <c r="K1081" s="3137"/>
      <c r="L1081" s="3173"/>
      <c r="M1081" s="3154" t="s">
        <v>116</v>
      </c>
      <c r="N1081" s="3137" t="s">
        <v>2053</v>
      </c>
      <c r="O1081" s="3137"/>
      <c r="P1081" s="3173"/>
      <c r="Q1081" s="3154" t="s">
        <v>116</v>
      </c>
      <c r="R1081" s="3153" t="s">
        <v>2054</v>
      </c>
      <c r="S1081" s="3153"/>
      <c r="T1081" s="3153"/>
      <c r="U1081" s="3204"/>
      <c r="V1081" s="3204"/>
      <c r="W1081" s="3137"/>
      <c r="X1081" s="3137"/>
      <c r="Y1081" s="3205"/>
      <c r="Z1081" s="3204"/>
      <c r="AA1081" s="3153"/>
      <c r="AB1081" s="3153"/>
      <c r="AC1081" s="3153"/>
      <c r="AD1081" s="3153"/>
      <c r="AE1081" s="3153"/>
      <c r="AF1081" s="3149"/>
      <c r="AI1081" s="3120" t="str">
        <f>"14S:field149:" &amp; IF(I1081="■",1,IF(Q1081="■",6,IF(M1081="■",3,0)))</f>
        <v>14S:field149:0</v>
      </c>
    </row>
    <row r="1082" spans="1:35" s="3120" customFormat="1" ht="19.5" customHeight="1" x14ac:dyDescent="0.2">
      <c r="A1082" s="834"/>
      <c r="B1082" s="3148"/>
      <c r="C1082" s="3147"/>
      <c r="D1082" s="3197"/>
      <c r="E1082" s="3145"/>
      <c r="F1082" s="3144"/>
      <c r="G1082" s="3175"/>
      <c r="H1082" s="3203" t="s">
        <v>1250</v>
      </c>
      <c r="I1082" s="3202" t="s">
        <v>116</v>
      </c>
      <c r="J1082" s="3168" t="s">
        <v>1230</v>
      </c>
      <c r="K1082" s="3168"/>
      <c r="L1082" s="3201" t="s">
        <v>116</v>
      </c>
      <c r="M1082" s="3168" t="s">
        <v>1233</v>
      </c>
      <c r="N1082" s="3168"/>
      <c r="O1082" s="1200"/>
      <c r="P1082" s="3198"/>
      <c r="Q1082" s="3197"/>
      <c r="R1082" s="3198"/>
      <c r="S1082" s="836"/>
      <c r="T1082" s="836"/>
      <c r="U1082" s="3198"/>
      <c r="V1082" s="3198"/>
      <c r="W1082" s="836"/>
      <c r="X1082" s="3198"/>
      <c r="Y1082" s="3198"/>
      <c r="Z1082" s="3198"/>
      <c r="AA1082" s="3198"/>
      <c r="AB1082" s="3198"/>
      <c r="AC1082" s="3198"/>
      <c r="AD1082" s="3198"/>
      <c r="AE1082" s="3198"/>
      <c r="AF1082" s="3175"/>
      <c r="AI1082" s="3120" t="str">
        <f>"14S:field239:" &amp; IF(I1082="■",1,IF(L1082="■",2,0))</f>
        <v>14S:field239:0</v>
      </c>
    </row>
    <row r="1083" spans="1:35" s="3120" customFormat="1" ht="19.5" customHeight="1" x14ac:dyDescent="0.2">
      <c r="A1083" s="834"/>
      <c r="B1083" s="3148"/>
      <c r="C1083" s="3147"/>
      <c r="D1083" s="3197"/>
      <c r="E1083" s="3145"/>
      <c r="F1083" s="3144"/>
      <c r="G1083" s="3175"/>
      <c r="H1083" s="3165"/>
      <c r="I1083" s="3200"/>
      <c r="J1083" s="3163"/>
      <c r="K1083" s="3163"/>
      <c r="L1083" s="3199"/>
      <c r="M1083" s="3163"/>
      <c r="N1083" s="3163"/>
      <c r="O1083" s="1200"/>
      <c r="P1083" s="3198"/>
      <c r="Q1083" s="3197"/>
      <c r="R1083" s="3162"/>
      <c r="S1083" s="836"/>
      <c r="T1083" s="836"/>
      <c r="U1083" s="3196"/>
      <c r="V1083" s="3162"/>
      <c r="W1083" s="836"/>
      <c r="X1083" s="3162"/>
      <c r="Y1083" s="3162"/>
      <c r="Z1083" s="3162"/>
      <c r="AA1083" s="3162"/>
      <c r="AB1083" s="3162"/>
      <c r="AC1083" s="3162"/>
      <c r="AD1083" s="3162"/>
      <c r="AE1083" s="3162"/>
      <c r="AF1083" s="3195"/>
    </row>
    <row r="1084" spans="1:35" s="3120" customFormat="1" ht="19.5" customHeight="1" x14ac:dyDescent="0.2">
      <c r="A1084" s="834"/>
      <c r="B1084" s="3148"/>
      <c r="C1084" s="3147"/>
      <c r="D1084" s="834"/>
      <c r="E1084" s="3145"/>
      <c r="F1084" s="3144"/>
      <c r="G1084" s="3175"/>
      <c r="H1084" s="3174" t="s">
        <v>1236</v>
      </c>
      <c r="I1084" s="3155" t="s">
        <v>116</v>
      </c>
      <c r="J1084" s="3137" t="s">
        <v>1230</v>
      </c>
      <c r="K1084" s="3137"/>
      <c r="L1084" s="3154" t="s">
        <v>116</v>
      </c>
      <c r="M1084" s="3137" t="s">
        <v>1233</v>
      </c>
      <c r="N1084" s="3137"/>
      <c r="O1084" s="3150"/>
      <c r="P1084" s="3137"/>
      <c r="Q1084" s="3150"/>
      <c r="R1084" s="3150"/>
      <c r="S1084" s="3150"/>
      <c r="T1084" s="3150"/>
      <c r="U1084" s="3150"/>
      <c r="V1084" s="3150"/>
      <c r="W1084" s="3150"/>
      <c r="X1084" s="3150"/>
      <c r="Y1084" s="3150"/>
      <c r="Z1084" s="3150"/>
      <c r="AA1084" s="3150"/>
      <c r="AB1084" s="3150"/>
      <c r="AC1084" s="3150"/>
      <c r="AD1084" s="3150"/>
      <c r="AE1084" s="3150"/>
      <c r="AF1084" s="3136"/>
      <c r="AI1084" s="3120" t="str">
        <f>"14S:field224:" &amp; IF(I1084="■",1,IF(L1084="■",2,0))</f>
        <v>14S:field224:0</v>
      </c>
    </row>
    <row r="1085" spans="1:35" s="3120" customFormat="1" ht="18.75" customHeight="1" x14ac:dyDescent="0.2">
      <c r="A1085" s="835"/>
      <c r="B1085" s="3135"/>
      <c r="C1085" s="3134"/>
      <c r="D1085" s="835"/>
      <c r="E1085" s="3132"/>
      <c r="F1085" s="3131"/>
      <c r="G1085" s="3189"/>
      <c r="H1085" s="3194" t="s">
        <v>2104</v>
      </c>
      <c r="I1085" s="3193" t="s">
        <v>116</v>
      </c>
      <c r="J1085" s="3190" t="s">
        <v>1230</v>
      </c>
      <c r="K1085" s="3191"/>
      <c r="L1085" s="3192" t="s">
        <v>116</v>
      </c>
      <c r="M1085" s="3190" t="s">
        <v>1233</v>
      </c>
      <c r="N1085" s="3191"/>
      <c r="O1085" s="3190"/>
      <c r="P1085" s="3190"/>
      <c r="Q1085" s="3190"/>
      <c r="R1085" s="3190"/>
      <c r="S1085" s="3190"/>
      <c r="T1085" s="3190"/>
      <c r="U1085" s="3190"/>
      <c r="V1085" s="3190"/>
      <c r="W1085" s="3190"/>
      <c r="X1085" s="3190"/>
      <c r="Y1085" s="3190"/>
      <c r="Z1085" s="3190"/>
      <c r="AA1085" s="3190"/>
      <c r="AB1085" s="3190"/>
      <c r="AC1085" s="3190"/>
      <c r="AD1085" s="3190"/>
      <c r="AE1085" s="3190"/>
      <c r="AF1085" s="3189"/>
      <c r="AI1085" s="3120" t="str">
        <f>"14S:field150:" &amp; IF(I1085="■",1,IF(L1085="■",2,0))</f>
        <v>14S:field150:0</v>
      </c>
    </row>
    <row r="1086" spans="1:35" s="3120" customFormat="1" ht="18.75" hidden="1" customHeight="1" x14ac:dyDescent="0.2">
      <c r="A1086" s="3188"/>
      <c r="B1086" s="3187"/>
      <c r="C1086" s="3186"/>
      <c r="D1086" s="3184"/>
      <c r="E1086" s="3185"/>
      <c r="F1086" s="3184"/>
      <c r="G1086" s="3183"/>
      <c r="H1086" s="3182" t="s">
        <v>90</v>
      </c>
      <c r="I1086" s="3181" t="s">
        <v>116</v>
      </c>
      <c r="J1086" s="3180" t="s">
        <v>1230</v>
      </c>
      <c r="K1086" s="3180"/>
      <c r="L1086" s="3178"/>
      <c r="M1086" s="3179" t="s">
        <v>116</v>
      </c>
      <c r="N1086" s="3180" t="s">
        <v>2103</v>
      </c>
      <c r="O1086" s="3180"/>
      <c r="P1086" s="3178"/>
      <c r="Q1086" s="3179" t="s">
        <v>116</v>
      </c>
      <c r="R1086" s="3178" t="s">
        <v>2102</v>
      </c>
      <c r="S1086" s="3178"/>
      <c r="T1086" s="3177"/>
      <c r="U1086" s="3177"/>
      <c r="V1086" s="3177"/>
      <c r="W1086" s="3177"/>
      <c r="X1086" s="3177"/>
      <c r="Y1086" s="3177"/>
      <c r="Z1086" s="3177"/>
      <c r="AA1086" s="3177"/>
      <c r="AB1086" s="3177"/>
      <c r="AC1086" s="3177"/>
      <c r="AD1086" s="3177"/>
      <c r="AE1086" s="3177"/>
      <c r="AF1086" s="3176"/>
      <c r="AG1086" s="3120" t="str">
        <f>"ser_code = '" &amp; IF(A1098="■","15S","") &amp; "'"</f>
        <v>ser_code = ''</v>
      </c>
      <c r="AI1086" s="3120" t="str">
        <f>"15:"&amp;IF(AND(I1086="□",M1086="□",Q1086="□"),"ketu_kangos_code:0",IF(I1086="■","ketu_kangos_code:1:ketu_kshoku_code:1",IF(M1086="■","ketu_kangos_code:2","ketu_kangos_code:1")&amp;IF(Q1086="■",":ketu_kshoku_code:2",":ketu_kshoku_code:1")))</f>
        <v>15:ketu_kangos_code:0</v>
      </c>
    </row>
    <row r="1087" spans="1:35" s="3120" customFormat="1" ht="19.5" hidden="1" customHeight="1" x14ac:dyDescent="0.2">
      <c r="A1087" s="834"/>
      <c r="B1087" s="3148"/>
      <c r="C1087" s="3147"/>
      <c r="D1087" s="3146"/>
      <c r="E1087" s="3145"/>
      <c r="F1087" s="3144"/>
      <c r="G1087" s="3175"/>
      <c r="H1087" s="3174" t="s">
        <v>1227</v>
      </c>
      <c r="I1087" s="3155" t="s">
        <v>116</v>
      </c>
      <c r="J1087" s="3137" t="s">
        <v>1228</v>
      </c>
      <c r="K1087" s="3171"/>
      <c r="L1087" s="3173"/>
      <c r="M1087" s="3154" t="s">
        <v>116</v>
      </c>
      <c r="N1087" s="3137" t="s">
        <v>1229</v>
      </c>
      <c r="O1087" s="3137"/>
      <c r="P1087" s="3137"/>
      <c r="Q1087" s="3150"/>
      <c r="R1087" s="3150"/>
      <c r="S1087" s="3150"/>
      <c r="T1087" s="3150"/>
      <c r="U1087" s="3150"/>
      <c r="V1087" s="3150"/>
      <c r="W1087" s="3150"/>
      <c r="X1087" s="3150"/>
      <c r="Y1087" s="3150"/>
      <c r="Z1087" s="3150"/>
      <c r="AA1087" s="3150"/>
      <c r="AB1087" s="3150"/>
      <c r="AC1087" s="3150"/>
      <c r="AD1087" s="3150"/>
      <c r="AE1087" s="3150"/>
      <c r="AF1087" s="1202"/>
      <c r="AG1087" s="3120" t="str">
        <f>"15:sisetukbn_code:" &amp; IF(D1097="■",4,IF(D1098="■",6,IF(D1099="■",7,0)))</f>
        <v>15:sisetukbn_code:0</v>
      </c>
      <c r="AI1087" s="3120" t="str">
        <f>"15:field223:" &amp; IF(I1087="■",1,IF(M1087="■",2,0))</f>
        <v>15:field223:0</v>
      </c>
    </row>
    <row r="1088" spans="1:35" s="3120" customFormat="1" ht="19.5" hidden="1" customHeight="1" x14ac:dyDescent="0.2">
      <c r="A1088" s="834"/>
      <c r="B1088" s="3148"/>
      <c r="C1088" s="3147"/>
      <c r="D1088" s="3146"/>
      <c r="E1088" s="3145"/>
      <c r="F1088" s="3144"/>
      <c r="G1088" s="3175"/>
      <c r="H1088" s="3174" t="s">
        <v>1253</v>
      </c>
      <c r="I1088" s="3155" t="s">
        <v>116</v>
      </c>
      <c r="J1088" s="3137" t="s">
        <v>1228</v>
      </c>
      <c r="K1088" s="3171"/>
      <c r="L1088" s="3173"/>
      <c r="M1088" s="3154" t="s">
        <v>116</v>
      </c>
      <c r="N1088" s="3137" t="s">
        <v>1229</v>
      </c>
      <c r="O1088" s="3137"/>
      <c r="P1088" s="3137"/>
      <c r="Q1088" s="3150"/>
      <c r="R1088" s="3150"/>
      <c r="S1088" s="3150"/>
      <c r="T1088" s="3150"/>
      <c r="U1088" s="3150"/>
      <c r="V1088" s="3150"/>
      <c r="W1088" s="3150"/>
      <c r="X1088" s="3150"/>
      <c r="Y1088" s="3150"/>
      <c r="Z1088" s="3150"/>
      <c r="AA1088" s="3150"/>
      <c r="AB1088" s="3150"/>
      <c r="AC1088" s="3150"/>
      <c r="AD1088" s="3150"/>
      <c r="AE1088" s="3150"/>
      <c r="AF1088" s="3172"/>
      <c r="AI1088" s="3120" t="str">
        <f>"15:field232:" &amp; IF(I1088="■",1,IF(M1088="■",2,0))</f>
        <v>15:field232:0</v>
      </c>
    </row>
    <row r="1089" spans="1:35" s="3120" customFormat="1" ht="18.75" hidden="1" customHeight="1" x14ac:dyDescent="0.2">
      <c r="A1089" s="834"/>
      <c r="B1089" s="3148"/>
      <c r="C1089" s="3147"/>
      <c r="D1089" s="3146"/>
      <c r="E1089" s="3145"/>
      <c r="F1089" s="3144"/>
      <c r="G1089" s="3143"/>
      <c r="H1089" s="3151" t="s">
        <v>2101</v>
      </c>
      <c r="I1089" s="3155" t="s">
        <v>116</v>
      </c>
      <c r="J1089" s="3137" t="s">
        <v>1240</v>
      </c>
      <c r="K1089" s="3171"/>
      <c r="L1089" s="3153"/>
      <c r="M1089" s="3154" t="s">
        <v>116</v>
      </c>
      <c r="N1089" s="3137" t="s">
        <v>1241</v>
      </c>
      <c r="O1089" s="3171"/>
      <c r="P1089" s="3150"/>
      <c r="Q1089" s="3150"/>
      <c r="R1089" s="3150"/>
      <c r="S1089" s="3150"/>
      <c r="T1089" s="3150"/>
      <c r="U1089" s="3150"/>
      <c r="V1089" s="3150"/>
      <c r="W1089" s="3150"/>
      <c r="X1089" s="3150"/>
      <c r="Y1089" s="3150"/>
      <c r="Z1089" s="3150"/>
      <c r="AA1089" s="3150"/>
      <c r="AB1089" s="3150"/>
      <c r="AC1089" s="3150"/>
      <c r="AD1089" s="3150"/>
      <c r="AE1089" s="3150"/>
      <c r="AF1089" s="3149"/>
      <c r="AI1089" s="3120" t="str">
        <f>"15:timeser_code:" &amp; IF(I1089="■",1,IF(M1089="■",2,0))</f>
        <v>15:timeser_code:0</v>
      </c>
    </row>
    <row r="1090" spans="1:35" s="3120" customFormat="1" ht="18.75" hidden="1" customHeight="1" x14ac:dyDescent="0.2">
      <c r="A1090" s="834"/>
      <c r="B1090" s="3148"/>
      <c r="C1090" s="3147"/>
      <c r="D1090" s="3146"/>
      <c r="E1090" s="3145"/>
      <c r="F1090" s="3144"/>
      <c r="G1090" s="3143"/>
      <c r="H1090" s="3170" t="s">
        <v>2100</v>
      </c>
      <c r="I1090" s="3169" t="s">
        <v>116</v>
      </c>
      <c r="J1090" s="3168" t="s">
        <v>1230</v>
      </c>
      <c r="K1090" s="3168"/>
      <c r="L1090" s="3169" t="s">
        <v>116</v>
      </c>
      <c r="M1090" s="3168" t="s">
        <v>1233</v>
      </c>
      <c r="N1090" s="3168"/>
      <c r="O1090" s="3167"/>
      <c r="P1090" s="3167"/>
      <c r="Q1090" s="3167"/>
      <c r="R1090" s="3167"/>
      <c r="S1090" s="3167"/>
      <c r="T1090" s="3167"/>
      <c r="U1090" s="3167"/>
      <c r="V1090" s="3167"/>
      <c r="W1090" s="3167"/>
      <c r="X1090" s="3167"/>
      <c r="Y1090" s="3167"/>
      <c r="Z1090" s="3167"/>
      <c r="AA1090" s="3167"/>
      <c r="AB1090" s="3167"/>
      <c r="AC1090" s="3167"/>
      <c r="AD1090" s="3167"/>
      <c r="AE1090" s="3167"/>
      <c r="AF1090" s="3166"/>
      <c r="AI1090" s="3120" t="str">
        <f>"15:field181:" &amp; IF(I1090="■",1,IF(L1090="■",2,0))</f>
        <v>15:field181:0</v>
      </c>
    </row>
    <row r="1091" spans="1:35" s="3120" customFormat="1" ht="18.75" hidden="1" customHeight="1" x14ac:dyDescent="0.2">
      <c r="A1091" s="834"/>
      <c r="B1091" s="3148"/>
      <c r="C1091" s="3147"/>
      <c r="D1091" s="3146"/>
      <c r="E1091" s="3145"/>
      <c r="F1091" s="3144"/>
      <c r="G1091" s="3143"/>
      <c r="H1091" s="3165"/>
      <c r="I1091" s="3164"/>
      <c r="J1091" s="3163"/>
      <c r="K1091" s="3163"/>
      <c r="L1091" s="3164"/>
      <c r="M1091" s="3163"/>
      <c r="N1091" s="3163"/>
      <c r="O1091" s="3162"/>
      <c r="P1091" s="3162"/>
      <c r="Q1091" s="3162"/>
      <c r="R1091" s="3162"/>
      <c r="S1091" s="3162"/>
      <c r="T1091" s="3162"/>
      <c r="U1091" s="3162"/>
      <c r="V1091" s="3162"/>
      <c r="W1091" s="3162"/>
      <c r="X1091" s="3162"/>
      <c r="Y1091" s="3162"/>
      <c r="Z1091" s="3162"/>
      <c r="AA1091" s="3162"/>
      <c r="AB1091" s="3162"/>
      <c r="AC1091" s="3162"/>
      <c r="AD1091" s="3162"/>
      <c r="AE1091" s="3162"/>
      <c r="AF1091" s="3161"/>
    </row>
    <row r="1092" spans="1:35" s="3120" customFormat="1" ht="18.75" hidden="1" customHeight="1" x14ac:dyDescent="0.2">
      <c r="A1092" s="834"/>
      <c r="B1092" s="3148"/>
      <c r="C1092" s="3147"/>
      <c r="D1092" s="3146"/>
      <c r="E1092" s="3145"/>
      <c r="F1092" s="3144"/>
      <c r="G1092" s="3143"/>
      <c r="H1092" s="3170" t="s">
        <v>2099</v>
      </c>
      <c r="I1092" s="3169" t="s">
        <v>116</v>
      </c>
      <c r="J1092" s="3168" t="s">
        <v>1230</v>
      </c>
      <c r="K1092" s="3168"/>
      <c r="L1092" s="3169" t="s">
        <v>116</v>
      </c>
      <c r="M1092" s="3168" t="s">
        <v>1233</v>
      </c>
      <c r="N1092" s="3168"/>
      <c r="O1092" s="3167"/>
      <c r="P1092" s="3167"/>
      <c r="Q1092" s="3167"/>
      <c r="R1092" s="3167"/>
      <c r="S1092" s="3167"/>
      <c r="T1092" s="3167"/>
      <c r="U1092" s="3167"/>
      <c r="V1092" s="3167"/>
      <c r="W1092" s="3167"/>
      <c r="X1092" s="3167"/>
      <c r="Y1092" s="3167"/>
      <c r="Z1092" s="3167"/>
      <c r="AA1092" s="3167"/>
      <c r="AB1092" s="3167"/>
      <c r="AC1092" s="3167"/>
      <c r="AD1092" s="3167"/>
      <c r="AE1092" s="3167"/>
      <c r="AF1092" s="3166"/>
      <c r="AI1092" s="3120" t="str">
        <f>"15:field182:" &amp; IF(I1092="■",1,IF(L1092="■",2,0))</f>
        <v>15:field182:0</v>
      </c>
    </row>
    <row r="1093" spans="1:35" s="3120" customFormat="1" ht="18.75" hidden="1" customHeight="1" x14ac:dyDescent="0.2">
      <c r="A1093" s="834"/>
      <c r="B1093" s="3148"/>
      <c r="C1093" s="3147"/>
      <c r="D1093" s="3146"/>
      <c r="E1093" s="3145"/>
      <c r="F1093" s="3144"/>
      <c r="G1093" s="3143"/>
      <c r="H1093" s="3165"/>
      <c r="I1093" s="3164"/>
      <c r="J1093" s="3163"/>
      <c r="K1093" s="3163"/>
      <c r="L1093" s="3164"/>
      <c r="M1093" s="3163"/>
      <c r="N1093" s="3163"/>
      <c r="O1093" s="3162"/>
      <c r="P1093" s="3162"/>
      <c r="Q1093" s="3162"/>
      <c r="R1093" s="3162"/>
      <c r="S1093" s="3162"/>
      <c r="T1093" s="3162"/>
      <c r="U1093" s="3162"/>
      <c r="V1093" s="3162"/>
      <c r="W1093" s="3162"/>
      <c r="X1093" s="3162"/>
      <c r="Y1093" s="3162"/>
      <c r="Z1093" s="3162"/>
      <c r="AA1093" s="3162"/>
      <c r="AB1093" s="3162"/>
      <c r="AC1093" s="3162"/>
      <c r="AD1093" s="3162"/>
      <c r="AE1093" s="3162"/>
      <c r="AF1093" s="3161"/>
    </row>
    <row r="1094" spans="1:35" s="3120" customFormat="1" ht="18.75" hidden="1" customHeight="1" x14ac:dyDescent="0.2">
      <c r="A1094" s="834"/>
      <c r="B1094" s="3148"/>
      <c r="C1094" s="3147"/>
      <c r="D1094" s="3146"/>
      <c r="E1094" s="3145"/>
      <c r="F1094" s="3144"/>
      <c r="G1094" s="3143"/>
      <c r="H1094" s="3170" t="s">
        <v>2098</v>
      </c>
      <c r="I1094" s="3169" t="s">
        <v>116</v>
      </c>
      <c r="J1094" s="3168" t="s">
        <v>1230</v>
      </c>
      <c r="K1094" s="3168"/>
      <c r="L1094" s="3169" t="s">
        <v>116</v>
      </c>
      <c r="M1094" s="3168" t="s">
        <v>1233</v>
      </c>
      <c r="N1094" s="3168"/>
      <c r="O1094" s="3167"/>
      <c r="P1094" s="3167"/>
      <c r="Q1094" s="3167"/>
      <c r="R1094" s="3167"/>
      <c r="S1094" s="3167"/>
      <c r="T1094" s="3167"/>
      <c r="U1094" s="3167"/>
      <c r="V1094" s="3167"/>
      <c r="W1094" s="3167"/>
      <c r="X1094" s="3167"/>
      <c r="Y1094" s="3167"/>
      <c r="Z1094" s="3167"/>
      <c r="AA1094" s="3167"/>
      <c r="AB1094" s="3167"/>
      <c r="AC1094" s="3167"/>
      <c r="AD1094" s="3167"/>
      <c r="AE1094" s="3167"/>
      <c r="AF1094" s="3166"/>
      <c r="AI1094" s="3120" t="str">
        <f>"15:field183:" &amp; IF(I1094="■",1,IF(L1094="■",2,0))</f>
        <v>15:field183:0</v>
      </c>
    </row>
    <row r="1095" spans="1:35" s="3120" customFormat="1" ht="18.75" hidden="1" customHeight="1" x14ac:dyDescent="0.2">
      <c r="A1095" s="834"/>
      <c r="B1095" s="3148"/>
      <c r="C1095" s="3147"/>
      <c r="D1095" s="3146"/>
      <c r="E1095" s="3145"/>
      <c r="F1095" s="3144"/>
      <c r="G1095" s="3143"/>
      <c r="H1095" s="3165"/>
      <c r="I1095" s="3164"/>
      <c r="J1095" s="3163"/>
      <c r="K1095" s="3163"/>
      <c r="L1095" s="3164"/>
      <c r="M1095" s="3163"/>
      <c r="N1095" s="3163"/>
      <c r="O1095" s="3162"/>
      <c r="P1095" s="3162"/>
      <c r="Q1095" s="3162"/>
      <c r="R1095" s="3162"/>
      <c r="S1095" s="3162"/>
      <c r="T1095" s="3162"/>
      <c r="U1095" s="3162"/>
      <c r="V1095" s="3162"/>
      <c r="W1095" s="3162"/>
      <c r="X1095" s="3162"/>
      <c r="Y1095" s="3162"/>
      <c r="Z1095" s="3162"/>
      <c r="AA1095" s="3162"/>
      <c r="AB1095" s="3162"/>
      <c r="AC1095" s="3162"/>
      <c r="AD1095" s="3162"/>
      <c r="AE1095" s="3162"/>
      <c r="AF1095" s="3161"/>
    </row>
    <row r="1096" spans="1:35" s="3120" customFormat="1" ht="18.75" hidden="1" customHeight="1" x14ac:dyDescent="0.2">
      <c r="A1096" s="834"/>
      <c r="B1096" s="3148"/>
      <c r="C1096" s="3147"/>
      <c r="D1096" s="3146"/>
      <c r="E1096" s="3145"/>
      <c r="F1096" s="3144"/>
      <c r="G1096" s="3143"/>
      <c r="H1096" s="3170" t="s">
        <v>2097</v>
      </c>
      <c r="I1096" s="3169" t="s">
        <v>116</v>
      </c>
      <c r="J1096" s="3168" t="s">
        <v>1230</v>
      </c>
      <c r="K1096" s="3168"/>
      <c r="L1096" s="3169" t="s">
        <v>116</v>
      </c>
      <c r="M1096" s="3168" t="s">
        <v>1233</v>
      </c>
      <c r="N1096" s="3168"/>
      <c r="O1096" s="3167"/>
      <c r="P1096" s="3167"/>
      <c r="Q1096" s="3167"/>
      <c r="R1096" s="3167"/>
      <c r="S1096" s="3167"/>
      <c r="T1096" s="3167"/>
      <c r="U1096" s="3167"/>
      <c r="V1096" s="3167"/>
      <c r="W1096" s="3167"/>
      <c r="X1096" s="3167"/>
      <c r="Y1096" s="3167"/>
      <c r="Z1096" s="3167"/>
      <c r="AA1096" s="3167"/>
      <c r="AB1096" s="3167"/>
      <c r="AC1096" s="3167"/>
      <c r="AD1096" s="3167"/>
      <c r="AE1096" s="3167"/>
      <c r="AF1096" s="3166"/>
      <c r="AI1096" s="3120" t="str">
        <f>"15:field184:" &amp; IF(I1096="■",1,IF(L1096="■",2,0))</f>
        <v>15:field184:0</v>
      </c>
    </row>
    <row r="1097" spans="1:35" s="3120" customFormat="1" ht="18.75" hidden="1" customHeight="1" x14ac:dyDescent="0.2">
      <c r="A1097" s="834"/>
      <c r="B1097" s="3148"/>
      <c r="C1097" s="3147"/>
      <c r="D1097" s="3158" t="s">
        <v>116</v>
      </c>
      <c r="E1097" s="3145" t="s">
        <v>2096</v>
      </c>
      <c r="F1097" s="3144"/>
      <c r="G1097" s="3143"/>
      <c r="H1097" s="3165"/>
      <c r="I1097" s="3164"/>
      <c r="J1097" s="3163"/>
      <c r="K1097" s="3163"/>
      <c r="L1097" s="3164"/>
      <c r="M1097" s="3163"/>
      <c r="N1097" s="3163"/>
      <c r="O1097" s="3162"/>
      <c r="P1097" s="3162"/>
      <c r="Q1097" s="3162"/>
      <c r="R1097" s="3162"/>
      <c r="S1097" s="3162"/>
      <c r="T1097" s="3162"/>
      <c r="U1097" s="3162"/>
      <c r="V1097" s="3162"/>
      <c r="W1097" s="3162"/>
      <c r="X1097" s="3162"/>
      <c r="Y1097" s="3162"/>
      <c r="Z1097" s="3162"/>
      <c r="AA1097" s="3162"/>
      <c r="AB1097" s="3162"/>
      <c r="AC1097" s="3162"/>
      <c r="AD1097" s="3162"/>
      <c r="AE1097" s="3162"/>
      <c r="AF1097" s="3161"/>
    </row>
    <row r="1098" spans="1:35" s="3120" customFormat="1" ht="18.75" hidden="1" customHeight="1" x14ac:dyDescent="0.2">
      <c r="A1098" s="3158" t="s">
        <v>116</v>
      </c>
      <c r="B1098" s="3148">
        <v>15</v>
      </c>
      <c r="C1098" s="3160" t="s">
        <v>4</v>
      </c>
      <c r="D1098" s="3158" t="s">
        <v>116</v>
      </c>
      <c r="E1098" s="3145" t="s">
        <v>2095</v>
      </c>
      <c r="F1098" s="3144"/>
      <c r="G1098" s="3143"/>
      <c r="H1098" s="3159" t="s">
        <v>2094</v>
      </c>
      <c r="I1098" s="3141" t="s">
        <v>116</v>
      </c>
      <c r="J1098" s="3139" t="s">
        <v>1230</v>
      </c>
      <c r="K1098" s="3138"/>
      <c r="L1098" s="3140" t="s">
        <v>116</v>
      </c>
      <c r="M1098" s="3139" t="s">
        <v>1233</v>
      </c>
      <c r="N1098" s="3138"/>
      <c r="O1098" s="3153"/>
      <c r="P1098" s="3153"/>
      <c r="Q1098" s="3153"/>
      <c r="R1098" s="3153"/>
      <c r="S1098" s="3153"/>
      <c r="T1098" s="3153"/>
      <c r="U1098" s="3153"/>
      <c r="V1098" s="3153"/>
      <c r="W1098" s="3153"/>
      <c r="X1098" s="3153"/>
      <c r="Y1098" s="3153"/>
      <c r="Z1098" s="3153"/>
      <c r="AA1098" s="3153"/>
      <c r="AB1098" s="3153"/>
      <c r="AC1098" s="3153"/>
      <c r="AD1098" s="3153"/>
      <c r="AE1098" s="3153"/>
      <c r="AF1098" s="3152"/>
      <c r="AI1098" s="3120" t="str">
        <f>"15:field151:" &amp; IF(I1098="■",1,IF(L1098="■",2,0))</f>
        <v>15:field151:0</v>
      </c>
    </row>
    <row r="1099" spans="1:35" s="3120" customFormat="1" ht="18.75" hidden="1" customHeight="1" x14ac:dyDescent="0.2">
      <c r="A1099" s="834"/>
      <c r="B1099" s="3148"/>
      <c r="C1099" s="3147"/>
      <c r="D1099" s="3158" t="s">
        <v>116</v>
      </c>
      <c r="E1099" s="3145" t="s">
        <v>2093</v>
      </c>
      <c r="F1099" s="3144"/>
      <c r="G1099" s="3143"/>
      <c r="H1099" s="3142" t="s">
        <v>1255</v>
      </c>
      <c r="I1099" s="3155" t="s">
        <v>116</v>
      </c>
      <c r="J1099" s="3137" t="s">
        <v>1230</v>
      </c>
      <c r="K1099" s="3137"/>
      <c r="L1099" s="3154" t="s">
        <v>116</v>
      </c>
      <c r="M1099" s="3137" t="s">
        <v>1231</v>
      </c>
      <c r="N1099" s="3137"/>
      <c r="O1099" s="3154" t="s">
        <v>116</v>
      </c>
      <c r="P1099" s="3137" t="s">
        <v>1232</v>
      </c>
      <c r="Q1099" s="3150"/>
      <c r="R1099" s="3157"/>
      <c r="S1099" s="3157"/>
      <c r="T1099" s="3157"/>
      <c r="U1099" s="3157"/>
      <c r="V1099" s="3157"/>
      <c r="W1099" s="3157"/>
      <c r="X1099" s="3157"/>
      <c r="Y1099" s="3157"/>
      <c r="Z1099" s="3157"/>
      <c r="AA1099" s="3157"/>
      <c r="AB1099" s="3157"/>
      <c r="AC1099" s="3157"/>
      <c r="AD1099" s="3157"/>
      <c r="AE1099" s="3157"/>
      <c r="AF1099" s="3156"/>
      <c r="AI1099" s="3120" t="str">
        <f>"15:nyukai_code:" &amp; IF(I1099="■",1,IF(O1099="■",3,IF(L1099="■",2,0)))</f>
        <v>15:nyukai_code:0</v>
      </c>
    </row>
    <row r="1100" spans="1:35" s="3120" customFormat="1" ht="18.75" hidden="1" customHeight="1" x14ac:dyDescent="0.2">
      <c r="A1100" s="834"/>
      <c r="B1100" s="3148"/>
      <c r="C1100" s="3147"/>
      <c r="D1100" s="3146"/>
      <c r="E1100" s="3145"/>
      <c r="F1100" s="3144"/>
      <c r="G1100" s="3143"/>
      <c r="H1100" s="3142" t="s">
        <v>2092</v>
      </c>
      <c r="I1100" s="3141" t="s">
        <v>116</v>
      </c>
      <c r="J1100" s="3139" t="s">
        <v>1230</v>
      </c>
      <c r="K1100" s="3138"/>
      <c r="L1100" s="3140" t="s">
        <v>116</v>
      </c>
      <c r="M1100" s="3139" t="s">
        <v>1233</v>
      </c>
      <c r="N1100" s="3138"/>
      <c r="O1100" s="3150"/>
      <c r="P1100" s="3150"/>
      <c r="Q1100" s="3150"/>
      <c r="R1100" s="3150"/>
      <c r="S1100" s="3150"/>
      <c r="T1100" s="3150"/>
      <c r="U1100" s="3150"/>
      <c r="V1100" s="3150"/>
      <c r="W1100" s="3150"/>
      <c r="X1100" s="3150"/>
      <c r="Y1100" s="3150"/>
      <c r="Z1100" s="3150"/>
      <c r="AA1100" s="3150"/>
      <c r="AB1100" s="3150"/>
      <c r="AC1100" s="3150"/>
      <c r="AD1100" s="3150"/>
      <c r="AE1100" s="3150"/>
      <c r="AF1100" s="3149"/>
      <c r="AI1100" s="3120" t="str">
        <f>"15:field153:" &amp; IF(I1100="■",1,IF(L1100="■",2,0))</f>
        <v>15:field153:0</v>
      </c>
    </row>
    <row r="1101" spans="1:35" s="3120" customFormat="1" ht="18.75" hidden="1" customHeight="1" x14ac:dyDescent="0.2">
      <c r="A1101" s="834"/>
      <c r="B1101" s="3148"/>
      <c r="C1101" s="3147"/>
      <c r="D1101" s="3146"/>
      <c r="E1101" s="3145"/>
      <c r="F1101" s="3144"/>
      <c r="G1101" s="3143"/>
      <c r="H1101" s="3142" t="s">
        <v>2091</v>
      </c>
      <c r="I1101" s="3155" t="s">
        <v>116</v>
      </c>
      <c r="J1101" s="3137" t="s">
        <v>1230</v>
      </c>
      <c r="K1101" s="3137"/>
      <c r="L1101" s="3154" t="s">
        <v>116</v>
      </c>
      <c r="M1101" s="3137" t="s">
        <v>1239</v>
      </c>
      <c r="N1101" s="3137"/>
      <c r="O1101" s="3154" t="s">
        <v>116</v>
      </c>
      <c r="P1101" s="3137" t="s">
        <v>2090</v>
      </c>
      <c r="Q1101" s="3150"/>
      <c r="R1101" s="3153"/>
      <c r="S1101" s="3153"/>
      <c r="T1101" s="3153"/>
      <c r="U1101" s="3153"/>
      <c r="V1101" s="3153"/>
      <c r="W1101" s="3153"/>
      <c r="X1101" s="3153"/>
      <c r="Y1101" s="3153"/>
      <c r="Z1101" s="3153"/>
      <c r="AA1101" s="3153"/>
      <c r="AB1101" s="3153"/>
      <c r="AC1101" s="3153"/>
      <c r="AD1101" s="3153"/>
      <c r="AE1101" s="3153"/>
      <c r="AF1101" s="3152"/>
      <c r="AI1101" s="3120" t="str">
        <f>"15:field185:" &amp; IF(I1101="■",1,IF(L1101="■",3,IF(O1101="■",2,0)))</f>
        <v>15:field185:0</v>
      </c>
    </row>
    <row r="1102" spans="1:35" s="3120" customFormat="1" ht="18.75" hidden="1" customHeight="1" x14ac:dyDescent="0.2">
      <c r="A1102" s="834"/>
      <c r="B1102" s="3148"/>
      <c r="C1102" s="3147"/>
      <c r="D1102" s="3146"/>
      <c r="E1102" s="3145"/>
      <c r="F1102" s="3144"/>
      <c r="G1102" s="3143"/>
      <c r="H1102" s="3142" t="s">
        <v>2089</v>
      </c>
      <c r="I1102" s="3155" t="s">
        <v>116</v>
      </c>
      <c r="J1102" s="3137" t="s">
        <v>1230</v>
      </c>
      <c r="K1102" s="3137"/>
      <c r="L1102" s="3154" t="s">
        <v>116</v>
      </c>
      <c r="M1102" s="3137" t="s">
        <v>2088</v>
      </c>
      <c r="N1102" s="3153"/>
      <c r="O1102" s="3153"/>
      <c r="P1102" s="3154" t="s">
        <v>116</v>
      </c>
      <c r="Q1102" s="3137" t="s">
        <v>2087</v>
      </c>
      <c r="R1102" s="3153"/>
      <c r="S1102" s="3153"/>
      <c r="T1102" s="3153"/>
      <c r="U1102" s="3153"/>
      <c r="V1102" s="3153"/>
      <c r="W1102" s="3153"/>
      <c r="X1102" s="3153"/>
      <c r="Y1102" s="3153"/>
      <c r="Z1102" s="3153"/>
      <c r="AA1102" s="3153"/>
      <c r="AB1102" s="3153"/>
      <c r="AC1102" s="3153"/>
      <c r="AD1102" s="3153"/>
      <c r="AE1102" s="3153"/>
      <c r="AF1102" s="3152"/>
      <c r="AI1102" s="3120" t="str">
        <f>"15:field205:" &amp; IF(I1102="■",1,IF(P1102="■",3,IF(L1102="■",2,0)))</f>
        <v>15:field205:0</v>
      </c>
    </row>
    <row r="1103" spans="1:35" s="3120" customFormat="1" ht="18.75" hidden="1" customHeight="1" x14ac:dyDescent="0.2">
      <c r="A1103" s="834"/>
      <c r="B1103" s="3148"/>
      <c r="C1103" s="3147"/>
      <c r="D1103" s="3146"/>
      <c r="E1103" s="3145"/>
      <c r="F1103" s="3144"/>
      <c r="G1103" s="3143"/>
      <c r="H1103" s="3142" t="s">
        <v>2086</v>
      </c>
      <c r="I1103" s="3141" t="s">
        <v>116</v>
      </c>
      <c r="J1103" s="3139" t="s">
        <v>1230</v>
      </c>
      <c r="K1103" s="3138"/>
      <c r="L1103" s="3140" t="s">
        <v>116</v>
      </c>
      <c r="M1103" s="3139" t="s">
        <v>1233</v>
      </c>
      <c r="N1103" s="3138"/>
      <c r="O1103" s="3153"/>
      <c r="P1103" s="3153"/>
      <c r="Q1103" s="3153"/>
      <c r="R1103" s="3153"/>
      <c r="S1103" s="3153"/>
      <c r="T1103" s="3153"/>
      <c r="U1103" s="3153"/>
      <c r="V1103" s="3153"/>
      <c r="W1103" s="3153"/>
      <c r="X1103" s="3153"/>
      <c r="Y1103" s="3153"/>
      <c r="Z1103" s="3153"/>
      <c r="AA1103" s="3153"/>
      <c r="AB1103" s="3153"/>
      <c r="AC1103" s="3153"/>
      <c r="AD1103" s="3153"/>
      <c r="AE1103" s="3153"/>
      <c r="AF1103" s="3152"/>
      <c r="AI1103" s="3120" t="str">
        <f>"15:field186:" &amp; IF(I1103="■",1,IF(L1103="■",2,0))</f>
        <v>15:field186:0</v>
      </c>
    </row>
    <row r="1104" spans="1:35" s="3120" customFormat="1" ht="18.75" hidden="1" customHeight="1" x14ac:dyDescent="0.2">
      <c r="A1104" s="834"/>
      <c r="B1104" s="3148"/>
      <c r="C1104" s="3147"/>
      <c r="D1104" s="3146"/>
      <c r="E1104" s="3145"/>
      <c r="F1104" s="3144"/>
      <c r="G1104" s="3143"/>
      <c r="H1104" s="3151" t="s">
        <v>2085</v>
      </c>
      <c r="I1104" s="3141" t="s">
        <v>116</v>
      </c>
      <c r="J1104" s="3139" t="s">
        <v>1230</v>
      </c>
      <c r="K1104" s="3138"/>
      <c r="L1104" s="3140" t="s">
        <v>116</v>
      </c>
      <c r="M1104" s="3139" t="s">
        <v>1233</v>
      </c>
      <c r="N1104" s="3138"/>
      <c r="O1104" s="3150"/>
      <c r="P1104" s="3150"/>
      <c r="Q1104" s="3150"/>
      <c r="R1104" s="3150"/>
      <c r="S1104" s="3150"/>
      <c r="T1104" s="3150"/>
      <c r="U1104" s="3150"/>
      <c r="V1104" s="3150"/>
      <c r="W1104" s="3150"/>
      <c r="X1104" s="3150"/>
      <c r="Y1104" s="3150"/>
      <c r="Z1104" s="3150"/>
      <c r="AA1104" s="3150"/>
      <c r="AB1104" s="3150"/>
      <c r="AC1104" s="3150"/>
      <c r="AD1104" s="3150"/>
      <c r="AE1104" s="3150"/>
      <c r="AF1104" s="3149"/>
      <c r="AI1104" s="3120" t="str">
        <f>"15:field167:" &amp; IF(I1104="■",1,IF(L1104="■",2,0))</f>
        <v>15:field167:0</v>
      </c>
    </row>
    <row r="1105" spans="1:35" s="3120" customFormat="1" ht="18.75" hidden="1" customHeight="1" x14ac:dyDescent="0.2">
      <c r="A1105" s="834"/>
      <c r="B1105" s="3148"/>
      <c r="C1105" s="3147"/>
      <c r="D1105" s="3146"/>
      <c r="E1105" s="3145"/>
      <c r="F1105" s="3144"/>
      <c r="G1105" s="3143"/>
      <c r="H1105" s="3151" t="s">
        <v>1256</v>
      </c>
      <c r="I1105" s="3141" t="s">
        <v>116</v>
      </c>
      <c r="J1105" s="3139" t="s">
        <v>1230</v>
      </c>
      <c r="K1105" s="3138"/>
      <c r="L1105" s="3140" t="s">
        <v>116</v>
      </c>
      <c r="M1105" s="3139" t="s">
        <v>1233</v>
      </c>
      <c r="N1105" s="3138"/>
      <c r="O1105" s="3150"/>
      <c r="P1105" s="3150"/>
      <c r="Q1105" s="3150"/>
      <c r="R1105" s="3150"/>
      <c r="S1105" s="3150"/>
      <c r="T1105" s="3150"/>
      <c r="U1105" s="3150"/>
      <c r="V1105" s="3150"/>
      <c r="W1105" s="3150"/>
      <c r="X1105" s="3150"/>
      <c r="Y1105" s="3150"/>
      <c r="Z1105" s="3150"/>
      <c r="AA1105" s="3150"/>
      <c r="AB1105" s="3150"/>
      <c r="AC1105" s="3150"/>
      <c r="AD1105" s="3150"/>
      <c r="AE1105" s="3150"/>
      <c r="AF1105" s="3149"/>
      <c r="AI1105" s="3120" t="str">
        <f>"15:jyakuninti_uke_code:" &amp; IF(I1105="■",1,IF(L1105="■",2,0))</f>
        <v>15:jyakuninti_uke_code:0</v>
      </c>
    </row>
    <row r="1106" spans="1:35" s="3120" customFormat="1" ht="18.75" hidden="1" customHeight="1" x14ac:dyDescent="0.2">
      <c r="A1106" s="834"/>
      <c r="B1106" s="3148"/>
      <c r="C1106" s="3147"/>
      <c r="D1106" s="3146"/>
      <c r="E1106" s="3145"/>
      <c r="F1106" s="3144"/>
      <c r="G1106" s="3143"/>
      <c r="H1106" s="1200" t="s">
        <v>1257</v>
      </c>
      <c r="I1106" s="3141" t="s">
        <v>116</v>
      </c>
      <c r="J1106" s="3139" t="s">
        <v>1230</v>
      </c>
      <c r="K1106" s="3138"/>
      <c r="L1106" s="3140" t="s">
        <v>116</v>
      </c>
      <c r="M1106" s="3139" t="s">
        <v>1233</v>
      </c>
      <c r="N1106" s="3138"/>
      <c r="O1106" s="3150"/>
      <c r="P1106" s="3150"/>
      <c r="Q1106" s="3150"/>
      <c r="R1106" s="3150"/>
      <c r="S1106" s="3150"/>
      <c r="T1106" s="3150"/>
      <c r="U1106" s="3150"/>
      <c r="V1106" s="3150"/>
      <c r="W1106" s="3150"/>
      <c r="X1106" s="3150"/>
      <c r="Y1106" s="3150"/>
      <c r="Z1106" s="3150"/>
      <c r="AA1106" s="3150"/>
      <c r="AB1106" s="3150"/>
      <c r="AC1106" s="3150"/>
      <c r="AD1106" s="3150"/>
      <c r="AE1106" s="3150"/>
      <c r="AF1106" s="3149"/>
      <c r="AI1106" s="3120" t="str">
        <f>"15:eiyomana_code:" &amp; IF(I1106="■",1,IF(L1106="■",2,0))</f>
        <v>15:eiyomana_code:0</v>
      </c>
    </row>
    <row r="1107" spans="1:35" s="3120" customFormat="1" ht="18.75" hidden="1" customHeight="1" x14ac:dyDescent="0.2">
      <c r="A1107" s="834"/>
      <c r="B1107" s="3148"/>
      <c r="C1107" s="3147"/>
      <c r="D1107" s="3146"/>
      <c r="E1107" s="3145"/>
      <c r="F1107" s="3144"/>
      <c r="G1107" s="3143"/>
      <c r="H1107" s="3142" t="s">
        <v>1258</v>
      </c>
      <c r="I1107" s="3141" t="s">
        <v>116</v>
      </c>
      <c r="J1107" s="3139" t="s">
        <v>1230</v>
      </c>
      <c r="K1107" s="3138"/>
      <c r="L1107" s="3140" t="s">
        <v>116</v>
      </c>
      <c r="M1107" s="3139" t="s">
        <v>1233</v>
      </c>
      <c r="N1107" s="3138"/>
      <c r="O1107" s="3137"/>
      <c r="P1107" s="3137"/>
      <c r="Q1107" s="3137"/>
      <c r="R1107" s="3137"/>
      <c r="S1107" s="3137"/>
      <c r="T1107" s="3137"/>
      <c r="U1107" s="3137"/>
      <c r="V1107" s="3137"/>
      <c r="W1107" s="3137"/>
      <c r="X1107" s="3137"/>
      <c r="Y1107" s="3137"/>
      <c r="Z1107" s="3137"/>
      <c r="AA1107" s="3137"/>
      <c r="AB1107" s="3137"/>
      <c r="AC1107" s="3137"/>
      <c r="AD1107" s="3137"/>
      <c r="AE1107" s="3137"/>
      <c r="AF1107" s="3136"/>
      <c r="AI1107" s="3120" t="str">
        <f>"15:koukoukino_code:" &amp; IF(I1107="■",1,IF(L1107="■",2,0))</f>
        <v>15:koukoukino_code:0</v>
      </c>
    </row>
    <row r="1108" spans="1:35" s="3120" customFormat="1" ht="18.75" hidden="1" customHeight="1" x14ac:dyDescent="0.2">
      <c r="A1108" s="835"/>
      <c r="B1108" s="3135"/>
      <c r="C1108" s="3134"/>
      <c r="D1108" s="3133"/>
      <c r="E1108" s="3132"/>
      <c r="F1108" s="3131"/>
      <c r="G1108" s="3130"/>
      <c r="H1108" s="3129" t="s">
        <v>797</v>
      </c>
      <c r="I1108" s="3128" t="s">
        <v>116</v>
      </c>
      <c r="J1108" s="3125" t="s">
        <v>1230</v>
      </c>
      <c r="K1108" s="3126"/>
      <c r="L1108" s="3127" t="s">
        <v>116</v>
      </c>
      <c r="M1108" s="3125" t="s">
        <v>1233</v>
      </c>
      <c r="N1108" s="3126"/>
      <c r="O1108" s="3125"/>
      <c r="P1108" s="3125"/>
      <c r="Q1108" s="3125"/>
      <c r="R1108" s="3125"/>
      <c r="S1108" s="3125"/>
      <c r="T1108" s="3125"/>
      <c r="U1108" s="3125"/>
      <c r="V1108" s="3125"/>
      <c r="W1108" s="3125"/>
      <c r="X1108" s="3125"/>
      <c r="Y1108" s="3125"/>
      <c r="Z1108" s="3125"/>
      <c r="AA1108" s="3125"/>
      <c r="AB1108" s="3125"/>
      <c r="AC1108" s="3125"/>
      <c r="AD1108" s="3125"/>
      <c r="AE1108" s="3125"/>
      <c r="AF1108" s="3124"/>
      <c r="AI1108" s="3120" t="str">
        <f>"15:field212:" &amp; IF(I1108="■",1,IF(L1108="■",2,0))</f>
        <v>15:field212:0</v>
      </c>
    </row>
    <row r="1109" spans="1:35" s="3120" customFormat="1" ht="8.25" customHeight="1" x14ac:dyDescent="0.2">
      <c r="A1109" s="3123"/>
      <c r="B1109" s="3123"/>
      <c r="C1109" s="836"/>
      <c r="D1109" s="836"/>
      <c r="E1109" s="836"/>
      <c r="F1109" s="836"/>
      <c r="G1109" s="1200"/>
      <c r="H1109" s="1200"/>
      <c r="I1109" s="1200"/>
      <c r="J1109" s="1200"/>
      <c r="K1109" s="1200"/>
      <c r="L1109" s="1200"/>
      <c r="M1109" s="1200"/>
      <c r="N1109" s="1200"/>
      <c r="O1109" s="1200"/>
      <c r="P1109" s="1200"/>
      <c r="Q1109" s="1200"/>
      <c r="R1109" s="1200"/>
      <c r="S1109" s="1200"/>
      <c r="T1109" s="1200"/>
      <c r="U1109" s="1200"/>
      <c r="V1109" s="1200"/>
      <c r="W1109" s="1200"/>
      <c r="X1109" s="1200"/>
      <c r="Y1109" s="1200"/>
      <c r="Z1109" s="1200"/>
      <c r="AA1109" s="1200"/>
      <c r="AB1109" s="1200"/>
      <c r="AC1109" s="836"/>
      <c r="AD1109" s="836"/>
      <c r="AE1109" s="836"/>
      <c r="AF1109" s="836"/>
    </row>
    <row r="1110" spans="1:35" s="3120" customFormat="1" ht="20.25" customHeight="1" x14ac:dyDescent="0.2">
      <c r="A1110" s="3123"/>
      <c r="B1110" s="3123"/>
      <c r="C1110" s="2" t="s">
        <v>2084</v>
      </c>
      <c r="D1110" s="1200"/>
      <c r="E1110" s="3122"/>
      <c r="F1110" s="3122"/>
      <c r="G1110" s="3122"/>
      <c r="H1110" s="3122"/>
      <c r="I1110" s="3122"/>
      <c r="J1110" s="3122"/>
      <c r="K1110" s="3122"/>
      <c r="L1110" s="3122"/>
      <c r="M1110" s="3122"/>
      <c r="N1110" s="3122"/>
      <c r="O1110" s="3122"/>
      <c r="P1110" s="3122"/>
      <c r="Q1110" s="3122"/>
      <c r="R1110" s="3122"/>
      <c r="S1110" s="3122"/>
      <c r="T1110" s="3122"/>
      <c r="U1110" s="3122"/>
      <c r="V1110" s="3122"/>
      <c r="W1110" s="836"/>
      <c r="X1110" s="836"/>
      <c r="Y1110" s="836"/>
      <c r="Z1110" s="836"/>
      <c r="AA1110" s="836"/>
      <c r="AB1110" s="836"/>
      <c r="AC1110" s="836"/>
      <c r="AD1110" s="836"/>
      <c r="AE1110" s="836"/>
      <c r="AF1110" s="836"/>
    </row>
  </sheetData>
  <sheetProtection algorithmName="SHA-512" hashValue="SqGHJfqcqhLZI1ya/HrzQ/SEBLk4Oe3C26DN8Z8lh5w+IWhr4SYos8hP+27vpwtPMIJcYVUciFV1wv9S0tv7NA==" saltValue="YVMaUYK91+eqodh8N8KlHQ==" spinCount="100000" sheet="1" objects="1" scenarios="1"/>
  <mergeCells count="630">
    <mergeCell ref="H897:H898"/>
    <mergeCell ref="AC897:AF919"/>
    <mergeCell ref="J928:K929"/>
    <mergeCell ref="H880:H881"/>
    <mergeCell ref="Q847:S848"/>
    <mergeCell ref="P882:P883"/>
    <mergeCell ref="Q882:S883"/>
    <mergeCell ref="T882:T883"/>
    <mergeCell ref="U882:X883"/>
    <mergeCell ref="J813:K814"/>
    <mergeCell ref="L813:L814"/>
    <mergeCell ref="M813:N814"/>
    <mergeCell ref="L905:L906"/>
    <mergeCell ref="M905:N906"/>
    <mergeCell ref="M870:N871"/>
    <mergeCell ref="H449:H450"/>
    <mergeCell ref="AC449:AF468"/>
    <mergeCell ref="M928:N929"/>
    <mergeCell ref="AC745:AF778"/>
    <mergeCell ref="H746:H748"/>
    <mergeCell ref="H767:H768"/>
    <mergeCell ref="AC804:AF827"/>
    <mergeCell ref="H805:H807"/>
    <mergeCell ref="H813:H814"/>
    <mergeCell ref="I813:I814"/>
    <mergeCell ref="AC274:AF292"/>
    <mergeCell ref="H275:H276"/>
    <mergeCell ref="H290:H291"/>
    <mergeCell ref="I290:I291"/>
    <mergeCell ref="J290:K291"/>
    <mergeCell ref="L290:L291"/>
    <mergeCell ref="M290:N291"/>
    <mergeCell ref="L204:L205"/>
    <mergeCell ref="M204:N205"/>
    <mergeCell ref="H469:H470"/>
    <mergeCell ref="AC469:AF489"/>
    <mergeCell ref="H471:H472"/>
    <mergeCell ref="H487:H488"/>
    <mergeCell ref="I487:I488"/>
    <mergeCell ref="J487:K488"/>
    <mergeCell ref="L487:L488"/>
    <mergeCell ref="M487:N488"/>
    <mergeCell ref="H920:H921"/>
    <mergeCell ref="AC920:AF943"/>
    <mergeCell ref="H922:H923"/>
    <mergeCell ref="H928:H929"/>
    <mergeCell ref="I928:I929"/>
    <mergeCell ref="AC187:AF206"/>
    <mergeCell ref="H188:H189"/>
    <mergeCell ref="H204:H205"/>
    <mergeCell ref="I204:I205"/>
    <mergeCell ref="J204:K205"/>
    <mergeCell ref="H451:H452"/>
    <mergeCell ref="H466:H467"/>
    <mergeCell ref="I466:I467"/>
    <mergeCell ref="J466:K467"/>
    <mergeCell ref="L466:L467"/>
    <mergeCell ref="M466:N467"/>
    <mergeCell ref="AC231:AF253"/>
    <mergeCell ref="H232:H233"/>
    <mergeCell ref="H251:H252"/>
    <mergeCell ref="I251:I252"/>
    <mergeCell ref="J251:K252"/>
    <mergeCell ref="L251:L252"/>
    <mergeCell ref="M251:N252"/>
    <mergeCell ref="H1094:H1095"/>
    <mergeCell ref="I1094:I1095"/>
    <mergeCell ref="J1094:K1095"/>
    <mergeCell ref="L1094:L1095"/>
    <mergeCell ref="M1094:N1095"/>
    <mergeCell ref="H1096:H1097"/>
    <mergeCell ref="I1096:I1097"/>
    <mergeCell ref="J1096:K1097"/>
    <mergeCell ref="L1096:L1097"/>
    <mergeCell ref="M1096:N1097"/>
    <mergeCell ref="H1090:H1091"/>
    <mergeCell ref="I1090:I1091"/>
    <mergeCell ref="J1090:K1091"/>
    <mergeCell ref="L1090:L1091"/>
    <mergeCell ref="M1090:N1091"/>
    <mergeCell ref="H1092:H1093"/>
    <mergeCell ref="I1092:I1093"/>
    <mergeCell ref="J1092:K1093"/>
    <mergeCell ref="L1092:L1093"/>
    <mergeCell ref="M1092:N1093"/>
    <mergeCell ref="H1079:H1080"/>
    <mergeCell ref="I1079:I1080"/>
    <mergeCell ref="J1079:L1080"/>
    <mergeCell ref="M1079:M1080"/>
    <mergeCell ref="N1079:P1080"/>
    <mergeCell ref="H1082:H1083"/>
    <mergeCell ref="I1082:I1083"/>
    <mergeCell ref="J1082:K1083"/>
    <mergeCell ref="L1082:L1083"/>
    <mergeCell ref="M1082:N1083"/>
    <mergeCell ref="H1072:H1073"/>
    <mergeCell ref="I1072:I1073"/>
    <mergeCell ref="J1072:L1073"/>
    <mergeCell ref="M1072:M1073"/>
    <mergeCell ref="N1072:P1073"/>
    <mergeCell ref="H1077:H1078"/>
    <mergeCell ref="I1077:I1078"/>
    <mergeCell ref="J1077:L1078"/>
    <mergeCell ref="M1077:M1078"/>
    <mergeCell ref="N1077:P1078"/>
    <mergeCell ref="AC1059:AC1060"/>
    <mergeCell ref="H1070:H1071"/>
    <mergeCell ref="I1070:I1071"/>
    <mergeCell ref="J1070:L1071"/>
    <mergeCell ref="M1070:M1071"/>
    <mergeCell ref="N1070:P1071"/>
    <mergeCell ref="H1064:H1065"/>
    <mergeCell ref="I1064:I1065"/>
    <mergeCell ref="J1064:L1065"/>
    <mergeCell ref="M1064:M1065"/>
    <mergeCell ref="N1064:P1065"/>
    <mergeCell ref="H1062:H1063"/>
    <mergeCell ref="I1062:I1063"/>
    <mergeCell ref="J1062:L1063"/>
    <mergeCell ref="M1062:M1063"/>
    <mergeCell ref="N1062:P1063"/>
    <mergeCell ref="AF1059:AF1060"/>
    <mergeCell ref="AD1059:AD1060"/>
    <mergeCell ref="AE1059:AE1060"/>
    <mergeCell ref="T1059:T1060"/>
    <mergeCell ref="U1059:U1060"/>
    <mergeCell ref="V1059:V1060"/>
    <mergeCell ref="W1059:W1060"/>
    <mergeCell ref="X1059:X1060"/>
    <mergeCell ref="Y1059:Y1060"/>
    <mergeCell ref="Z1059:Z1060"/>
    <mergeCell ref="AC1057:AC1058"/>
    <mergeCell ref="AD1057:AD1058"/>
    <mergeCell ref="S1057:S1058"/>
    <mergeCell ref="T1057:T1058"/>
    <mergeCell ref="U1057:U1058"/>
    <mergeCell ref="V1057:V1058"/>
    <mergeCell ref="W1057:W1058"/>
    <mergeCell ref="X1057:X1058"/>
    <mergeCell ref="R1059:R1060"/>
    <mergeCell ref="S1059:S1060"/>
    <mergeCell ref="Y1057:Y1058"/>
    <mergeCell ref="Z1057:Z1058"/>
    <mergeCell ref="AA1057:AA1058"/>
    <mergeCell ref="AB1057:AB1058"/>
    <mergeCell ref="AA1059:AA1060"/>
    <mergeCell ref="AB1059:AB1060"/>
    <mergeCell ref="H1055:H1056"/>
    <mergeCell ref="I1055:I1056"/>
    <mergeCell ref="AE1057:AE1058"/>
    <mergeCell ref="AF1057:AF1058"/>
    <mergeCell ref="H1059:H1060"/>
    <mergeCell ref="I1059:I1060"/>
    <mergeCell ref="J1059:L1060"/>
    <mergeCell ref="M1059:M1060"/>
    <mergeCell ref="N1059:P1060"/>
    <mergeCell ref="Q1059:Q1060"/>
    <mergeCell ref="AC1055:AC1056"/>
    <mergeCell ref="R1055:R1056"/>
    <mergeCell ref="S1055:S1056"/>
    <mergeCell ref="T1055:T1056"/>
    <mergeCell ref="U1055:U1056"/>
    <mergeCell ref="V1055:V1056"/>
    <mergeCell ref="W1055:W1056"/>
    <mergeCell ref="AE1055:AE1056"/>
    <mergeCell ref="AF1055:AF1056"/>
    <mergeCell ref="H1057:H1058"/>
    <mergeCell ref="I1057:I1058"/>
    <mergeCell ref="J1057:L1058"/>
    <mergeCell ref="M1057:M1058"/>
    <mergeCell ref="N1057:P1058"/>
    <mergeCell ref="Q1057:Q1058"/>
    <mergeCell ref="R1057:R1058"/>
    <mergeCell ref="X1055:X1056"/>
    <mergeCell ref="H1053:H1054"/>
    <mergeCell ref="I1053:I1054"/>
    <mergeCell ref="J1053:K1054"/>
    <mergeCell ref="L1053:L1054"/>
    <mergeCell ref="M1053:N1054"/>
    <mergeCell ref="AD1055:AD1056"/>
    <mergeCell ref="Y1055:Y1056"/>
    <mergeCell ref="Z1055:Z1056"/>
    <mergeCell ref="AA1055:AA1056"/>
    <mergeCell ref="AB1055:AB1056"/>
    <mergeCell ref="J1055:L1056"/>
    <mergeCell ref="M1055:M1056"/>
    <mergeCell ref="N1055:P1056"/>
    <mergeCell ref="Q1055:Q1056"/>
    <mergeCell ref="L1051:L1052"/>
    <mergeCell ref="M1051:N1052"/>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H1014:H1015"/>
    <mergeCell ref="AC1014:AF1037"/>
    <mergeCell ref="H1016:H1017"/>
    <mergeCell ref="H1023:H1024"/>
    <mergeCell ref="I1023:I1024"/>
    <mergeCell ref="J1023:K1024"/>
    <mergeCell ref="L1023:L1024"/>
    <mergeCell ref="M1023:N1024"/>
    <mergeCell ref="H960:H961"/>
    <mergeCell ref="H962:H963"/>
    <mergeCell ref="H964:H965"/>
    <mergeCell ref="I964:I965"/>
    <mergeCell ref="J964:K965"/>
    <mergeCell ref="L964:L965"/>
    <mergeCell ref="M964:O965"/>
    <mergeCell ref="P964:P965"/>
    <mergeCell ref="Q964:S965"/>
    <mergeCell ref="T964:T965"/>
    <mergeCell ref="U964:X965"/>
    <mergeCell ref="H979:H980"/>
    <mergeCell ref="T999:T1000"/>
    <mergeCell ref="U999:X1000"/>
    <mergeCell ref="H944:H945"/>
    <mergeCell ref="AC944:AF978"/>
    <mergeCell ref="H946:H947"/>
    <mergeCell ref="H953:H954"/>
    <mergeCell ref="I953:I954"/>
    <mergeCell ref="J953:K954"/>
    <mergeCell ref="L953:L954"/>
    <mergeCell ref="M953:N954"/>
    <mergeCell ref="H847:H848"/>
    <mergeCell ref="I847:I848"/>
    <mergeCell ref="J847:K848"/>
    <mergeCell ref="L847:L848"/>
    <mergeCell ref="M847:O848"/>
    <mergeCell ref="P847:P848"/>
    <mergeCell ref="L882:L883"/>
    <mergeCell ref="M882:O883"/>
    <mergeCell ref="H862:H863"/>
    <mergeCell ref="AC862:AF896"/>
    <mergeCell ref="H864:H865"/>
    <mergeCell ref="H870:H871"/>
    <mergeCell ref="I870:I871"/>
    <mergeCell ref="J870:K871"/>
    <mergeCell ref="L870:L871"/>
    <mergeCell ref="H878:H879"/>
    <mergeCell ref="H845:H846"/>
    <mergeCell ref="T847:T848"/>
    <mergeCell ref="U847:X848"/>
    <mergeCell ref="H899:H900"/>
    <mergeCell ref="H905:H906"/>
    <mergeCell ref="I905:I906"/>
    <mergeCell ref="J905:K906"/>
    <mergeCell ref="H882:H883"/>
    <mergeCell ref="I882:I883"/>
    <mergeCell ref="J882:K883"/>
    <mergeCell ref="L928:L929"/>
    <mergeCell ref="H828:H829"/>
    <mergeCell ref="AC828:AF861"/>
    <mergeCell ref="H830:H831"/>
    <mergeCell ref="H836:H837"/>
    <mergeCell ref="I836:I837"/>
    <mergeCell ref="J836:K837"/>
    <mergeCell ref="L836:L837"/>
    <mergeCell ref="M836:N837"/>
    <mergeCell ref="H843:H844"/>
    <mergeCell ref="AC597:AF607"/>
    <mergeCell ref="H600:H601"/>
    <mergeCell ref="I600:I601"/>
    <mergeCell ref="J600:L601"/>
    <mergeCell ref="M600:M601"/>
    <mergeCell ref="N600:P601"/>
    <mergeCell ref="H602:H603"/>
    <mergeCell ref="I602:I603"/>
    <mergeCell ref="J602:L603"/>
    <mergeCell ref="AC647:AF678"/>
    <mergeCell ref="H648:H650"/>
    <mergeCell ref="AC710:AF744"/>
    <mergeCell ref="H711:H713"/>
    <mergeCell ref="H733:H734"/>
    <mergeCell ref="AC679:AF709"/>
    <mergeCell ref="H680:H682"/>
    <mergeCell ref="AC779:AF803"/>
    <mergeCell ref="H780:H782"/>
    <mergeCell ref="H788:H789"/>
    <mergeCell ref="I788:I789"/>
    <mergeCell ref="J788:K789"/>
    <mergeCell ref="L788:L789"/>
    <mergeCell ref="M788:N789"/>
    <mergeCell ref="AC591:AF596"/>
    <mergeCell ref="H593:H594"/>
    <mergeCell ref="I593:I594"/>
    <mergeCell ref="J593:L594"/>
    <mergeCell ref="M593:M594"/>
    <mergeCell ref="N593:P594"/>
    <mergeCell ref="H595:H596"/>
    <mergeCell ref="I595:I596"/>
    <mergeCell ref="J595:L596"/>
    <mergeCell ref="M595:M596"/>
    <mergeCell ref="M602:M603"/>
    <mergeCell ref="N595:P596"/>
    <mergeCell ref="H597:H598"/>
    <mergeCell ref="I597:I598"/>
    <mergeCell ref="J597:K598"/>
    <mergeCell ref="L597:L598"/>
    <mergeCell ref="M597:O598"/>
    <mergeCell ref="N602:P603"/>
    <mergeCell ref="H515:H516"/>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H490:H491"/>
    <mergeCell ref="AC490:AF514"/>
    <mergeCell ref="H492:H493"/>
    <mergeCell ref="H506:H507"/>
    <mergeCell ref="H508:H509"/>
    <mergeCell ref="H512:H513"/>
    <mergeCell ref="I512:I513"/>
    <mergeCell ref="J512:K513"/>
    <mergeCell ref="L512:L513"/>
    <mergeCell ref="M512:N513"/>
    <mergeCell ref="AC424:AF448"/>
    <mergeCell ref="H426:H427"/>
    <mergeCell ref="H440:H441"/>
    <mergeCell ref="H442:H443"/>
    <mergeCell ref="H446:H447"/>
    <mergeCell ref="I446:I447"/>
    <mergeCell ref="J446:K447"/>
    <mergeCell ref="L446:L447"/>
    <mergeCell ref="M446:N447"/>
    <mergeCell ref="H424:H425"/>
    <mergeCell ref="H400:H401"/>
    <mergeCell ref="AC400:AF423"/>
    <mergeCell ref="H402:H403"/>
    <mergeCell ref="H415:H416"/>
    <mergeCell ref="H417:H418"/>
    <mergeCell ref="H421:H422"/>
    <mergeCell ref="I421:I422"/>
    <mergeCell ref="J421:K422"/>
    <mergeCell ref="L421:L422"/>
    <mergeCell ref="M421:N422"/>
    <mergeCell ref="AC361:AF379"/>
    <mergeCell ref="H371:H372"/>
    <mergeCell ref="H374:H375"/>
    <mergeCell ref="H377:H378"/>
    <mergeCell ref="I377:I378"/>
    <mergeCell ref="J377:K378"/>
    <mergeCell ref="L377:L378"/>
    <mergeCell ref="M377:N378"/>
    <mergeCell ref="AC380:AF399"/>
    <mergeCell ref="H392:H393"/>
    <mergeCell ref="H394:H395"/>
    <mergeCell ref="H397:H398"/>
    <mergeCell ref="I397:I398"/>
    <mergeCell ref="J397:K398"/>
    <mergeCell ref="L397:L398"/>
    <mergeCell ref="M397:N39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07:AF230"/>
    <mergeCell ref="H208:H209"/>
    <mergeCell ref="H228:H229"/>
    <mergeCell ref="I228:I229"/>
    <mergeCell ref="J228:K229"/>
    <mergeCell ref="L228:L229"/>
    <mergeCell ref="M228:N229"/>
    <mergeCell ref="AC254:AF273"/>
    <mergeCell ref="H255:H256"/>
    <mergeCell ref="H271:H272"/>
    <mergeCell ref="I271:I272"/>
    <mergeCell ref="J271:K272"/>
    <mergeCell ref="L271:L272"/>
    <mergeCell ref="M271:N272"/>
    <mergeCell ref="P161:Q162"/>
    <mergeCell ref="R161:R162"/>
    <mergeCell ref="S161:T162"/>
    <mergeCell ref="H163:H164"/>
    <mergeCell ref="I163:I164"/>
    <mergeCell ref="J163:K164"/>
    <mergeCell ref="L163:L164"/>
    <mergeCell ref="M163:N164"/>
    <mergeCell ref="AC166:AF186"/>
    <mergeCell ref="H167:H168"/>
    <mergeCell ref="H184:H185"/>
    <mergeCell ref="I184:I185"/>
    <mergeCell ref="J184:K185"/>
    <mergeCell ref="L184:L185"/>
    <mergeCell ref="M184:N185"/>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AC46:AF62"/>
    <mergeCell ref="N49:P50"/>
    <mergeCell ref="H51:H52"/>
    <mergeCell ref="I51:I52"/>
    <mergeCell ref="J51:L52"/>
    <mergeCell ref="M51:M52"/>
    <mergeCell ref="N51:P52"/>
    <mergeCell ref="AC63:AF75"/>
    <mergeCell ref="H66:H67"/>
    <mergeCell ref="I66:I67"/>
    <mergeCell ref="J66:L67"/>
    <mergeCell ref="M66:M67"/>
    <mergeCell ref="N66:P67"/>
    <mergeCell ref="H68:H69"/>
    <mergeCell ref="I68:I69"/>
    <mergeCell ref="J68:L69"/>
    <mergeCell ref="H71:H72"/>
    <mergeCell ref="I71:I72"/>
    <mergeCell ref="J71:K72"/>
    <mergeCell ref="L71:L72"/>
    <mergeCell ref="M71:N72"/>
    <mergeCell ref="H60:H62"/>
    <mergeCell ref="H49:H50"/>
    <mergeCell ref="I49:I50"/>
    <mergeCell ref="J49:L50"/>
    <mergeCell ref="M49:M50"/>
    <mergeCell ref="M68:M69"/>
    <mergeCell ref="N68:P69"/>
    <mergeCell ref="H38:H39"/>
    <mergeCell ref="I38:I39"/>
    <mergeCell ref="J38:L39"/>
    <mergeCell ref="M38:M39"/>
    <mergeCell ref="N38:P39"/>
    <mergeCell ref="H40:H41"/>
    <mergeCell ref="I40:I41"/>
    <mergeCell ref="J40:L41"/>
    <mergeCell ref="M40:M41"/>
    <mergeCell ref="N40:P41"/>
    <mergeCell ref="T25:T26"/>
    <mergeCell ref="U25:U26"/>
    <mergeCell ref="V25:V26"/>
    <mergeCell ref="H30:H31"/>
    <mergeCell ref="I30:I31"/>
    <mergeCell ref="J30:L31"/>
    <mergeCell ref="M30:M31"/>
    <mergeCell ref="N30:P31"/>
    <mergeCell ref="W25:W26"/>
    <mergeCell ref="X25:X26"/>
    <mergeCell ref="H28:H29"/>
    <mergeCell ref="I28:I29"/>
    <mergeCell ref="J28:L29"/>
    <mergeCell ref="M28:M29"/>
    <mergeCell ref="N28:P29"/>
    <mergeCell ref="Q25:Q26"/>
    <mergeCell ref="R25:R26"/>
    <mergeCell ref="S25:S26"/>
    <mergeCell ref="T23:T24"/>
    <mergeCell ref="U23:U24"/>
    <mergeCell ref="V23:V24"/>
    <mergeCell ref="W23:W24"/>
    <mergeCell ref="X23:X24"/>
    <mergeCell ref="H25:H26"/>
    <mergeCell ref="I25:I26"/>
    <mergeCell ref="J25:L26"/>
    <mergeCell ref="M25:M26"/>
    <mergeCell ref="N25:P26"/>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J19:K20"/>
    <mergeCell ref="L19:L20"/>
    <mergeCell ref="M19:N20"/>
    <mergeCell ref="H21:H22"/>
    <mergeCell ref="I21:I22"/>
    <mergeCell ref="J21:L22"/>
    <mergeCell ref="M21:M22"/>
    <mergeCell ref="N21:P22"/>
    <mergeCell ref="A8:C9"/>
    <mergeCell ref="D8:E9"/>
    <mergeCell ref="F8:G9"/>
    <mergeCell ref="H8:H9"/>
    <mergeCell ref="H19:H20"/>
    <mergeCell ref="I19:I20"/>
    <mergeCell ref="H10:H12"/>
    <mergeCell ref="H17:H18"/>
    <mergeCell ref="I17:I18"/>
    <mergeCell ref="J17:K18"/>
    <mergeCell ref="L17:L18"/>
    <mergeCell ref="M17:N18"/>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Y10:Y11 AC10:AC11 M13:M14 R15 I1044:I1108 M54 F878:F880 Q135 R159:R162 Y207:Y208 Y254:Y255 Y293:Y294 Y315:Y316 Y338:Y339 Y400:Y401 Y424:Y425 Y449:Y450 Y490:Y491 Y515:Y516 Y540:Y541 M83:M85 Y134:Y135 O75 O53 A69 M49:M52 AC83:AC84 L86:L88 O44:O45 O99 O101 Q111:Q112 D96:D98 O33:O34 L115:L117 O120 U946 U121 D68:D70 O157:O162 F843:F845 O143 O146:O147 Q167:Q168 Y166:Y167 L174:L177 U167 O181:O183 Q208:Q209 U208 N216 S216 L215 M219 O225:O227 R227 Q255:Q256 U255 P220 O268:O270 U295 Q293 O305:O306 P307 M309 Q309:Q310 O311 R311 Q315 Q317 U317 F307 M325 P330 O328:O329 M332 O334 R334 Q332:Q333 Q340 Q338 U340 O351:O352 P353 M355 Q355:Q356 O357 R357 L813:L827 L366 O370 P371 M374 Q374:Q375 O376 R376 L386 P392 M394 O390:O391 O396 R396 D1097:D1099 Q400 Q394:Q395 M410 O413:O414 P415 M417 O419:O420 R420 Q424 Q426 L434 L436:L439 O438:O439 P440 M442 O444:O445 R445 Q449 Q451 L458 R465 Q490 Q492 L500 L502:L505 O504:O505 P506 M508 R511 O510:O511 Q515 Q517 L525 L527:L530 O529:O530 P531 M533 R536 O535:O536 M561:M564 Q540 Q542 L550 D550 R557 L1023:L1024 A97 L90:L110 F176:F177 M154 D118:D126 F303 O165 D458 L623:L633 O565 F324 L324 F326 L349:L352 F328 L373 A349 F367 L388:L391 O560 F411:F413 A282 A458 M515:M524 D502 D527 A550 D53:D55 Y76:Y77 A149 A218 L119:L120 A326 L769:L778 O588:O590 A502 F550:F551 A569 Y561:Y562 Q561 O567 AC561:AC562 L122:L133 M593:M596 L597:L599 O605 R605 U605 F391 P609 L615:L621 L609 M608 T609 Q620 M622 O629 O633 M634 Y608:Y609 AC608:AC609 D567:D572 A624 M651:M655 U648 O666:O668 O662 Y647:Y648 M600:M603 Q648:Q649 A662 M714:M718 U711 O731:O732 A1098 P726 Q733:Q734 Y710:Y711 AC580:AC581 O707:O709 R743:R744 U780 Q711:Q712 Y779:Y780 O1067 D844 U678 Q1014 Q150 O58 F960:F961 O635:O636 O570 M118 Q70 O124 T847:T848 M845 L140:L153 U864 R183 L905:L906 R270 T964:T965 Q962:Q963 D148:D151 T999:T1000 M997 M1025:M1026 L847:L861 T882:T883 O912:O914 Q845:Q846 O967:O969 Y862:Y863 O1002:O1004 M907:M908 O1030:O1032 M962 M265 Q417:Q418 Q442:Q443 O462:O465 Q508:Q509 Q533:Q534 O554:O557 Q997:Q998 M302 L301 L326:L329 M293:M300 L368:L370 Y380:Y381 F369 M551 L81:L82 R34 L53 M1070:M1075 O574 L42:L45 M66:M70 L71:L76 L347 O373 O735 Q121 O177 A176 M35:M36 M348 M367 M387 L409 M435 M490:M499 M459 M501 M526 Q780:Q781 Q1081 M1062:M1065 U1016 O1011:O1013 Y1014:Y1015 M710:M712 L1069 O584 L155:L165 R360 R379 R514 L604:L607 L933:L943 L727:L732 A527 R624 F301 F309 R206 U34 M63:M64 L1090:L1108 O1099 O1101 P102 Y46:Y47 Y111:Y112 M121 R132:R133 A412 Y897:Y898 AC134:AC135 O109:O110 F373 M178 L217:L218 R109:R110 O132:O133 L262:L264 U165 O186 O230 U292:U293 L179:L186 U230 L221:L230 D349:D350 R314 O314 L334:L337 O337 O360 R423 R399 U360 O379 O399 L419:L423 O423 L444:L448 R448 O514 O448 O468 U489:U490 L510:L514 A602 M8:M9 U15 L15:L20 M21:M26 L27 M28:M31 L32:L34 L37 M38:M41 P1102 O42 L48 L303:L306 L55:L59 Q60:Q61 L65 A54 Y361:Y362 A40 F1025:F1026 A79 M77:M80 M111:M114 Q83 Y83:Y84 M89 M134:M139 U110:U111 L411:L414 Q402 L592 A593 F662:F663 Y597:Y598 M610:M614 O797:O798 U744 Q828 Q830 U830 Y828:Y829 L836:L837 M838:M839 L840:L842 P843 P847:P848 O850:O852 O801:O803 L875:L877 P878 Q862 Q864 O885:O887 P882:P883 L882:L896 Q897 Q899 U899 O917:O919 L953:L954 M955:M956 L957:L959 P960 P964:P965 L964:L978 Y944:Y945 O976:O978 Q979 Q981 U981 Y979:Y980 L988:L989 M990:M991 L992:L994 P995 L999:L1013 P999:P1000 R977:R978 Q1016 M1014:M1022 M1044:M1045 Q1044:Q1045 U1044:U1045 L1051:L1054 M1055:M1060 L1061 L1076 M1077:M1081 L1082:L1085 M1086:M1089 Q1086 U45 U133 U186 L266:L273 L357:L360 L396:L399 R468 U514:U515 R589:R590 L584:L590 O539 U539:U540 L565:L579 U827:U828 U646 R677:R678 O859:O861 U861:U862 R918:R919 U896:U897 U943:U944 L552:L560 L1027:L1037 D1025 A1025 M897:M904 D996 A996 M979:M987 D960 A960 Y580:Y581 A727 Y591:Y592 D907 D815 M862:M869 A844 M828:M835 M779:M787 M591 Q580 M647:M649 M338:M346 M361:M365 F349:F350 A1079 A1071 A1057 D1056:D1058 D1070:D1072 D1078:D1080 U314:U315 U399:U400 U423:U424 U448:U449 U590 U579 O742:O744 R802:R803 R860:R861 O894:O896 Y63:Y64 U978:U979 O1035:O1037 L311:L314 U337:U338 F371 U379 U560 R578:R579 R1013 U1013:U1014 U1037 O15 A22 Y35:Y36 L1066:L1067 AC35:AC36 R44:R45 R165 R273 R337 L376:L379 L535:L539 R539 R560 L635:L646 R645:R646 O644:O646 R895:R896 R1036:R1037 Q295 R253 O292 M315:M323 M380:M385 F387 M400:M408 D282 M449:M457 M580:M583 M944:M952 A907 D879 A879 M1049:M1050 M1068 Q946 D21:D23 M46:M47 A122 D304 A304 F305 F299 D326 D370 A370 D389 F389 A389 D412 M424:M433 F435:F437 L481:L489 F502:F503 M540:M549 F568:F569 A585 D584:D587 D623:D626 O623:O624 O577:O579 M880 Q880:Q881 Q944 D176 R186 Q188:Q189 Y187:Y188 L194:L197 U188 O201:O203 M187:M193 M166:M173 R203 O197 A196 F196:F197 M198 O206 L199:L206 U206 D196 D217:D218 R230 Y231:Y232 Q232:Q233 U232 N239 S239 L238 M242 O248:O250 R250 P243 A241 L240:L241 O253 U253 L244:L253 M207:M214 D241:D242 M254:M261 U273 O273 Y274:Y275 Q275:Q276 U275 A263 O287:O289 R289 M274:M280 M284 L281:L283 L285:L292 R292 D263 M231:M237 A436 D436 U468:U469 L460:L468 Y469:Y470 Q469 Q471 L479 R486 D479 A479 O483:O486 M480 O489 R489 F479 F458 M469:M478 L658:L678 L656 M657 O676:O678 M683:M687 U680 O697:O699 O693 Y679:Y680 Q680:Q681 A693 D662 U709 F693:F694 R708:R709 M679:M681 L688:L709 D693 D726:D727 L735:L744 M720 L754:L759 M749:M753 U746 O765:O766 P760 Q767:Q768 Y745:Y746 R777:R778 Q746:Q747 O769 M745:M747 L761:L766 U778 A761 O776:O778 D760:D761 L719 L721:L725 L791:L803 U803 M790 D790 U805 Y804:Y805 Q805:Q806 O821:O822 O825:O827 A815 M804:M812 R826:R827 L788:L789 A790 L870:L871 M930:M932 U919:U920 L909:L919 L928:L929 O936:O938 F930 F907 Y920:Y921 Q920 Q922 U922 O941:O943 R942:R943 M920:M927 D930 A930 M872:M874 I8:I1037" xr:uid="{8BB28C27-191F-4C86-9028-693068D0D4A3}">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31" man="1"/>
    <brk id="253" max="16383" man="1"/>
    <brk id="292" max="16383" man="1"/>
    <brk id="337" max="16383" man="1"/>
    <brk id="379" max="16383" man="1"/>
    <brk id="423" max="16383" man="1"/>
    <brk id="468" max="16383" man="1"/>
    <brk id="514" max="16383" man="1"/>
    <brk id="560" max="31"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1:AP61"/>
  <sheetViews>
    <sheetView view="pageBreakPreview" zoomScaleNormal="100" zoomScaleSheetLayoutView="100" workbookViewId="0">
      <selection activeCell="D4" sqref="D4:L5"/>
    </sheetView>
  </sheetViews>
  <sheetFormatPr defaultColWidth="9" defaultRowHeight="12" x14ac:dyDescent="0.2"/>
  <cols>
    <col min="1" max="1" width="1" style="85" customWidth="1"/>
    <col min="2" max="4" width="5.44140625" style="85" customWidth="1"/>
    <col min="5" max="13" width="5.6640625" style="85" customWidth="1"/>
    <col min="14" max="14" width="4.6640625" style="85" customWidth="1"/>
    <col min="15" max="19" width="5.6640625" style="85" customWidth="1"/>
    <col min="20" max="20" width="1.33203125" style="85" customWidth="1"/>
    <col min="21" max="21" width="1" style="85" customWidth="1"/>
    <col min="22" max="24" width="5.44140625" style="85" customWidth="1"/>
    <col min="25" max="33" width="5.6640625" style="85" customWidth="1"/>
    <col min="34" max="34" width="4.6640625" style="85" customWidth="1"/>
    <col min="35" max="39" width="5.6640625" style="85" customWidth="1"/>
    <col min="40" max="40" width="1.33203125" style="85" customWidth="1"/>
    <col min="41" max="41" width="1.6640625" style="85" customWidth="1"/>
    <col min="42" max="54" width="5.44140625" style="85" customWidth="1"/>
    <col min="55" max="16384" width="9" style="85"/>
  </cols>
  <sheetData>
    <row r="1" spans="2:42" x14ac:dyDescent="0.2">
      <c r="B1" s="85" t="s">
        <v>929</v>
      </c>
      <c r="V1" s="85" t="s">
        <v>929</v>
      </c>
    </row>
    <row r="2" spans="2:42" ht="19.2" x14ac:dyDescent="0.2">
      <c r="B2" s="2993" t="s">
        <v>658</v>
      </c>
      <c r="C2" s="2993"/>
      <c r="D2" s="2993"/>
      <c r="E2" s="2993"/>
      <c r="F2" s="2993"/>
      <c r="G2" s="2993"/>
      <c r="H2" s="2993"/>
      <c r="I2" s="2993"/>
      <c r="J2" s="2993"/>
      <c r="K2" s="2993"/>
      <c r="L2" s="2993"/>
      <c r="M2" s="2993"/>
      <c r="N2" s="2993"/>
      <c r="O2" s="2993"/>
      <c r="P2" s="2993"/>
      <c r="Q2" s="2993"/>
      <c r="R2" s="2993"/>
      <c r="S2" s="2993"/>
      <c r="V2" s="2993" t="s">
        <v>655</v>
      </c>
      <c r="W2" s="2993"/>
      <c r="X2" s="2993"/>
      <c r="Y2" s="2993"/>
      <c r="Z2" s="2993"/>
      <c r="AA2" s="2993"/>
      <c r="AB2" s="2993"/>
      <c r="AC2" s="2993"/>
      <c r="AD2" s="2993"/>
      <c r="AE2" s="2993"/>
      <c r="AF2" s="2993"/>
      <c r="AG2" s="2993"/>
      <c r="AH2" s="2993"/>
      <c r="AI2" s="2993"/>
      <c r="AJ2" s="2993"/>
      <c r="AK2" s="2993"/>
      <c r="AL2" s="2993"/>
      <c r="AM2" s="2993"/>
      <c r="AP2" s="129" t="s">
        <v>383</v>
      </c>
    </row>
    <row r="3" spans="2:42" x14ac:dyDescent="0.2">
      <c r="AP3" s="129" t="s">
        <v>376</v>
      </c>
    </row>
    <row r="4" spans="2:42" ht="13.5" customHeight="1" x14ac:dyDescent="0.2">
      <c r="B4" s="2994" t="s">
        <v>384</v>
      </c>
      <c r="C4" s="2995"/>
      <c r="D4" s="2998"/>
      <c r="E4" s="2999"/>
      <c r="F4" s="2999"/>
      <c r="G4" s="2999"/>
      <c r="H4" s="2999"/>
      <c r="I4" s="2999"/>
      <c r="J4" s="2999"/>
      <c r="K4" s="2999"/>
      <c r="L4" s="3000"/>
      <c r="M4" s="3004" t="s">
        <v>109</v>
      </c>
      <c r="N4" s="3005"/>
      <c r="O4" s="3008"/>
      <c r="P4" s="3009"/>
      <c r="Q4" s="3009"/>
      <c r="R4" s="3009"/>
      <c r="S4" s="3010"/>
      <c r="V4" s="2994" t="s">
        <v>384</v>
      </c>
      <c r="W4" s="2995"/>
      <c r="X4" s="3014" t="str">
        <f>IF(D4="","",D4)</f>
        <v/>
      </c>
      <c r="Y4" s="3015"/>
      <c r="Z4" s="3015"/>
      <c r="AA4" s="3015"/>
      <c r="AB4" s="3015"/>
      <c r="AC4" s="3015"/>
      <c r="AD4" s="3015"/>
      <c r="AE4" s="3015"/>
      <c r="AF4" s="3016"/>
      <c r="AG4" s="3004" t="s">
        <v>109</v>
      </c>
      <c r="AH4" s="3005"/>
      <c r="AI4" s="3020" t="str">
        <f>IF(O4="","",O4)</f>
        <v/>
      </c>
      <c r="AJ4" s="3021"/>
      <c r="AK4" s="3021"/>
      <c r="AL4" s="3021"/>
      <c r="AM4" s="3022"/>
      <c r="AP4" s="129" t="s">
        <v>377</v>
      </c>
    </row>
    <row r="5" spans="2:42" ht="13.5" customHeight="1" x14ac:dyDescent="0.2">
      <c r="B5" s="2996"/>
      <c r="C5" s="2997"/>
      <c r="D5" s="3001"/>
      <c r="E5" s="3002"/>
      <c r="F5" s="3002"/>
      <c r="G5" s="3002"/>
      <c r="H5" s="3002"/>
      <c r="I5" s="3002"/>
      <c r="J5" s="3002"/>
      <c r="K5" s="3002"/>
      <c r="L5" s="3003"/>
      <c r="M5" s="3006"/>
      <c r="N5" s="3007"/>
      <c r="O5" s="3011"/>
      <c r="P5" s="3012"/>
      <c r="Q5" s="3012"/>
      <c r="R5" s="3012"/>
      <c r="S5" s="3013"/>
      <c r="V5" s="2996"/>
      <c r="W5" s="2997"/>
      <c r="X5" s="3017"/>
      <c r="Y5" s="3018"/>
      <c r="Z5" s="3018"/>
      <c r="AA5" s="3018"/>
      <c r="AB5" s="3018"/>
      <c r="AC5" s="3018"/>
      <c r="AD5" s="3018"/>
      <c r="AE5" s="3018"/>
      <c r="AF5" s="3019"/>
      <c r="AG5" s="3006"/>
      <c r="AH5" s="3007"/>
      <c r="AI5" s="3023"/>
      <c r="AJ5" s="3024"/>
      <c r="AK5" s="3024"/>
      <c r="AL5" s="3024"/>
      <c r="AM5" s="3025"/>
      <c r="AP5" s="129" t="s">
        <v>378</v>
      </c>
    </row>
    <row r="6" spans="2:42" x14ac:dyDescent="0.2">
      <c r="AP6" s="129" t="s">
        <v>379</v>
      </c>
    </row>
    <row r="7" spans="2:42" ht="24" customHeight="1" x14ac:dyDescent="0.2">
      <c r="B7" s="2990" t="s">
        <v>385</v>
      </c>
      <c r="C7" s="2990"/>
      <c r="D7" s="123" t="s">
        <v>386</v>
      </c>
      <c r="E7" s="1118"/>
      <c r="F7" s="107" t="s">
        <v>89</v>
      </c>
      <c r="G7" s="123"/>
      <c r="H7" s="111"/>
      <c r="I7" s="111"/>
      <c r="J7" s="111"/>
      <c r="K7" s="111"/>
      <c r="L7" s="111"/>
      <c r="M7" s="111"/>
      <c r="N7" s="111"/>
      <c r="O7" s="111"/>
      <c r="P7" s="111"/>
      <c r="Q7" s="118"/>
      <c r="R7" s="87"/>
      <c r="V7" s="2990" t="s">
        <v>385</v>
      </c>
      <c r="W7" s="2990"/>
      <c r="X7" s="123" t="s">
        <v>386</v>
      </c>
      <c r="Y7" s="130" t="str">
        <f>IF(E7="","",E7)</f>
        <v/>
      </c>
      <c r="Z7" s="107" t="s">
        <v>89</v>
      </c>
      <c r="AA7" s="123"/>
      <c r="AB7" s="111"/>
      <c r="AC7" s="111"/>
      <c r="AD7" s="111"/>
      <c r="AE7" s="111"/>
      <c r="AF7" s="111"/>
      <c r="AG7" s="111"/>
      <c r="AH7" s="111"/>
      <c r="AI7" s="111"/>
      <c r="AJ7" s="111"/>
      <c r="AK7" s="118"/>
      <c r="AL7" s="87"/>
      <c r="AP7" s="129" t="s">
        <v>380</v>
      </c>
    </row>
    <row r="8" spans="2:42" ht="24" customHeight="1" x14ac:dyDescent="0.2">
      <c r="B8" s="2889" t="s">
        <v>387</v>
      </c>
      <c r="C8" s="2853"/>
      <c r="D8" s="123" t="s">
        <v>386</v>
      </c>
      <c r="E8" s="1118"/>
      <c r="F8" s="108" t="s">
        <v>89</v>
      </c>
      <c r="G8" s="109" t="s">
        <v>388</v>
      </c>
      <c r="H8" s="126"/>
      <c r="I8" s="110" t="s">
        <v>389</v>
      </c>
      <c r="J8" s="110" t="s">
        <v>390</v>
      </c>
      <c r="K8" s="2991"/>
      <c r="L8" s="2991"/>
      <c r="M8" s="2992" t="s">
        <v>391</v>
      </c>
      <c r="N8" s="2992"/>
      <c r="O8" s="2991"/>
      <c r="P8" s="2991"/>
      <c r="Q8" s="125" t="s">
        <v>392</v>
      </c>
      <c r="R8" s="95"/>
      <c r="V8" s="2889" t="s">
        <v>387</v>
      </c>
      <c r="W8" s="2853"/>
      <c r="X8" s="123" t="s">
        <v>386</v>
      </c>
      <c r="Y8" s="130" t="str">
        <f>IF(E8="","",E8)</f>
        <v/>
      </c>
      <c r="Z8" s="108" t="s">
        <v>89</v>
      </c>
      <c r="AA8" s="109" t="s">
        <v>388</v>
      </c>
      <c r="AB8" s="131" t="str">
        <f>IF(H8="","",H8)</f>
        <v/>
      </c>
      <c r="AC8" s="110" t="s">
        <v>389</v>
      </c>
      <c r="AD8" s="110" t="s">
        <v>390</v>
      </c>
      <c r="AE8" s="3026" t="str">
        <f>IF(K8="","",K8)</f>
        <v/>
      </c>
      <c r="AF8" s="3026"/>
      <c r="AG8" s="2992" t="s">
        <v>391</v>
      </c>
      <c r="AH8" s="2992"/>
      <c r="AI8" s="3026" t="str">
        <f>IF(O8="","",O8)</f>
        <v/>
      </c>
      <c r="AJ8" s="3026"/>
      <c r="AK8" s="125" t="s">
        <v>392</v>
      </c>
      <c r="AL8" s="95"/>
      <c r="AP8" s="129" t="s">
        <v>111</v>
      </c>
    </row>
    <row r="9" spans="2:42" x14ac:dyDescent="0.2">
      <c r="B9" s="2987" t="s">
        <v>659</v>
      </c>
      <c r="C9" s="2987"/>
      <c r="D9" s="2987"/>
      <c r="E9" s="2987"/>
      <c r="F9" s="2987"/>
      <c r="G9" s="2987"/>
      <c r="H9" s="2987"/>
      <c r="I9" s="2987"/>
      <c r="J9" s="2987"/>
      <c r="K9" s="2987"/>
      <c r="L9" s="2987"/>
      <c r="M9" s="2987"/>
      <c r="N9" s="2987"/>
      <c r="O9" s="2987"/>
      <c r="P9" s="2987"/>
      <c r="Q9" s="2987"/>
      <c r="R9" s="2987"/>
      <c r="S9" s="2987"/>
      <c r="AP9" s="129"/>
    </row>
    <row r="10" spans="2:42" ht="24" customHeight="1" x14ac:dyDescent="0.2">
      <c r="B10" s="2977" t="s">
        <v>393</v>
      </c>
      <c r="C10" s="2977"/>
      <c r="D10" s="2977"/>
      <c r="E10" s="2977"/>
      <c r="F10" s="85" t="s">
        <v>451</v>
      </c>
      <c r="V10" s="2977" t="s">
        <v>394</v>
      </c>
      <c r="W10" s="2977"/>
      <c r="X10" s="2977"/>
      <c r="Y10" s="2977"/>
      <c r="Z10" s="85" t="s">
        <v>395</v>
      </c>
    </row>
    <row r="11" spans="2:42" x14ac:dyDescent="0.2">
      <c r="B11" s="85" t="s">
        <v>450</v>
      </c>
      <c r="V11" s="85" t="s">
        <v>396</v>
      </c>
    </row>
    <row r="12" spans="2:42" ht="15" customHeight="1" x14ac:dyDescent="0.2">
      <c r="B12" s="2978" t="s">
        <v>397</v>
      </c>
      <c r="C12" s="2979"/>
      <c r="D12" s="2980"/>
      <c r="E12" s="2978" t="s">
        <v>398</v>
      </c>
      <c r="F12" s="2979"/>
      <c r="G12" s="2979"/>
      <c r="H12" s="2979"/>
      <c r="I12" s="2980"/>
      <c r="J12" s="2978" t="s">
        <v>399</v>
      </c>
      <c r="K12" s="2979"/>
      <c r="L12" s="2979"/>
      <c r="M12" s="2984" t="s">
        <v>400</v>
      </c>
      <c r="N12" s="2980"/>
      <c r="O12" s="2978" t="s">
        <v>401</v>
      </c>
      <c r="P12" s="2979"/>
      <c r="Q12" s="2979"/>
      <c r="R12" s="2979"/>
      <c r="S12" s="2980"/>
      <c r="V12" s="85" t="s">
        <v>402</v>
      </c>
      <c r="Y12" s="132"/>
      <c r="Z12" s="132"/>
      <c r="AA12" s="132"/>
      <c r="AB12" s="132"/>
      <c r="AC12" s="132"/>
      <c r="AD12" s="132"/>
      <c r="AE12" s="132"/>
      <c r="AF12" s="132"/>
      <c r="AG12" s="133"/>
      <c r="AH12" s="132"/>
      <c r="AI12" s="132"/>
      <c r="AJ12" s="132"/>
      <c r="AK12" s="132"/>
      <c r="AL12" s="132"/>
      <c r="AM12" s="132"/>
    </row>
    <row r="13" spans="2:42" ht="15" customHeight="1" x14ac:dyDescent="0.2">
      <c r="B13" s="2981"/>
      <c r="C13" s="2982"/>
      <c r="D13" s="2983"/>
      <c r="E13" s="2981"/>
      <c r="F13" s="2982"/>
      <c r="G13" s="2982"/>
      <c r="H13" s="2982"/>
      <c r="I13" s="2983"/>
      <c r="J13" s="2904"/>
      <c r="K13" s="2905"/>
      <c r="L13" s="2905"/>
      <c r="M13" s="2985" t="s">
        <v>403</v>
      </c>
      <c r="N13" s="2986"/>
      <c r="O13" s="2904"/>
      <c r="P13" s="2905"/>
      <c r="Q13" s="2905"/>
      <c r="R13" s="2905"/>
      <c r="S13" s="2888"/>
      <c r="Y13" s="132"/>
      <c r="Z13" s="132"/>
      <c r="AA13" s="132"/>
      <c r="AB13" s="132"/>
      <c r="AC13" s="132"/>
      <c r="AD13" s="132"/>
      <c r="AE13" s="132"/>
      <c r="AF13" s="132"/>
      <c r="AG13" s="133"/>
      <c r="AH13" s="133"/>
      <c r="AI13" s="132"/>
      <c r="AJ13" s="132"/>
      <c r="AK13" s="132"/>
      <c r="AL13" s="132"/>
      <c r="AM13" s="132"/>
    </row>
    <row r="14" spans="2:42" x14ac:dyDescent="0.2">
      <c r="B14" s="124" t="s">
        <v>404</v>
      </c>
      <c r="C14" s="114"/>
      <c r="D14" s="115"/>
      <c r="E14" s="2914" t="s">
        <v>452</v>
      </c>
      <c r="F14" s="2914"/>
      <c r="G14" s="2914"/>
      <c r="H14" s="2914"/>
      <c r="I14" s="2915"/>
      <c r="J14" s="2869" t="str">
        <f>IF(F16="","",ROUNDDOWN(F16/H16,1))</f>
        <v/>
      </c>
      <c r="K14" s="2870"/>
      <c r="L14" s="2866" t="s">
        <v>405</v>
      </c>
      <c r="M14" s="2901"/>
      <c r="N14" s="2866" t="s">
        <v>89</v>
      </c>
      <c r="O14" s="2892" t="s">
        <v>406</v>
      </c>
      <c r="P14" s="2893"/>
      <c r="Q14" s="2893"/>
      <c r="R14" s="2893"/>
      <c r="S14" s="2894"/>
      <c r="V14" s="85" t="s">
        <v>407</v>
      </c>
      <c r="Y14" s="134"/>
      <c r="Z14" s="134"/>
      <c r="AA14" s="134"/>
      <c r="AB14" s="134"/>
      <c r="AC14" s="134"/>
      <c r="AD14" s="135"/>
      <c r="AE14" s="135"/>
      <c r="AF14" s="136"/>
      <c r="AG14" s="135"/>
      <c r="AH14" s="136"/>
      <c r="AI14" s="134"/>
      <c r="AJ14" s="134"/>
      <c r="AK14" s="134"/>
      <c r="AL14" s="134"/>
      <c r="AM14" s="134"/>
    </row>
    <row r="15" spans="2:42" x14ac:dyDescent="0.2">
      <c r="B15" s="112"/>
      <c r="D15" s="116"/>
      <c r="E15" s="2916"/>
      <c r="F15" s="2916"/>
      <c r="G15" s="2916"/>
      <c r="H15" s="2916"/>
      <c r="I15" s="2917"/>
      <c r="J15" s="2871"/>
      <c r="K15" s="2872"/>
      <c r="L15" s="2867"/>
      <c r="M15" s="2902"/>
      <c r="N15" s="2867"/>
      <c r="O15" s="2895"/>
      <c r="P15" s="2896"/>
      <c r="Q15" s="2896"/>
      <c r="R15" s="2896"/>
      <c r="S15" s="2897"/>
      <c r="V15" s="85" t="s">
        <v>408</v>
      </c>
      <c r="Y15" s="134"/>
      <c r="Z15" s="134"/>
      <c r="AA15" s="134"/>
      <c r="AB15" s="134"/>
      <c r="AC15" s="134"/>
      <c r="AD15" s="135"/>
      <c r="AE15" s="135"/>
      <c r="AF15" s="136"/>
      <c r="AG15" s="135"/>
      <c r="AH15" s="136"/>
      <c r="AI15" s="134"/>
      <c r="AJ15" s="134"/>
      <c r="AK15" s="134"/>
      <c r="AL15" s="134"/>
      <c r="AM15" s="134"/>
    </row>
    <row r="16" spans="2:42" x14ac:dyDescent="0.2">
      <c r="B16" s="112"/>
      <c r="D16" s="116"/>
      <c r="E16" s="139" t="s">
        <v>386</v>
      </c>
      <c r="F16" s="138" t="str">
        <f>IF(E7="","",E7)</f>
        <v/>
      </c>
      <c r="G16" s="139" t="s">
        <v>409</v>
      </c>
      <c r="H16" s="1119">
        <v>48</v>
      </c>
      <c r="I16" s="140" t="s">
        <v>410</v>
      </c>
      <c r="J16" s="2873"/>
      <c r="K16" s="2874"/>
      <c r="L16" s="2868"/>
      <c r="M16" s="2902"/>
      <c r="N16" s="2867"/>
      <c r="O16" s="2895"/>
      <c r="P16" s="2896"/>
      <c r="Q16" s="2896"/>
      <c r="R16" s="2896"/>
      <c r="S16" s="2897"/>
      <c r="V16" s="85" t="s">
        <v>411</v>
      </c>
      <c r="Y16" s="141"/>
      <c r="Z16" s="134"/>
      <c r="AA16" s="141"/>
      <c r="AB16" s="141"/>
      <c r="AC16" s="134"/>
      <c r="AD16" s="135"/>
      <c r="AE16" s="135"/>
      <c r="AF16" s="136"/>
      <c r="AG16" s="135"/>
      <c r="AH16" s="136"/>
      <c r="AI16" s="134"/>
      <c r="AJ16" s="134"/>
      <c r="AK16" s="134"/>
      <c r="AL16" s="134"/>
      <c r="AM16" s="134"/>
    </row>
    <row r="17" spans="2:39" x14ac:dyDescent="0.2">
      <c r="B17" s="112"/>
      <c r="D17" s="116"/>
      <c r="E17" s="2914" t="s">
        <v>453</v>
      </c>
      <c r="F17" s="2914"/>
      <c r="G17" s="2914"/>
      <c r="H17" s="2914"/>
      <c r="I17" s="2915"/>
      <c r="J17" s="2869" t="str">
        <f>IF(F19="","",ROUNDDOWN(F19/H19,1))</f>
        <v/>
      </c>
      <c r="K17" s="2870"/>
      <c r="L17" s="2866" t="s">
        <v>405</v>
      </c>
      <c r="M17" s="2902"/>
      <c r="N17" s="2867"/>
      <c r="O17" s="2895"/>
      <c r="P17" s="2896"/>
      <c r="Q17" s="2896"/>
      <c r="R17" s="2896"/>
      <c r="S17" s="2897"/>
      <c r="Y17" s="134"/>
      <c r="Z17" s="134"/>
      <c r="AA17" s="134"/>
      <c r="AB17" s="134"/>
      <c r="AC17" s="134"/>
      <c r="AD17" s="135"/>
      <c r="AE17" s="135"/>
      <c r="AF17" s="143"/>
      <c r="AG17" s="135"/>
      <c r="AH17" s="136"/>
      <c r="AI17" s="134"/>
      <c r="AJ17" s="134"/>
      <c r="AK17" s="134"/>
      <c r="AL17" s="134"/>
      <c r="AM17" s="134"/>
    </row>
    <row r="18" spans="2:39" x14ac:dyDescent="0.2">
      <c r="B18" s="112"/>
      <c r="D18" s="116"/>
      <c r="E18" s="2916"/>
      <c r="F18" s="2916"/>
      <c r="G18" s="2916"/>
      <c r="H18" s="2916"/>
      <c r="I18" s="2917"/>
      <c r="J18" s="2871"/>
      <c r="K18" s="2872"/>
      <c r="L18" s="2867"/>
      <c r="M18" s="2902"/>
      <c r="N18" s="2867"/>
      <c r="O18" s="2895"/>
      <c r="P18" s="2896"/>
      <c r="Q18" s="2896"/>
      <c r="R18" s="2896"/>
      <c r="S18" s="2897"/>
      <c r="V18" s="85" t="s">
        <v>413</v>
      </c>
      <c r="Y18" s="134"/>
      <c r="Z18" s="134"/>
      <c r="AA18" s="134"/>
      <c r="AB18" s="134"/>
      <c r="AC18" s="134"/>
      <c r="AD18" s="144"/>
      <c r="AE18" s="144"/>
      <c r="AF18" s="136"/>
      <c r="AG18" s="135"/>
      <c r="AH18" s="136"/>
      <c r="AI18" s="134"/>
      <c r="AJ18" s="134"/>
      <c r="AK18" s="134"/>
      <c r="AL18" s="134"/>
      <c r="AM18" s="134"/>
    </row>
    <row r="19" spans="2:39" x14ac:dyDescent="0.2">
      <c r="B19" s="105"/>
      <c r="C19" s="113"/>
      <c r="D19" s="117"/>
      <c r="E19" s="139" t="s">
        <v>386</v>
      </c>
      <c r="F19" s="138" t="str">
        <f>IF(E7="","",E7)</f>
        <v/>
      </c>
      <c r="G19" s="139" t="s">
        <v>409</v>
      </c>
      <c r="H19" s="1119">
        <v>100</v>
      </c>
      <c r="I19" s="140" t="s">
        <v>410</v>
      </c>
      <c r="J19" s="2873"/>
      <c r="K19" s="2874"/>
      <c r="L19" s="2868"/>
      <c r="M19" s="2903"/>
      <c r="N19" s="2868"/>
      <c r="O19" s="2898"/>
      <c r="P19" s="2899"/>
      <c r="Q19" s="2899"/>
      <c r="R19" s="2899"/>
      <c r="S19" s="2900"/>
      <c r="V19" s="85" t="s">
        <v>414</v>
      </c>
      <c r="Y19" s="134"/>
      <c r="Z19" s="134"/>
      <c r="AA19" s="134"/>
      <c r="AB19" s="134"/>
      <c r="AC19" s="134"/>
      <c r="AD19" s="135"/>
      <c r="AE19" s="135"/>
      <c r="AF19" s="136"/>
      <c r="AG19" s="135"/>
      <c r="AH19" s="136"/>
      <c r="AI19" s="134"/>
      <c r="AJ19" s="134"/>
      <c r="AK19" s="134"/>
      <c r="AL19" s="134"/>
      <c r="AM19" s="134"/>
    </row>
    <row r="20" spans="2:39" ht="18.75" customHeight="1" x14ac:dyDescent="0.2">
      <c r="B20" s="124" t="s">
        <v>454</v>
      </c>
      <c r="C20" s="114"/>
      <c r="D20" s="115"/>
      <c r="E20" s="2892" t="s">
        <v>660</v>
      </c>
      <c r="F20" s="2893"/>
      <c r="G20" s="2893"/>
      <c r="H20" s="2893"/>
      <c r="I20" s="2894"/>
      <c r="J20" s="2869" t="str">
        <f>IF(F23="","",ROUNDDOWN(F23/H23,1))</f>
        <v/>
      </c>
      <c r="K20" s="2870"/>
      <c r="L20" s="142"/>
      <c r="M20" s="2901"/>
      <c r="N20" s="2890" t="s">
        <v>89</v>
      </c>
      <c r="O20" s="2892"/>
      <c r="P20" s="2893"/>
      <c r="Q20" s="2893"/>
      <c r="R20" s="2893"/>
      <c r="S20" s="2894"/>
      <c r="W20" s="2929" t="s">
        <v>415</v>
      </c>
      <c r="X20" s="2930"/>
      <c r="Y20" s="2930"/>
      <c r="Z20" s="2930"/>
      <c r="AA20" s="2930"/>
      <c r="AB20" s="2930"/>
      <c r="AC20" s="2930"/>
      <c r="AD20" s="2930"/>
      <c r="AE20" s="2930"/>
      <c r="AF20" s="2930"/>
      <c r="AG20" s="2930"/>
      <c r="AH20" s="2930"/>
      <c r="AI20" s="2930"/>
      <c r="AJ20" s="2930"/>
      <c r="AK20" s="2930"/>
      <c r="AL20" s="2930"/>
      <c r="AM20" s="2931"/>
    </row>
    <row r="21" spans="2:39" x14ac:dyDescent="0.2">
      <c r="B21" s="112"/>
      <c r="D21" s="116"/>
      <c r="E21" s="2895"/>
      <c r="F21" s="2896"/>
      <c r="G21" s="2896"/>
      <c r="H21" s="2896"/>
      <c r="I21" s="2897"/>
      <c r="J21" s="2988" t="s">
        <v>412</v>
      </c>
      <c r="K21" s="2989"/>
      <c r="L21" s="116"/>
      <c r="M21" s="2902"/>
      <c r="N21" s="2940"/>
      <c r="O21" s="2895"/>
      <c r="P21" s="2896"/>
      <c r="Q21" s="2896"/>
      <c r="R21" s="2896"/>
      <c r="S21" s="2897"/>
      <c r="W21" s="2932"/>
      <c r="X21" s="2916"/>
      <c r="Y21" s="2916"/>
      <c r="Z21" s="2916"/>
      <c r="AA21" s="2916"/>
      <c r="AB21" s="2916"/>
      <c r="AC21" s="2916"/>
      <c r="AD21" s="2916"/>
      <c r="AE21" s="2916"/>
      <c r="AF21" s="2916"/>
      <c r="AG21" s="2916"/>
      <c r="AH21" s="2916"/>
      <c r="AI21" s="2916"/>
      <c r="AJ21" s="2916"/>
      <c r="AK21" s="2916"/>
      <c r="AL21" s="2916"/>
      <c r="AM21" s="2933"/>
    </row>
    <row r="22" spans="2:39" x14ac:dyDescent="0.2">
      <c r="B22" s="112"/>
      <c r="D22" s="116"/>
      <c r="E22" s="2895"/>
      <c r="F22" s="2896"/>
      <c r="G22" s="2896"/>
      <c r="H22" s="2896"/>
      <c r="I22" s="2897"/>
      <c r="J22" s="2871" t="str">
        <f>IF(F23="","",ROUNDUP(J20,0))</f>
        <v/>
      </c>
      <c r="K22" s="2872"/>
      <c r="L22" s="2867" t="s">
        <v>405</v>
      </c>
      <c r="M22" s="2902"/>
      <c r="N22" s="2940"/>
      <c r="O22" s="2895"/>
      <c r="P22" s="2896"/>
      <c r="Q22" s="2896"/>
      <c r="R22" s="2896"/>
      <c r="S22" s="2897"/>
      <c r="W22" s="2932"/>
      <c r="X22" s="2916"/>
      <c r="Y22" s="2916"/>
      <c r="Z22" s="2916"/>
      <c r="AA22" s="2916"/>
      <c r="AB22" s="2916"/>
      <c r="AC22" s="2916"/>
      <c r="AD22" s="2916"/>
      <c r="AE22" s="2916"/>
      <c r="AF22" s="2916"/>
      <c r="AG22" s="2916"/>
      <c r="AH22" s="2916"/>
      <c r="AI22" s="2916"/>
      <c r="AJ22" s="2916"/>
      <c r="AK22" s="2916"/>
      <c r="AL22" s="2916"/>
      <c r="AM22" s="2933"/>
    </row>
    <row r="23" spans="2:39" x14ac:dyDescent="0.2">
      <c r="B23" s="105"/>
      <c r="C23" s="113"/>
      <c r="D23" s="117"/>
      <c r="E23" s="137" t="s">
        <v>386</v>
      </c>
      <c r="F23" s="138" t="str">
        <f>IF(E7="","",E7)</f>
        <v/>
      </c>
      <c r="G23" s="139" t="s">
        <v>409</v>
      </c>
      <c r="H23" s="1119">
        <v>6</v>
      </c>
      <c r="I23" s="140" t="s">
        <v>410</v>
      </c>
      <c r="J23" s="2873"/>
      <c r="K23" s="2874"/>
      <c r="L23" s="2868"/>
      <c r="M23" s="2903"/>
      <c r="N23" s="2891"/>
      <c r="O23" s="2898"/>
      <c r="P23" s="2899"/>
      <c r="Q23" s="2899"/>
      <c r="R23" s="2899"/>
      <c r="S23" s="2900"/>
      <c r="W23" s="2932"/>
      <c r="X23" s="2916"/>
      <c r="Y23" s="2916"/>
      <c r="Z23" s="2916"/>
      <c r="AA23" s="2916"/>
      <c r="AB23" s="2916"/>
      <c r="AC23" s="2916"/>
      <c r="AD23" s="2916"/>
      <c r="AE23" s="2916"/>
      <c r="AF23" s="2916"/>
      <c r="AG23" s="2916"/>
      <c r="AH23" s="2916"/>
      <c r="AI23" s="2916"/>
      <c r="AJ23" s="2916"/>
      <c r="AK23" s="2916"/>
      <c r="AL23" s="2916"/>
      <c r="AM23" s="2933"/>
    </row>
    <row r="24" spans="2:39" x14ac:dyDescent="0.2">
      <c r="B24" s="124" t="s">
        <v>219</v>
      </c>
      <c r="C24" s="114"/>
      <c r="D24" s="115"/>
      <c r="E24" s="2914" t="s">
        <v>1055</v>
      </c>
      <c r="F24" s="2914"/>
      <c r="G24" s="2914"/>
      <c r="H24" s="2914"/>
      <c r="I24" s="2915"/>
      <c r="J24" s="2869" t="str">
        <f>IF(F26="","",ROUNDDOWN(F26/H26,1))</f>
        <v/>
      </c>
      <c r="K24" s="2870"/>
      <c r="L24" s="2866" t="s">
        <v>405</v>
      </c>
      <c r="M24" s="2901"/>
      <c r="N24" s="2866" t="s">
        <v>89</v>
      </c>
      <c r="O24" s="2892"/>
      <c r="P24" s="2893"/>
      <c r="Q24" s="2893"/>
      <c r="R24" s="2893"/>
      <c r="S24" s="2894"/>
      <c r="W24" s="2932"/>
      <c r="X24" s="2916"/>
      <c r="Y24" s="2916"/>
      <c r="Z24" s="2916"/>
      <c r="AA24" s="2916"/>
      <c r="AB24" s="2916"/>
      <c r="AC24" s="2916"/>
      <c r="AD24" s="2916"/>
      <c r="AE24" s="2916"/>
      <c r="AF24" s="2916"/>
      <c r="AG24" s="2916"/>
      <c r="AH24" s="2916"/>
      <c r="AI24" s="2916"/>
      <c r="AJ24" s="2916"/>
      <c r="AK24" s="2916"/>
      <c r="AL24" s="2916"/>
      <c r="AM24" s="2933"/>
    </row>
    <row r="25" spans="2:39" x14ac:dyDescent="0.2">
      <c r="B25" s="112"/>
      <c r="D25" s="116"/>
      <c r="E25" s="2916"/>
      <c r="F25" s="2916"/>
      <c r="G25" s="2916"/>
      <c r="H25" s="2916"/>
      <c r="I25" s="2917"/>
      <c r="J25" s="2871"/>
      <c r="K25" s="2872"/>
      <c r="L25" s="2867"/>
      <c r="M25" s="2902"/>
      <c r="N25" s="2867"/>
      <c r="O25" s="2895"/>
      <c r="P25" s="2896"/>
      <c r="Q25" s="2896"/>
      <c r="R25" s="2896"/>
      <c r="S25" s="2897"/>
      <c r="W25" s="2929" t="s">
        <v>417</v>
      </c>
      <c r="X25" s="2930"/>
      <c r="Y25" s="2930"/>
      <c r="Z25" s="2930"/>
      <c r="AA25" s="2930"/>
      <c r="AB25" s="2930"/>
      <c r="AC25" s="2930"/>
      <c r="AD25" s="2930"/>
      <c r="AE25" s="2930"/>
      <c r="AF25" s="2930"/>
      <c r="AG25" s="2930"/>
      <c r="AH25" s="2930"/>
      <c r="AI25" s="2930"/>
      <c r="AJ25" s="2930"/>
      <c r="AK25" s="2930"/>
      <c r="AL25" s="2930"/>
      <c r="AM25" s="2931"/>
    </row>
    <row r="26" spans="2:39" x14ac:dyDescent="0.2">
      <c r="B26" s="112"/>
      <c r="D26" s="116"/>
      <c r="E26" s="139" t="s">
        <v>386</v>
      </c>
      <c r="F26" s="138" t="str">
        <f>IF(E7="","",E7)</f>
        <v/>
      </c>
      <c r="G26" s="139" t="s">
        <v>409</v>
      </c>
      <c r="H26" s="1119">
        <v>5</v>
      </c>
      <c r="I26" s="140" t="s">
        <v>410</v>
      </c>
      <c r="J26" s="2873"/>
      <c r="K26" s="2874"/>
      <c r="L26" s="2868"/>
      <c r="M26" s="2902"/>
      <c r="N26" s="2867"/>
      <c r="O26" s="2895"/>
      <c r="P26" s="2896"/>
      <c r="Q26" s="2896"/>
      <c r="R26" s="2896"/>
      <c r="S26" s="2897"/>
      <c r="W26" s="2932"/>
      <c r="X26" s="2916"/>
      <c r="Y26" s="2916"/>
      <c r="Z26" s="2916"/>
      <c r="AA26" s="2916"/>
      <c r="AB26" s="2916"/>
      <c r="AC26" s="2916"/>
      <c r="AD26" s="2916"/>
      <c r="AE26" s="2916"/>
      <c r="AF26" s="2916"/>
      <c r="AG26" s="2916"/>
      <c r="AH26" s="2916"/>
      <c r="AI26" s="2916"/>
      <c r="AJ26" s="2916"/>
      <c r="AK26" s="2916"/>
      <c r="AL26" s="2916"/>
      <c r="AM26" s="2933"/>
    </row>
    <row r="27" spans="2:39" x14ac:dyDescent="0.2">
      <c r="B27" s="112"/>
      <c r="D27" s="116"/>
      <c r="E27" s="2914" t="s">
        <v>1056</v>
      </c>
      <c r="F27" s="2914"/>
      <c r="G27" s="2914"/>
      <c r="H27" s="2914"/>
      <c r="I27" s="2915"/>
      <c r="J27" s="2869" t="str">
        <f>IF(F29="","",ROUNDDOWN(F29/H29,1))</f>
        <v/>
      </c>
      <c r="K27" s="2870"/>
      <c r="L27" s="2866" t="s">
        <v>405</v>
      </c>
      <c r="M27" s="2902"/>
      <c r="N27" s="2867"/>
      <c r="O27" s="2895"/>
      <c r="P27" s="2896"/>
      <c r="Q27" s="2896"/>
      <c r="R27" s="2896"/>
      <c r="S27" s="2897"/>
      <c r="W27" s="2934"/>
      <c r="X27" s="2935"/>
      <c r="Y27" s="2935"/>
      <c r="Z27" s="2935"/>
      <c r="AA27" s="2935"/>
      <c r="AB27" s="2935"/>
      <c r="AC27" s="2935"/>
      <c r="AD27" s="2935"/>
      <c r="AE27" s="2935"/>
      <c r="AF27" s="2935"/>
      <c r="AG27" s="2935"/>
      <c r="AH27" s="2935"/>
      <c r="AI27" s="2935"/>
      <c r="AJ27" s="2935"/>
      <c r="AK27" s="2935"/>
      <c r="AL27" s="2935"/>
      <c r="AM27" s="2936"/>
    </row>
    <row r="28" spans="2:39" x14ac:dyDescent="0.2">
      <c r="B28" s="112"/>
      <c r="D28" s="116"/>
      <c r="E28" s="2916"/>
      <c r="F28" s="2916"/>
      <c r="G28" s="2916"/>
      <c r="H28" s="2916"/>
      <c r="I28" s="2917"/>
      <c r="J28" s="2871"/>
      <c r="K28" s="2872"/>
      <c r="L28" s="2867"/>
      <c r="M28" s="2902"/>
      <c r="N28" s="2867"/>
      <c r="O28" s="2895"/>
      <c r="P28" s="2896"/>
      <c r="Q28" s="2896"/>
      <c r="R28" s="2896"/>
      <c r="S28" s="2897"/>
      <c r="V28" s="136"/>
      <c r="W28" s="98"/>
      <c r="X28" s="98"/>
      <c r="Y28" s="98"/>
      <c r="Z28" s="98"/>
      <c r="AA28" s="98"/>
      <c r="AB28" s="98"/>
      <c r="AC28" s="98"/>
      <c r="AD28" s="98"/>
      <c r="AE28" s="98"/>
      <c r="AF28" s="98"/>
      <c r="AG28" s="98"/>
      <c r="AH28" s="98"/>
      <c r="AI28" s="98"/>
      <c r="AJ28" s="98"/>
      <c r="AK28" s="98"/>
      <c r="AL28" s="98"/>
      <c r="AM28" s="98"/>
    </row>
    <row r="29" spans="2:39" x14ac:dyDescent="0.2">
      <c r="B29" s="105"/>
      <c r="C29" s="113"/>
      <c r="D29" s="117"/>
      <c r="E29" s="139" t="s">
        <v>386</v>
      </c>
      <c r="F29" s="138" t="str">
        <f>IF(E7="","",E7)</f>
        <v/>
      </c>
      <c r="G29" s="139" t="s">
        <v>409</v>
      </c>
      <c r="H29" s="1119">
        <v>6</v>
      </c>
      <c r="I29" s="140" t="s">
        <v>410</v>
      </c>
      <c r="J29" s="2873"/>
      <c r="K29" s="2874"/>
      <c r="L29" s="2868"/>
      <c r="M29" s="2903"/>
      <c r="N29" s="2868"/>
      <c r="O29" s="2898"/>
      <c r="P29" s="2899"/>
      <c r="Q29" s="2899"/>
      <c r="R29" s="2899"/>
      <c r="S29" s="2900"/>
      <c r="V29" s="85" t="s">
        <v>420</v>
      </c>
      <c r="W29" s="98"/>
      <c r="X29" s="98"/>
      <c r="Y29" s="98"/>
      <c r="Z29" s="98"/>
      <c r="AA29" s="98"/>
      <c r="AB29" s="98"/>
      <c r="AC29" s="98"/>
      <c r="AD29" s="98"/>
      <c r="AE29" s="98"/>
      <c r="AF29" s="98"/>
      <c r="AG29" s="98"/>
      <c r="AH29" s="98"/>
      <c r="AI29" s="98"/>
      <c r="AJ29" s="98"/>
      <c r="AK29" s="98"/>
      <c r="AL29" s="98"/>
      <c r="AM29" s="98"/>
    </row>
    <row r="30" spans="2:39" x14ac:dyDescent="0.2">
      <c r="B30" s="124" t="s">
        <v>416</v>
      </c>
      <c r="C30" s="114"/>
      <c r="D30" s="114"/>
      <c r="E30" s="174" t="s">
        <v>455</v>
      </c>
      <c r="F30" s="175"/>
      <c r="G30" s="175"/>
      <c r="H30" s="175"/>
      <c r="I30" s="176"/>
      <c r="J30" s="2901"/>
      <c r="K30" s="2927"/>
      <c r="L30" s="2866" t="s">
        <v>405</v>
      </c>
      <c r="M30" s="2901"/>
      <c r="N30" s="2866" t="s">
        <v>89</v>
      </c>
      <c r="O30" s="2892"/>
      <c r="P30" s="2893"/>
      <c r="Q30" s="2893"/>
      <c r="R30" s="2893"/>
      <c r="S30" s="2894"/>
      <c r="V30" s="136"/>
      <c r="W30" s="136"/>
      <c r="X30" s="136"/>
      <c r="Y30" s="136"/>
      <c r="Z30" s="136"/>
      <c r="AA30" s="136"/>
      <c r="AB30" s="136"/>
      <c r="AC30" s="136"/>
      <c r="AD30" s="135"/>
      <c r="AE30" s="135"/>
      <c r="AF30" s="136"/>
      <c r="AG30" s="135"/>
      <c r="AH30" s="136"/>
      <c r="AI30" s="134"/>
      <c r="AJ30" s="134"/>
      <c r="AK30" s="134"/>
      <c r="AL30" s="134"/>
      <c r="AM30" s="134"/>
    </row>
    <row r="31" spans="2:39" x14ac:dyDescent="0.2">
      <c r="B31" s="112"/>
      <c r="E31" s="177"/>
      <c r="F31" s="178"/>
      <c r="G31" s="178"/>
      <c r="H31" s="178"/>
      <c r="I31" s="179"/>
      <c r="J31" s="2902"/>
      <c r="K31" s="2928"/>
      <c r="L31" s="2867"/>
      <c r="M31" s="2902"/>
      <c r="N31" s="2867"/>
      <c r="O31" s="2895"/>
      <c r="P31" s="2896"/>
      <c r="Q31" s="2896"/>
      <c r="R31" s="2896"/>
      <c r="S31" s="2897"/>
      <c r="V31" s="2941"/>
      <c r="W31" s="2941"/>
      <c r="X31" s="2941" t="s">
        <v>368</v>
      </c>
      <c r="Y31" s="2941"/>
      <c r="Z31" s="2941" t="s">
        <v>370</v>
      </c>
      <c r="AA31" s="2941"/>
      <c r="AB31" s="2941" t="s">
        <v>218</v>
      </c>
      <c r="AC31" s="2941"/>
      <c r="AD31" s="2941" t="s">
        <v>422</v>
      </c>
      <c r="AE31" s="2941"/>
      <c r="AF31" s="2957" t="s">
        <v>423</v>
      </c>
      <c r="AG31" s="2941"/>
      <c r="AH31" s="2958" t="s">
        <v>219</v>
      </c>
      <c r="AI31" s="2959"/>
      <c r="AJ31" s="2960"/>
      <c r="AK31" s="152"/>
      <c r="AL31" s="152"/>
      <c r="AM31" s="134"/>
    </row>
    <row r="32" spans="2:39" x14ac:dyDescent="0.2">
      <c r="B32" s="105"/>
      <c r="C32" s="113"/>
      <c r="D32" s="113"/>
      <c r="E32" s="180"/>
      <c r="F32" s="181"/>
      <c r="G32" s="181"/>
      <c r="H32" s="181"/>
      <c r="I32" s="182"/>
      <c r="J32" s="2903"/>
      <c r="K32" s="2976"/>
      <c r="L32" s="2868"/>
      <c r="M32" s="2903"/>
      <c r="N32" s="2868"/>
      <c r="O32" s="2898"/>
      <c r="P32" s="2899"/>
      <c r="Q32" s="2899"/>
      <c r="R32" s="2899"/>
      <c r="S32" s="2900"/>
      <c r="V32" s="2941"/>
      <c r="W32" s="2941"/>
      <c r="X32" s="2941"/>
      <c r="Y32" s="2941"/>
      <c r="Z32" s="2956"/>
      <c r="AA32" s="2956"/>
      <c r="AB32" s="2956"/>
      <c r="AC32" s="2956"/>
      <c r="AD32" s="2956"/>
      <c r="AE32" s="2956"/>
      <c r="AF32" s="2956"/>
      <c r="AG32" s="2956"/>
      <c r="AH32" s="2961"/>
      <c r="AI32" s="2962"/>
      <c r="AJ32" s="2963"/>
      <c r="AK32" s="152"/>
      <c r="AL32" s="152"/>
      <c r="AM32" s="134"/>
    </row>
    <row r="33" spans="2:39" x14ac:dyDescent="0.2">
      <c r="B33" s="124" t="s">
        <v>418</v>
      </c>
      <c r="C33" s="114"/>
      <c r="D33" s="115"/>
      <c r="E33" s="2900" t="s">
        <v>419</v>
      </c>
      <c r="F33" s="2937"/>
      <c r="G33" s="2937"/>
      <c r="H33" s="2937"/>
      <c r="I33" s="2937"/>
      <c r="J33" s="2869">
        <f>IF(E7&gt;=100,1,0)</f>
        <v>0</v>
      </c>
      <c r="K33" s="2870"/>
      <c r="L33" s="2867" t="s">
        <v>405</v>
      </c>
      <c r="M33" s="2901"/>
      <c r="N33" s="2866" t="s">
        <v>89</v>
      </c>
      <c r="O33" s="124"/>
      <c r="P33" s="146"/>
      <c r="Q33" s="146"/>
      <c r="R33" s="146"/>
      <c r="S33" s="147"/>
      <c r="V33" s="2964" t="s">
        <v>425</v>
      </c>
      <c r="W33" s="2960"/>
      <c r="X33" s="2965"/>
      <c r="Y33" s="2965"/>
      <c r="Z33" s="153" t="s">
        <v>426</v>
      </c>
      <c r="AA33" s="154" t="s">
        <v>427</v>
      </c>
      <c r="AB33" s="154"/>
      <c r="AC33" s="154"/>
      <c r="AD33" s="155"/>
      <c r="AE33" s="155"/>
      <c r="AF33" s="156"/>
      <c r="AG33" s="155"/>
      <c r="AH33" s="156"/>
      <c r="AI33" s="154"/>
      <c r="AJ33" s="157"/>
      <c r="AK33" s="158"/>
      <c r="AL33" s="158"/>
      <c r="AM33" s="159"/>
    </row>
    <row r="34" spans="2:39" x14ac:dyDescent="0.2">
      <c r="B34" s="112"/>
      <c r="D34" s="116"/>
      <c r="E34" s="2938"/>
      <c r="F34" s="2939"/>
      <c r="G34" s="2939"/>
      <c r="H34" s="2939"/>
      <c r="I34" s="2939"/>
      <c r="J34" s="2871"/>
      <c r="K34" s="2872"/>
      <c r="L34" s="2867"/>
      <c r="M34" s="2902"/>
      <c r="N34" s="2867"/>
      <c r="O34" s="148"/>
      <c r="P34" s="149"/>
      <c r="Q34" s="149"/>
      <c r="R34" s="149"/>
      <c r="S34" s="145"/>
      <c r="V34" s="2961"/>
      <c r="W34" s="2963"/>
      <c r="X34" s="2965"/>
      <c r="Y34" s="2965"/>
      <c r="Z34" s="160"/>
      <c r="AA34" s="2966" t="s">
        <v>428</v>
      </c>
      <c r="AB34" s="2966"/>
      <c r="AC34" s="2966"/>
      <c r="AD34" s="2966"/>
      <c r="AE34" s="161">
        <v>100</v>
      </c>
      <c r="AF34" s="162" t="s">
        <v>429</v>
      </c>
      <c r="AG34" s="163"/>
      <c r="AH34" s="2967"/>
      <c r="AI34" s="2967"/>
      <c r="AJ34" s="164" t="s">
        <v>430</v>
      </c>
      <c r="AK34" s="158"/>
      <c r="AL34" s="158"/>
      <c r="AM34" s="159"/>
    </row>
    <row r="35" spans="2:39" x14ac:dyDescent="0.2">
      <c r="B35" s="112"/>
      <c r="D35" s="116"/>
      <c r="E35" s="2938"/>
      <c r="F35" s="2939"/>
      <c r="G35" s="2939"/>
      <c r="H35" s="2939"/>
      <c r="I35" s="2939"/>
      <c r="J35" s="2873"/>
      <c r="K35" s="2874"/>
      <c r="L35" s="2868"/>
      <c r="M35" s="2903"/>
      <c r="N35" s="2868"/>
      <c r="O35" s="150"/>
      <c r="P35" s="151"/>
      <c r="Q35" s="151"/>
      <c r="R35" s="151"/>
      <c r="S35" s="140"/>
      <c r="V35" s="2961"/>
      <c r="W35" s="2963"/>
      <c r="X35" s="2965"/>
      <c r="Y35" s="2965"/>
      <c r="Z35" s="153" t="s">
        <v>431</v>
      </c>
      <c r="AA35" s="154" t="s">
        <v>432</v>
      </c>
      <c r="AB35" s="154"/>
      <c r="AC35" s="154"/>
      <c r="AD35" s="155"/>
      <c r="AE35" s="155"/>
      <c r="AF35" s="156"/>
      <c r="AG35" s="155"/>
      <c r="AH35" s="156"/>
      <c r="AI35" s="114"/>
      <c r="AJ35" s="157"/>
      <c r="AK35" s="158"/>
      <c r="AL35" s="158"/>
      <c r="AM35" s="159"/>
    </row>
    <row r="36" spans="2:39" x14ac:dyDescent="0.2">
      <c r="B36" s="112"/>
      <c r="C36" s="124" t="s">
        <v>421</v>
      </c>
      <c r="D36" s="115"/>
      <c r="E36" s="114"/>
      <c r="F36" s="114"/>
      <c r="G36" s="114"/>
      <c r="H36" s="114"/>
      <c r="I36" s="115"/>
      <c r="J36" s="2901"/>
      <c r="K36" s="2927"/>
      <c r="L36" s="2866" t="s">
        <v>89</v>
      </c>
      <c r="M36" s="2901"/>
      <c r="N36" s="2866" t="s">
        <v>89</v>
      </c>
      <c r="O36" s="2970" t="s">
        <v>930</v>
      </c>
      <c r="P36" s="2971"/>
      <c r="Q36" s="2971"/>
      <c r="R36" s="2971"/>
      <c r="S36" s="2972"/>
      <c r="V36" s="2961"/>
      <c r="W36" s="2963"/>
      <c r="X36" s="2965"/>
      <c r="Y36" s="2965"/>
      <c r="Z36" s="160"/>
      <c r="AA36" s="2966" t="s">
        <v>433</v>
      </c>
      <c r="AB36" s="2966"/>
      <c r="AC36" s="2966"/>
      <c r="AD36" s="2966"/>
      <c r="AE36" s="2966"/>
      <c r="AF36" s="2966"/>
      <c r="AG36" s="2966"/>
      <c r="AH36" s="2967"/>
      <c r="AI36" s="2967"/>
      <c r="AJ36" s="164" t="s">
        <v>430</v>
      </c>
      <c r="AK36" s="158"/>
      <c r="AL36" s="158"/>
      <c r="AM36" s="159"/>
    </row>
    <row r="37" spans="2:39" x14ac:dyDescent="0.2">
      <c r="B37" s="112"/>
      <c r="C37" s="112"/>
      <c r="D37" s="116"/>
      <c r="I37" s="116"/>
      <c r="J37" s="2902"/>
      <c r="K37" s="2928"/>
      <c r="L37" s="2867"/>
      <c r="M37" s="2902"/>
      <c r="N37" s="2867"/>
      <c r="O37" s="2970"/>
      <c r="P37" s="2971"/>
      <c r="Q37" s="2971"/>
      <c r="R37" s="2971"/>
      <c r="S37" s="2972"/>
      <c r="V37" s="2958" t="s">
        <v>435</v>
      </c>
      <c r="W37" s="2960"/>
      <c r="X37" s="2945"/>
      <c r="Y37" s="2946"/>
      <c r="Z37" s="2945"/>
      <c r="AA37" s="2946"/>
      <c r="AB37" s="2945"/>
      <c r="AC37" s="2946"/>
      <c r="AD37" s="2945"/>
      <c r="AE37" s="2946"/>
      <c r="AF37" s="2945"/>
      <c r="AG37" s="2946"/>
      <c r="AH37" s="2945"/>
      <c r="AI37" s="2954"/>
      <c r="AJ37" s="2946"/>
      <c r="AK37" s="158"/>
      <c r="AL37" s="158"/>
      <c r="AM37" s="159"/>
    </row>
    <row r="38" spans="2:39" x14ac:dyDescent="0.2">
      <c r="B38" s="105"/>
      <c r="C38" s="105"/>
      <c r="D38" s="117"/>
      <c r="E38" s="113"/>
      <c r="F38" s="113"/>
      <c r="G38" s="113"/>
      <c r="H38" s="113"/>
      <c r="I38" s="117"/>
      <c r="J38" s="2903"/>
      <c r="K38" s="2976"/>
      <c r="L38" s="2868"/>
      <c r="M38" s="2903"/>
      <c r="N38" s="2868"/>
      <c r="O38" s="2973"/>
      <c r="P38" s="2974"/>
      <c r="Q38" s="2974"/>
      <c r="R38" s="2974"/>
      <c r="S38" s="2975"/>
      <c r="V38" s="2968"/>
      <c r="W38" s="2969"/>
      <c r="X38" s="2947"/>
      <c r="Y38" s="2948"/>
      <c r="Z38" s="2947"/>
      <c r="AA38" s="2948"/>
      <c r="AB38" s="2947"/>
      <c r="AC38" s="2948"/>
      <c r="AD38" s="2947"/>
      <c r="AE38" s="2948"/>
      <c r="AF38" s="2947"/>
      <c r="AG38" s="2948"/>
      <c r="AH38" s="2947"/>
      <c r="AI38" s="2955"/>
      <c r="AJ38" s="2948"/>
      <c r="AK38" s="158"/>
      <c r="AL38" s="158"/>
      <c r="AM38" s="159"/>
    </row>
    <row r="39" spans="2:39" x14ac:dyDescent="0.2">
      <c r="B39" s="124" t="s">
        <v>374</v>
      </c>
      <c r="C39" s="114"/>
      <c r="D39" s="115"/>
      <c r="E39" s="2892" t="s">
        <v>424</v>
      </c>
      <c r="F39" s="2893"/>
      <c r="G39" s="2893"/>
      <c r="H39" s="2893"/>
      <c r="I39" s="2894"/>
      <c r="J39" s="2869">
        <f>IF(E7&gt;100,ROUNDUP((E7/100),1),1)</f>
        <v>1</v>
      </c>
      <c r="K39" s="2870"/>
      <c r="L39" s="2866" t="s">
        <v>405</v>
      </c>
      <c r="M39" s="2901"/>
      <c r="N39" s="2866" t="s">
        <v>89</v>
      </c>
      <c r="O39" s="2892"/>
      <c r="P39" s="2893"/>
      <c r="Q39" s="2893"/>
      <c r="R39" s="2893"/>
      <c r="S39" s="2894"/>
      <c r="V39" s="2958" t="s">
        <v>436</v>
      </c>
      <c r="W39" s="2960"/>
      <c r="X39" s="2945"/>
      <c r="Y39" s="2946"/>
      <c r="Z39" s="2945"/>
      <c r="AA39" s="2946"/>
      <c r="AB39" s="2945"/>
      <c r="AC39" s="2946"/>
      <c r="AD39" s="2945"/>
      <c r="AE39" s="2946"/>
      <c r="AF39" s="2945"/>
      <c r="AG39" s="2946"/>
      <c r="AH39" s="2945"/>
      <c r="AI39" s="2954"/>
      <c r="AJ39" s="2946"/>
      <c r="AK39" s="158"/>
      <c r="AL39" s="158"/>
      <c r="AM39" s="159"/>
    </row>
    <row r="40" spans="2:39" x14ac:dyDescent="0.2">
      <c r="B40" s="112"/>
      <c r="D40" s="116"/>
      <c r="E40" s="2895"/>
      <c r="F40" s="2896"/>
      <c r="G40" s="2896"/>
      <c r="H40" s="2896"/>
      <c r="I40" s="2897"/>
      <c r="J40" s="2871"/>
      <c r="K40" s="2872"/>
      <c r="L40" s="2867"/>
      <c r="M40" s="2902"/>
      <c r="N40" s="2867"/>
      <c r="O40" s="2895"/>
      <c r="P40" s="2896"/>
      <c r="Q40" s="2896"/>
      <c r="R40" s="2896"/>
      <c r="S40" s="2897"/>
      <c r="V40" s="2968"/>
      <c r="W40" s="2969"/>
      <c r="X40" s="2947"/>
      <c r="Y40" s="2948"/>
      <c r="Z40" s="2947"/>
      <c r="AA40" s="2948"/>
      <c r="AB40" s="2947"/>
      <c r="AC40" s="2948"/>
      <c r="AD40" s="2947"/>
      <c r="AE40" s="2948"/>
      <c r="AF40" s="2947"/>
      <c r="AG40" s="2948"/>
      <c r="AH40" s="2947"/>
      <c r="AI40" s="2955"/>
      <c r="AJ40" s="2948"/>
      <c r="AK40" s="158"/>
      <c r="AL40" s="158"/>
      <c r="AM40" s="159"/>
    </row>
    <row r="41" spans="2:39" x14ac:dyDescent="0.2">
      <c r="B41" s="112"/>
      <c r="D41" s="116"/>
      <c r="E41" s="2895"/>
      <c r="F41" s="2896"/>
      <c r="G41" s="2896"/>
      <c r="H41" s="2896"/>
      <c r="I41" s="2897"/>
      <c r="J41" s="2871"/>
      <c r="K41" s="2872"/>
      <c r="L41" s="2867"/>
      <c r="M41" s="2902"/>
      <c r="N41" s="2867"/>
      <c r="O41" s="2895"/>
      <c r="P41" s="2896"/>
      <c r="Q41" s="2896"/>
      <c r="R41" s="2896"/>
      <c r="S41" s="2897"/>
      <c r="V41" s="2943" t="s">
        <v>437</v>
      </c>
      <c r="W41" s="2944"/>
      <c r="X41" s="2945"/>
      <c r="Y41" s="2946"/>
      <c r="Z41" s="2945"/>
      <c r="AA41" s="2946"/>
      <c r="AB41" s="2945"/>
      <c r="AC41" s="2946"/>
      <c r="AD41" s="2945"/>
      <c r="AE41" s="2946"/>
      <c r="AF41" s="2945"/>
      <c r="AG41" s="2946"/>
      <c r="AH41" s="2945"/>
      <c r="AI41" s="2954"/>
      <c r="AJ41" s="2946"/>
      <c r="AK41" s="158"/>
      <c r="AL41" s="158"/>
      <c r="AM41" s="159"/>
    </row>
    <row r="42" spans="2:39" x14ac:dyDescent="0.2">
      <c r="B42" s="105"/>
      <c r="C42" s="113"/>
      <c r="D42" s="117"/>
      <c r="E42" s="2898"/>
      <c r="F42" s="2899"/>
      <c r="G42" s="2899"/>
      <c r="H42" s="2899"/>
      <c r="I42" s="2900"/>
      <c r="J42" s="2873"/>
      <c r="K42" s="2874"/>
      <c r="L42" s="2868"/>
      <c r="M42" s="2903"/>
      <c r="N42" s="2868"/>
      <c r="O42" s="2895"/>
      <c r="P42" s="2896"/>
      <c r="Q42" s="2896"/>
      <c r="R42" s="2896"/>
      <c r="S42" s="2897"/>
      <c r="V42" s="2941"/>
      <c r="W42" s="2941"/>
      <c r="X42" s="2947"/>
      <c r="Y42" s="2948"/>
      <c r="Z42" s="2947"/>
      <c r="AA42" s="2948"/>
      <c r="AB42" s="2947"/>
      <c r="AC42" s="2948"/>
      <c r="AD42" s="2947"/>
      <c r="AE42" s="2948"/>
      <c r="AF42" s="2947"/>
      <c r="AG42" s="2948"/>
      <c r="AH42" s="2947"/>
      <c r="AI42" s="2955"/>
      <c r="AJ42" s="2948"/>
      <c r="AK42" s="158"/>
      <c r="AL42" s="158"/>
      <c r="AM42" s="159"/>
    </row>
    <row r="43" spans="2:39" x14ac:dyDescent="0.2">
      <c r="B43" s="124" t="s">
        <v>122</v>
      </c>
      <c r="C43" s="114"/>
      <c r="D43" s="115"/>
      <c r="E43" s="2918" t="s">
        <v>434</v>
      </c>
      <c r="F43" s="2919"/>
      <c r="G43" s="2919"/>
      <c r="H43" s="2919"/>
      <c r="I43" s="2920"/>
      <c r="J43" s="2901"/>
      <c r="K43" s="2927"/>
      <c r="L43" s="2866" t="s">
        <v>405</v>
      </c>
      <c r="M43" s="2901"/>
      <c r="N43" s="2890" t="s">
        <v>89</v>
      </c>
      <c r="O43" s="2906" t="s">
        <v>456</v>
      </c>
      <c r="P43" s="2907"/>
      <c r="Q43" s="2912"/>
      <c r="R43" s="2912"/>
      <c r="S43" s="2913"/>
      <c r="V43" s="165"/>
      <c r="W43" s="165"/>
      <c r="X43" s="165"/>
      <c r="Y43" s="166"/>
      <c r="Z43" s="166"/>
      <c r="AA43" s="166"/>
      <c r="AB43" s="166"/>
      <c r="AC43" s="166"/>
      <c r="AD43" s="167"/>
      <c r="AE43" s="167"/>
      <c r="AF43" s="165"/>
      <c r="AG43" s="167"/>
      <c r="AH43" s="165"/>
      <c r="AI43" s="158"/>
      <c r="AJ43" s="158"/>
      <c r="AK43" s="158"/>
      <c r="AL43" s="158"/>
      <c r="AM43" s="159"/>
    </row>
    <row r="44" spans="2:39" x14ac:dyDescent="0.2">
      <c r="B44" s="112"/>
      <c r="D44" s="116"/>
      <c r="E44" s="2921"/>
      <c r="F44" s="2922"/>
      <c r="G44" s="2922"/>
      <c r="H44" s="2922"/>
      <c r="I44" s="2923"/>
      <c r="J44" s="2902"/>
      <c r="K44" s="2928"/>
      <c r="L44" s="2867"/>
      <c r="M44" s="2902"/>
      <c r="N44" s="2940"/>
      <c r="O44" s="2908" t="s">
        <v>457</v>
      </c>
      <c r="P44" s="2909"/>
      <c r="Q44" s="2910"/>
      <c r="R44" s="2910"/>
      <c r="S44" s="2911"/>
      <c r="V44" s="165" t="s">
        <v>438</v>
      </c>
      <c r="W44" s="165"/>
      <c r="X44" s="165"/>
      <c r="Y44" s="168"/>
      <c r="Z44" s="168"/>
      <c r="AA44" s="168"/>
      <c r="AB44" s="168"/>
      <c r="AC44" s="168"/>
      <c r="AD44" s="167"/>
      <c r="AE44" s="167"/>
      <c r="AF44" s="165"/>
      <c r="AG44" s="167"/>
      <c r="AH44" s="165"/>
      <c r="AI44" s="165"/>
      <c r="AJ44" s="165"/>
      <c r="AK44" s="165"/>
      <c r="AL44" s="165"/>
      <c r="AM44" s="159"/>
    </row>
    <row r="45" spans="2:39" x14ac:dyDescent="0.2">
      <c r="B45" s="112"/>
      <c r="D45" s="116"/>
      <c r="E45" s="2921"/>
      <c r="F45" s="2922"/>
      <c r="G45" s="2922"/>
      <c r="H45" s="2922"/>
      <c r="I45" s="2923"/>
      <c r="J45" s="2902"/>
      <c r="K45" s="2928"/>
      <c r="L45" s="2867"/>
      <c r="M45" s="2902"/>
      <c r="N45" s="2940"/>
      <c r="O45" s="2908" t="s">
        <v>456</v>
      </c>
      <c r="P45" s="2909"/>
      <c r="Q45" s="2910"/>
      <c r="R45" s="2910"/>
      <c r="S45" s="2911"/>
      <c r="V45" s="165"/>
      <c r="W45" s="165"/>
      <c r="X45" s="169"/>
      <c r="Y45" s="168"/>
      <c r="Z45" s="165"/>
      <c r="AA45" s="165"/>
      <c r="AB45" s="165"/>
      <c r="AC45" s="170"/>
      <c r="AD45" s="165"/>
      <c r="AE45" s="165"/>
      <c r="AF45" s="165"/>
      <c r="AG45" s="165"/>
      <c r="AH45" s="165"/>
      <c r="AI45" s="165"/>
      <c r="AJ45" s="165"/>
      <c r="AK45" s="165"/>
      <c r="AL45" s="165"/>
      <c r="AM45" s="159"/>
    </row>
    <row r="46" spans="2:39" x14ac:dyDescent="0.2">
      <c r="B46" s="112"/>
      <c r="D46" s="116"/>
      <c r="E46" s="2924"/>
      <c r="F46" s="2925"/>
      <c r="G46" s="2925"/>
      <c r="H46" s="2925"/>
      <c r="I46" s="2926"/>
      <c r="J46" s="2902"/>
      <c r="K46" s="2928"/>
      <c r="L46" s="2867"/>
      <c r="M46" s="2903"/>
      <c r="N46" s="2891"/>
      <c r="O46" s="2950" t="s">
        <v>457</v>
      </c>
      <c r="P46" s="2951"/>
      <c r="Q46" s="2952"/>
      <c r="R46" s="2952"/>
      <c r="S46" s="2953"/>
      <c r="V46" s="2949" t="s">
        <v>439</v>
      </c>
      <c r="W46" s="2949"/>
      <c r="X46" s="2949"/>
      <c r="Y46" s="2949"/>
      <c r="Z46" s="2949"/>
      <c r="AA46" s="2875" t="s">
        <v>440</v>
      </c>
      <c r="AB46" s="2875"/>
      <c r="AC46" s="168" t="s">
        <v>441</v>
      </c>
      <c r="AD46" s="2875" t="s">
        <v>442</v>
      </c>
      <c r="AE46" s="2875"/>
      <c r="AF46" s="165" t="s">
        <v>443</v>
      </c>
      <c r="AG46" s="165"/>
      <c r="AH46" s="165"/>
      <c r="AI46" s="165"/>
      <c r="AJ46" s="165"/>
      <c r="AK46" s="165"/>
      <c r="AL46" s="165"/>
      <c r="AM46" s="159"/>
    </row>
    <row r="47" spans="2:39" x14ac:dyDescent="0.2">
      <c r="B47" s="124" t="s">
        <v>369</v>
      </c>
      <c r="C47" s="114"/>
      <c r="D47" s="115"/>
      <c r="E47" s="2914" t="s">
        <v>1057</v>
      </c>
      <c r="F47" s="2914"/>
      <c r="G47" s="2914"/>
      <c r="H47" s="2914"/>
      <c r="I47" s="2915"/>
      <c r="J47" s="2869" t="str">
        <f>IF(F49="","",ROUNDDOWN(F49/H49,1))</f>
        <v/>
      </c>
      <c r="K47" s="2870"/>
      <c r="L47" s="2866" t="s">
        <v>405</v>
      </c>
      <c r="M47" s="2901"/>
      <c r="N47" s="2866" t="s">
        <v>89</v>
      </c>
      <c r="O47" s="2895"/>
      <c r="P47" s="2896"/>
      <c r="Q47" s="2896"/>
      <c r="R47" s="2896"/>
      <c r="S47" s="2897"/>
      <c r="V47" s="165"/>
      <c r="W47" s="165"/>
      <c r="X47" s="165"/>
      <c r="Y47" s="165"/>
      <c r="Z47" s="165"/>
      <c r="AA47" s="170"/>
      <c r="AB47" s="170"/>
      <c r="AC47" s="168"/>
      <c r="AD47" s="170"/>
      <c r="AE47" s="170"/>
      <c r="AF47" s="165"/>
      <c r="AG47" s="165"/>
      <c r="AH47" s="165"/>
      <c r="AI47" s="165"/>
      <c r="AJ47" s="165"/>
      <c r="AK47" s="165"/>
      <c r="AL47" s="165"/>
      <c r="AM47" s="159"/>
    </row>
    <row r="48" spans="2:39" x14ac:dyDescent="0.2">
      <c r="B48" s="112"/>
      <c r="D48" s="116"/>
      <c r="E48" s="2916"/>
      <c r="F48" s="2916"/>
      <c r="G48" s="2916"/>
      <c r="H48" s="2916"/>
      <c r="I48" s="2917"/>
      <c r="J48" s="2871"/>
      <c r="K48" s="2872"/>
      <c r="L48" s="2867"/>
      <c r="M48" s="2902"/>
      <c r="N48" s="2867"/>
      <c r="O48" s="2895"/>
      <c r="P48" s="2896"/>
      <c r="Q48" s="2896"/>
      <c r="R48" s="2896"/>
      <c r="S48" s="2897"/>
      <c r="V48" s="2949" t="s">
        <v>444</v>
      </c>
      <c r="W48" s="2949"/>
      <c r="X48" s="2949"/>
      <c r="Y48" s="2949"/>
      <c r="Z48" s="2949"/>
      <c r="AA48" s="2875" t="s">
        <v>445</v>
      </c>
      <c r="AB48" s="2875"/>
      <c r="AC48" s="165" t="s">
        <v>446</v>
      </c>
      <c r="AD48" s="2942" t="s">
        <v>445</v>
      </c>
      <c r="AE48" s="2942"/>
      <c r="AF48" s="165" t="s">
        <v>447</v>
      </c>
      <c r="AG48" s="167"/>
      <c r="AH48" s="165"/>
      <c r="AI48" s="165"/>
      <c r="AJ48" s="165"/>
      <c r="AK48" s="165"/>
      <c r="AL48" s="165"/>
      <c r="AM48" s="159"/>
    </row>
    <row r="49" spans="2:39" x14ac:dyDescent="0.2">
      <c r="B49" s="112"/>
      <c r="D49" s="116"/>
      <c r="E49" s="139" t="s">
        <v>386</v>
      </c>
      <c r="F49" s="138" t="str">
        <f>IF(E7="","",E7)</f>
        <v/>
      </c>
      <c r="G49" s="139" t="s">
        <v>409</v>
      </c>
      <c r="H49" s="1119">
        <v>150</v>
      </c>
      <c r="I49" s="140" t="s">
        <v>410</v>
      </c>
      <c r="J49" s="2873"/>
      <c r="K49" s="2874"/>
      <c r="L49" s="2868"/>
      <c r="M49" s="2902"/>
      <c r="N49" s="2867"/>
      <c r="O49" s="2895"/>
      <c r="P49" s="2896"/>
      <c r="Q49" s="2896"/>
      <c r="R49" s="2896"/>
      <c r="S49" s="2897"/>
      <c r="AI49" s="165"/>
      <c r="AJ49" s="165"/>
      <c r="AK49" s="169"/>
      <c r="AL49" s="165"/>
      <c r="AM49" s="159"/>
    </row>
    <row r="50" spans="2:39" x14ac:dyDescent="0.2">
      <c r="B50" s="112"/>
      <c r="D50" s="116"/>
      <c r="E50" s="2914" t="s">
        <v>1058</v>
      </c>
      <c r="F50" s="2914"/>
      <c r="G50" s="2914"/>
      <c r="H50" s="2914"/>
      <c r="I50" s="2915"/>
      <c r="J50" s="2869" t="str">
        <f>IF(F52="","",ROUNDDOWN(F52/H52,1))</f>
        <v/>
      </c>
      <c r="K50" s="2870"/>
      <c r="L50" s="2866" t="s">
        <v>405</v>
      </c>
      <c r="M50" s="2902"/>
      <c r="N50" s="2867"/>
      <c r="O50" s="2895"/>
      <c r="P50" s="2896"/>
      <c r="Q50" s="2896"/>
      <c r="R50" s="2896"/>
      <c r="S50" s="2897"/>
      <c r="V50" s="2949" t="s">
        <v>448</v>
      </c>
      <c r="W50" s="2949"/>
      <c r="X50" s="2949"/>
      <c r="Y50" s="2949"/>
      <c r="Z50" s="2949"/>
      <c r="AA50" s="2949"/>
      <c r="AB50" s="2949"/>
      <c r="AC50" s="2875" t="s">
        <v>445</v>
      </c>
      <c r="AD50" s="2875"/>
      <c r="AE50" s="165" t="s">
        <v>446</v>
      </c>
      <c r="AF50" s="2942" t="s">
        <v>445</v>
      </c>
      <c r="AG50" s="2942"/>
      <c r="AH50" s="165" t="s">
        <v>447</v>
      </c>
      <c r="AI50" s="165"/>
      <c r="AJ50" s="165"/>
      <c r="AK50" s="165"/>
      <c r="AL50" s="170"/>
      <c r="AM50" s="159"/>
    </row>
    <row r="51" spans="2:39" x14ac:dyDescent="0.2">
      <c r="B51" s="112"/>
      <c r="D51" s="116"/>
      <c r="E51" s="2916"/>
      <c r="F51" s="2916"/>
      <c r="G51" s="2916"/>
      <c r="H51" s="2916"/>
      <c r="I51" s="2917"/>
      <c r="J51" s="2871"/>
      <c r="K51" s="2872"/>
      <c r="L51" s="2867"/>
      <c r="M51" s="2902"/>
      <c r="N51" s="2867"/>
      <c r="O51" s="2895"/>
      <c r="P51" s="2896"/>
      <c r="Q51" s="2896"/>
      <c r="R51" s="2896"/>
      <c r="S51" s="2897"/>
      <c r="W51" s="165"/>
      <c r="X51" s="165"/>
      <c r="Y51" s="169"/>
      <c r="Z51" s="170"/>
      <c r="AA51" s="165"/>
      <c r="AB51" s="165"/>
      <c r="AC51" s="171"/>
      <c r="AD51" s="167"/>
      <c r="AE51" s="167"/>
      <c r="AF51" s="165"/>
      <c r="AG51" s="167"/>
      <c r="AH51" s="165"/>
      <c r="AI51" s="169"/>
      <c r="AJ51" s="169"/>
      <c r="AK51" s="169"/>
      <c r="AL51" s="165"/>
      <c r="AM51" s="159"/>
    </row>
    <row r="52" spans="2:39" x14ac:dyDescent="0.2">
      <c r="B52" s="105"/>
      <c r="C52" s="113"/>
      <c r="D52" s="117"/>
      <c r="E52" s="139" t="s">
        <v>386</v>
      </c>
      <c r="F52" s="138" t="str">
        <f>IF(E7="","",E7)</f>
        <v/>
      </c>
      <c r="G52" s="139" t="s">
        <v>409</v>
      </c>
      <c r="H52" s="1119">
        <v>300</v>
      </c>
      <c r="I52" s="140" t="s">
        <v>410</v>
      </c>
      <c r="J52" s="2873"/>
      <c r="K52" s="2874"/>
      <c r="L52" s="2868"/>
      <c r="M52" s="2903"/>
      <c r="N52" s="2868"/>
      <c r="O52" s="2898"/>
      <c r="P52" s="2899"/>
      <c r="Q52" s="2899"/>
      <c r="R52" s="2899"/>
      <c r="S52" s="2900"/>
      <c r="V52" s="165" t="s">
        <v>449</v>
      </c>
      <c r="W52" s="165"/>
      <c r="X52" s="165"/>
      <c r="Y52" s="165"/>
      <c r="Z52" s="165"/>
      <c r="AA52" s="165"/>
      <c r="AB52" s="165"/>
      <c r="AC52" s="2875" t="s">
        <v>445</v>
      </c>
      <c r="AD52" s="2875"/>
      <c r="AE52" s="165" t="s">
        <v>446</v>
      </c>
      <c r="AF52" s="2942" t="s">
        <v>445</v>
      </c>
      <c r="AG52" s="2942"/>
      <c r="AH52" s="165" t="s">
        <v>447</v>
      </c>
      <c r="AI52" s="172"/>
      <c r="AJ52" s="172"/>
      <c r="AK52" s="172"/>
      <c r="AL52" s="172"/>
      <c r="AM52" s="134"/>
    </row>
    <row r="53" spans="2:39" ht="15" customHeight="1" x14ac:dyDescent="0.2">
      <c r="B53" s="85" t="s">
        <v>458</v>
      </c>
      <c r="V53" s="136"/>
      <c r="W53" s="136"/>
      <c r="X53" s="136"/>
      <c r="Y53" s="173"/>
      <c r="Z53" s="132"/>
      <c r="AA53" s="136"/>
      <c r="AB53" s="136"/>
      <c r="AC53" s="136"/>
      <c r="AD53" s="135"/>
      <c r="AE53" s="135"/>
      <c r="AF53" s="136"/>
      <c r="AG53" s="135"/>
      <c r="AH53" s="136"/>
    </row>
    <row r="54" spans="2:39" ht="15" customHeight="1" x14ac:dyDescent="0.2"/>
    <row r="55" spans="2:39" ht="25.2" customHeight="1" x14ac:dyDescent="0.2">
      <c r="B55" s="2889" t="s">
        <v>459</v>
      </c>
      <c r="C55" s="2853"/>
      <c r="D55" s="2880" t="s">
        <v>460</v>
      </c>
      <c r="E55" s="2856"/>
      <c r="F55" s="2856"/>
      <c r="G55" s="2856"/>
      <c r="H55" s="2856"/>
      <c r="I55" s="2856"/>
      <c r="J55" s="2856"/>
      <c r="K55" s="2876" t="s">
        <v>459</v>
      </c>
      <c r="L55" s="2853"/>
      <c r="M55" s="2854" t="s">
        <v>461</v>
      </c>
      <c r="N55" s="2855"/>
      <c r="O55" s="2855"/>
      <c r="P55" s="2856"/>
      <c r="Q55" s="2856"/>
      <c r="R55" s="2852" t="s">
        <v>462</v>
      </c>
      <c r="S55" s="2853"/>
    </row>
    <row r="56" spans="2:39" ht="25.2" customHeight="1" x14ac:dyDescent="0.2">
      <c r="B56" s="2904" t="s">
        <v>123</v>
      </c>
      <c r="C56" s="2905"/>
      <c r="D56" s="2880"/>
      <c r="E56" s="2856"/>
      <c r="F56" s="128" t="s">
        <v>367</v>
      </c>
      <c r="G56" s="2881" t="s">
        <v>375</v>
      </c>
      <c r="H56" s="2883"/>
      <c r="I56" s="2884"/>
      <c r="J56" s="2890" t="s">
        <v>89</v>
      </c>
      <c r="K56" s="2887" t="s">
        <v>123</v>
      </c>
      <c r="L56" s="2888"/>
      <c r="M56" s="2880"/>
      <c r="N56" s="2856"/>
      <c r="O56" s="128" t="s">
        <v>367</v>
      </c>
      <c r="P56" s="2881" t="s">
        <v>375</v>
      </c>
      <c r="Q56" s="2883"/>
      <c r="R56" s="2884"/>
      <c r="S56" s="2866" t="s">
        <v>89</v>
      </c>
    </row>
    <row r="57" spans="2:39" ht="25.2" customHeight="1" x14ac:dyDescent="0.2">
      <c r="B57" s="2889" t="s">
        <v>124</v>
      </c>
      <c r="C57" s="2852"/>
      <c r="D57" s="2880"/>
      <c r="E57" s="2856"/>
      <c r="F57" s="128" t="s">
        <v>367</v>
      </c>
      <c r="G57" s="2882"/>
      <c r="H57" s="2885"/>
      <c r="I57" s="2886"/>
      <c r="J57" s="2891"/>
      <c r="K57" s="2876" t="s">
        <v>124</v>
      </c>
      <c r="L57" s="2853"/>
      <c r="M57" s="2880"/>
      <c r="N57" s="2856"/>
      <c r="O57" s="128" t="s">
        <v>367</v>
      </c>
      <c r="P57" s="2882"/>
      <c r="Q57" s="2885"/>
      <c r="R57" s="2886"/>
      <c r="S57" s="2868"/>
    </row>
    <row r="58" spans="2:39" ht="15" customHeight="1" x14ac:dyDescent="0.2">
      <c r="B58" s="2877" t="s">
        <v>464</v>
      </c>
      <c r="C58" s="2858"/>
      <c r="D58" s="2858"/>
      <c r="E58" s="2858"/>
      <c r="F58" s="2858"/>
      <c r="G58" s="2858"/>
      <c r="H58" s="2858"/>
      <c r="I58" s="2858"/>
      <c r="J58" s="2858"/>
      <c r="K58" s="2857" t="s">
        <v>463</v>
      </c>
      <c r="L58" s="2858"/>
      <c r="M58" s="2858"/>
      <c r="N58" s="2858"/>
      <c r="O58" s="2858"/>
      <c r="P58" s="2858"/>
      <c r="Q58" s="2858"/>
      <c r="R58" s="2858"/>
      <c r="S58" s="2859"/>
    </row>
    <row r="59" spans="2:39" x14ac:dyDescent="0.2">
      <c r="B59" s="2878"/>
      <c r="C59" s="2861"/>
      <c r="D59" s="2861"/>
      <c r="E59" s="2861"/>
      <c r="F59" s="2861"/>
      <c r="G59" s="2861"/>
      <c r="H59" s="2861"/>
      <c r="I59" s="2861"/>
      <c r="J59" s="2861"/>
      <c r="K59" s="2860"/>
      <c r="L59" s="2861"/>
      <c r="M59" s="2861"/>
      <c r="N59" s="2861"/>
      <c r="O59" s="2861"/>
      <c r="P59" s="2861"/>
      <c r="Q59" s="2861"/>
      <c r="R59" s="2861"/>
      <c r="S59" s="2862"/>
    </row>
    <row r="60" spans="2:39" x14ac:dyDescent="0.2">
      <c r="B60" s="2878"/>
      <c r="C60" s="2861"/>
      <c r="D60" s="2861"/>
      <c r="E60" s="2861"/>
      <c r="F60" s="2861"/>
      <c r="G60" s="2861"/>
      <c r="H60" s="2861"/>
      <c r="I60" s="2861"/>
      <c r="J60" s="2861"/>
      <c r="K60" s="2860"/>
      <c r="L60" s="2861"/>
      <c r="M60" s="2861"/>
      <c r="N60" s="2861"/>
      <c r="O60" s="2861"/>
      <c r="P60" s="2861"/>
      <c r="Q60" s="2861"/>
      <c r="R60" s="2861"/>
      <c r="S60" s="2862"/>
    </row>
    <row r="61" spans="2:39" x14ac:dyDescent="0.2">
      <c r="B61" s="2879"/>
      <c r="C61" s="2864"/>
      <c r="D61" s="2864"/>
      <c r="E61" s="2864"/>
      <c r="F61" s="2864"/>
      <c r="G61" s="2864"/>
      <c r="H61" s="2864"/>
      <c r="I61" s="2864"/>
      <c r="J61" s="2864"/>
      <c r="K61" s="2863"/>
      <c r="L61" s="2864"/>
      <c r="M61" s="2864"/>
      <c r="N61" s="2864"/>
      <c r="O61" s="2864"/>
      <c r="P61" s="2864"/>
      <c r="Q61" s="2864"/>
      <c r="R61" s="2864"/>
      <c r="S61" s="2865"/>
    </row>
  </sheetData>
  <mergeCells count="167">
    <mergeCell ref="B7:C7"/>
    <mergeCell ref="V7:W7"/>
    <mergeCell ref="B8:C8"/>
    <mergeCell ref="K8:L8"/>
    <mergeCell ref="M8:N8"/>
    <mergeCell ref="O8:P8"/>
    <mergeCell ref="V8:W8"/>
    <mergeCell ref="B2:S2"/>
    <mergeCell ref="V2:AM2"/>
    <mergeCell ref="B4:C5"/>
    <mergeCell ref="D4:L5"/>
    <mergeCell ref="M4:N5"/>
    <mergeCell ref="O4:S5"/>
    <mergeCell ref="V4:W5"/>
    <mergeCell ref="X4:AF5"/>
    <mergeCell ref="AG4:AH5"/>
    <mergeCell ref="AI4:AM5"/>
    <mergeCell ref="AE8:AF8"/>
    <mergeCell ref="AG8:AH8"/>
    <mergeCell ref="AI8:AJ8"/>
    <mergeCell ref="E14:I15"/>
    <mergeCell ref="E27:I28"/>
    <mergeCell ref="E24:I25"/>
    <mergeCell ref="J17:K19"/>
    <mergeCell ref="L17:L19"/>
    <mergeCell ref="E17:I18"/>
    <mergeCell ref="O14:S19"/>
    <mergeCell ref="J14:K16"/>
    <mergeCell ref="L14:L16"/>
    <mergeCell ref="J27:K29"/>
    <mergeCell ref="M14:M19"/>
    <mergeCell ref="N14:N19"/>
    <mergeCell ref="J24:K26"/>
    <mergeCell ref="L24:L26"/>
    <mergeCell ref="M24:M29"/>
    <mergeCell ref="N24:N29"/>
    <mergeCell ref="O20:S23"/>
    <mergeCell ref="J21:K21"/>
    <mergeCell ref="J22:K23"/>
    <mergeCell ref="L22:L23"/>
    <mergeCell ref="L27:L29"/>
    <mergeCell ref="B10:E10"/>
    <mergeCell ref="V10:Y10"/>
    <mergeCell ref="B12:D13"/>
    <mergeCell ref="E12:I13"/>
    <mergeCell ref="J12:L13"/>
    <mergeCell ref="M12:N12"/>
    <mergeCell ref="O12:S13"/>
    <mergeCell ref="M13:N13"/>
    <mergeCell ref="B9:S9"/>
    <mergeCell ref="O36:S38"/>
    <mergeCell ref="V37:W38"/>
    <mergeCell ref="X37:Y38"/>
    <mergeCell ref="Z37:AA38"/>
    <mergeCell ref="J36:K38"/>
    <mergeCell ref="L36:L38"/>
    <mergeCell ref="J30:K32"/>
    <mergeCell ref="L30:L32"/>
    <mergeCell ref="AB31:AC32"/>
    <mergeCell ref="N30:N32"/>
    <mergeCell ref="O30:S32"/>
    <mergeCell ref="M36:M38"/>
    <mergeCell ref="N36:N38"/>
    <mergeCell ref="AF37:AG38"/>
    <mergeCell ref="AF41:AG42"/>
    <mergeCell ref="AH37:AJ38"/>
    <mergeCell ref="AH39:AJ40"/>
    <mergeCell ref="AH41:AJ42"/>
    <mergeCell ref="AD31:AE32"/>
    <mergeCell ref="AF31:AG32"/>
    <mergeCell ref="AH31:AJ32"/>
    <mergeCell ref="V33:W36"/>
    <mergeCell ref="X33:Y36"/>
    <mergeCell ref="AA34:AD34"/>
    <mergeCell ref="AH34:AI34"/>
    <mergeCell ref="AA36:AG36"/>
    <mergeCell ref="AH36:AI36"/>
    <mergeCell ref="X31:Y32"/>
    <mergeCell ref="V39:W40"/>
    <mergeCell ref="X39:Y40"/>
    <mergeCell ref="Z39:AA40"/>
    <mergeCell ref="AB39:AC40"/>
    <mergeCell ref="AD39:AE40"/>
    <mergeCell ref="AF39:AG40"/>
    <mergeCell ref="AB37:AC38"/>
    <mergeCell ref="AD37:AE38"/>
    <mergeCell ref="Z31:AA32"/>
    <mergeCell ref="AF50:AG50"/>
    <mergeCell ref="N47:N52"/>
    <mergeCell ref="O47:S52"/>
    <mergeCell ref="V41:W42"/>
    <mergeCell ref="X41:Y42"/>
    <mergeCell ref="Z41:AA42"/>
    <mergeCell ref="AB41:AC42"/>
    <mergeCell ref="V46:Z46"/>
    <mergeCell ref="AD41:AE42"/>
    <mergeCell ref="O46:P46"/>
    <mergeCell ref="AD46:AE46"/>
    <mergeCell ref="V48:Z48"/>
    <mergeCell ref="AA48:AB48"/>
    <mergeCell ref="AD48:AE48"/>
    <mergeCell ref="N43:N46"/>
    <mergeCell ref="Q46:S46"/>
    <mergeCell ref="AC52:AD52"/>
    <mergeCell ref="AF52:AG52"/>
    <mergeCell ref="V50:AB50"/>
    <mergeCell ref="AA46:AB46"/>
    <mergeCell ref="W25:AM27"/>
    <mergeCell ref="O24:S29"/>
    <mergeCell ref="W20:AM24"/>
    <mergeCell ref="E33:I35"/>
    <mergeCell ref="J33:K35"/>
    <mergeCell ref="L33:L35"/>
    <mergeCell ref="M33:M35"/>
    <mergeCell ref="N33:N35"/>
    <mergeCell ref="E20:I22"/>
    <mergeCell ref="J20:K20"/>
    <mergeCell ref="M20:M23"/>
    <mergeCell ref="N20:N23"/>
    <mergeCell ref="M30:M32"/>
    <mergeCell ref="V31:W32"/>
    <mergeCell ref="E39:I42"/>
    <mergeCell ref="J39:K42"/>
    <mergeCell ref="L39:L42"/>
    <mergeCell ref="M39:M42"/>
    <mergeCell ref="N39:N42"/>
    <mergeCell ref="O39:S42"/>
    <mergeCell ref="B57:C57"/>
    <mergeCell ref="B56:C56"/>
    <mergeCell ref="D57:E57"/>
    <mergeCell ref="O43:P43"/>
    <mergeCell ref="O44:P44"/>
    <mergeCell ref="Q44:S44"/>
    <mergeCell ref="Q43:S43"/>
    <mergeCell ref="O45:P45"/>
    <mergeCell ref="Q45:S45"/>
    <mergeCell ref="E47:I48"/>
    <mergeCell ref="J47:K49"/>
    <mergeCell ref="L47:L49"/>
    <mergeCell ref="M47:M52"/>
    <mergeCell ref="E43:I46"/>
    <mergeCell ref="J43:K46"/>
    <mergeCell ref="L43:L46"/>
    <mergeCell ref="M43:M46"/>
    <mergeCell ref="E50:I51"/>
    <mergeCell ref="R55:S55"/>
    <mergeCell ref="M55:O55"/>
    <mergeCell ref="P55:Q55"/>
    <mergeCell ref="K58:S61"/>
    <mergeCell ref="L50:L52"/>
    <mergeCell ref="J50:K52"/>
    <mergeCell ref="AC50:AD50"/>
    <mergeCell ref="K55:L55"/>
    <mergeCell ref="B58:J61"/>
    <mergeCell ref="M56:N56"/>
    <mergeCell ref="P56:P57"/>
    <mergeCell ref="Q56:R57"/>
    <mergeCell ref="S56:S57"/>
    <mergeCell ref="K57:L57"/>
    <mergeCell ref="M57:N57"/>
    <mergeCell ref="D56:E56"/>
    <mergeCell ref="K56:L56"/>
    <mergeCell ref="B55:C55"/>
    <mergeCell ref="D55:J55"/>
    <mergeCell ref="G56:G57"/>
    <mergeCell ref="H56:I57"/>
    <mergeCell ref="J56:J57"/>
  </mergeCells>
  <phoneticPr fontId="2"/>
  <dataValidations count="1">
    <dataValidation type="list" allowBlank="1" showInputMessage="1" showErrorMessage="1" sqref="K8:L8 O8:P8" xr:uid="{00000000-0002-0000-0A00-000000000000}">
      <formula1>$AP$2:$AP$9</formula1>
    </dataValidation>
  </dataValidations>
  <printOptions horizontalCentered="1"/>
  <pageMargins left="0.19685039370078741" right="0.19685039370078741" top="0.19685039370078741" bottom="0.19685039370078741" header="0.31496062992125984" footer="0.31496062992125984"/>
  <pageSetup paperSize="9" scale="98" orientation="portrait" r:id="rId1"/>
  <colBreaks count="1" manualBreakCount="1">
    <brk id="20" max="63"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9EB2-18A3-4BAA-AA46-4FFAA14AC911}">
  <sheetPr>
    <pageSetUpPr fitToPage="1"/>
  </sheetPr>
  <dimension ref="B1:AC51"/>
  <sheetViews>
    <sheetView view="pageBreakPreview" zoomScaleNormal="100" zoomScaleSheetLayoutView="100" workbookViewId="0">
      <selection activeCell="U9" sqref="U9"/>
    </sheetView>
  </sheetViews>
  <sheetFormatPr defaultColWidth="9" defaultRowHeight="13.2" x14ac:dyDescent="0.2"/>
  <cols>
    <col min="1" max="1" width="0.88671875" style="528" customWidth="1"/>
    <col min="2" max="13" width="6.6640625" style="528" customWidth="1"/>
    <col min="14" max="15" width="7.109375" style="528" customWidth="1"/>
    <col min="16" max="16" width="1" style="528" customWidth="1"/>
    <col min="17" max="17" width="2" style="528" customWidth="1"/>
    <col min="18" max="16384" width="9" style="528"/>
  </cols>
  <sheetData>
    <row r="1" spans="2:29" x14ac:dyDescent="0.2">
      <c r="B1" s="528" t="s">
        <v>1841</v>
      </c>
    </row>
    <row r="2" spans="2:29" ht="24" customHeight="1" x14ac:dyDescent="0.2">
      <c r="B2" s="3062" t="s">
        <v>1059</v>
      </c>
      <c r="C2" s="3063"/>
      <c r="D2" s="3063"/>
      <c r="E2" s="3063"/>
      <c r="F2" s="3063"/>
      <c r="G2" s="3063"/>
      <c r="H2" s="3063"/>
      <c r="I2" s="3063"/>
      <c r="J2" s="3063"/>
      <c r="K2" s="3063"/>
      <c r="L2" s="3063"/>
      <c r="M2" s="3064"/>
      <c r="N2" s="3064"/>
      <c r="O2" s="3064"/>
      <c r="R2" s="1066">
        <v>28</v>
      </c>
    </row>
    <row r="3" spans="2:29" ht="11.25" customHeight="1" x14ac:dyDescent="0.2">
      <c r="R3" s="1066">
        <v>29</v>
      </c>
    </row>
    <row r="4" spans="2:29" ht="30" customHeight="1" x14ac:dyDescent="0.2">
      <c r="B4" s="3065" t="s">
        <v>1060</v>
      </c>
      <c r="C4" s="3065"/>
      <c r="D4" s="3065"/>
      <c r="E4" s="3065"/>
      <c r="F4" s="3065"/>
      <c r="G4" s="3065"/>
      <c r="H4" s="3065"/>
      <c r="I4" s="3065"/>
      <c r="J4" s="3065"/>
      <c r="K4" s="3065"/>
      <c r="L4" s="3065"/>
      <c r="M4" s="3065"/>
      <c r="N4" s="3065"/>
      <c r="O4" s="3065"/>
      <c r="P4" s="1067"/>
      <c r="Q4" s="1067"/>
      <c r="R4" s="1066">
        <v>30</v>
      </c>
      <c r="S4" s="1067"/>
      <c r="T4" s="1067"/>
      <c r="U4" s="1067"/>
      <c r="V4" s="1067"/>
      <c r="W4" s="1067"/>
      <c r="X4" s="1067"/>
      <c r="Y4" s="1067"/>
      <c r="Z4" s="1067"/>
      <c r="AA4" s="1067"/>
      <c r="AB4" s="1067"/>
      <c r="AC4" s="1067"/>
    </row>
    <row r="5" spans="2:29" ht="16.5" customHeight="1" x14ac:dyDescent="0.2">
      <c r="B5" s="607"/>
      <c r="C5" s="607"/>
      <c r="D5" s="607"/>
      <c r="E5" s="607"/>
      <c r="F5" s="607"/>
      <c r="G5" s="607"/>
      <c r="H5" s="607"/>
      <c r="I5" s="607"/>
      <c r="J5" s="607"/>
      <c r="K5" s="607"/>
      <c r="L5" s="607"/>
      <c r="M5" s="607"/>
      <c r="N5" s="607"/>
      <c r="O5" s="607"/>
      <c r="P5" s="1067"/>
      <c r="Q5" s="1067"/>
      <c r="R5" s="1066">
        <v>31</v>
      </c>
      <c r="S5" s="1067"/>
      <c r="T5" s="1067"/>
      <c r="U5" s="1067"/>
      <c r="V5" s="1067"/>
      <c r="W5" s="1067"/>
      <c r="X5" s="1067"/>
      <c r="Y5" s="1067"/>
      <c r="Z5" s="1067"/>
      <c r="AA5" s="1067"/>
      <c r="AB5" s="1067"/>
      <c r="AC5" s="1067"/>
    </row>
    <row r="6" spans="2:29" ht="24" customHeight="1" x14ac:dyDescent="0.2">
      <c r="B6" s="3041" t="s">
        <v>1061</v>
      </c>
      <c r="C6" s="3041"/>
      <c r="D6" s="3041"/>
      <c r="E6" s="3041"/>
      <c r="F6" s="3041"/>
      <c r="G6" s="3041"/>
      <c r="H6" s="3041"/>
      <c r="I6" s="3041"/>
      <c r="J6" s="3041"/>
      <c r="K6" s="3041"/>
      <c r="L6" s="3041"/>
      <c r="M6" s="3041"/>
      <c r="N6" s="3041"/>
      <c r="O6" s="3041"/>
      <c r="R6" s="1066"/>
    </row>
    <row r="7" spans="2:29" x14ac:dyDescent="0.2">
      <c r="B7" s="1769" t="s">
        <v>1062</v>
      </c>
      <c r="C7" s="1769"/>
      <c r="D7" s="1769"/>
      <c r="E7" s="1769"/>
      <c r="F7" s="1769"/>
      <c r="G7" s="1769"/>
      <c r="H7" s="1769"/>
      <c r="I7" s="1769"/>
      <c r="J7" s="1769"/>
      <c r="K7" s="1769"/>
      <c r="L7" s="1769"/>
      <c r="M7" s="1769"/>
      <c r="N7" s="1769"/>
      <c r="O7" s="1769"/>
    </row>
    <row r="8" spans="2:29" ht="20.25" customHeight="1" x14ac:dyDescent="0.2">
      <c r="B8" s="528" t="s">
        <v>1063</v>
      </c>
    </row>
    <row r="9" spans="2:29" ht="23.25" customHeight="1" x14ac:dyDescent="0.2">
      <c r="B9" s="612"/>
      <c r="C9" s="613"/>
      <c r="D9" s="613"/>
      <c r="E9" s="613"/>
      <c r="F9" s="529" t="str">
        <f>IF(L9="","",L9-1)</f>
        <v/>
      </c>
      <c r="G9" s="530" t="s">
        <v>34</v>
      </c>
      <c r="H9" s="613"/>
      <c r="I9" s="609"/>
      <c r="J9" s="610"/>
      <c r="K9" s="531"/>
      <c r="L9" s="532"/>
      <c r="M9" s="533" t="s">
        <v>34</v>
      </c>
      <c r="N9" s="3066" t="s">
        <v>1064</v>
      </c>
      <c r="O9" s="3066" t="s">
        <v>1065</v>
      </c>
    </row>
    <row r="10" spans="2:29" ht="26.25" customHeight="1" thickBot="1" x14ac:dyDescent="0.25">
      <c r="B10" s="534" t="s">
        <v>174</v>
      </c>
      <c r="C10" s="534" t="s">
        <v>125</v>
      </c>
      <c r="D10" s="534" t="s">
        <v>126</v>
      </c>
      <c r="E10" s="534" t="s">
        <v>127</v>
      </c>
      <c r="F10" s="534" t="s">
        <v>128</v>
      </c>
      <c r="G10" s="534" t="s">
        <v>129</v>
      </c>
      <c r="H10" s="535" t="s">
        <v>1066</v>
      </c>
      <c r="I10" s="534" t="s">
        <v>1067</v>
      </c>
      <c r="J10" s="534" t="s">
        <v>1068</v>
      </c>
      <c r="K10" s="534" t="s">
        <v>130</v>
      </c>
      <c r="L10" s="534" t="s">
        <v>131</v>
      </c>
      <c r="M10" s="601" t="s">
        <v>132</v>
      </c>
      <c r="N10" s="3067"/>
      <c r="O10" s="3068"/>
    </row>
    <row r="11" spans="2:29" ht="36" customHeight="1" thickBot="1" x14ac:dyDescent="0.25">
      <c r="B11" s="536"/>
      <c r="C11" s="537"/>
      <c r="D11" s="537"/>
      <c r="E11" s="537"/>
      <c r="F11" s="537"/>
      <c r="G11" s="537"/>
      <c r="H11" s="537"/>
      <c r="I11" s="537"/>
      <c r="J11" s="537"/>
      <c r="K11" s="537"/>
      <c r="L11" s="538"/>
      <c r="M11" s="539"/>
      <c r="N11" s="540">
        <f>SUM(B11:L11)</f>
        <v>0</v>
      </c>
      <c r="O11" s="541" t="str">
        <f>IF(N11=0,"",ROUND(N11/11,2))</f>
        <v/>
      </c>
    </row>
    <row r="12" spans="2:29" ht="14.4" x14ac:dyDescent="0.2">
      <c r="B12" s="542" t="s">
        <v>1069</v>
      </c>
      <c r="N12" s="3060" t="s">
        <v>1070</v>
      </c>
      <c r="O12" s="3060"/>
    </row>
    <row r="13" spans="2:29" x14ac:dyDescent="0.2">
      <c r="B13" s="3061" t="s">
        <v>1071</v>
      </c>
      <c r="C13" s="3061"/>
      <c r="D13" s="3061"/>
      <c r="E13" s="3061"/>
      <c r="F13" s="3061"/>
      <c r="G13" s="3061"/>
      <c r="H13" s="3061"/>
      <c r="I13" s="3061"/>
      <c r="J13" s="3061"/>
      <c r="K13" s="3061"/>
      <c r="L13" s="3061"/>
      <c r="M13" s="3061"/>
      <c r="N13" s="3061"/>
      <c r="O13" s="3061"/>
    </row>
    <row r="14" spans="2:29" ht="11.25" customHeight="1" x14ac:dyDescent="0.2"/>
    <row r="15" spans="2:29" ht="20.100000000000001" customHeight="1" x14ac:dyDescent="0.2">
      <c r="B15" s="528" t="s">
        <v>1072</v>
      </c>
    </row>
    <row r="16" spans="2:29" ht="20.100000000000001" customHeight="1" x14ac:dyDescent="0.2">
      <c r="C16" s="3033" t="s">
        <v>1073</v>
      </c>
      <c r="D16" s="3034"/>
      <c r="E16" s="3034"/>
      <c r="F16" s="3034"/>
      <c r="G16" s="3034"/>
      <c r="H16" s="3035"/>
      <c r="J16" s="3036" t="s">
        <v>1074</v>
      </c>
      <c r="K16" s="3037"/>
      <c r="L16" s="3037"/>
      <c r="M16" s="3034"/>
      <c r="N16" s="3034"/>
      <c r="O16" s="3035"/>
    </row>
    <row r="17" spans="2:18" ht="20.100000000000001" customHeight="1" x14ac:dyDescent="0.2">
      <c r="C17" s="3054" t="s">
        <v>1075</v>
      </c>
      <c r="D17" s="3055"/>
      <c r="E17" s="3056"/>
      <c r="F17" s="3057" t="s">
        <v>1076</v>
      </c>
      <c r="G17" s="3057"/>
      <c r="H17" s="3057"/>
      <c r="J17" s="3058" t="s">
        <v>1077</v>
      </c>
      <c r="K17" s="3058"/>
      <c r="L17" s="3058"/>
      <c r="M17" s="3057" t="s">
        <v>1076</v>
      </c>
      <c r="N17" s="3057"/>
      <c r="O17" s="3057"/>
    </row>
    <row r="18" spans="2:18" ht="28.5" customHeight="1" x14ac:dyDescent="0.2">
      <c r="C18" s="3044" t="s">
        <v>1078</v>
      </c>
      <c r="D18" s="3045"/>
      <c r="E18" s="3046"/>
      <c r="F18" s="3047" t="s">
        <v>1079</v>
      </c>
      <c r="G18" s="3047"/>
      <c r="H18" s="3047"/>
      <c r="J18" s="3059" t="s">
        <v>1080</v>
      </c>
      <c r="K18" s="3059"/>
      <c r="L18" s="3059"/>
      <c r="M18" s="3047" t="s">
        <v>1079</v>
      </c>
      <c r="N18" s="3047"/>
      <c r="O18" s="3047"/>
    </row>
    <row r="19" spans="2:18" ht="28.5" customHeight="1" x14ac:dyDescent="0.2">
      <c r="C19" s="3044" t="s">
        <v>1081</v>
      </c>
      <c r="D19" s="3045"/>
      <c r="E19" s="3046"/>
      <c r="F19" s="3047" t="s">
        <v>1082</v>
      </c>
      <c r="G19" s="3047"/>
      <c r="H19" s="3047"/>
      <c r="J19" s="3048" t="s">
        <v>1083</v>
      </c>
      <c r="K19" s="3049"/>
      <c r="L19" s="3050"/>
      <c r="M19" s="606" t="s">
        <v>1082</v>
      </c>
      <c r="N19" s="606"/>
      <c r="O19" s="606"/>
    </row>
    <row r="20" spans="2:18" ht="20.100000000000001" customHeight="1" x14ac:dyDescent="0.2">
      <c r="C20" s="3033" t="s">
        <v>1084</v>
      </c>
      <c r="D20" s="3034"/>
      <c r="E20" s="3035"/>
      <c r="F20" s="3047" t="s">
        <v>1085</v>
      </c>
      <c r="G20" s="3047"/>
      <c r="H20" s="3047"/>
      <c r="J20" s="3051" t="s">
        <v>1084</v>
      </c>
      <c r="K20" s="3052"/>
      <c r="L20" s="3053"/>
      <c r="M20" s="602" t="s">
        <v>1086</v>
      </c>
      <c r="N20" s="602"/>
      <c r="O20" s="602"/>
    </row>
    <row r="21" spans="2:18" ht="20.100000000000001" customHeight="1" x14ac:dyDescent="0.2"/>
    <row r="22" spans="2:18" ht="27" customHeight="1" x14ac:dyDescent="0.2">
      <c r="B22" s="3040" t="s">
        <v>1087</v>
      </c>
      <c r="C22" s="3040"/>
      <c r="D22" s="3040"/>
      <c r="E22" s="3040"/>
      <c r="F22" s="3040"/>
      <c r="G22" s="3040"/>
      <c r="H22" s="3040"/>
      <c r="I22" s="3040"/>
      <c r="J22" s="3040"/>
      <c r="K22" s="3040"/>
      <c r="L22" s="3040"/>
      <c r="M22" s="3040"/>
      <c r="N22" s="3040"/>
      <c r="O22" s="3040"/>
    </row>
    <row r="23" spans="2:18" ht="11.25" customHeight="1" x14ac:dyDescent="0.2">
      <c r="B23" s="611"/>
      <c r="C23" s="611"/>
      <c r="D23" s="611"/>
      <c r="E23" s="611"/>
      <c r="F23" s="611"/>
      <c r="G23" s="611"/>
      <c r="H23" s="611"/>
      <c r="I23" s="611"/>
      <c r="J23" s="611"/>
      <c r="K23" s="611"/>
      <c r="L23" s="611"/>
      <c r="M23" s="611"/>
      <c r="N23" s="611"/>
      <c r="O23" s="611"/>
    </row>
    <row r="24" spans="2:18" ht="27" customHeight="1" x14ac:dyDescent="0.2">
      <c r="B24" s="3040" t="s">
        <v>1088</v>
      </c>
      <c r="C24" s="3040"/>
      <c r="D24" s="3040"/>
      <c r="E24" s="3040"/>
      <c r="F24" s="3040"/>
      <c r="G24" s="3040"/>
      <c r="H24" s="3040"/>
      <c r="I24" s="3040"/>
      <c r="J24" s="3040"/>
      <c r="K24" s="3040"/>
      <c r="L24" s="3040"/>
      <c r="M24" s="3040"/>
      <c r="N24" s="3040"/>
      <c r="O24" s="3040"/>
    </row>
    <row r="25" spans="2:18" ht="11.25" customHeight="1" x14ac:dyDescent="0.2">
      <c r="B25" s="611"/>
      <c r="C25" s="611"/>
      <c r="D25" s="611"/>
      <c r="E25" s="611"/>
      <c r="F25" s="611"/>
      <c r="G25" s="611"/>
      <c r="H25" s="611"/>
      <c r="I25" s="611"/>
      <c r="J25" s="611"/>
      <c r="K25" s="611"/>
      <c r="L25" s="611"/>
      <c r="M25" s="611"/>
      <c r="N25" s="611"/>
      <c r="O25" s="611"/>
    </row>
    <row r="26" spans="2:18" ht="27" customHeight="1" x14ac:dyDescent="0.2">
      <c r="B26" s="3040" t="s">
        <v>1089</v>
      </c>
      <c r="C26" s="3040"/>
      <c r="D26" s="3040"/>
      <c r="E26" s="3040"/>
      <c r="F26" s="3040"/>
      <c r="G26" s="3040"/>
      <c r="H26" s="3040"/>
      <c r="I26" s="3040"/>
      <c r="J26" s="3040"/>
      <c r="K26" s="3040"/>
      <c r="L26" s="3040"/>
      <c r="M26" s="3040"/>
      <c r="N26" s="3040"/>
      <c r="O26" s="3040"/>
    </row>
    <row r="27" spans="2:18" ht="19.5" customHeight="1" x14ac:dyDescent="0.2"/>
    <row r="28" spans="2:18" ht="25.2" customHeight="1" x14ac:dyDescent="0.2">
      <c r="B28" s="3030" t="s">
        <v>1101</v>
      </c>
      <c r="C28" s="3031"/>
      <c r="D28" s="3031"/>
      <c r="E28" s="3031"/>
      <c r="F28" s="3031"/>
      <c r="G28" s="3031"/>
      <c r="H28" s="3031"/>
      <c r="I28" s="3031"/>
      <c r="J28" s="3031"/>
      <c r="K28" s="3031"/>
      <c r="L28" s="3031"/>
      <c r="M28" s="3031"/>
      <c r="N28" s="3031"/>
      <c r="O28" s="3031"/>
    </row>
    <row r="29" spans="2:18" ht="7.5" customHeight="1" x14ac:dyDescent="0.2"/>
    <row r="30" spans="2:18" ht="25.2" customHeight="1" x14ac:dyDescent="0.2">
      <c r="B30" s="3032" t="s">
        <v>1102</v>
      </c>
      <c r="C30" s="3032"/>
      <c r="D30" s="3032"/>
      <c r="E30" s="3032"/>
      <c r="F30" s="3032"/>
      <c r="G30" s="551" t="str">
        <f>IF($O$11&lt;=750,$R$45,$R$46)</f>
        <v>-</v>
      </c>
      <c r="H30" s="3033" t="s">
        <v>1103</v>
      </c>
      <c r="I30" s="3034"/>
      <c r="J30" s="3034"/>
      <c r="K30" s="3034"/>
      <c r="L30" s="3034"/>
      <c r="M30" s="3035"/>
      <c r="R30" s="601" t="s">
        <v>624</v>
      </c>
    </row>
    <row r="31" spans="2:18" ht="25.2" customHeight="1" x14ac:dyDescent="0.2">
      <c r="B31" s="3032" t="s">
        <v>1842</v>
      </c>
      <c r="C31" s="3032"/>
      <c r="D31" s="3032"/>
      <c r="E31" s="3032"/>
      <c r="F31" s="3032"/>
      <c r="G31" s="551" t="str">
        <f>IF($O$11&gt;750,$R$45,$R$46)</f>
        <v>〇</v>
      </c>
      <c r="H31" s="3036" t="s">
        <v>1843</v>
      </c>
      <c r="I31" s="3037"/>
      <c r="J31" s="3037"/>
      <c r="K31" s="3037"/>
      <c r="L31" s="3037"/>
      <c r="M31" s="3038"/>
      <c r="R31" s="601" t="s">
        <v>1104</v>
      </c>
    </row>
    <row r="32" spans="2:18" ht="25.2" customHeight="1" x14ac:dyDescent="0.2">
      <c r="B32" s="1068"/>
      <c r="C32" s="1068"/>
      <c r="D32" s="1068"/>
      <c r="E32" s="1068"/>
      <c r="F32" s="1068"/>
      <c r="G32" s="1069"/>
      <c r="H32" s="1070"/>
      <c r="I32" s="1070"/>
      <c r="J32" s="1070"/>
      <c r="K32" s="1070"/>
      <c r="L32" s="1070"/>
      <c r="M32" s="1070"/>
      <c r="R32" s="1068"/>
    </row>
    <row r="33" spans="2:18" ht="25.5" customHeight="1" x14ac:dyDescent="0.2">
      <c r="B33" s="3041" t="s">
        <v>1090</v>
      </c>
      <c r="C33" s="3041"/>
      <c r="D33" s="3041"/>
      <c r="E33" s="3041"/>
      <c r="F33" s="3041"/>
      <c r="G33" s="3041"/>
      <c r="H33" s="3041"/>
      <c r="I33" s="3041"/>
      <c r="J33" s="3041"/>
      <c r="K33" s="3041"/>
      <c r="L33" s="3041"/>
      <c r="M33" s="3041"/>
      <c r="N33" s="3041"/>
      <c r="O33" s="3041"/>
    </row>
    <row r="34" spans="2:18" ht="25.5" customHeight="1" x14ac:dyDescent="0.2">
      <c r="B34" s="3042" t="s">
        <v>1091</v>
      </c>
      <c r="C34" s="3042"/>
      <c r="D34" s="3042"/>
      <c r="E34" s="3042"/>
      <c r="F34" s="3042"/>
      <c r="G34" s="3042"/>
      <c r="H34" s="3042"/>
      <c r="I34" s="3042"/>
      <c r="J34" s="3042"/>
      <c r="K34" s="3042"/>
      <c r="L34" s="3042"/>
      <c r="M34" s="3042"/>
      <c r="N34" s="3042"/>
      <c r="O34" s="3042"/>
    </row>
    <row r="35" spans="2:18" x14ac:dyDescent="0.2">
      <c r="B35" s="3043" t="s">
        <v>1092</v>
      </c>
      <c r="C35" s="3043"/>
      <c r="D35" s="3043"/>
      <c r="E35" s="3043"/>
      <c r="F35" s="3043"/>
      <c r="G35" s="3043"/>
      <c r="H35" s="3043"/>
      <c r="I35" s="3043"/>
      <c r="J35" s="3043"/>
      <c r="K35" s="3043"/>
      <c r="L35" s="3043"/>
      <c r="M35" s="3043"/>
      <c r="N35" s="3043"/>
      <c r="O35" s="3043"/>
    </row>
    <row r="36" spans="2:18" ht="19.5" customHeight="1" x14ac:dyDescent="0.2">
      <c r="B36" s="528" t="s">
        <v>1093</v>
      </c>
    </row>
    <row r="37" spans="2:18" ht="30.75" customHeight="1" x14ac:dyDescent="0.2">
      <c r="B37" s="543"/>
      <c r="C37" s="3039" t="s">
        <v>1094</v>
      </c>
      <c r="D37" s="3039"/>
      <c r="E37" s="3039"/>
      <c r="F37" s="3039"/>
      <c r="G37" s="3039"/>
      <c r="H37" s="3039"/>
      <c r="I37" s="3039"/>
      <c r="J37" s="3039"/>
      <c r="K37" s="3039"/>
      <c r="L37" s="3039"/>
      <c r="M37" s="3039"/>
      <c r="N37" s="3039"/>
      <c r="O37" s="544"/>
    </row>
    <row r="38" spans="2:18" ht="14.25" customHeight="1" thickBot="1" x14ac:dyDescent="0.25">
      <c r="B38" s="545"/>
      <c r="C38" s="1071"/>
      <c r="D38" s="1071"/>
      <c r="E38" s="1071"/>
      <c r="F38" s="1071"/>
      <c r="G38" s="1071"/>
      <c r="H38" s="1071"/>
      <c r="I38" s="1071"/>
      <c r="J38" s="1071"/>
      <c r="K38" s="1071" t="s">
        <v>1095</v>
      </c>
      <c r="L38" s="1071"/>
      <c r="M38" s="1071"/>
      <c r="N38" s="1071"/>
      <c r="O38" s="546"/>
    </row>
    <row r="39" spans="2:18" ht="37.5" customHeight="1" thickBot="1" x14ac:dyDescent="0.25">
      <c r="B39" s="608"/>
      <c r="C39" s="547"/>
      <c r="D39" s="548" t="s">
        <v>1096</v>
      </c>
      <c r="E39" s="1072" t="s">
        <v>1097</v>
      </c>
      <c r="F39" s="1072">
        <v>0.9</v>
      </c>
      <c r="G39" s="1072" t="s">
        <v>1097</v>
      </c>
      <c r="H39" s="547"/>
      <c r="I39" s="1073" t="s">
        <v>1098</v>
      </c>
      <c r="J39" s="1074" t="s">
        <v>410</v>
      </c>
      <c r="K39" s="3027" t="str">
        <f>IF(C39="","",ROUND(C39*F39*H39,2))</f>
        <v/>
      </c>
      <c r="L39" s="3028"/>
      <c r="M39" s="1073" t="s">
        <v>1099</v>
      </c>
      <c r="N39" s="1075"/>
      <c r="O39" s="546"/>
    </row>
    <row r="40" spans="2:18" ht="17.25" customHeight="1" x14ac:dyDescent="0.2">
      <c r="B40" s="608"/>
      <c r="C40" s="1766" t="s">
        <v>1100</v>
      </c>
      <c r="D40" s="1766"/>
      <c r="E40" s="1766"/>
      <c r="F40" s="1766"/>
      <c r="G40" s="1766"/>
      <c r="H40" s="1766"/>
      <c r="I40" s="1766"/>
      <c r="J40" s="1766"/>
      <c r="K40" s="1766"/>
      <c r="L40" s="1766"/>
      <c r="M40" s="1766"/>
      <c r="N40" s="1766"/>
      <c r="O40" s="3029"/>
    </row>
    <row r="41" spans="2:18" ht="17.25" customHeight="1" x14ac:dyDescent="0.2">
      <c r="B41" s="549"/>
      <c r="C41" s="605"/>
      <c r="D41" s="605"/>
      <c r="E41" s="605"/>
      <c r="F41" s="605"/>
      <c r="G41" s="605"/>
      <c r="H41" s="605"/>
      <c r="I41" s="605"/>
      <c r="J41" s="550"/>
      <c r="K41" s="605"/>
      <c r="L41" s="605"/>
      <c r="M41" s="605"/>
      <c r="N41" s="603"/>
      <c r="O41" s="604"/>
      <c r="P41" s="1076"/>
    </row>
    <row r="42" spans="2:18" ht="13.5" customHeight="1" x14ac:dyDescent="0.2">
      <c r="B42" s="611"/>
      <c r="E42" s="1067"/>
      <c r="F42" s="611"/>
      <c r="G42" s="611"/>
      <c r="H42" s="611"/>
      <c r="I42" s="611"/>
      <c r="J42" s="611"/>
      <c r="K42" s="611"/>
    </row>
    <row r="43" spans="2:18" ht="25.2" customHeight="1" x14ac:dyDescent="0.2">
      <c r="B43" s="3030" t="s">
        <v>1101</v>
      </c>
      <c r="C43" s="3031"/>
      <c r="D43" s="3031"/>
      <c r="E43" s="3031"/>
      <c r="F43" s="3031"/>
      <c r="G43" s="3031"/>
      <c r="H43" s="3031"/>
      <c r="I43" s="3031"/>
      <c r="J43" s="3031"/>
      <c r="K43" s="3031"/>
      <c r="L43" s="3031"/>
      <c r="M43" s="3031"/>
      <c r="N43" s="3031"/>
      <c r="O43" s="3031"/>
    </row>
    <row r="44" spans="2:18" ht="7.5" customHeight="1" x14ac:dyDescent="0.2"/>
    <row r="45" spans="2:18" ht="25.2" customHeight="1" x14ac:dyDescent="0.2">
      <c r="B45" s="3032" t="s">
        <v>1102</v>
      </c>
      <c r="C45" s="3032"/>
      <c r="D45" s="3032"/>
      <c r="E45" s="3032"/>
      <c r="F45" s="3032"/>
      <c r="G45" s="551" t="str">
        <f>IF($K$39&lt;=750,$R$45,$R$46)</f>
        <v>-</v>
      </c>
      <c r="H45" s="3033" t="s">
        <v>1103</v>
      </c>
      <c r="I45" s="3034"/>
      <c r="J45" s="3034"/>
      <c r="K45" s="3034"/>
      <c r="L45" s="3034"/>
      <c r="M45" s="3035"/>
      <c r="R45" s="601" t="s">
        <v>624</v>
      </c>
    </row>
    <row r="46" spans="2:18" ht="25.2" customHeight="1" x14ac:dyDescent="0.2">
      <c r="B46" s="3032" t="s">
        <v>1842</v>
      </c>
      <c r="C46" s="3032"/>
      <c r="D46" s="3032"/>
      <c r="E46" s="3032"/>
      <c r="F46" s="3032"/>
      <c r="G46" s="551" t="str">
        <f>IF($K$39&gt;750,$R$45,$R$46)</f>
        <v>〇</v>
      </c>
      <c r="H46" s="3036" t="s">
        <v>1843</v>
      </c>
      <c r="I46" s="3037"/>
      <c r="J46" s="3037"/>
      <c r="K46" s="3037"/>
      <c r="L46" s="3037"/>
      <c r="M46" s="3038"/>
      <c r="R46" s="601" t="s">
        <v>1104</v>
      </c>
    </row>
    <row r="47" spans="2:18" ht="25.2" customHeight="1" x14ac:dyDescent="0.2">
      <c r="B47" s="12"/>
      <c r="C47" s="12"/>
      <c r="D47" s="12"/>
      <c r="E47" s="12"/>
      <c r="F47" s="12"/>
      <c r="G47" s="1077"/>
      <c r="H47" s="1078"/>
      <c r="I47" s="1078"/>
      <c r="J47" s="1078"/>
      <c r="K47" s="1078"/>
      <c r="L47" s="1078"/>
      <c r="M47" s="1078"/>
      <c r="N47" s="2"/>
      <c r="O47" s="2"/>
      <c r="R47" s="1068"/>
    </row>
    <row r="48" spans="2:18" ht="25.2" customHeight="1" x14ac:dyDescent="0.2">
      <c r="B48" s="1329" t="s">
        <v>1844</v>
      </c>
      <c r="C48" s="1329"/>
      <c r="D48" s="1329"/>
      <c r="E48" s="1329"/>
      <c r="F48" s="1329"/>
      <c r="G48" s="1329"/>
      <c r="H48" s="1329"/>
      <c r="I48" s="1329"/>
      <c r="J48" s="1329"/>
      <c r="K48" s="1329"/>
      <c r="L48" s="1329"/>
      <c r="M48" s="1329"/>
      <c r="N48" s="1329"/>
      <c r="O48" s="1329"/>
      <c r="R48" s="1068"/>
    </row>
    <row r="49" spans="2:18" ht="45" customHeight="1" x14ac:dyDescent="0.2">
      <c r="B49" s="1463" t="s">
        <v>1845</v>
      </c>
      <c r="C49" s="1463"/>
      <c r="D49" s="1463"/>
      <c r="E49" s="1463"/>
      <c r="F49" s="1463"/>
      <c r="G49" s="1463"/>
      <c r="H49" s="1463"/>
      <c r="I49" s="1463"/>
      <c r="J49" s="1463"/>
      <c r="K49" s="1463"/>
      <c r="L49" s="1463"/>
      <c r="M49" s="1463"/>
      <c r="N49" s="1463"/>
      <c r="O49" s="1463"/>
      <c r="R49" s="1068"/>
    </row>
    <row r="50" spans="2:18" ht="63" customHeight="1" x14ac:dyDescent="0.2">
      <c r="B50" s="1463" t="s">
        <v>1846</v>
      </c>
      <c r="C50" s="1463"/>
      <c r="D50" s="1463"/>
      <c r="E50" s="1463"/>
      <c r="F50" s="1463"/>
      <c r="G50" s="1463"/>
      <c r="H50" s="1463"/>
      <c r="I50" s="1463"/>
      <c r="J50" s="1463"/>
      <c r="K50" s="1463"/>
      <c r="L50" s="1463"/>
      <c r="M50" s="1463"/>
      <c r="N50" s="1463"/>
      <c r="O50" s="1463"/>
      <c r="R50" s="1068"/>
    </row>
    <row r="51" spans="2:18" ht="7.5" customHeight="1" x14ac:dyDescent="0.2"/>
  </sheetData>
  <mergeCells count="48">
    <mergeCell ref="B2:O2"/>
    <mergeCell ref="B4:O4"/>
    <mergeCell ref="B6:O6"/>
    <mergeCell ref="B7:O7"/>
    <mergeCell ref="N9:N10"/>
    <mergeCell ref="O9:O10"/>
    <mergeCell ref="N12:O12"/>
    <mergeCell ref="B13:O13"/>
    <mergeCell ref="C16:E16"/>
    <mergeCell ref="F16:H16"/>
    <mergeCell ref="J16:L16"/>
    <mergeCell ref="M16:O16"/>
    <mergeCell ref="C17:E17"/>
    <mergeCell ref="F17:H17"/>
    <mergeCell ref="J17:L17"/>
    <mergeCell ref="M17:O17"/>
    <mergeCell ref="C18:E18"/>
    <mergeCell ref="F18:H18"/>
    <mergeCell ref="J18:L18"/>
    <mergeCell ref="M18:O18"/>
    <mergeCell ref="C19:E19"/>
    <mergeCell ref="F19:H19"/>
    <mergeCell ref="J19:L19"/>
    <mergeCell ref="C20:E20"/>
    <mergeCell ref="F20:H20"/>
    <mergeCell ref="J20:L20"/>
    <mergeCell ref="C37:N37"/>
    <mergeCell ref="B22:O22"/>
    <mergeCell ref="B24:O24"/>
    <mergeCell ref="B26:O26"/>
    <mergeCell ref="B28:O28"/>
    <mergeCell ref="B30:F30"/>
    <mergeCell ref="H30:M30"/>
    <mergeCell ref="B31:F31"/>
    <mergeCell ref="H31:M31"/>
    <mergeCell ref="B33:O33"/>
    <mergeCell ref="B34:O34"/>
    <mergeCell ref="B35:O35"/>
    <mergeCell ref="B48:O48"/>
    <mergeCell ref="B49:O49"/>
    <mergeCell ref="B50:O50"/>
    <mergeCell ref="K39:L39"/>
    <mergeCell ref="C40:O40"/>
    <mergeCell ref="B43:O43"/>
    <mergeCell ref="B45:F45"/>
    <mergeCell ref="H45:M45"/>
    <mergeCell ref="B46:F46"/>
    <mergeCell ref="H46:M46"/>
  </mergeCells>
  <phoneticPr fontId="2"/>
  <pageMargins left="0.7" right="0.7" top="0.75" bottom="0.75" header="0.3" footer="0.3"/>
  <pageSetup paperSize="9" scale="70" orientation="portrait" r:id="rId1"/>
  <colBreaks count="1" manualBreakCount="1">
    <brk id="16"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B1:AO130"/>
  <sheetViews>
    <sheetView showGridLines="0" view="pageBreakPreview" zoomScaleNormal="100" workbookViewId="0">
      <selection activeCell="B3" sqref="B3"/>
    </sheetView>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102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52" t="s">
        <v>77</v>
      </c>
      <c r="AA3" s="1353"/>
      <c r="AB3" s="1353"/>
      <c r="AC3" s="1353"/>
      <c r="AD3" s="1354"/>
      <c r="AE3" s="1338"/>
      <c r="AF3" s="1339"/>
      <c r="AG3" s="1339"/>
      <c r="AH3" s="1339"/>
      <c r="AI3" s="1339"/>
      <c r="AJ3" s="1339"/>
      <c r="AK3" s="1339"/>
      <c r="AL3" s="1340"/>
      <c r="AM3" s="20"/>
      <c r="AN3" s="1"/>
    </row>
    <row r="4" spans="2:40" s="2" customFormat="1" x14ac:dyDescent="0.2">
      <c r="AN4" s="21"/>
    </row>
    <row r="5" spans="2:40" s="2" customFormat="1" x14ac:dyDescent="0.2">
      <c r="B5" s="1456" t="s">
        <v>41</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c r="AF5" s="1456"/>
      <c r="AG5" s="1456"/>
      <c r="AH5" s="1456"/>
      <c r="AI5" s="1456"/>
      <c r="AJ5" s="1456"/>
      <c r="AK5" s="1456"/>
      <c r="AL5" s="1456"/>
    </row>
    <row r="6" spans="2:40" s="2" customFormat="1" ht="13.5" customHeight="1" x14ac:dyDescent="0.2">
      <c r="AC6" s="1"/>
      <c r="AD6" s="45"/>
      <c r="AE6" s="45" t="s">
        <v>28</v>
      </c>
      <c r="AH6" s="2" t="s">
        <v>34</v>
      </c>
      <c r="AJ6" s="2" t="s">
        <v>30</v>
      </c>
      <c r="AL6" s="2" t="s">
        <v>29</v>
      </c>
    </row>
    <row r="7" spans="2:40" s="2" customFormat="1" x14ac:dyDescent="0.2">
      <c r="B7" s="1456" t="s">
        <v>78</v>
      </c>
      <c r="C7" s="1456"/>
      <c r="D7" s="1456"/>
      <c r="E7" s="1456"/>
      <c r="F7" s="1456"/>
      <c r="G7" s="1456"/>
      <c r="H7" s="1456"/>
      <c r="I7" s="1456"/>
      <c r="J7" s="1456"/>
      <c r="K7" s="12"/>
      <c r="L7" s="12"/>
      <c r="M7" s="12"/>
      <c r="N7" s="12"/>
      <c r="O7" s="12"/>
      <c r="P7" s="12"/>
      <c r="Q7" s="12"/>
      <c r="R7" s="12"/>
      <c r="S7" s="12"/>
      <c r="T7" s="12"/>
    </row>
    <row r="8" spans="2:40" s="2" customFormat="1" x14ac:dyDescent="0.2">
      <c r="AC8" s="1" t="s">
        <v>70</v>
      </c>
    </row>
    <row r="9" spans="2:40" s="2" customFormat="1" x14ac:dyDescent="0.2">
      <c r="C9" s="1" t="s">
        <v>42</v>
      </c>
      <c r="D9" s="1"/>
    </row>
    <row r="10" spans="2:40" s="2" customFormat="1" ht="6.75" customHeight="1" x14ac:dyDescent="0.2">
      <c r="C10" s="1"/>
      <c r="D10" s="1"/>
    </row>
    <row r="11" spans="2:40" s="2" customFormat="1" ht="14.25" customHeight="1" x14ac:dyDescent="0.2">
      <c r="B11" s="1362" t="s">
        <v>79</v>
      </c>
      <c r="C11" s="1443" t="s">
        <v>7</v>
      </c>
      <c r="D11" s="1433"/>
      <c r="E11" s="1433"/>
      <c r="F11" s="1433"/>
      <c r="G11" s="1433"/>
      <c r="H11" s="1433"/>
      <c r="I11" s="1433"/>
      <c r="J11" s="1433"/>
      <c r="K11" s="306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63"/>
      <c r="C12" s="1462" t="s">
        <v>80</v>
      </c>
      <c r="D12" s="1463"/>
      <c r="E12" s="1463"/>
      <c r="F12" s="1463"/>
      <c r="G12" s="1463"/>
      <c r="H12" s="1463"/>
      <c r="I12" s="1463"/>
      <c r="J12" s="1463"/>
      <c r="K12" s="146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63"/>
      <c r="C13" s="1443" t="s">
        <v>8</v>
      </c>
      <c r="D13" s="1433"/>
      <c r="E13" s="1433"/>
      <c r="F13" s="1433"/>
      <c r="G13" s="1433"/>
      <c r="H13" s="1433"/>
      <c r="I13" s="1433"/>
      <c r="J13" s="1433"/>
      <c r="K13" s="1434"/>
      <c r="L13" s="3070" t="s">
        <v>81</v>
      </c>
      <c r="M13" s="3071"/>
      <c r="N13" s="3071"/>
      <c r="O13" s="3071"/>
      <c r="P13" s="3071"/>
      <c r="Q13" s="3071"/>
      <c r="R13" s="3071"/>
      <c r="S13" s="3071"/>
      <c r="T13" s="3071"/>
      <c r="U13" s="3071"/>
      <c r="V13" s="3071"/>
      <c r="W13" s="3071"/>
      <c r="X13" s="3071"/>
      <c r="Y13" s="3071"/>
      <c r="Z13" s="3071"/>
      <c r="AA13" s="3071"/>
      <c r="AB13" s="3071"/>
      <c r="AC13" s="3071"/>
      <c r="AD13" s="3071"/>
      <c r="AE13" s="3071"/>
      <c r="AF13" s="3071"/>
      <c r="AG13" s="3071"/>
      <c r="AH13" s="3071"/>
      <c r="AI13" s="3071"/>
      <c r="AJ13" s="3071"/>
      <c r="AK13" s="3071"/>
      <c r="AL13" s="3072"/>
    </row>
    <row r="14" spans="2:40" s="2" customFormat="1" x14ac:dyDescent="0.2">
      <c r="B14" s="1363"/>
      <c r="C14" s="1462"/>
      <c r="D14" s="1463"/>
      <c r="E14" s="1463"/>
      <c r="F14" s="1463"/>
      <c r="G14" s="1463"/>
      <c r="H14" s="1463"/>
      <c r="I14" s="1463"/>
      <c r="J14" s="1463"/>
      <c r="K14" s="1466"/>
      <c r="L14" s="3073" t="s">
        <v>82</v>
      </c>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3074"/>
    </row>
    <row r="15" spans="2:40" s="2" customFormat="1" x14ac:dyDescent="0.2">
      <c r="B15" s="1363"/>
      <c r="C15" s="1447"/>
      <c r="D15" s="1448"/>
      <c r="E15" s="1448"/>
      <c r="F15" s="1448"/>
      <c r="G15" s="1448"/>
      <c r="H15" s="1448"/>
      <c r="I15" s="1448"/>
      <c r="J15" s="1448"/>
      <c r="K15" s="1449"/>
      <c r="L15" s="1467" t="s">
        <v>83</v>
      </c>
      <c r="M15" s="1468"/>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c r="AL15" s="1469"/>
    </row>
    <row r="16" spans="2:40" s="2" customFormat="1" ht="14.25" customHeight="1" x14ac:dyDescent="0.2">
      <c r="B16" s="1363"/>
      <c r="C16" s="1470" t="s">
        <v>84</v>
      </c>
      <c r="D16" s="1471"/>
      <c r="E16" s="1471"/>
      <c r="F16" s="1471"/>
      <c r="G16" s="1471"/>
      <c r="H16" s="1471"/>
      <c r="I16" s="1471"/>
      <c r="J16" s="1471"/>
      <c r="K16" s="1472"/>
      <c r="L16" s="1352" t="s">
        <v>9</v>
      </c>
      <c r="M16" s="1353"/>
      <c r="N16" s="1353"/>
      <c r="O16" s="1353"/>
      <c r="P16" s="1354"/>
      <c r="Q16" s="24"/>
      <c r="R16" s="25"/>
      <c r="S16" s="25"/>
      <c r="T16" s="25"/>
      <c r="U16" s="25"/>
      <c r="V16" s="25"/>
      <c r="W16" s="25"/>
      <c r="X16" s="25"/>
      <c r="Y16" s="26"/>
      <c r="Z16" s="1431" t="s">
        <v>10</v>
      </c>
      <c r="AA16" s="1432"/>
      <c r="AB16" s="1432"/>
      <c r="AC16" s="1432"/>
      <c r="AD16" s="1450"/>
      <c r="AE16" s="28"/>
      <c r="AF16" s="32"/>
      <c r="AG16" s="22"/>
      <c r="AH16" s="22"/>
      <c r="AI16" s="22"/>
      <c r="AJ16" s="3071"/>
      <c r="AK16" s="3071"/>
      <c r="AL16" s="3072"/>
    </row>
    <row r="17" spans="2:40" ht="14.25" customHeight="1" x14ac:dyDescent="0.2">
      <c r="B17" s="1363"/>
      <c r="C17" s="3075" t="s">
        <v>53</v>
      </c>
      <c r="D17" s="1391"/>
      <c r="E17" s="1391"/>
      <c r="F17" s="1391"/>
      <c r="G17" s="1391"/>
      <c r="H17" s="1391"/>
      <c r="I17" s="1391"/>
      <c r="J17" s="1391"/>
      <c r="K17" s="3076"/>
      <c r="L17" s="27"/>
      <c r="M17" s="27"/>
      <c r="N17" s="27"/>
      <c r="O17" s="27"/>
      <c r="P17" s="27"/>
      <c r="Q17" s="27"/>
      <c r="R17" s="27"/>
      <c r="S17" s="27"/>
      <c r="U17" s="1352" t="s">
        <v>11</v>
      </c>
      <c r="V17" s="1353"/>
      <c r="W17" s="1353"/>
      <c r="X17" s="1353"/>
      <c r="Y17" s="1354"/>
      <c r="Z17" s="18"/>
      <c r="AA17" s="19"/>
      <c r="AB17" s="19"/>
      <c r="AC17" s="19"/>
      <c r="AD17" s="19"/>
      <c r="AE17" s="3077"/>
      <c r="AF17" s="3077"/>
      <c r="AG17" s="3077"/>
      <c r="AH17" s="3077"/>
      <c r="AI17" s="3077"/>
      <c r="AJ17" s="3077"/>
      <c r="AK17" s="3077"/>
      <c r="AL17" s="17"/>
      <c r="AN17" s="3"/>
    </row>
    <row r="18" spans="2:40" ht="14.25" customHeight="1" x14ac:dyDescent="0.2">
      <c r="B18" s="1363"/>
      <c r="C18" s="1355" t="s">
        <v>12</v>
      </c>
      <c r="D18" s="1355"/>
      <c r="E18" s="1355"/>
      <c r="F18" s="1355"/>
      <c r="G18" s="1355"/>
      <c r="H18" s="3078"/>
      <c r="I18" s="3078"/>
      <c r="J18" s="3078"/>
      <c r="K18" s="3079"/>
      <c r="L18" s="1352" t="s">
        <v>13</v>
      </c>
      <c r="M18" s="1353"/>
      <c r="N18" s="1353"/>
      <c r="O18" s="1353"/>
      <c r="P18" s="1354"/>
      <c r="Q18" s="29"/>
      <c r="R18" s="30"/>
      <c r="S18" s="30"/>
      <c r="T18" s="30"/>
      <c r="U18" s="30"/>
      <c r="V18" s="30"/>
      <c r="W18" s="30"/>
      <c r="X18" s="30"/>
      <c r="Y18" s="31"/>
      <c r="Z18" s="1345" t="s">
        <v>14</v>
      </c>
      <c r="AA18" s="1345"/>
      <c r="AB18" s="1345"/>
      <c r="AC18" s="1345"/>
      <c r="AD18" s="1346"/>
      <c r="AE18" s="15"/>
      <c r="AF18" s="16"/>
      <c r="AG18" s="16"/>
      <c r="AH18" s="16"/>
      <c r="AI18" s="16"/>
      <c r="AJ18" s="16"/>
      <c r="AK18" s="16"/>
      <c r="AL18" s="17"/>
      <c r="AN18" s="3"/>
    </row>
    <row r="19" spans="2:40" ht="13.5" customHeight="1" x14ac:dyDescent="0.2">
      <c r="B19" s="1363"/>
      <c r="C19" s="1430" t="s">
        <v>15</v>
      </c>
      <c r="D19" s="1430"/>
      <c r="E19" s="1430"/>
      <c r="F19" s="1430"/>
      <c r="G19" s="1430"/>
      <c r="H19" s="3080"/>
      <c r="I19" s="3080"/>
      <c r="J19" s="3080"/>
      <c r="K19" s="3080"/>
      <c r="L19" s="3070" t="s">
        <v>81</v>
      </c>
      <c r="M19" s="3071"/>
      <c r="N19" s="3071"/>
      <c r="O19" s="3071"/>
      <c r="P19" s="3071"/>
      <c r="Q19" s="3071"/>
      <c r="R19" s="3071"/>
      <c r="S19" s="3071"/>
      <c r="T19" s="3071"/>
      <c r="U19" s="3071"/>
      <c r="V19" s="3071"/>
      <c r="W19" s="3071"/>
      <c r="X19" s="3071"/>
      <c r="Y19" s="3071"/>
      <c r="Z19" s="3071"/>
      <c r="AA19" s="3071"/>
      <c r="AB19" s="3071"/>
      <c r="AC19" s="3071"/>
      <c r="AD19" s="3071"/>
      <c r="AE19" s="3071"/>
      <c r="AF19" s="3071"/>
      <c r="AG19" s="3071"/>
      <c r="AH19" s="3071"/>
      <c r="AI19" s="3071"/>
      <c r="AJ19" s="3071"/>
      <c r="AK19" s="3071"/>
      <c r="AL19" s="3072"/>
      <c r="AN19" s="3"/>
    </row>
    <row r="20" spans="2:40" ht="14.25" customHeight="1" x14ac:dyDescent="0.2">
      <c r="B20" s="1363"/>
      <c r="C20" s="1430"/>
      <c r="D20" s="1430"/>
      <c r="E20" s="1430"/>
      <c r="F20" s="1430"/>
      <c r="G20" s="1430"/>
      <c r="H20" s="3080"/>
      <c r="I20" s="3080"/>
      <c r="J20" s="3080"/>
      <c r="K20" s="3080"/>
      <c r="L20" s="3073" t="s">
        <v>82</v>
      </c>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3074"/>
      <c r="AN20" s="3"/>
    </row>
    <row r="21" spans="2:40" x14ac:dyDescent="0.2">
      <c r="B21" s="1364"/>
      <c r="C21" s="1452"/>
      <c r="D21" s="1452"/>
      <c r="E21" s="1452"/>
      <c r="F21" s="1452"/>
      <c r="G21" s="1452"/>
      <c r="H21" s="3081"/>
      <c r="I21" s="3081"/>
      <c r="J21" s="3081"/>
      <c r="K21" s="3081"/>
      <c r="L21" s="3082"/>
      <c r="M21" s="3083"/>
      <c r="N21" s="3083"/>
      <c r="O21" s="3083"/>
      <c r="P21" s="3083"/>
      <c r="Q21" s="3083"/>
      <c r="R21" s="3083"/>
      <c r="S21" s="3083"/>
      <c r="T21" s="3083"/>
      <c r="U21" s="3083"/>
      <c r="V21" s="3083"/>
      <c r="W21" s="3083"/>
      <c r="X21" s="3083"/>
      <c r="Y21" s="3083"/>
      <c r="Z21" s="3083"/>
      <c r="AA21" s="3083"/>
      <c r="AB21" s="3083"/>
      <c r="AC21" s="3083"/>
      <c r="AD21" s="3083"/>
      <c r="AE21" s="3083"/>
      <c r="AF21" s="3083"/>
      <c r="AG21" s="3083"/>
      <c r="AH21" s="3083"/>
      <c r="AI21" s="3083"/>
      <c r="AJ21" s="3083"/>
      <c r="AK21" s="3083"/>
      <c r="AL21" s="3084"/>
      <c r="AN21" s="3"/>
    </row>
    <row r="22" spans="2:40" ht="13.5" customHeight="1" x14ac:dyDescent="0.2">
      <c r="B22" s="1376" t="s">
        <v>85</v>
      </c>
      <c r="C22" s="1443" t="s">
        <v>99</v>
      </c>
      <c r="D22" s="1433"/>
      <c r="E22" s="1433"/>
      <c r="F22" s="1433"/>
      <c r="G22" s="1433"/>
      <c r="H22" s="1433"/>
      <c r="I22" s="1433"/>
      <c r="J22" s="1433"/>
      <c r="K22" s="1434"/>
      <c r="L22" s="3070" t="s">
        <v>81</v>
      </c>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1"/>
      <c r="AJ22" s="3071"/>
      <c r="AK22" s="3071"/>
      <c r="AL22" s="3072"/>
      <c r="AN22" s="3"/>
    </row>
    <row r="23" spans="2:40" ht="14.25" customHeight="1" x14ac:dyDescent="0.2">
      <c r="B23" s="1377"/>
      <c r="C23" s="1462"/>
      <c r="D23" s="1463"/>
      <c r="E23" s="1463"/>
      <c r="F23" s="1463"/>
      <c r="G23" s="1463"/>
      <c r="H23" s="1463"/>
      <c r="I23" s="1463"/>
      <c r="J23" s="1463"/>
      <c r="K23" s="1466"/>
      <c r="L23" s="3073" t="s">
        <v>82</v>
      </c>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3074"/>
      <c r="AN23" s="3"/>
    </row>
    <row r="24" spans="2:40" x14ac:dyDescent="0.2">
      <c r="B24" s="1377"/>
      <c r="C24" s="1447"/>
      <c r="D24" s="1448"/>
      <c r="E24" s="1448"/>
      <c r="F24" s="1448"/>
      <c r="G24" s="1448"/>
      <c r="H24" s="1448"/>
      <c r="I24" s="1448"/>
      <c r="J24" s="1448"/>
      <c r="K24" s="1449"/>
      <c r="L24" s="3082"/>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4"/>
      <c r="AN24" s="3"/>
    </row>
    <row r="25" spans="2:40" ht="14.25" customHeight="1" x14ac:dyDescent="0.2">
      <c r="B25" s="1377"/>
      <c r="C25" s="1430" t="s">
        <v>84</v>
      </c>
      <c r="D25" s="1430"/>
      <c r="E25" s="1430"/>
      <c r="F25" s="1430"/>
      <c r="G25" s="1430"/>
      <c r="H25" s="1430"/>
      <c r="I25" s="1430"/>
      <c r="J25" s="1430"/>
      <c r="K25" s="1430"/>
      <c r="L25" s="1352" t="s">
        <v>9</v>
      </c>
      <c r="M25" s="1353"/>
      <c r="N25" s="1353"/>
      <c r="O25" s="1353"/>
      <c r="P25" s="1354"/>
      <c r="Q25" s="24"/>
      <c r="R25" s="25"/>
      <c r="S25" s="25"/>
      <c r="T25" s="25"/>
      <c r="U25" s="25"/>
      <c r="V25" s="25"/>
      <c r="W25" s="25"/>
      <c r="X25" s="25"/>
      <c r="Y25" s="26"/>
      <c r="Z25" s="1431" t="s">
        <v>10</v>
      </c>
      <c r="AA25" s="1432"/>
      <c r="AB25" s="1432"/>
      <c r="AC25" s="1432"/>
      <c r="AD25" s="1450"/>
      <c r="AE25" s="28"/>
      <c r="AF25" s="32"/>
      <c r="AG25" s="22"/>
      <c r="AH25" s="22"/>
      <c r="AI25" s="22"/>
      <c r="AJ25" s="3071"/>
      <c r="AK25" s="3071"/>
      <c r="AL25" s="3072"/>
      <c r="AN25" s="3"/>
    </row>
    <row r="26" spans="2:40" ht="13.5" customHeight="1" x14ac:dyDescent="0.2">
      <c r="B26" s="1377"/>
      <c r="C26" s="1441" t="s">
        <v>16</v>
      </c>
      <c r="D26" s="1441"/>
      <c r="E26" s="1441"/>
      <c r="F26" s="1441"/>
      <c r="G26" s="1441"/>
      <c r="H26" s="1441"/>
      <c r="I26" s="1441"/>
      <c r="J26" s="1441"/>
      <c r="K26" s="1441"/>
      <c r="L26" s="3070" t="s">
        <v>81</v>
      </c>
      <c r="M26" s="3071"/>
      <c r="N26" s="3071"/>
      <c r="O26" s="3071"/>
      <c r="P26" s="3071"/>
      <c r="Q26" s="3071"/>
      <c r="R26" s="3071"/>
      <c r="S26" s="3071"/>
      <c r="T26" s="3071"/>
      <c r="U26" s="3071"/>
      <c r="V26" s="3071"/>
      <c r="W26" s="3071"/>
      <c r="X26" s="3071"/>
      <c r="Y26" s="3071"/>
      <c r="Z26" s="3071"/>
      <c r="AA26" s="3071"/>
      <c r="AB26" s="3071"/>
      <c r="AC26" s="3071"/>
      <c r="AD26" s="3071"/>
      <c r="AE26" s="3071"/>
      <c r="AF26" s="3071"/>
      <c r="AG26" s="3071"/>
      <c r="AH26" s="3071"/>
      <c r="AI26" s="3071"/>
      <c r="AJ26" s="3071"/>
      <c r="AK26" s="3071"/>
      <c r="AL26" s="3072"/>
      <c r="AN26" s="3"/>
    </row>
    <row r="27" spans="2:40" ht="14.25" customHeight="1" x14ac:dyDescent="0.2">
      <c r="B27" s="1377"/>
      <c r="C27" s="1441"/>
      <c r="D27" s="1441"/>
      <c r="E27" s="1441"/>
      <c r="F27" s="1441"/>
      <c r="G27" s="1441"/>
      <c r="H27" s="1441"/>
      <c r="I27" s="1441"/>
      <c r="J27" s="1441"/>
      <c r="K27" s="1441"/>
      <c r="L27" s="3073" t="s">
        <v>82</v>
      </c>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3074"/>
      <c r="AN27" s="3"/>
    </row>
    <row r="28" spans="2:40" x14ac:dyDescent="0.2">
      <c r="B28" s="1377"/>
      <c r="C28" s="1441"/>
      <c r="D28" s="1441"/>
      <c r="E28" s="1441"/>
      <c r="F28" s="1441"/>
      <c r="G28" s="1441"/>
      <c r="H28" s="1441"/>
      <c r="I28" s="1441"/>
      <c r="J28" s="1441"/>
      <c r="K28" s="1441"/>
      <c r="L28" s="3082"/>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4"/>
      <c r="AN28" s="3"/>
    </row>
    <row r="29" spans="2:40" ht="14.25" customHeight="1" x14ac:dyDescent="0.2">
      <c r="B29" s="1377"/>
      <c r="C29" s="1430" t="s">
        <v>84</v>
      </c>
      <c r="D29" s="1430"/>
      <c r="E29" s="1430"/>
      <c r="F29" s="1430"/>
      <c r="G29" s="1430"/>
      <c r="H29" s="1430"/>
      <c r="I29" s="1430"/>
      <c r="J29" s="1430"/>
      <c r="K29" s="1430"/>
      <c r="L29" s="1352" t="s">
        <v>9</v>
      </c>
      <c r="M29" s="1353"/>
      <c r="N29" s="1353"/>
      <c r="O29" s="1353"/>
      <c r="P29" s="1354"/>
      <c r="Q29" s="28"/>
      <c r="R29" s="32"/>
      <c r="S29" s="32"/>
      <c r="T29" s="32"/>
      <c r="U29" s="32"/>
      <c r="V29" s="32"/>
      <c r="W29" s="32"/>
      <c r="X29" s="32"/>
      <c r="Y29" s="33"/>
      <c r="Z29" s="1431" t="s">
        <v>10</v>
      </c>
      <c r="AA29" s="1432"/>
      <c r="AB29" s="1432"/>
      <c r="AC29" s="1432"/>
      <c r="AD29" s="1450"/>
      <c r="AE29" s="28"/>
      <c r="AF29" s="32"/>
      <c r="AG29" s="22"/>
      <c r="AH29" s="22"/>
      <c r="AI29" s="22"/>
      <c r="AJ29" s="3071"/>
      <c r="AK29" s="3071"/>
      <c r="AL29" s="3072"/>
      <c r="AN29" s="3"/>
    </row>
    <row r="30" spans="2:40" ht="14.25" customHeight="1" x14ac:dyDescent="0.2">
      <c r="B30" s="1377"/>
      <c r="C30" s="1430" t="s">
        <v>17</v>
      </c>
      <c r="D30" s="1430"/>
      <c r="E30" s="1430"/>
      <c r="F30" s="1430"/>
      <c r="G30" s="1430"/>
      <c r="H30" s="1430"/>
      <c r="I30" s="1430"/>
      <c r="J30" s="1430"/>
      <c r="K30" s="1430"/>
      <c r="L30" s="3085"/>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N30" s="3"/>
    </row>
    <row r="31" spans="2:40" ht="13.5" customHeight="1" x14ac:dyDescent="0.2">
      <c r="B31" s="1377"/>
      <c r="C31" s="1430" t="s">
        <v>18</v>
      </c>
      <c r="D31" s="1430"/>
      <c r="E31" s="1430"/>
      <c r="F31" s="1430"/>
      <c r="G31" s="1430"/>
      <c r="H31" s="1430"/>
      <c r="I31" s="1430"/>
      <c r="J31" s="1430"/>
      <c r="K31" s="1430"/>
      <c r="L31" s="3070" t="s">
        <v>81</v>
      </c>
      <c r="M31" s="3071"/>
      <c r="N31" s="3071"/>
      <c r="O31" s="3071"/>
      <c r="P31" s="3071"/>
      <c r="Q31" s="3071"/>
      <c r="R31" s="3071"/>
      <c r="S31" s="3071"/>
      <c r="T31" s="3071"/>
      <c r="U31" s="3071"/>
      <c r="V31" s="3071"/>
      <c r="W31" s="3071"/>
      <c r="X31" s="3071"/>
      <c r="Y31" s="3071"/>
      <c r="Z31" s="3071"/>
      <c r="AA31" s="3071"/>
      <c r="AB31" s="3071"/>
      <c r="AC31" s="3071"/>
      <c r="AD31" s="3071"/>
      <c r="AE31" s="3071"/>
      <c r="AF31" s="3071"/>
      <c r="AG31" s="3071"/>
      <c r="AH31" s="3071"/>
      <c r="AI31" s="3071"/>
      <c r="AJ31" s="3071"/>
      <c r="AK31" s="3071"/>
      <c r="AL31" s="3072"/>
      <c r="AN31" s="3"/>
    </row>
    <row r="32" spans="2:40" ht="14.25" customHeight="1" x14ac:dyDescent="0.2">
      <c r="B32" s="1377"/>
      <c r="C32" s="1430"/>
      <c r="D32" s="1430"/>
      <c r="E32" s="1430"/>
      <c r="F32" s="1430"/>
      <c r="G32" s="1430"/>
      <c r="H32" s="1430"/>
      <c r="I32" s="1430"/>
      <c r="J32" s="1430"/>
      <c r="K32" s="1430"/>
      <c r="L32" s="3073" t="s">
        <v>82</v>
      </c>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3074"/>
      <c r="AN32" s="3"/>
    </row>
    <row r="33" spans="2:40" x14ac:dyDescent="0.2">
      <c r="B33" s="1378"/>
      <c r="C33" s="1430"/>
      <c r="D33" s="1430"/>
      <c r="E33" s="1430"/>
      <c r="F33" s="1430"/>
      <c r="G33" s="1430"/>
      <c r="H33" s="1430"/>
      <c r="I33" s="1430"/>
      <c r="J33" s="1430"/>
      <c r="K33" s="1430"/>
      <c r="L33" s="3082"/>
      <c r="M33" s="3083"/>
      <c r="N33" s="1468"/>
      <c r="O33" s="1468"/>
      <c r="P33" s="1468"/>
      <c r="Q33" s="1468"/>
      <c r="R33" s="1468"/>
      <c r="S33" s="1468"/>
      <c r="T33" s="1468"/>
      <c r="U33" s="1468"/>
      <c r="V33" s="1468"/>
      <c r="W33" s="1468"/>
      <c r="X33" s="1468"/>
      <c r="Y33" s="1468"/>
      <c r="Z33" s="1468"/>
      <c r="AA33" s="1468"/>
      <c r="AB33" s="1468"/>
      <c r="AC33" s="3083"/>
      <c r="AD33" s="3083"/>
      <c r="AE33" s="3083"/>
      <c r="AF33" s="3083"/>
      <c r="AG33" s="3083"/>
      <c r="AH33" s="1468"/>
      <c r="AI33" s="1468"/>
      <c r="AJ33" s="1468"/>
      <c r="AK33" s="1468"/>
      <c r="AL33" s="1469"/>
      <c r="AN33" s="3"/>
    </row>
    <row r="34" spans="2:40" ht="13.5" customHeight="1" x14ac:dyDescent="0.2">
      <c r="B34" s="1376" t="s">
        <v>43</v>
      </c>
      <c r="C34" s="1366" t="s">
        <v>86</v>
      </c>
      <c r="D34" s="1367"/>
      <c r="E34" s="1367"/>
      <c r="F34" s="1367"/>
      <c r="G34" s="1367"/>
      <c r="H34" s="1367"/>
      <c r="I34" s="1367"/>
      <c r="J34" s="1367"/>
      <c r="K34" s="1367"/>
      <c r="L34" s="1367"/>
      <c r="M34" s="3102" t="s">
        <v>19</v>
      </c>
      <c r="N34" s="3103"/>
      <c r="O34" s="53" t="s">
        <v>45</v>
      </c>
      <c r="P34" s="49"/>
      <c r="Q34" s="50"/>
      <c r="R34" s="1332" t="s">
        <v>20</v>
      </c>
      <c r="S34" s="1333"/>
      <c r="T34" s="1333"/>
      <c r="U34" s="1333"/>
      <c r="V34" s="1333"/>
      <c r="W34" s="1333"/>
      <c r="X34" s="1334"/>
      <c r="Y34" s="3106" t="s">
        <v>55</v>
      </c>
      <c r="Z34" s="3107"/>
      <c r="AA34" s="3107"/>
      <c r="AB34" s="3108"/>
      <c r="AC34" s="3109" t="s">
        <v>56</v>
      </c>
      <c r="AD34" s="3110"/>
      <c r="AE34" s="3110"/>
      <c r="AF34" s="3110"/>
      <c r="AG34" s="3111"/>
      <c r="AH34" s="3086" t="s">
        <v>50</v>
      </c>
      <c r="AI34" s="3087"/>
      <c r="AJ34" s="3087"/>
      <c r="AK34" s="3087"/>
      <c r="AL34" s="3088"/>
      <c r="AN34" s="3"/>
    </row>
    <row r="35" spans="2:40" ht="14.25" customHeight="1" x14ac:dyDescent="0.2">
      <c r="B35" s="1377"/>
      <c r="C35" s="1369"/>
      <c r="D35" s="1370"/>
      <c r="E35" s="1370"/>
      <c r="F35" s="1370"/>
      <c r="G35" s="1370"/>
      <c r="H35" s="1370"/>
      <c r="I35" s="1370"/>
      <c r="J35" s="1370"/>
      <c r="K35" s="1370"/>
      <c r="L35" s="1370"/>
      <c r="M35" s="3104"/>
      <c r="N35" s="3105"/>
      <c r="O35" s="54" t="s">
        <v>46</v>
      </c>
      <c r="P35" s="51"/>
      <c r="Q35" s="52"/>
      <c r="R35" s="1335"/>
      <c r="S35" s="1336"/>
      <c r="T35" s="1336"/>
      <c r="U35" s="1336"/>
      <c r="V35" s="1336"/>
      <c r="W35" s="1336"/>
      <c r="X35" s="1337"/>
      <c r="Y35" s="55" t="s">
        <v>31</v>
      </c>
      <c r="Z35" s="14"/>
      <c r="AA35" s="14"/>
      <c r="AB35" s="14"/>
      <c r="AC35" s="3089" t="s">
        <v>32</v>
      </c>
      <c r="AD35" s="3090"/>
      <c r="AE35" s="3090"/>
      <c r="AF35" s="3090"/>
      <c r="AG35" s="3091"/>
      <c r="AH35" s="3092" t="s">
        <v>51</v>
      </c>
      <c r="AI35" s="3093"/>
      <c r="AJ35" s="3093"/>
      <c r="AK35" s="3093"/>
      <c r="AL35" s="3094"/>
      <c r="AN35" s="3"/>
    </row>
    <row r="36" spans="2:40" ht="14.25" customHeight="1" x14ac:dyDescent="0.2">
      <c r="B36" s="1377"/>
      <c r="C36" s="1363"/>
      <c r="D36" s="68"/>
      <c r="E36" s="3095" t="s">
        <v>2</v>
      </c>
      <c r="F36" s="3095"/>
      <c r="G36" s="3095"/>
      <c r="H36" s="3095"/>
      <c r="I36" s="3095"/>
      <c r="J36" s="3095"/>
      <c r="K36" s="3095"/>
      <c r="L36" s="3096"/>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x14ac:dyDescent="0.2">
      <c r="B37" s="1377"/>
      <c r="C37" s="1363"/>
      <c r="D37" s="68"/>
      <c r="E37" s="3095" t="s">
        <v>3</v>
      </c>
      <c r="F37" s="3097"/>
      <c r="G37" s="3097"/>
      <c r="H37" s="3097"/>
      <c r="I37" s="3097"/>
      <c r="J37" s="3097"/>
      <c r="K37" s="3097"/>
      <c r="L37" s="3098"/>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x14ac:dyDescent="0.2">
      <c r="B38" s="1377"/>
      <c r="C38" s="1363"/>
      <c r="D38" s="68"/>
      <c r="E38" s="3095" t="s">
        <v>4</v>
      </c>
      <c r="F38" s="3097"/>
      <c r="G38" s="3097"/>
      <c r="H38" s="3097"/>
      <c r="I38" s="3097"/>
      <c r="J38" s="3097"/>
      <c r="K38" s="3097"/>
      <c r="L38" s="3098"/>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x14ac:dyDescent="0.2">
      <c r="B39" s="1377"/>
      <c r="C39" s="1363"/>
      <c r="D39" s="68"/>
      <c r="E39" s="3095" t="s">
        <v>6</v>
      </c>
      <c r="F39" s="3097"/>
      <c r="G39" s="3097"/>
      <c r="H39" s="3097"/>
      <c r="I39" s="3097"/>
      <c r="J39" s="3097"/>
      <c r="K39" s="3097"/>
      <c r="L39" s="3098"/>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x14ac:dyDescent="0.2">
      <c r="B40" s="1377"/>
      <c r="C40" s="1363"/>
      <c r="D40" s="68"/>
      <c r="E40" s="3095" t="s">
        <v>5</v>
      </c>
      <c r="F40" s="3097"/>
      <c r="G40" s="3097"/>
      <c r="H40" s="3097"/>
      <c r="I40" s="3097"/>
      <c r="J40" s="3097"/>
      <c r="K40" s="3097"/>
      <c r="L40" s="3098"/>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x14ac:dyDescent="0.25">
      <c r="B41" s="1377"/>
      <c r="C41" s="1363"/>
      <c r="D41" s="69"/>
      <c r="E41" s="3099" t="s">
        <v>44</v>
      </c>
      <c r="F41" s="3100"/>
      <c r="G41" s="3100"/>
      <c r="H41" s="3100"/>
      <c r="I41" s="3100"/>
      <c r="J41" s="3100"/>
      <c r="K41" s="3100"/>
      <c r="L41" s="3101"/>
      <c r="M41" s="70"/>
      <c r="N41" s="35"/>
      <c r="O41" s="79"/>
      <c r="P41" s="34"/>
      <c r="Q41" s="35"/>
      <c r="R41" s="4" t="s">
        <v>57</v>
      </c>
      <c r="S41" s="80"/>
      <c r="T41" s="80"/>
      <c r="U41" s="80"/>
      <c r="V41" s="80"/>
      <c r="W41" s="80"/>
      <c r="X41" s="80"/>
      <c r="Y41" s="6"/>
      <c r="Z41" s="66"/>
      <c r="AA41" s="66"/>
      <c r="AB41" s="66"/>
      <c r="AC41" s="56"/>
      <c r="AD41" s="57"/>
      <c r="AE41" s="57"/>
      <c r="AF41" s="57"/>
      <c r="AG41" s="58"/>
      <c r="AH41" s="56"/>
      <c r="AI41" s="57"/>
      <c r="AJ41" s="57"/>
      <c r="AK41" s="57"/>
      <c r="AL41" s="58" t="s">
        <v>60</v>
      </c>
      <c r="AN41" s="3"/>
    </row>
    <row r="42" spans="2:40" ht="14.25" customHeight="1" thickTop="1" x14ac:dyDescent="0.2">
      <c r="B42" s="1377"/>
      <c r="C42" s="1363"/>
      <c r="D42" s="71"/>
      <c r="E42" s="3112" t="s">
        <v>71</v>
      </c>
      <c r="F42" s="3112"/>
      <c r="G42" s="3112"/>
      <c r="H42" s="3112"/>
      <c r="I42" s="3112"/>
      <c r="J42" s="3112"/>
      <c r="K42" s="3112"/>
      <c r="L42" s="3113"/>
      <c r="M42" s="72"/>
      <c r="N42" s="74"/>
      <c r="O42" s="81"/>
      <c r="P42" s="73"/>
      <c r="Q42" s="74"/>
      <c r="R42" s="82" t="s">
        <v>57</v>
      </c>
      <c r="S42" s="83"/>
      <c r="T42" s="83"/>
      <c r="U42" s="83"/>
      <c r="V42" s="83"/>
      <c r="W42" s="83"/>
      <c r="X42" s="83"/>
      <c r="Y42" s="75"/>
      <c r="Z42" s="76"/>
      <c r="AA42" s="76"/>
      <c r="AB42" s="76"/>
      <c r="AC42" s="84"/>
      <c r="AD42" s="77"/>
      <c r="AE42" s="77"/>
      <c r="AF42" s="77"/>
      <c r="AG42" s="78"/>
      <c r="AH42" s="84"/>
      <c r="AI42" s="77"/>
      <c r="AJ42" s="77"/>
      <c r="AK42" s="77"/>
      <c r="AL42" s="78" t="s">
        <v>60</v>
      </c>
      <c r="AN42" s="3"/>
    </row>
    <row r="43" spans="2:40" ht="14.25" customHeight="1" x14ac:dyDescent="0.2">
      <c r="B43" s="1377"/>
      <c r="C43" s="1363"/>
      <c r="D43" s="68"/>
      <c r="E43" s="3095" t="s">
        <v>72</v>
      </c>
      <c r="F43" s="3097"/>
      <c r="G43" s="3097"/>
      <c r="H43" s="3097"/>
      <c r="I43" s="3097"/>
      <c r="J43" s="3097"/>
      <c r="K43" s="3097"/>
      <c r="L43" s="3098"/>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x14ac:dyDescent="0.2">
      <c r="B44" s="1377"/>
      <c r="C44" s="1363"/>
      <c r="D44" s="68"/>
      <c r="E44" s="3095" t="s">
        <v>73</v>
      </c>
      <c r="F44" s="3097"/>
      <c r="G44" s="3097"/>
      <c r="H44" s="3097"/>
      <c r="I44" s="3097"/>
      <c r="J44" s="3097"/>
      <c r="K44" s="3097"/>
      <c r="L44" s="3098"/>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x14ac:dyDescent="0.2">
      <c r="B45" s="1377"/>
      <c r="C45" s="1363"/>
      <c r="D45" s="68"/>
      <c r="E45" s="3095" t="s">
        <v>74</v>
      </c>
      <c r="F45" s="3097"/>
      <c r="G45" s="3097"/>
      <c r="H45" s="3097"/>
      <c r="I45" s="3097"/>
      <c r="J45" s="3097"/>
      <c r="K45" s="3097"/>
      <c r="L45" s="3098"/>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x14ac:dyDescent="0.2">
      <c r="B46" s="1377"/>
      <c r="C46" s="1363"/>
      <c r="D46" s="68"/>
      <c r="E46" s="3095" t="s">
        <v>75</v>
      </c>
      <c r="F46" s="3097"/>
      <c r="G46" s="3097"/>
      <c r="H46" s="3097"/>
      <c r="I46" s="3097"/>
      <c r="J46" s="3097"/>
      <c r="K46" s="3097"/>
      <c r="L46" s="3098"/>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x14ac:dyDescent="0.2">
      <c r="B47" s="1378"/>
      <c r="C47" s="1363"/>
      <c r="D47" s="68"/>
      <c r="E47" s="3095" t="s">
        <v>76</v>
      </c>
      <c r="F47" s="3097"/>
      <c r="G47" s="3097"/>
      <c r="H47" s="3097"/>
      <c r="I47" s="3097"/>
      <c r="J47" s="3097"/>
      <c r="K47" s="3097"/>
      <c r="L47" s="3098"/>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x14ac:dyDescent="0.2">
      <c r="B48" s="1575" t="s">
        <v>47</v>
      </c>
      <c r="C48" s="1575"/>
      <c r="D48" s="1575"/>
      <c r="E48" s="1575"/>
      <c r="F48" s="1575"/>
      <c r="G48" s="1575"/>
      <c r="H48" s="1575"/>
      <c r="I48" s="1575"/>
      <c r="J48" s="1575"/>
      <c r="K48" s="157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75" t="s">
        <v>48</v>
      </c>
      <c r="C49" s="1575"/>
      <c r="D49" s="1575"/>
      <c r="E49" s="1575"/>
      <c r="F49" s="1575"/>
      <c r="G49" s="1575"/>
      <c r="H49" s="1575"/>
      <c r="I49" s="1575"/>
      <c r="J49" s="1575"/>
      <c r="K49" s="154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55" t="s">
        <v>21</v>
      </c>
      <c r="C50" s="1355"/>
      <c r="D50" s="1355"/>
      <c r="E50" s="1355"/>
      <c r="F50" s="1355"/>
      <c r="G50" s="1355"/>
      <c r="H50" s="1355"/>
      <c r="I50" s="1355"/>
      <c r="J50" s="1355"/>
      <c r="K50" s="1355"/>
      <c r="L50" s="61"/>
      <c r="M50" s="62"/>
      <c r="N50" s="62"/>
      <c r="O50" s="62"/>
      <c r="P50" s="62"/>
      <c r="Q50" s="62"/>
      <c r="R50" s="63"/>
      <c r="S50" s="63"/>
      <c r="T50" s="63"/>
      <c r="U50" s="64"/>
      <c r="V50" s="9" t="s">
        <v>0</v>
      </c>
      <c r="W50" s="10"/>
      <c r="X50" s="10"/>
      <c r="Y50" s="10"/>
      <c r="Z50" s="30"/>
      <c r="AA50" s="30"/>
      <c r="AB50" s="30"/>
      <c r="AC50" s="16"/>
      <c r="AD50" s="16"/>
      <c r="AE50" s="16"/>
      <c r="AF50" s="16"/>
      <c r="AG50" s="16"/>
      <c r="AH50" s="47"/>
      <c r="AI50" s="16"/>
      <c r="AJ50" s="16"/>
      <c r="AK50" s="16"/>
      <c r="AL50" s="17"/>
      <c r="AN50" s="3"/>
    </row>
    <row r="51" spans="2:40" ht="14.25" customHeight="1" x14ac:dyDescent="0.2">
      <c r="B51" s="3114" t="s">
        <v>49</v>
      </c>
      <c r="C51" s="3114"/>
      <c r="D51" s="3114"/>
      <c r="E51" s="3114"/>
      <c r="F51" s="3114"/>
      <c r="G51" s="3114"/>
      <c r="H51" s="3114"/>
      <c r="I51" s="3114"/>
      <c r="J51" s="3114"/>
      <c r="K51" s="311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59" t="s">
        <v>40</v>
      </c>
      <c r="C52" s="1360"/>
      <c r="D52" s="1360"/>
      <c r="E52" s="1360"/>
      <c r="F52" s="1360"/>
      <c r="G52" s="1360"/>
      <c r="H52" s="1360"/>
      <c r="I52" s="1360"/>
      <c r="J52" s="1360"/>
      <c r="K52" s="1360"/>
      <c r="L52" s="1360"/>
      <c r="M52" s="1360"/>
      <c r="N52" s="136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62" t="s">
        <v>22</v>
      </c>
      <c r="C53" s="1365" t="s">
        <v>87</v>
      </c>
      <c r="D53" s="1345"/>
      <c r="E53" s="1345"/>
      <c r="F53" s="1345"/>
      <c r="G53" s="1345"/>
      <c r="H53" s="1345"/>
      <c r="I53" s="1345"/>
      <c r="J53" s="1345"/>
      <c r="K53" s="1345"/>
      <c r="L53" s="1345"/>
      <c r="M53" s="1345"/>
      <c r="N53" s="1345"/>
      <c r="O53" s="1345"/>
      <c r="P53" s="1345"/>
      <c r="Q53" s="1345"/>
      <c r="R53" s="1345"/>
      <c r="S53" s="1345"/>
      <c r="T53" s="1346"/>
      <c r="U53" s="1365" t="s">
        <v>33</v>
      </c>
      <c r="V53" s="1387"/>
      <c r="W53" s="1387"/>
      <c r="X53" s="1387"/>
      <c r="Y53" s="1387"/>
      <c r="Z53" s="1387"/>
      <c r="AA53" s="1387"/>
      <c r="AB53" s="1387"/>
      <c r="AC53" s="1387"/>
      <c r="AD53" s="1387"/>
      <c r="AE53" s="1387"/>
      <c r="AF53" s="1387"/>
      <c r="AG53" s="1387"/>
      <c r="AH53" s="1387"/>
      <c r="AI53" s="1387"/>
      <c r="AJ53" s="1387"/>
      <c r="AK53" s="1387"/>
      <c r="AL53" s="3115"/>
      <c r="AN53" s="3"/>
    </row>
    <row r="54" spans="2:40" x14ac:dyDescent="0.2">
      <c r="B54" s="1363"/>
      <c r="C54" s="3116"/>
      <c r="D54" s="1385"/>
      <c r="E54" s="1385"/>
      <c r="F54" s="1385"/>
      <c r="G54" s="1385"/>
      <c r="H54" s="1385"/>
      <c r="I54" s="1385"/>
      <c r="J54" s="1385"/>
      <c r="K54" s="1385"/>
      <c r="L54" s="1385"/>
      <c r="M54" s="1385"/>
      <c r="N54" s="1385"/>
      <c r="O54" s="1385"/>
      <c r="P54" s="1385"/>
      <c r="Q54" s="1385"/>
      <c r="R54" s="1385"/>
      <c r="S54" s="1385"/>
      <c r="T54" s="3103"/>
      <c r="U54" s="3116"/>
      <c r="V54" s="1385"/>
      <c r="W54" s="1385"/>
      <c r="X54" s="1385"/>
      <c r="Y54" s="1385"/>
      <c r="Z54" s="1385"/>
      <c r="AA54" s="1385"/>
      <c r="AB54" s="1385"/>
      <c r="AC54" s="1385"/>
      <c r="AD54" s="1385"/>
      <c r="AE54" s="1385"/>
      <c r="AF54" s="1385"/>
      <c r="AG54" s="1385"/>
      <c r="AH54" s="1385"/>
      <c r="AI54" s="1385"/>
      <c r="AJ54" s="1385"/>
      <c r="AK54" s="1385"/>
      <c r="AL54" s="3103"/>
      <c r="AN54" s="3"/>
    </row>
    <row r="55" spans="2:40" x14ac:dyDescent="0.2">
      <c r="B55" s="1363"/>
      <c r="C55" s="3117"/>
      <c r="D55" s="3118"/>
      <c r="E55" s="3118"/>
      <c r="F55" s="3118"/>
      <c r="G55" s="3118"/>
      <c r="H55" s="3118"/>
      <c r="I55" s="3118"/>
      <c r="J55" s="3118"/>
      <c r="K55" s="3118"/>
      <c r="L55" s="3118"/>
      <c r="M55" s="3118"/>
      <c r="N55" s="3118"/>
      <c r="O55" s="3118"/>
      <c r="P55" s="3118"/>
      <c r="Q55" s="3118"/>
      <c r="R55" s="3118"/>
      <c r="S55" s="3118"/>
      <c r="T55" s="3105"/>
      <c r="U55" s="3117"/>
      <c r="V55" s="3118"/>
      <c r="W55" s="3118"/>
      <c r="X55" s="3118"/>
      <c r="Y55" s="3118"/>
      <c r="Z55" s="3118"/>
      <c r="AA55" s="3118"/>
      <c r="AB55" s="3118"/>
      <c r="AC55" s="3118"/>
      <c r="AD55" s="3118"/>
      <c r="AE55" s="3118"/>
      <c r="AF55" s="3118"/>
      <c r="AG55" s="3118"/>
      <c r="AH55" s="3118"/>
      <c r="AI55" s="3118"/>
      <c r="AJ55" s="3118"/>
      <c r="AK55" s="3118"/>
      <c r="AL55" s="3105"/>
      <c r="AN55" s="3"/>
    </row>
    <row r="56" spans="2:40" x14ac:dyDescent="0.2">
      <c r="B56" s="1363"/>
      <c r="C56" s="3117"/>
      <c r="D56" s="3118"/>
      <c r="E56" s="3118"/>
      <c r="F56" s="3118"/>
      <c r="G56" s="3118"/>
      <c r="H56" s="3118"/>
      <c r="I56" s="3118"/>
      <c r="J56" s="3118"/>
      <c r="K56" s="3118"/>
      <c r="L56" s="3118"/>
      <c r="M56" s="3118"/>
      <c r="N56" s="3118"/>
      <c r="O56" s="3118"/>
      <c r="P56" s="3118"/>
      <c r="Q56" s="3118"/>
      <c r="R56" s="3118"/>
      <c r="S56" s="3118"/>
      <c r="T56" s="3105"/>
      <c r="U56" s="3117"/>
      <c r="V56" s="3118"/>
      <c r="W56" s="3118"/>
      <c r="X56" s="3118"/>
      <c r="Y56" s="3118"/>
      <c r="Z56" s="3118"/>
      <c r="AA56" s="3118"/>
      <c r="AB56" s="3118"/>
      <c r="AC56" s="3118"/>
      <c r="AD56" s="3118"/>
      <c r="AE56" s="3118"/>
      <c r="AF56" s="3118"/>
      <c r="AG56" s="3118"/>
      <c r="AH56" s="3118"/>
      <c r="AI56" s="3118"/>
      <c r="AJ56" s="3118"/>
      <c r="AK56" s="3118"/>
      <c r="AL56" s="3105"/>
      <c r="AN56" s="3"/>
    </row>
    <row r="57" spans="2:40" x14ac:dyDescent="0.2">
      <c r="B57" s="1364"/>
      <c r="C57" s="3119"/>
      <c r="D57" s="1387"/>
      <c r="E57" s="1387"/>
      <c r="F57" s="1387"/>
      <c r="G57" s="1387"/>
      <c r="H57" s="1387"/>
      <c r="I57" s="1387"/>
      <c r="J57" s="1387"/>
      <c r="K57" s="1387"/>
      <c r="L57" s="1387"/>
      <c r="M57" s="1387"/>
      <c r="N57" s="1387"/>
      <c r="O57" s="1387"/>
      <c r="P57" s="1387"/>
      <c r="Q57" s="1387"/>
      <c r="R57" s="1387"/>
      <c r="S57" s="1387"/>
      <c r="T57" s="3115"/>
      <c r="U57" s="3119"/>
      <c r="V57" s="1387"/>
      <c r="W57" s="1387"/>
      <c r="X57" s="1387"/>
      <c r="Y57" s="1387"/>
      <c r="Z57" s="1387"/>
      <c r="AA57" s="1387"/>
      <c r="AB57" s="1387"/>
      <c r="AC57" s="1387"/>
      <c r="AD57" s="1387"/>
      <c r="AE57" s="1387"/>
      <c r="AF57" s="1387"/>
      <c r="AG57" s="1387"/>
      <c r="AH57" s="1387"/>
      <c r="AI57" s="1387"/>
      <c r="AJ57" s="1387"/>
      <c r="AK57" s="1387"/>
      <c r="AL57" s="3115"/>
      <c r="AN57" s="3"/>
    </row>
    <row r="58" spans="2:40" ht="14.25" customHeight="1" x14ac:dyDescent="0.2">
      <c r="B58" s="1352" t="s">
        <v>23</v>
      </c>
      <c r="C58" s="1353"/>
      <c r="D58" s="1353"/>
      <c r="E58" s="1353"/>
      <c r="F58" s="1354"/>
      <c r="G58" s="1355" t="s">
        <v>24</v>
      </c>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N58" s="3"/>
    </row>
    <row r="60" spans="2:40" x14ac:dyDescent="0.2">
      <c r="B60" s="14" t="s">
        <v>52</v>
      </c>
    </row>
    <row r="61" spans="2:40" x14ac:dyDescent="0.2">
      <c r="B61" s="14" t="s">
        <v>96</v>
      </c>
    </row>
    <row r="62" spans="2:40" x14ac:dyDescent="0.2">
      <c r="B62" s="14" t="s">
        <v>97</v>
      </c>
    </row>
    <row r="63" spans="2:40" x14ac:dyDescent="0.2">
      <c r="B63" s="14" t="s">
        <v>100</v>
      </c>
    </row>
    <row r="64" spans="2:40" x14ac:dyDescent="0.2">
      <c r="B64" s="14" t="s">
        <v>58</v>
      </c>
    </row>
    <row r="65" spans="2:41" x14ac:dyDescent="0.2">
      <c r="B65" s="14" t="s">
        <v>88</v>
      </c>
    </row>
    <row r="66" spans="2:41" x14ac:dyDescent="0.2">
      <c r="B66" s="14" t="s">
        <v>59</v>
      </c>
      <c r="AN66" s="3"/>
      <c r="AO66" s="14"/>
    </row>
    <row r="67" spans="2:41" x14ac:dyDescent="0.2">
      <c r="B67" s="14" t="s">
        <v>54</v>
      </c>
    </row>
    <row r="68" spans="2:41" x14ac:dyDescent="0.2">
      <c r="B68" s="14" t="s">
        <v>61</v>
      </c>
    </row>
    <row r="69" spans="2:41" x14ac:dyDescent="0.2">
      <c r="B69" s="14" t="s">
        <v>98</v>
      </c>
    </row>
    <row r="70" spans="2:41" x14ac:dyDescent="0.2">
      <c r="B70" s="14" t="s">
        <v>95</v>
      </c>
    </row>
    <row r="84" spans="2:2" ht="12.75" customHeight="1" x14ac:dyDescent="0.2">
      <c r="B84" s="46"/>
    </row>
    <row r="85" spans="2:2" ht="12.75" customHeight="1" x14ac:dyDescent="0.2">
      <c r="B85" s="46" t="s">
        <v>35</v>
      </c>
    </row>
    <row r="86" spans="2:2" ht="12.75" customHeight="1" x14ac:dyDescent="0.2">
      <c r="B86" s="46" t="s">
        <v>25</v>
      </c>
    </row>
    <row r="87" spans="2:2" ht="12.75" customHeight="1" x14ac:dyDescent="0.2">
      <c r="B87" s="46" t="s">
        <v>26</v>
      </c>
    </row>
    <row r="88" spans="2:2" ht="12.75" customHeight="1" x14ac:dyDescent="0.2">
      <c r="B88" s="46" t="s">
        <v>36</v>
      </c>
    </row>
    <row r="89" spans="2:2" ht="12.75" customHeight="1" x14ac:dyDescent="0.2">
      <c r="B89" s="46" t="s">
        <v>27</v>
      </c>
    </row>
    <row r="90" spans="2:2" ht="12.75" customHeight="1" x14ac:dyDescent="0.2">
      <c r="B90" s="46" t="s">
        <v>37</v>
      </c>
    </row>
    <row r="91" spans="2:2" ht="12.75" customHeight="1" x14ac:dyDescent="0.2">
      <c r="B91" s="46" t="s">
        <v>38</v>
      </c>
    </row>
    <row r="92" spans="2:2" ht="12.75" customHeight="1" x14ac:dyDescent="0.2">
      <c r="B92" s="46" t="s">
        <v>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B48:K48"/>
    <mergeCell ref="B49:K49"/>
    <mergeCell ref="B50:K50"/>
    <mergeCell ref="B34:B47"/>
    <mergeCell ref="C34:L35"/>
    <mergeCell ref="C42:C47"/>
    <mergeCell ref="E42:L42"/>
    <mergeCell ref="E43:L43"/>
    <mergeCell ref="E44:L44"/>
    <mergeCell ref="E45:L45"/>
    <mergeCell ref="E46:L46"/>
    <mergeCell ref="E47:L47"/>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L28:AL28"/>
    <mergeCell ref="C29:K29"/>
    <mergeCell ref="L29:P29"/>
    <mergeCell ref="Z29:AD29"/>
    <mergeCell ref="AJ29:AL29"/>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U17:Y17"/>
    <mergeCell ref="AE17:AK17"/>
    <mergeCell ref="C18:K18"/>
    <mergeCell ref="L18:P18"/>
    <mergeCell ref="Z18:AD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s>
  <phoneticPr fontId="2"/>
  <pageMargins left="0.39370078740157483" right="0" top="0.59055118110236227" bottom="0" header="0.51181102362204722" footer="0.51181102362204722"/>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16EC-37C1-4B46-B94E-2B61F5EBE65D}">
  <sheetPr>
    <tabColor rgb="FFFFFF00"/>
    <pageSetUpPr fitToPage="1"/>
  </sheetPr>
  <dimension ref="A2:AK517"/>
  <sheetViews>
    <sheetView view="pageBreakPreview" zoomScale="70" zoomScaleNormal="75" zoomScaleSheetLayoutView="70" workbookViewId="0">
      <selection activeCell="AG1" sqref="AG1:AK1048576"/>
    </sheetView>
  </sheetViews>
  <sheetFormatPr defaultColWidth="9" defaultRowHeight="13.2" x14ac:dyDescent="0.2"/>
  <cols>
    <col min="1" max="2" width="4.21875" style="3121" customWidth="1"/>
    <col min="3" max="3" width="25" style="836" customWidth="1"/>
    <col min="4" max="4" width="4.88671875" style="836" customWidth="1"/>
    <col min="5" max="5" width="41.6640625" style="836" customWidth="1"/>
    <col min="6" max="6" width="4.88671875" style="836" customWidth="1"/>
    <col min="7" max="7" width="19.6640625" style="836" customWidth="1"/>
    <col min="8" max="8" width="33.88671875" style="836" customWidth="1"/>
    <col min="9" max="24" width="5.21875" style="836" customWidth="1"/>
    <col min="25" max="32" width="4.88671875" style="836" customWidth="1"/>
    <col min="33" max="33" width="13.33203125" style="836" hidden="1" customWidth="1"/>
    <col min="34" max="37" width="0" style="836" hidden="1" customWidth="1"/>
    <col min="38" max="16384" width="9" style="836"/>
  </cols>
  <sheetData>
    <row r="2" spans="1:37" ht="20.25" customHeight="1" x14ac:dyDescent="0.2">
      <c r="A2" s="3525" t="s">
        <v>2340</v>
      </c>
      <c r="B2" s="3525"/>
    </row>
    <row r="3" spans="1:37" ht="20.25" customHeight="1" x14ac:dyDescent="0.2">
      <c r="A3" s="3277" t="s">
        <v>2339</v>
      </c>
      <c r="B3" s="3277"/>
      <c r="C3" s="3277"/>
      <c r="D3" s="3277"/>
      <c r="E3" s="3277"/>
      <c r="F3" s="3277"/>
      <c r="G3" s="3277"/>
      <c r="H3" s="3277"/>
      <c r="I3" s="3277"/>
      <c r="J3" s="3277"/>
      <c r="K3" s="3277"/>
      <c r="L3" s="3277"/>
      <c r="M3" s="3277"/>
      <c r="N3" s="3277"/>
      <c r="O3" s="3277"/>
      <c r="P3" s="3277"/>
      <c r="Q3" s="3277"/>
      <c r="R3" s="3277"/>
      <c r="S3" s="3277"/>
      <c r="T3" s="3277"/>
      <c r="U3" s="3277"/>
      <c r="V3" s="3277"/>
      <c r="W3" s="3277"/>
      <c r="X3" s="3277"/>
      <c r="Y3" s="3277"/>
      <c r="Z3" s="3277"/>
      <c r="AA3" s="3277"/>
      <c r="AB3" s="3277"/>
      <c r="AC3" s="3277"/>
      <c r="AD3" s="3277"/>
      <c r="AE3" s="3277"/>
      <c r="AF3" s="3277"/>
    </row>
    <row r="4" spans="1:37" ht="20.25" customHeight="1" x14ac:dyDescent="0.2"/>
    <row r="5" spans="1:37" ht="30" customHeight="1" x14ac:dyDescent="0.2">
      <c r="S5" s="3273" t="s">
        <v>1210</v>
      </c>
      <c r="T5" s="3272"/>
      <c r="U5" s="3272"/>
      <c r="V5" s="3271"/>
      <c r="W5" s="3524"/>
      <c r="X5" s="3446"/>
      <c r="Y5" s="3446"/>
      <c r="Z5" s="3446"/>
      <c r="AA5" s="3446"/>
      <c r="AB5" s="3446"/>
      <c r="AC5" s="3446"/>
      <c r="AD5" s="3446"/>
      <c r="AE5" s="3446"/>
      <c r="AF5" s="3445"/>
      <c r="AG5" s="3120" t="str">
        <f>"kaigo_num='" &amp;W5&amp;X5&amp;Y5&amp;Z5&amp;AA5&amp;AB5&amp;AC5&amp;AD5&amp;AE5&amp;AF5&amp; "'"</f>
        <v>kaigo_num=''</v>
      </c>
    </row>
    <row r="6" spans="1:37" ht="20.25" customHeight="1" x14ac:dyDescent="0.2">
      <c r="AG6" s="3120"/>
    </row>
    <row r="7" spans="1:37" ht="17.25" customHeight="1" x14ac:dyDescent="0.2">
      <c r="A7" s="3273" t="s">
        <v>2122</v>
      </c>
      <c r="B7" s="3272"/>
      <c r="C7" s="3271"/>
      <c r="D7" s="3273" t="s">
        <v>1</v>
      </c>
      <c r="E7" s="3271"/>
      <c r="F7" s="3273" t="s">
        <v>1212</v>
      </c>
      <c r="G7" s="3271"/>
      <c r="H7" s="3273" t="s">
        <v>2338</v>
      </c>
      <c r="I7" s="3272"/>
      <c r="J7" s="3272"/>
      <c r="K7" s="3272"/>
      <c r="L7" s="3272"/>
      <c r="M7" s="3272"/>
      <c r="N7" s="3272"/>
      <c r="O7" s="3272"/>
      <c r="P7" s="3272"/>
      <c r="Q7" s="3272"/>
      <c r="R7" s="3272"/>
      <c r="S7" s="3272"/>
      <c r="T7" s="3272"/>
      <c r="U7" s="3272"/>
      <c r="V7" s="3272"/>
      <c r="W7" s="3272"/>
      <c r="X7" s="3271"/>
      <c r="Y7" s="3273" t="s">
        <v>799</v>
      </c>
      <c r="Z7" s="3272"/>
      <c r="AA7" s="3272"/>
      <c r="AB7" s="3271"/>
      <c r="AC7" s="3273" t="s">
        <v>1214</v>
      </c>
      <c r="AD7" s="3272"/>
      <c r="AE7" s="3272"/>
      <c r="AF7" s="3271"/>
      <c r="AG7" s="3120"/>
    </row>
    <row r="8" spans="1:37" ht="18.75" customHeight="1" x14ac:dyDescent="0.2">
      <c r="A8" s="3270" t="s">
        <v>1215</v>
      </c>
      <c r="B8" s="3269"/>
      <c r="C8" s="3268"/>
      <c r="D8" s="3267"/>
      <c r="E8" s="3266"/>
      <c r="F8" s="3228"/>
      <c r="G8" s="3266"/>
      <c r="H8" s="3265" t="s">
        <v>1216</v>
      </c>
      <c r="I8" s="3310" t="s">
        <v>116</v>
      </c>
      <c r="J8" s="3252" t="s">
        <v>1217</v>
      </c>
      <c r="K8" s="3264"/>
      <c r="L8" s="3264"/>
      <c r="M8" s="3310" t="s">
        <v>116</v>
      </c>
      <c r="N8" s="3252" t="s">
        <v>1218</v>
      </c>
      <c r="O8" s="3264"/>
      <c r="P8" s="3264"/>
      <c r="Q8" s="3310" t="s">
        <v>116</v>
      </c>
      <c r="R8" s="3252" t="s">
        <v>1219</v>
      </c>
      <c r="S8" s="3264"/>
      <c r="T8" s="3264"/>
      <c r="U8" s="3310" t="s">
        <v>116</v>
      </c>
      <c r="V8" s="3252" t="s">
        <v>1220</v>
      </c>
      <c r="W8" s="3264"/>
      <c r="X8" s="3185"/>
      <c r="Y8" s="3307"/>
      <c r="Z8" s="3306"/>
      <c r="AA8" s="3306"/>
      <c r="AB8" s="3305"/>
      <c r="AC8" s="3307"/>
      <c r="AD8" s="3306"/>
      <c r="AE8" s="3306"/>
      <c r="AF8" s="3305"/>
      <c r="AG8" s="3120" t="str">
        <f>"tiikikbn_code:"&amp; IF(I8="■",1,IF(M8="■",6,IF(Q8="■",7,IF(U8="■",2,IF(I9="■",3,IF(M9="■",4,IF(Q9="■",9,IF(U9="■",5,0))))))))</f>
        <v>tiikikbn_code:0</v>
      </c>
    </row>
    <row r="9" spans="1:37" ht="18.75" customHeight="1" x14ac:dyDescent="0.2">
      <c r="A9" s="3263"/>
      <c r="B9" s="3262"/>
      <c r="C9" s="3261"/>
      <c r="D9" s="3260"/>
      <c r="E9" s="3255"/>
      <c r="F9" s="3133"/>
      <c r="G9" s="3255"/>
      <c r="H9" s="3259"/>
      <c r="I9" s="3193" t="s">
        <v>116</v>
      </c>
      <c r="J9" s="3190" t="s">
        <v>1221</v>
      </c>
      <c r="K9" s="3257"/>
      <c r="L9" s="3257"/>
      <c r="M9" s="3192" t="s">
        <v>116</v>
      </c>
      <c r="N9" s="3190" t="s">
        <v>1222</v>
      </c>
      <c r="O9" s="3257"/>
      <c r="P9" s="3257"/>
      <c r="Q9" s="3192" t="s">
        <v>116</v>
      </c>
      <c r="R9" s="3190" t="s">
        <v>1223</v>
      </c>
      <c r="S9" s="3257"/>
      <c r="T9" s="3257"/>
      <c r="U9" s="3192" t="s">
        <v>116</v>
      </c>
      <c r="V9" s="3190" t="s">
        <v>1224</v>
      </c>
      <c r="W9" s="3257"/>
      <c r="X9" s="3132"/>
      <c r="Y9" s="3280"/>
      <c r="Z9" s="3279"/>
      <c r="AA9" s="3279"/>
      <c r="AB9" s="3278"/>
      <c r="AC9" s="3280"/>
      <c r="AD9" s="3279"/>
      <c r="AE9" s="3279"/>
      <c r="AF9" s="3278"/>
      <c r="AG9" s="3120"/>
    </row>
    <row r="10" spans="1:37" ht="19.5" hidden="1" customHeight="1" x14ac:dyDescent="0.2">
      <c r="A10" s="834"/>
      <c r="B10" s="3148"/>
      <c r="C10" s="3147"/>
      <c r="D10" s="3228"/>
      <c r="E10" s="3145"/>
      <c r="F10" s="3144"/>
      <c r="G10" s="3175"/>
      <c r="H10" s="3382" t="s">
        <v>1227</v>
      </c>
      <c r="I10" s="3141" t="s">
        <v>116</v>
      </c>
      <c r="J10" s="3139" t="s">
        <v>1228</v>
      </c>
      <c r="K10" s="3138"/>
      <c r="L10" s="3385"/>
      <c r="M10" s="3140" t="s">
        <v>116</v>
      </c>
      <c r="N10" s="3139" t="s">
        <v>1229</v>
      </c>
      <c r="O10" s="3139"/>
      <c r="P10" s="3139"/>
      <c r="Q10" s="3207"/>
      <c r="R10" s="3207"/>
      <c r="S10" s="3207"/>
      <c r="T10" s="3207"/>
      <c r="U10" s="3207"/>
      <c r="V10" s="3207"/>
      <c r="W10" s="3207"/>
      <c r="X10" s="3206"/>
      <c r="Y10" s="3258" t="s">
        <v>116</v>
      </c>
      <c r="Z10" s="1200" t="s">
        <v>1225</v>
      </c>
      <c r="AA10" s="1200"/>
      <c r="AB10" s="1202"/>
      <c r="AC10" s="3258" t="s">
        <v>116</v>
      </c>
      <c r="AD10" s="1200" t="s">
        <v>1225</v>
      </c>
      <c r="AE10" s="1200"/>
      <c r="AF10" s="1202"/>
      <c r="AG10" s="3120" t="str">
        <f>"ser_code = '" &amp; IF(A15="■",62,"") &amp; "'"</f>
        <v>ser_code = ''</v>
      </c>
      <c r="AI10" s="3120" t="str">
        <f>"62:field223:" &amp; IF(I10="■",1,IF(M10="■",2,0))</f>
        <v>62:field223:0</v>
      </c>
      <c r="AJ10" s="3120" t="str">
        <f>"62:field203:" &amp; IF(Y10="■",1,IF(Y11="■",2,0))</f>
        <v>62:field203:0</v>
      </c>
      <c r="AK10" s="3120" t="str">
        <f>"62:waribiki_code:" &amp; IF(AC10="■",1,IF(AC11="■",2,0))</f>
        <v>62:waribiki_code:0</v>
      </c>
    </row>
    <row r="11" spans="1:37" s="3120" customFormat="1" ht="19.5" hidden="1" customHeight="1" x14ac:dyDescent="0.2">
      <c r="A11" s="834"/>
      <c r="B11" s="3148"/>
      <c r="C11" s="3147"/>
      <c r="D11" s="3146"/>
      <c r="E11" s="3145"/>
      <c r="F11" s="3144"/>
      <c r="G11" s="3175"/>
      <c r="H11" s="3223" t="s">
        <v>1253</v>
      </c>
      <c r="I11" s="3222" t="s">
        <v>116</v>
      </c>
      <c r="J11" s="3217" t="s">
        <v>1228</v>
      </c>
      <c r="K11" s="3221"/>
      <c r="L11" s="3220"/>
      <c r="M11" s="3219" t="s">
        <v>116</v>
      </c>
      <c r="N11" s="3217" t="s">
        <v>1229</v>
      </c>
      <c r="O11" s="3437"/>
      <c r="P11" s="3436"/>
      <c r="Q11" s="3435"/>
      <c r="R11" s="3435"/>
      <c r="S11" s="3435"/>
      <c r="T11" s="3435"/>
      <c r="U11" s="3435"/>
      <c r="V11" s="3435"/>
      <c r="W11" s="3435"/>
      <c r="X11" s="3434"/>
      <c r="Y11" s="3258" t="s">
        <v>116</v>
      </c>
      <c r="Z11" s="1200" t="s">
        <v>1226</v>
      </c>
      <c r="AA11" s="1201"/>
      <c r="AB11" s="1202"/>
      <c r="AC11" s="3258" t="s">
        <v>116</v>
      </c>
      <c r="AD11" s="1200" t="s">
        <v>1226</v>
      </c>
      <c r="AE11" s="1201"/>
      <c r="AF11" s="585"/>
      <c r="AI11" s="3120" t="str">
        <f>"62:field232:" &amp; IF(I11="■",1,IF(M11="■",2,0))</f>
        <v>62:field232:0</v>
      </c>
    </row>
    <row r="12" spans="1:37" ht="18.75" hidden="1" customHeight="1" x14ac:dyDescent="0.2">
      <c r="A12" s="834"/>
      <c r="B12" s="3148"/>
      <c r="C12" s="3147"/>
      <c r="D12" s="3146"/>
      <c r="E12" s="3145"/>
      <c r="F12" s="3144"/>
      <c r="G12" s="3175"/>
      <c r="H12" s="3412" t="s">
        <v>1242</v>
      </c>
      <c r="I12" s="3258" t="s">
        <v>116</v>
      </c>
      <c r="J12" s="3139" t="s">
        <v>1230</v>
      </c>
      <c r="K12" s="3138"/>
      <c r="L12" s="3258" t="s">
        <v>116</v>
      </c>
      <c r="M12" s="3139" t="s">
        <v>1233</v>
      </c>
      <c r="N12" s="3139"/>
      <c r="O12" s="3139"/>
      <c r="P12" s="3139"/>
      <c r="Q12" s="3139"/>
      <c r="R12" s="3139"/>
      <c r="S12" s="3139"/>
      <c r="T12" s="3139"/>
      <c r="U12" s="3139"/>
      <c r="V12" s="3139"/>
      <c r="W12" s="3139"/>
      <c r="X12" s="3195"/>
      <c r="Z12" s="1200"/>
      <c r="AA12" s="1201"/>
      <c r="AB12" s="1202"/>
      <c r="AD12" s="1200"/>
      <c r="AE12" s="1201"/>
      <c r="AF12" s="1202"/>
      <c r="AG12" s="3120"/>
      <c r="AI12" s="3120" t="str">
        <f>"62:tokutiiki_code:" &amp; IF(I12="■",1,IF(L12="■",2,0))</f>
        <v>62:tokutiiki_code:0</v>
      </c>
    </row>
    <row r="13" spans="1:37" ht="18.75" hidden="1" customHeight="1" x14ac:dyDescent="0.2">
      <c r="A13" s="834"/>
      <c r="B13" s="3148"/>
      <c r="C13" s="3147"/>
      <c r="D13" s="3146"/>
      <c r="E13" s="3145"/>
      <c r="F13" s="3144"/>
      <c r="G13" s="3175"/>
      <c r="H13" s="3170" t="s">
        <v>1243</v>
      </c>
      <c r="I13" s="3211" t="s">
        <v>116</v>
      </c>
      <c r="J13" s="3210" t="s">
        <v>1234</v>
      </c>
      <c r="K13" s="3210"/>
      <c r="L13" s="3210"/>
      <c r="M13" s="3211" t="s">
        <v>116</v>
      </c>
      <c r="N13" s="3210" t="s">
        <v>1235</v>
      </c>
      <c r="O13" s="3210"/>
      <c r="P13" s="3210"/>
      <c r="Q13" s="3317"/>
      <c r="R13" s="3317"/>
      <c r="S13" s="3317"/>
      <c r="T13" s="3317"/>
      <c r="U13" s="3317"/>
      <c r="V13" s="3317"/>
      <c r="W13" s="3317"/>
      <c r="X13" s="3429"/>
      <c r="AB13" s="1202"/>
      <c r="AF13" s="1202"/>
      <c r="AG13" s="3499"/>
      <c r="AI13" s="3120" t="str">
        <f>"62:chuusankanti_tiiki_code:" &amp; IF(I13="■",1,IF(M13="■",2,0))</f>
        <v>62:chuusankanti_tiiki_code:0</v>
      </c>
    </row>
    <row r="14" spans="1:37" ht="18.75" hidden="1" customHeight="1" x14ac:dyDescent="0.2">
      <c r="A14" s="834"/>
      <c r="B14" s="3148"/>
      <c r="C14" s="3147"/>
      <c r="D14" s="3146"/>
      <c r="E14" s="3145"/>
      <c r="F14" s="3144"/>
      <c r="G14" s="3175"/>
      <c r="H14" s="3165"/>
      <c r="I14" s="3164"/>
      <c r="J14" s="3163"/>
      <c r="K14" s="3163"/>
      <c r="L14" s="3163"/>
      <c r="M14" s="3164"/>
      <c r="N14" s="3163"/>
      <c r="O14" s="3163"/>
      <c r="P14" s="3163"/>
      <c r="Q14" s="3207"/>
      <c r="R14" s="3207"/>
      <c r="S14" s="3207"/>
      <c r="T14" s="3207"/>
      <c r="U14" s="3207"/>
      <c r="V14" s="3207"/>
      <c r="W14" s="3207"/>
      <c r="X14" s="3206"/>
      <c r="Y14" s="3293"/>
      <c r="Z14" s="1201"/>
      <c r="AA14" s="1201"/>
      <c r="AB14" s="1202"/>
      <c r="AC14" s="3293"/>
      <c r="AD14" s="1201"/>
      <c r="AE14" s="1201"/>
      <c r="AF14" s="1202"/>
      <c r="AG14" s="3499"/>
      <c r="AI14" s="3120"/>
    </row>
    <row r="15" spans="1:37" ht="18.75" hidden="1" customHeight="1" x14ac:dyDescent="0.2">
      <c r="A15" s="3158" t="s">
        <v>116</v>
      </c>
      <c r="B15" s="3148">
        <v>62</v>
      </c>
      <c r="C15" s="3147" t="s">
        <v>72</v>
      </c>
      <c r="D15" s="3146"/>
      <c r="E15" s="3145"/>
      <c r="F15" s="3144"/>
      <c r="G15" s="3175"/>
      <c r="H15" s="3170" t="s">
        <v>1244</v>
      </c>
      <c r="I15" s="3211" t="s">
        <v>116</v>
      </c>
      <c r="J15" s="3210" t="s">
        <v>1234</v>
      </c>
      <c r="K15" s="3210"/>
      <c r="L15" s="3210"/>
      <c r="M15" s="3211" t="s">
        <v>116</v>
      </c>
      <c r="N15" s="3210" t="s">
        <v>1235</v>
      </c>
      <c r="O15" s="3210"/>
      <c r="P15" s="3210"/>
      <c r="Q15" s="3317"/>
      <c r="R15" s="3317"/>
      <c r="S15" s="3317"/>
      <c r="T15" s="3317"/>
      <c r="U15" s="3317"/>
      <c r="V15" s="3317"/>
      <c r="W15" s="3317"/>
      <c r="X15" s="3429"/>
      <c r="Y15" s="3293"/>
      <c r="Z15" s="1201"/>
      <c r="AA15" s="1201"/>
      <c r="AB15" s="1202"/>
      <c r="AC15" s="3293"/>
      <c r="AD15" s="1201"/>
      <c r="AE15" s="1201"/>
      <c r="AF15" s="1202"/>
      <c r="AI15" s="3120" t="str">
        <f>"62:chuusankanti_kibo_code:" &amp; IF(I15="■",1,IF(M15="■",2,0))</f>
        <v>62:chuusankanti_kibo_code:0</v>
      </c>
    </row>
    <row r="16" spans="1:37" ht="18.75" hidden="1" customHeight="1" x14ac:dyDescent="0.2">
      <c r="A16" s="834"/>
      <c r="B16" s="3148"/>
      <c r="C16" s="3147"/>
      <c r="D16" s="3146"/>
      <c r="E16" s="3145"/>
      <c r="F16" s="3144"/>
      <c r="G16" s="3175"/>
      <c r="H16" s="3165"/>
      <c r="I16" s="3164"/>
      <c r="J16" s="3163"/>
      <c r="K16" s="3163"/>
      <c r="L16" s="3163"/>
      <c r="M16" s="3164"/>
      <c r="N16" s="3163"/>
      <c r="O16" s="3163"/>
      <c r="P16" s="3163"/>
      <c r="Q16" s="3207"/>
      <c r="R16" s="3207"/>
      <c r="S16" s="3207"/>
      <c r="T16" s="3207"/>
      <c r="U16" s="3207"/>
      <c r="V16" s="3207"/>
      <c r="W16" s="3207"/>
      <c r="X16" s="3206"/>
      <c r="Y16" s="3293"/>
      <c r="Z16" s="1201"/>
      <c r="AA16" s="1201"/>
      <c r="AB16" s="1202"/>
      <c r="AC16" s="3293"/>
      <c r="AD16" s="1201"/>
      <c r="AE16" s="1201"/>
      <c r="AF16" s="1202"/>
    </row>
    <row r="17" spans="1:36" ht="18.75" hidden="1" customHeight="1" x14ac:dyDescent="0.2">
      <c r="A17" s="834"/>
      <c r="B17" s="3148"/>
      <c r="C17" s="3147"/>
      <c r="D17" s="3146"/>
      <c r="E17" s="3145"/>
      <c r="F17" s="3144"/>
      <c r="G17" s="3175"/>
      <c r="H17" s="3243" t="s">
        <v>1237</v>
      </c>
      <c r="I17" s="3523" t="s">
        <v>116</v>
      </c>
      <c r="J17" s="3137" t="s">
        <v>1230</v>
      </c>
      <c r="K17" s="3137"/>
      <c r="L17" s="3154" t="s">
        <v>116</v>
      </c>
      <c r="M17" s="3137" t="s">
        <v>1231</v>
      </c>
      <c r="N17" s="3137"/>
      <c r="O17" s="3154" t="s">
        <v>116</v>
      </c>
      <c r="P17" s="3137" t="s">
        <v>1232</v>
      </c>
      <c r="Q17" s="3150"/>
      <c r="R17" s="3171"/>
      <c r="S17" s="3171"/>
      <c r="T17" s="3171"/>
      <c r="U17" s="3171"/>
      <c r="V17" s="3171"/>
      <c r="W17" s="3171"/>
      <c r="X17" s="3297"/>
      <c r="Y17" s="3293"/>
      <c r="Z17" s="1201"/>
      <c r="AA17" s="1201"/>
      <c r="AB17" s="1202"/>
      <c r="AC17" s="3293"/>
      <c r="AD17" s="1201"/>
      <c r="AE17" s="1201"/>
      <c r="AF17" s="1202"/>
      <c r="AI17" s="3120" t="str">
        <f>"62:ninti_senmoncare_code:" &amp; IF(I17="■",1,IF(O17="■",3,IF(L17="■",2,0)))</f>
        <v>62:ninti_senmoncare_code:0</v>
      </c>
    </row>
    <row r="18" spans="1:36" ht="18.75" hidden="1" customHeight="1" x14ac:dyDescent="0.2">
      <c r="A18" s="834"/>
      <c r="B18" s="3148"/>
      <c r="C18" s="3147"/>
      <c r="D18" s="3146"/>
      <c r="E18" s="3145"/>
      <c r="F18" s="3144"/>
      <c r="G18" s="3175"/>
      <c r="H18" s="3151" t="s">
        <v>238</v>
      </c>
      <c r="I18" s="3155" t="s">
        <v>116</v>
      </c>
      <c r="J18" s="3137" t="s">
        <v>1230</v>
      </c>
      <c r="K18" s="3139"/>
      <c r="L18" s="3154" t="s">
        <v>116</v>
      </c>
      <c r="M18" s="3137" t="s">
        <v>2309</v>
      </c>
      <c r="N18" s="3137"/>
      <c r="O18" s="3154" t="s">
        <v>116</v>
      </c>
      <c r="P18" s="3137" t="s">
        <v>1232</v>
      </c>
      <c r="Q18" s="3137"/>
      <c r="R18" s="3154" t="s">
        <v>116</v>
      </c>
      <c r="S18" s="3139" t="s">
        <v>2308</v>
      </c>
      <c r="T18" s="3139"/>
      <c r="U18" s="3137"/>
      <c r="V18" s="3137"/>
      <c r="W18" s="3137"/>
      <c r="X18" s="3136"/>
      <c r="Y18" s="3293"/>
      <c r="Z18" s="1201"/>
      <c r="AA18" s="1201"/>
      <c r="AB18" s="1202"/>
      <c r="AC18" s="3293"/>
      <c r="AD18" s="1201"/>
      <c r="AE18" s="1201"/>
      <c r="AF18" s="1202"/>
      <c r="AI18" s="3120" t="str">
        <f>"62:serteikyo_kyoka_code:" &amp; IF(I18="■",1,IF(L18="■",4,IF(O18="■",3,IF(R18="■",5,0))))</f>
        <v>62:serteikyo_kyoka_code:0</v>
      </c>
    </row>
    <row r="19" spans="1:36" ht="18.75" hidden="1" customHeight="1" x14ac:dyDescent="0.2">
      <c r="A19" s="835"/>
      <c r="B19" s="3148"/>
      <c r="C19" s="3134"/>
      <c r="D19" s="3133"/>
      <c r="E19" s="3132"/>
      <c r="F19" s="3131"/>
      <c r="G19" s="3189"/>
      <c r="H19" s="3289" t="s">
        <v>2129</v>
      </c>
      <c r="I19" s="3128" t="s">
        <v>116</v>
      </c>
      <c r="J19" s="3285" t="s">
        <v>1230</v>
      </c>
      <c r="K19" s="3285"/>
      <c r="L19" s="3127" t="s">
        <v>116</v>
      </c>
      <c r="M19" s="3285" t="s">
        <v>2128</v>
      </c>
      <c r="N19" s="3288"/>
      <c r="O19" s="3127" t="s">
        <v>116</v>
      </c>
      <c r="P19" s="3287" t="s">
        <v>2127</v>
      </c>
      <c r="Q19" s="3286"/>
      <c r="R19" s="3127" t="s">
        <v>116</v>
      </c>
      <c r="S19" s="3285" t="s">
        <v>2126</v>
      </c>
      <c r="T19" s="3286"/>
      <c r="U19" s="3127" t="s">
        <v>116</v>
      </c>
      <c r="V19" s="3285" t="s">
        <v>2125</v>
      </c>
      <c r="W19" s="3284"/>
      <c r="X19" s="3283"/>
      <c r="Y19" s="3282"/>
      <c r="Z19" s="3282"/>
      <c r="AA19" s="3282"/>
      <c r="AB19" s="3281"/>
      <c r="AC19" s="3340"/>
      <c r="AD19" s="3282"/>
      <c r="AE19" s="3282"/>
      <c r="AF19" s="3281"/>
      <c r="AG19" s="3120"/>
      <c r="AH19" s="3120"/>
      <c r="AI19" s="3120" t="str">
        <f>"62:shoguukaizen_code:"&amp;IF(I19="■",1,IF(L19="■",7,IF(O19="■",8,IF(R19="■",9,IF(U19="■","A",0)))))</f>
        <v>62:shoguukaizen_code:0</v>
      </c>
    </row>
    <row r="20" spans="1:36" ht="19.5" hidden="1" customHeight="1" x14ac:dyDescent="0.2">
      <c r="A20" s="834"/>
      <c r="B20" s="3187"/>
      <c r="C20" s="3147"/>
      <c r="D20" s="3146"/>
      <c r="E20" s="3145"/>
      <c r="F20" s="3144"/>
      <c r="G20" s="3175"/>
      <c r="H20" s="3494" t="s">
        <v>1227</v>
      </c>
      <c r="I20" s="3141" t="s">
        <v>116</v>
      </c>
      <c r="J20" s="3139" t="s">
        <v>1228</v>
      </c>
      <c r="K20" s="3138"/>
      <c r="L20" s="3385"/>
      <c r="M20" s="3140" t="s">
        <v>116</v>
      </c>
      <c r="N20" s="3139" t="s">
        <v>1229</v>
      </c>
      <c r="O20" s="3139"/>
      <c r="P20" s="3139"/>
      <c r="Q20" s="3207"/>
      <c r="R20" s="3207"/>
      <c r="S20" s="3207"/>
      <c r="T20" s="3207"/>
      <c r="U20" s="3207"/>
      <c r="V20" s="3207"/>
      <c r="W20" s="3207"/>
      <c r="X20" s="3206"/>
      <c r="Y20" s="3258" t="s">
        <v>116</v>
      </c>
      <c r="Z20" s="1200" t="s">
        <v>1225</v>
      </c>
      <c r="AA20" s="1200"/>
      <c r="AB20" s="1202"/>
      <c r="AC20" s="3292"/>
      <c r="AD20" s="3291"/>
      <c r="AE20" s="3291"/>
      <c r="AF20" s="3290"/>
      <c r="AG20" s="3120" t="str">
        <f>"ser_code = '" &amp; IF(A26="■",63,"") &amp; "'"</f>
        <v>ser_code = ''</v>
      </c>
      <c r="AI20" s="3120" t="str">
        <f>"63:field223:" &amp; IF(I20="■",1,IF(M20="■",2,0))</f>
        <v>63:field223:0</v>
      </c>
      <c r="AJ20" s="3120" t="str">
        <f>"63:field203:" &amp; IF(Y20="■",1,IF(Y21="■",2,0))</f>
        <v>63:field203:0</v>
      </c>
    </row>
    <row r="21" spans="1:36" s="3120" customFormat="1" ht="19.5" hidden="1" customHeight="1" x14ac:dyDescent="0.2">
      <c r="A21" s="834"/>
      <c r="B21" s="3148"/>
      <c r="C21" s="3147"/>
      <c r="D21" s="3146"/>
      <c r="E21" s="3145"/>
      <c r="F21" s="3144"/>
      <c r="G21" s="3175"/>
      <c r="H21" s="3223" t="s">
        <v>1253</v>
      </c>
      <c r="I21" s="3222" t="s">
        <v>116</v>
      </c>
      <c r="J21" s="3217" t="s">
        <v>1228</v>
      </c>
      <c r="K21" s="3221"/>
      <c r="L21" s="3220"/>
      <c r="M21" s="3219" t="s">
        <v>116</v>
      </c>
      <c r="N21" s="3217" t="s">
        <v>1229</v>
      </c>
      <c r="O21" s="3437"/>
      <c r="P21" s="3436"/>
      <c r="Q21" s="3435"/>
      <c r="R21" s="3435"/>
      <c r="S21" s="3435"/>
      <c r="T21" s="3435"/>
      <c r="U21" s="3435"/>
      <c r="V21" s="3435"/>
      <c r="W21" s="3435"/>
      <c r="X21" s="3434"/>
      <c r="Y21" s="3258" t="s">
        <v>116</v>
      </c>
      <c r="Z21" s="1200" t="s">
        <v>1226</v>
      </c>
      <c r="AA21" s="1201"/>
      <c r="AB21" s="1202"/>
      <c r="AC21" s="3292"/>
      <c r="AD21" s="3291"/>
      <c r="AE21" s="3291"/>
      <c r="AF21" s="3290"/>
      <c r="AG21" s="3120" t="str">
        <f>"63:sisetukbn_code:" &amp; IF(D26="■",1,IF(D27="■",2,0))</f>
        <v>63:sisetukbn_code:0</v>
      </c>
      <c r="AI21" s="3120" t="str">
        <f>"63:field232:" &amp; IF(I21="■",1,IF(M21="■",2,0))</f>
        <v>63:field232:0</v>
      </c>
    </row>
    <row r="22" spans="1:36" ht="18.75" hidden="1" customHeight="1" x14ac:dyDescent="0.2">
      <c r="A22" s="834"/>
      <c r="B22" s="3148"/>
      <c r="C22" s="3147"/>
      <c r="D22" s="3146"/>
      <c r="E22" s="3145"/>
      <c r="F22" s="3144"/>
      <c r="G22" s="3175"/>
      <c r="H22" s="3412" t="s">
        <v>1242</v>
      </c>
      <c r="I22" s="3258" t="s">
        <v>116</v>
      </c>
      <c r="J22" s="3139" t="s">
        <v>1230</v>
      </c>
      <c r="K22" s="3138"/>
      <c r="L22" s="3258" t="s">
        <v>116</v>
      </c>
      <c r="M22" s="3139" t="s">
        <v>1233</v>
      </c>
      <c r="N22" s="3139"/>
      <c r="O22" s="3139"/>
      <c r="P22" s="3139"/>
      <c r="Q22" s="3207"/>
      <c r="R22" s="3207"/>
      <c r="S22" s="3207"/>
      <c r="T22" s="3207"/>
      <c r="U22" s="3207"/>
      <c r="V22" s="3207"/>
      <c r="W22" s="3207"/>
      <c r="X22" s="3206"/>
      <c r="Z22" s="1200"/>
      <c r="AA22" s="1201"/>
      <c r="AB22" s="1202"/>
      <c r="AC22" s="3292"/>
      <c r="AD22" s="3291"/>
      <c r="AE22" s="3291"/>
      <c r="AF22" s="3290"/>
      <c r="AG22" s="3120"/>
      <c r="AI22" s="3120" t="str">
        <f>"63:tokutiiki_code:" &amp; IF(I22="■",1,IF(L22="■",2,0))</f>
        <v>63:tokutiiki_code:0</v>
      </c>
    </row>
    <row r="23" spans="1:36" ht="18.75" hidden="1" customHeight="1" x14ac:dyDescent="0.2">
      <c r="A23" s="834"/>
      <c r="B23" s="3148"/>
      <c r="C23" s="3147"/>
      <c r="D23" s="3146"/>
      <c r="E23" s="3145"/>
      <c r="F23" s="3144"/>
      <c r="G23" s="3175"/>
      <c r="H23" s="3170" t="s">
        <v>1243</v>
      </c>
      <c r="I23" s="3211" t="s">
        <v>116</v>
      </c>
      <c r="J23" s="3210" t="s">
        <v>1234</v>
      </c>
      <c r="K23" s="3210"/>
      <c r="L23" s="3210"/>
      <c r="M23" s="3211" t="s">
        <v>116</v>
      </c>
      <c r="N23" s="3210" t="s">
        <v>1235</v>
      </c>
      <c r="O23" s="3210"/>
      <c r="P23" s="3210"/>
      <c r="Q23" s="3317"/>
      <c r="R23" s="3317"/>
      <c r="S23" s="3317"/>
      <c r="T23" s="3317"/>
      <c r="U23" s="3317"/>
      <c r="V23" s="3317"/>
      <c r="W23" s="3317"/>
      <c r="X23" s="3429"/>
      <c r="AB23" s="1202"/>
      <c r="AC23" s="3292"/>
      <c r="AD23" s="3291"/>
      <c r="AE23" s="3291"/>
      <c r="AF23" s="3290"/>
      <c r="AI23" s="3120" t="str">
        <f>"63:chuusankanti_tiiki_code:" &amp; IF(I23="■",1,IF(M23="■",2,0))</f>
        <v>63:chuusankanti_tiiki_code:0</v>
      </c>
    </row>
    <row r="24" spans="1:36" ht="18.75" hidden="1" customHeight="1" x14ac:dyDescent="0.2">
      <c r="A24" s="834"/>
      <c r="B24" s="3148"/>
      <c r="C24" s="3147"/>
      <c r="D24" s="3146"/>
      <c r="E24" s="3145"/>
      <c r="F24" s="3144"/>
      <c r="G24" s="3175"/>
      <c r="H24" s="3165"/>
      <c r="I24" s="3164"/>
      <c r="J24" s="3163"/>
      <c r="K24" s="3163"/>
      <c r="L24" s="3163"/>
      <c r="M24" s="3164"/>
      <c r="N24" s="3163"/>
      <c r="O24" s="3163"/>
      <c r="P24" s="3163"/>
      <c r="Q24" s="3207"/>
      <c r="R24" s="3207"/>
      <c r="S24" s="3207"/>
      <c r="T24" s="3207"/>
      <c r="U24" s="3207"/>
      <c r="V24" s="3207"/>
      <c r="W24" s="3207"/>
      <c r="X24" s="3206"/>
      <c r="Y24" s="3293"/>
      <c r="Z24" s="1201"/>
      <c r="AA24" s="1201"/>
      <c r="AB24" s="1202"/>
      <c r="AC24" s="3292"/>
      <c r="AD24" s="3291"/>
      <c r="AE24" s="3291"/>
      <c r="AF24" s="3290"/>
      <c r="AG24" s="3499"/>
      <c r="AI24" s="3120"/>
    </row>
    <row r="25" spans="1:36" ht="18.75" hidden="1" customHeight="1" x14ac:dyDescent="0.2">
      <c r="A25" s="834"/>
      <c r="B25" s="3148"/>
      <c r="C25" s="3147"/>
      <c r="D25" s="3146"/>
      <c r="E25" s="3145"/>
      <c r="F25" s="3144"/>
      <c r="G25" s="3175"/>
      <c r="H25" s="3170" t="s">
        <v>1244</v>
      </c>
      <c r="I25" s="3211" t="s">
        <v>116</v>
      </c>
      <c r="J25" s="3210" t="s">
        <v>1234</v>
      </c>
      <c r="K25" s="3210"/>
      <c r="L25" s="3210"/>
      <c r="M25" s="3211" t="s">
        <v>116</v>
      </c>
      <c r="N25" s="3210" t="s">
        <v>1235</v>
      </c>
      <c r="O25" s="3210"/>
      <c r="P25" s="3210"/>
      <c r="Q25" s="3317"/>
      <c r="R25" s="3317"/>
      <c r="S25" s="3317"/>
      <c r="T25" s="3317"/>
      <c r="U25" s="3317"/>
      <c r="V25" s="3317"/>
      <c r="W25" s="3317"/>
      <c r="X25" s="3429"/>
      <c r="Y25" s="3293"/>
      <c r="Z25" s="1201"/>
      <c r="AA25" s="1201"/>
      <c r="AB25" s="1202"/>
      <c r="AC25" s="3292"/>
      <c r="AD25" s="3291"/>
      <c r="AE25" s="3291"/>
      <c r="AF25" s="3290"/>
      <c r="AG25" s="3499"/>
      <c r="AI25" s="3120" t="str">
        <f>"63:chuusankanti_kibo_code:" &amp; IF(I25="■",1,IF(M25="■",2,0))</f>
        <v>63:chuusankanti_kibo_code:0</v>
      </c>
    </row>
    <row r="26" spans="1:36" ht="18.75" hidden="1" customHeight="1" x14ac:dyDescent="0.2">
      <c r="A26" s="3158" t="s">
        <v>116</v>
      </c>
      <c r="B26" s="3148">
        <v>63</v>
      </c>
      <c r="C26" s="3147" t="s">
        <v>637</v>
      </c>
      <c r="D26" s="3258" t="s">
        <v>116</v>
      </c>
      <c r="E26" s="3145" t="s">
        <v>2109</v>
      </c>
      <c r="F26" s="3144"/>
      <c r="G26" s="3175"/>
      <c r="H26" s="3165"/>
      <c r="I26" s="3164"/>
      <c r="J26" s="3163"/>
      <c r="K26" s="3163"/>
      <c r="L26" s="3163"/>
      <c r="M26" s="3164"/>
      <c r="N26" s="3163"/>
      <c r="O26" s="3163"/>
      <c r="P26" s="3163"/>
      <c r="Q26" s="3207"/>
      <c r="R26" s="3207"/>
      <c r="S26" s="3207"/>
      <c r="T26" s="3207"/>
      <c r="U26" s="3207"/>
      <c r="V26" s="3207"/>
      <c r="W26" s="3207"/>
      <c r="X26" s="3206"/>
      <c r="Y26" s="3293"/>
      <c r="Z26" s="1201"/>
      <c r="AA26" s="1201"/>
      <c r="AB26" s="1202"/>
      <c r="AC26" s="3292"/>
      <c r="AD26" s="3291"/>
      <c r="AE26" s="3291"/>
      <c r="AF26" s="3290"/>
    </row>
    <row r="27" spans="1:36" ht="18.75" hidden="1" customHeight="1" x14ac:dyDescent="0.2">
      <c r="A27" s="834"/>
      <c r="B27" s="3148"/>
      <c r="C27" s="3147"/>
      <c r="D27" s="3258" t="s">
        <v>116</v>
      </c>
      <c r="E27" s="3145" t="s">
        <v>2108</v>
      </c>
      <c r="F27" s="3144"/>
      <c r="G27" s="3175"/>
      <c r="H27" s="3151" t="s">
        <v>2337</v>
      </c>
      <c r="I27" s="3303" t="s">
        <v>116</v>
      </c>
      <c r="J27" s="3137" t="s">
        <v>1230</v>
      </c>
      <c r="K27" s="3171"/>
      <c r="L27" s="3154" t="s">
        <v>116</v>
      </c>
      <c r="M27" s="3137" t="s">
        <v>1239</v>
      </c>
      <c r="N27" s="3137"/>
      <c r="O27" s="3301" t="s">
        <v>116</v>
      </c>
      <c r="P27" s="3302" t="s">
        <v>2090</v>
      </c>
      <c r="Q27" s="3150"/>
      <c r="R27" s="3150"/>
      <c r="S27" s="3150"/>
      <c r="T27" s="3137"/>
      <c r="U27" s="3150"/>
      <c r="V27" s="3150"/>
      <c r="W27" s="3150"/>
      <c r="X27" s="3149"/>
      <c r="Y27" s="3293"/>
      <c r="Z27" s="1201"/>
      <c r="AA27" s="1201"/>
      <c r="AB27" s="1202"/>
      <c r="AC27" s="3292"/>
      <c r="AD27" s="3291"/>
      <c r="AE27" s="3291"/>
      <c r="AF27" s="3290"/>
      <c r="AI27" s="3120" t="str">
        <f>"63:kinkyu_code:"&amp;IF(I27="■",1,IF(O27="■",3,IF(L27="■",2,0)))</f>
        <v>63:kinkyu_code:0</v>
      </c>
    </row>
    <row r="28" spans="1:36" ht="18.75" hidden="1" customHeight="1" x14ac:dyDescent="0.2">
      <c r="A28" s="834"/>
      <c r="B28" s="3148"/>
      <c r="C28" s="3147"/>
      <c r="D28" s="834"/>
      <c r="E28" s="3145"/>
      <c r="F28" s="3144"/>
      <c r="G28" s="3175"/>
      <c r="H28" s="3151" t="s">
        <v>2302</v>
      </c>
      <c r="I28" s="3155" t="s">
        <v>116</v>
      </c>
      <c r="J28" s="3137" t="s">
        <v>1240</v>
      </c>
      <c r="K28" s="3171"/>
      <c r="L28" s="3173"/>
      <c r="M28" s="3258" t="s">
        <v>116</v>
      </c>
      <c r="N28" s="3137" t="s">
        <v>1241</v>
      </c>
      <c r="O28" s="3150"/>
      <c r="P28" s="3150"/>
      <c r="Q28" s="3150"/>
      <c r="R28" s="3150"/>
      <c r="S28" s="3150"/>
      <c r="T28" s="3150"/>
      <c r="U28" s="3150"/>
      <c r="V28" s="3150"/>
      <c r="W28" s="3150"/>
      <c r="X28" s="3149"/>
      <c r="Y28" s="3293"/>
      <c r="Z28" s="1201"/>
      <c r="AA28" s="1201"/>
      <c r="AB28" s="1202"/>
      <c r="AC28" s="3292"/>
      <c r="AD28" s="3291"/>
      <c r="AE28" s="3291"/>
      <c r="AF28" s="3290"/>
      <c r="AI28" s="3120" t="str">
        <f>"63:tokukanri_code:" &amp; IF(I28="■",1,IF(M28="■",2,0))</f>
        <v>63:tokukanri_code:0</v>
      </c>
    </row>
    <row r="29" spans="1:36" ht="18.75" hidden="1" customHeight="1" x14ac:dyDescent="0.2">
      <c r="A29" s="834"/>
      <c r="B29" s="3148"/>
      <c r="C29" s="3147"/>
      <c r="D29" s="3146"/>
      <c r="E29" s="3145"/>
      <c r="F29" s="3144"/>
      <c r="G29" s="3175"/>
      <c r="H29" s="3142" t="s">
        <v>2300</v>
      </c>
      <c r="I29" s="3303" t="s">
        <v>116</v>
      </c>
      <c r="J29" s="3137" t="s">
        <v>1230</v>
      </c>
      <c r="K29" s="3171"/>
      <c r="L29" s="3154" t="s">
        <v>116</v>
      </c>
      <c r="M29" s="3137" t="s">
        <v>1233</v>
      </c>
      <c r="N29" s="3137"/>
      <c r="O29" s="3153"/>
      <c r="P29" s="3153"/>
      <c r="Q29" s="3153"/>
      <c r="R29" s="3153"/>
      <c r="S29" s="3153"/>
      <c r="T29" s="3153"/>
      <c r="U29" s="3153"/>
      <c r="V29" s="3153"/>
      <c r="W29" s="3153"/>
      <c r="X29" s="3152"/>
      <c r="Y29" s="3293"/>
      <c r="Z29" s="1201"/>
      <c r="AA29" s="1201"/>
      <c r="AB29" s="1202"/>
      <c r="AC29" s="3292"/>
      <c r="AD29" s="3291"/>
      <c r="AE29" s="3291"/>
      <c r="AF29" s="3290"/>
      <c r="AI29" s="3120" t="str">
        <f>"63:field230:" &amp; IF(I29="■",1,IF(L29="■",2,0))</f>
        <v>63:field230:0</v>
      </c>
    </row>
    <row r="30" spans="1:36" ht="18.75" hidden="1" customHeight="1" x14ac:dyDescent="0.2">
      <c r="A30" s="834"/>
      <c r="B30" s="3148"/>
      <c r="C30" s="3147"/>
      <c r="D30" s="3146"/>
      <c r="E30" s="3145"/>
      <c r="F30" s="3144"/>
      <c r="G30" s="3175"/>
      <c r="H30" s="3334" t="s">
        <v>2296</v>
      </c>
      <c r="I30" s="3155" t="s">
        <v>116</v>
      </c>
      <c r="J30" s="3137" t="s">
        <v>1230</v>
      </c>
      <c r="K30" s="3171"/>
      <c r="L30" s="3258" t="s">
        <v>116</v>
      </c>
      <c r="M30" s="3137" t="s">
        <v>1233</v>
      </c>
      <c r="N30" s="3137"/>
      <c r="O30" s="3137"/>
      <c r="P30" s="3137"/>
      <c r="Q30" s="3137"/>
      <c r="R30" s="3137"/>
      <c r="S30" s="3137"/>
      <c r="T30" s="3137"/>
      <c r="U30" s="3137"/>
      <c r="V30" s="3137"/>
      <c r="W30" s="3137"/>
      <c r="X30" s="3136"/>
      <c r="Y30" s="3293"/>
      <c r="Z30" s="1201"/>
      <c r="AA30" s="1201"/>
      <c r="AB30" s="1202"/>
      <c r="AC30" s="3292"/>
      <c r="AD30" s="3291"/>
      <c r="AE30" s="3291"/>
      <c r="AF30" s="3290"/>
      <c r="AI30" s="3120" t="str">
        <f>"63:field169:" &amp; IF(I30="■",1,IF(L30="■",2,0))</f>
        <v>63:field169:0</v>
      </c>
    </row>
    <row r="31" spans="1:36" ht="19.5" hidden="1" customHeight="1" x14ac:dyDescent="0.2">
      <c r="A31" s="834"/>
      <c r="B31" s="3148"/>
      <c r="C31" s="3147"/>
      <c r="D31" s="3146"/>
      <c r="E31" s="3145"/>
      <c r="F31" s="3144"/>
      <c r="G31" s="3175"/>
      <c r="H31" s="3174" t="s">
        <v>1236</v>
      </c>
      <c r="I31" s="3155" t="s">
        <v>116</v>
      </c>
      <c r="J31" s="3137" t="s">
        <v>1230</v>
      </c>
      <c r="K31" s="3137"/>
      <c r="L31" s="3154" t="s">
        <v>116</v>
      </c>
      <c r="M31" s="3137" t="s">
        <v>1233</v>
      </c>
      <c r="N31" s="3137"/>
      <c r="O31" s="3150"/>
      <c r="P31" s="3137"/>
      <c r="Q31" s="3150"/>
      <c r="R31" s="3150"/>
      <c r="S31" s="3150"/>
      <c r="T31" s="3150"/>
      <c r="U31" s="3150"/>
      <c r="V31" s="3150"/>
      <c r="W31" s="3150"/>
      <c r="X31" s="3149"/>
      <c r="Y31" s="1201"/>
      <c r="Z31" s="1201"/>
      <c r="AA31" s="1201"/>
      <c r="AB31" s="1202"/>
      <c r="AC31" s="3292"/>
      <c r="AD31" s="3291"/>
      <c r="AE31" s="3291"/>
      <c r="AF31" s="3290"/>
      <c r="AI31" s="3120" t="str">
        <f>"63:field224:" &amp; IF(I31="■",1,IF(L31="■",2,0))</f>
        <v>63:field224:0</v>
      </c>
    </row>
    <row r="32" spans="1:36" ht="18.75" hidden="1" customHeight="1" x14ac:dyDescent="0.2">
      <c r="A32" s="835"/>
      <c r="B32" s="3135"/>
      <c r="C32" s="3134"/>
      <c r="D32" s="3133"/>
      <c r="E32" s="3132"/>
      <c r="F32" s="3131"/>
      <c r="G32" s="3189"/>
      <c r="H32" s="3342" t="s">
        <v>238</v>
      </c>
      <c r="I32" s="3128" t="s">
        <v>116</v>
      </c>
      <c r="J32" s="3125" t="s">
        <v>1230</v>
      </c>
      <c r="K32" s="3125"/>
      <c r="L32" s="3127" t="s">
        <v>116</v>
      </c>
      <c r="M32" s="3125" t="s">
        <v>1239</v>
      </c>
      <c r="N32" s="3125"/>
      <c r="O32" s="3127" t="s">
        <v>116</v>
      </c>
      <c r="P32" s="3125" t="s">
        <v>1252</v>
      </c>
      <c r="Q32" s="3431"/>
      <c r="R32" s="3126"/>
      <c r="S32" s="3126"/>
      <c r="T32" s="3126"/>
      <c r="U32" s="3126"/>
      <c r="V32" s="3126"/>
      <c r="W32" s="3126"/>
      <c r="X32" s="3341"/>
      <c r="Y32" s="3340"/>
      <c r="Z32" s="3282"/>
      <c r="AA32" s="3282"/>
      <c r="AB32" s="3281"/>
      <c r="AC32" s="3280"/>
      <c r="AD32" s="3279"/>
      <c r="AE32" s="3279"/>
      <c r="AF32" s="3278"/>
      <c r="AI32" s="3120" t="str">
        <f>"63:serteikyo_kyoka_code:"&amp;IF(I32="■",1,IF(L32="■",3,IF(O32="■",4,0)))</f>
        <v>63:serteikyo_kyoka_code:0</v>
      </c>
    </row>
    <row r="33" spans="1:36" ht="19.5" customHeight="1" x14ac:dyDescent="0.2">
      <c r="A33" s="834"/>
      <c r="B33" s="3187"/>
      <c r="C33" s="3229"/>
      <c r="D33" s="3146"/>
      <c r="E33" s="3185"/>
      <c r="F33" s="3184"/>
      <c r="G33" s="3175"/>
      <c r="H33" s="3382" t="s">
        <v>1227</v>
      </c>
      <c r="I33" s="3155" t="s">
        <v>116</v>
      </c>
      <c r="J33" s="3137" t="s">
        <v>1228</v>
      </c>
      <c r="K33" s="3171"/>
      <c r="L33" s="3173"/>
      <c r="M33" s="3154" t="s">
        <v>116</v>
      </c>
      <c r="N33" s="3137" t="s">
        <v>1229</v>
      </c>
      <c r="O33" s="3137"/>
      <c r="P33" s="3137"/>
      <c r="Q33" s="3150"/>
      <c r="R33" s="3150"/>
      <c r="S33" s="3150"/>
      <c r="T33" s="3150"/>
      <c r="U33" s="3150"/>
      <c r="V33" s="3150"/>
      <c r="W33" s="3150"/>
      <c r="X33" s="3149"/>
      <c r="Y33" s="3258" t="s">
        <v>116</v>
      </c>
      <c r="Z33" s="1200" t="s">
        <v>1225</v>
      </c>
      <c r="AA33" s="1200"/>
      <c r="AB33" s="1202"/>
      <c r="AC33" s="3307"/>
      <c r="AD33" s="3306"/>
      <c r="AE33" s="3306"/>
      <c r="AF33" s="3305"/>
      <c r="AG33" s="3120" t="str">
        <f>"ser_code = '" &amp; IF(A37="■",64,"") &amp; "'"</f>
        <v>ser_code = ''</v>
      </c>
      <c r="AH33" s="3120"/>
      <c r="AI33" s="3120" t="str">
        <f>"64:field223:" &amp; IF(I33="■",1,IF(M33="■",2,0))</f>
        <v>64:field223:0</v>
      </c>
      <c r="AJ33" s="3120" t="str">
        <f>"64:field203:" &amp; IF(Y33="■",1,IF(Y34="■",2,0))</f>
        <v>64:field203:0</v>
      </c>
    </row>
    <row r="34" spans="1:36" s="3120" customFormat="1" ht="19.5" customHeight="1" x14ac:dyDescent="0.2">
      <c r="A34" s="834"/>
      <c r="B34" s="3148"/>
      <c r="C34" s="3147"/>
      <c r="D34" s="3146"/>
      <c r="E34" s="3145"/>
      <c r="F34" s="3144"/>
      <c r="G34" s="3175"/>
      <c r="H34" s="3223" t="s">
        <v>1253</v>
      </c>
      <c r="I34" s="3222" t="s">
        <v>116</v>
      </c>
      <c r="J34" s="3217" t="s">
        <v>1228</v>
      </c>
      <c r="K34" s="3221"/>
      <c r="L34" s="3220"/>
      <c r="M34" s="3219" t="s">
        <v>116</v>
      </c>
      <c r="N34" s="3217" t="s">
        <v>1229</v>
      </c>
      <c r="O34" s="3437"/>
      <c r="P34" s="3436"/>
      <c r="Q34" s="3435"/>
      <c r="R34" s="3435"/>
      <c r="S34" s="3435"/>
      <c r="T34" s="3435"/>
      <c r="U34" s="3435"/>
      <c r="V34" s="3435"/>
      <c r="W34" s="3435"/>
      <c r="X34" s="3434"/>
      <c r="Y34" s="3258" t="s">
        <v>116</v>
      </c>
      <c r="Z34" s="1200" t="s">
        <v>1226</v>
      </c>
      <c r="AA34" s="1201"/>
      <c r="AB34" s="1202"/>
      <c r="AC34" s="3292"/>
      <c r="AD34" s="3291"/>
      <c r="AE34" s="3291"/>
      <c r="AF34" s="3290"/>
      <c r="AG34" s="3120" t="str">
        <f>"64:sisetukbn_code:" &amp; IF(D36="■",1,IF(D37="■",2,IF(D38="■",3,0)))</f>
        <v>64:sisetukbn_code:0</v>
      </c>
      <c r="AI34" s="3120" t="str">
        <f>"64:field232:" &amp; IF(I34="■",1,IF(M34="■",2,0))</f>
        <v>64:field232:0</v>
      </c>
    </row>
    <row r="35" spans="1:36" ht="18.75" customHeight="1" x14ac:dyDescent="0.2">
      <c r="A35" s="834"/>
      <c r="B35" s="3148"/>
      <c r="C35" s="3160"/>
      <c r="D35" s="3144"/>
      <c r="E35" s="3145"/>
      <c r="F35" s="3144"/>
      <c r="G35" s="3175"/>
      <c r="H35" s="3412" t="s">
        <v>1242</v>
      </c>
      <c r="I35" s="3258" t="s">
        <v>116</v>
      </c>
      <c r="J35" s="3139" t="s">
        <v>1230</v>
      </c>
      <c r="K35" s="3138"/>
      <c r="L35" s="3258" t="s">
        <v>116</v>
      </c>
      <c r="M35" s="3139" t="s">
        <v>1233</v>
      </c>
      <c r="N35" s="3139"/>
      <c r="O35" s="3139"/>
      <c r="P35" s="3139"/>
      <c r="Q35" s="3207"/>
      <c r="R35" s="3207"/>
      <c r="S35" s="3207"/>
      <c r="T35" s="3207"/>
      <c r="U35" s="3207"/>
      <c r="V35" s="3207"/>
      <c r="W35" s="3207"/>
      <c r="X35" s="3206"/>
      <c r="Z35" s="1200"/>
      <c r="AA35" s="1201"/>
      <c r="AB35" s="1202"/>
      <c r="AC35" s="3292"/>
      <c r="AD35" s="3291"/>
      <c r="AE35" s="3291"/>
      <c r="AF35" s="3290"/>
      <c r="AG35" s="3120"/>
      <c r="AH35" s="3120"/>
      <c r="AI35" s="3120" t="str">
        <f>"64:tokutiiki_code:" &amp; IF(I35="■",1,IF(L35="■",2,0))</f>
        <v>64:tokutiiki_code:0</v>
      </c>
      <c r="AJ35" s="3120"/>
    </row>
    <row r="36" spans="1:36" ht="18.75" customHeight="1" x14ac:dyDescent="0.2">
      <c r="A36" s="834"/>
      <c r="B36" s="3148"/>
      <c r="C36" s="3160"/>
      <c r="D36" s="3258" t="s">
        <v>116</v>
      </c>
      <c r="E36" s="3145" t="s">
        <v>1342</v>
      </c>
      <c r="F36" s="3144"/>
      <c r="G36" s="3175"/>
      <c r="H36" s="3170" t="s">
        <v>1343</v>
      </c>
      <c r="I36" s="3211" t="s">
        <v>116</v>
      </c>
      <c r="J36" s="3210" t="s">
        <v>1234</v>
      </c>
      <c r="K36" s="3210"/>
      <c r="L36" s="3210"/>
      <c r="M36" s="3211" t="s">
        <v>116</v>
      </c>
      <c r="N36" s="3210" t="s">
        <v>1235</v>
      </c>
      <c r="O36" s="3210"/>
      <c r="P36" s="3210"/>
      <c r="Q36" s="3317"/>
      <c r="R36" s="3317"/>
      <c r="S36" s="3317"/>
      <c r="T36" s="3317"/>
      <c r="U36" s="3317"/>
      <c r="V36" s="3317"/>
      <c r="W36" s="3317"/>
      <c r="X36" s="3429"/>
      <c r="AB36" s="1202"/>
      <c r="AC36" s="3292"/>
      <c r="AD36" s="3291"/>
      <c r="AE36" s="3291"/>
      <c r="AF36" s="3290"/>
      <c r="AG36" s="3120"/>
      <c r="AH36" s="3120"/>
      <c r="AI36" s="3120" t="str">
        <f>"64:chuusankanti_tiiki_code:" &amp; IF(I36="■",1,IF(M36="■",2,0))</f>
        <v>64:chuusankanti_tiiki_code:0</v>
      </c>
      <c r="AJ36" s="3120"/>
    </row>
    <row r="37" spans="1:36" ht="18.75" customHeight="1" x14ac:dyDescent="0.2">
      <c r="A37" s="3158" t="s">
        <v>116</v>
      </c>
      <c r="B37" s="3148">
        <v>64</v>
      </c>
      <c r="C37" s="3160" t="s">
        <v>1344</v>
      </c>
      <c r="D37" s="3258" t="s">
        <v>116</v>
      </c>
      <c r="E37" s="3145" t="s">
        <v>1247</v>
      </c>
      <c r="F37" s="3144"/>
      <c r="G37" s="3175"/>
      <c r="H37" s="3165"/>
      <c r="I37" s="3164"/>
      <c r="J37" s="3163"/>
      <c r="K37" s="3163"/>
      <c r="L37" s="3163"/>
      <c r="M37" s="3164"/>
      <c r="N37" s="3163"/>
      <c r="O37" s="3163"/>
      <c r="P37" s="3163"/>
      <c r="Q37" s="3207"/>
      <c r="R37" s="3207"/>
      <c r="S37" s="3207"/>
      <c r="T37" s="3207"/>
      <c r="U37" s="3207"/>
      <c r="V37" s="3207"/>
      <c r="W37" s="3207"/>
      <c r="X37" s="3206"/>
      <c r="Y37" s="3293"/>
      <c r="Z37" s="1201"/>
      <c r="AA37" s="1201"/>
      <c r="AB37" s="1202"/>
      <c r="AC37" s="3292"/>
      <c r="AD37" s="3291"/>
      <c r="AE37" s="3291"/>
      <c r="AF37" s="3290"/>
      <c r="AG37" s="3120"/>
      <c r="AH37" s="3120"/>
      <c r="AI37" s="3120"/>
      <c r="AJ37" s="3120"/>
    </row>
    <row r="38" spans="1:36" ht="18.75" customHeight="1" x14ac:dyDescent="0.2">
      <c r="A38" s="834"/>
      <c r="B38" s="3148"/>
      <c r="C38" s="3160" t="s">
        <v>1346</v>
      </c>
      <c r="D38" s="3258" t="s">
        <v>116</v>
      </c>
      <c r="E38" s="3145" t="s">
        <v>1249</v>
      </c>
      <c r="F38" s="3144"/>
      <c r="G38" s="3175"/>
      <c r="H38" s="3170" t="s">
        <v>1345</v>
      </c>
      <c r="I38" s="3211" t="s">
        <v>116</v>
      </c>
      <c r="J38" s="3210" t="s">
        <v>1234</v>
      </c>
      <c r="K38" s="3210"/>
      <c r="L38" s="3210"/>
      <c r="M38" s="3211" t="s">
        <v>116</v>
      </c>
      <c r="N38" s="3210" t="s">
        <v>1235</v>
      </c>
      <c r="O38" s="3210"/>
      <c r="P38" s="3210"/>
      <c r="Q38" s="3317"/>
      <c r="R38" s="3317"/>
      <c r="S38" s="3317"/>
      <c r="T38" s="3317"/>
      <c r="U38" s="3317"/>
      <c r="V38" s="3317"/>
      <c r="W38" s="3317"/>
      <c r="X38" s="3429"/>
      <c r="Y38" s="3293"/>
      <c r="Z38" s="1201"/>
      <c r="AA38" s="1201"/>
      <c r="AB38" s="1202"/>
      <c r="AC38" s="3292"/>
      <c r="AD38" s="3291"/>
      <c r="AE38" s="3291"/>
      <c r="AF38" s="3290"/>
      <c r="AI38" s="3120" t="str">
        <f>"64:chuusankanti_kibo_code:" &amp; IF(I38="■",1,IF(M38="■",2,0))</f>
        <v>64:chuusankanti_kibo_code:0</v>
      </c>
    </row>
    <row r="39" spans="1:36" ht="18.75" customHeight="1" x14ac:dyDescent="0.2">
      <c r="A39" s="834"/>
      <c r="B39" s="3148"/>
      <c r="C39" s="3160"/>
      <c r="D39" s="3146"/>
      <c r="E39" s="3145"/>
      <c r="F39" s="3144"/>
      <c r="G39" s="3175"/>
      <c r="H39" s="3165"/>
      <c r="I39" s="3164"/>
      <c r="J39" s="3163"/>
      <c r="K39" s="3163"/>
      <c r="L39" s="3163"/>
      <c r="M39" s="3164"/>
      <c r="N39" s="3163"/>
      <c r="O39" s="3163"/>
      <c r="P39" s="3163"/>
      <c r="Q39" s="3207"/>
      <c r="R39" s="3207"/>
      <c r="S39" s="3207"/>
      <c r="T39" s="3207"/>
      <c r="U39" s="3207"/>
      <c r="V39" s="3207"/>
      <c r="W39" s="3207"/>
      <c r="X39" s="3206"/>
      <c r="Y39" s="3293"/>
      <c r="Z39" s="1201"/>
      <c r="AA39" s="1201"/>
      <c r="AB39" s="1202"/>
      <c r="AC39" s="3292"/>
      <c r="AD39" s="3291"/>
      <c r="AE39" s="3291"/>
      <c r="AF39" s="3290"/>
    </row>
    <row r="40" spans="1:36" ht="19.5" customHeight="1" x14ac:dyDescent="0.2">
      <c r="A40" s="834"/>
      <c r="B40" s="3148"/>
      <c r="C40" s="3147"/>
      <c r="D40" s="3146"/>
      <c r="E40" s="3145"/>
      <c r="F40" s="3144"/>
      <c r="G40" s="3175"/>
      <c r="H40" s="3174" t="s">
        <v>1236</v>
      </c>
      <c r="I40" s="3155" t="s">
        <v>116</v>
      </c>
      <c r="J40" s="3137" t="s">
        <v>1230</v>
      </c>
      <c r="K40" s="3137"/>
      <c r="L40" s="3154" t="s">
        <v>116</v>
      </c>
      <c r="M40" s="3137" t="s">
        <v>1233</v>
      </c>
      <c r="N40" s="3137"/>
      <c r="O40" s="3150"/>
      <c r="P40" s="3137"/>
      <c r="Q40" s="3150"/>
      <c r="R40" s="3150"/>
      <c r="S40" s="3150"/>
      <c r="T40" s="3150"/>
      <c r="U40" s="3150"/>
      <c r="V40" s="3150"/>
      <c r="W40" s="3150"/>
      <c r="X40" s="3149"/>
      <c r="Y40" s="1201"/>
      <c r="Z40" s="1201"/>
      <c r="AA40" s="1201"/>
      <c r="AB40" s="1202"/>
      <c r="AC40" s="3292"/>
      <c r="AD40" s="3291"/>
      <c r="AE40" s="3291"/>
      <c r="AF40" s="3290"/>
      <c r="AI40" s="3120" t="str">
        <f>"64:field224:" &amp; IF(I40="■",1,IF(L40="■",2,0))</f>
        <v>64:field224:0</v>
      </c>
    </row>
    <row r="41" spans="1:36" ht="18.75" customHeight="1" x14ac:dyDescent="0.2">
      <c r="A41" s="835"/>
      <c r="B41" s="3135"/>
      <c r="C41" s="3378"/>
      <c r="D41" s="3131"/>
      <c r="E41" s="3132"/>
      <c r="F41" s="3131"/>
      <c r="G41" s="3189"/>
      <c r="H41" s="3342" t="s">
        <v>238</v>
      </c>
      <c r="I41" s="3128" t="s">
        <v>116</v>
      </c>
      <c r="J41" s="3125" t="s">
        <v>1230</v>
      </c>
      <c r="K41" s="3125"/>
      <c r="L41" s="3127" t="s">
        <v>116</v>
      </c>
      <c r="M41" s="3125" t="s">
        <v>1239</v>
      </c>
      <c r="N41" s="3125"/>
      <c r="O41" s="3127" t="s">
        <v>116</v>
      </c>
      <c r="P41" s="3125" t="s">
        <v>1252</v>
      </c>
      <c r="Q41" s="3431"/>
      <c r="R41" s="3126"/>
      <c r="S41" s="3431"/>
      <c r="T41" s="3431"/>
      <c r="U41" s="3431"/>
      <c r="V41" s="3431"/>
      <c r="W41" s="3431"/>
      <c r="X41" s="3430"/>
      <c r="Y41" s="3340"/>
      <c r="Z41" s="3282"/>
      <c r="AA41" s="3282"/>
      <c r="AB41" s="3281"/>
      <c r="AC41" s="3280"/>
      <c r="AD41" s="3279"/>
      <c r="AE41" s="3279"/>
      <c r="AF41" s="3278"/>
      <c r="AI41" s="3120" t="str">
        <f>"64:serteikyo_kyoka_code:" &amp; IF(I41="■",1,IF(L41="■",3,IF(O41="■",4,0)))</f>
        <v>64:serteikyo_kyoka_code:0</v>
      </c>
    </row>
    <row r="42" spans="1:36" ht="18.75" hidden="1" customHeight="1" x14ac:dyDescent="0.2">
      <c r="A42" s="3188"/>
      <c r="B42" s="3187"/>
      <c r="C42" s="3186"/>
      <c r="D42" s="3184"/>
      <c r="E42" s="3185"/>
      <c r="F42" s="3184"/>
      <c r="G42" s="3183"/>
      <c r="H42" s="3425" t="s">
        <v>1242</v>
      </c>
      <c r="I42" s="3253" t="s">
        <v>116</v>
      </c>
      <c r="J42" s="3180" t="s">
        <v>1230</v>
      </c>
      <c r="K42" s="3226"/>
      <c r="L42" s="3310" t="s">
        <v>116</v>
      </c>
      <c r="M42" s="3180" t="s">
        <v>1233</v>
      </c>
      <c r="N42" s="3180"/>
      <c r="O42" s="3180"/>
      <c r="P42" s="3180"/>
      <c r="Q42" s="3177"/>
      <c r="R42" s="3177"/>
      <c r="S42" s="3177"/>
      <c r="T42" s="3177"/>
      <c r="U42" s="3177"/>
      <c r="V42" s="3177"/>
      <c r="W42" s="3177"/>
      <c r="X42" s="3176"/>
      <c r="Y42" s="3310" t="s">
        <v>116</v>
      </c>
      <c r="Z42" s="3252" t="s">
        <v>1225</v>
      </c>
      <c r="AA42" s="3252"/>
      <c r="AB42" s="3308"/>
      <c r="AC42" s="3522"/>
      <c r="AD42" s="3521"/>
      <c r="AE42" s="3521"/>
      <c r="AF42" s="3520"/>
      <c r="AG42" s="3120" t="str">
        <f>"ser_code = '" &amp; IF(A45="■",34,"") &amp; "'"</f>
        <v>ser_code = ''</v>
      </c>
      <c r="AH42" s="3120"/>
      <c r="AI42" s="3120" t="str">
        <f>"34:tokutiiki_code:" &amp; IF(I42="■",1,IF(L42="■",2,0))</f>
        <v>34:tokutiiki_code:0</v>
      </c>
      <c r="AJ42" s="3120" t="str">
        <f>"34:field203:" &amp; IF(Y42="■",1,IF(Y43="■",2,0))</f>
        <v>34:field203:0</v>
      </c>
    </row>
    <row r="43" spans="1:36" ht="18.75" hidden="1" customHeight="1" x14ac:dyDescent="0.2">
      <c r="A43" s="834"/>
      <c r="B43" s="3148"/>
      <c r="C43" s="3147"/>
      <c r="D43" s="3144"/>
      <c r="E43" s="3145"/>
      <c r="F43" s="3144"/>
      <c r="G43" s="3175"/>
      <c r="H43" s="3170" t="s">
        <v>1343</v>
      </c>
      <c r="I43" s="3366" t="s">
        <v>116</v>
      </c>
      <c r="J43" s="3210" t="s">
        <v>1234</v>
      </c>
      <c r="K43" s="3210"/>
      <c r="L43" s="3210"/>
      <c r="M43" s="3211" t="s">
        <v>116</v>
      </c>
      <c r="N43" s="3210" t="s">
        <v>1235</v>
      </c>
      <c r="O43" s="3210"/>
      <c r="P43" s="3210"/>
      <c r="Q43" s="3317"/>
      <c r="R43" s="3317"/>
      <c r="S43" s="3317"/>
      <c r="T43" s="3317"/>
      <c r="U43" s="3317"/>
      <c r="V43" s="3317"/>
      <c r="W43" s="3317"/>
      <c r="X43" s="3429"/>
      <c r="Y43" s="3258" t="s">
        <v>116</v>
      </c>
      <c r="Z43" s="1200" t="s">
        <v>1226</v>
      </c>
      <c r="AA43" s="1200"/>
      <c r="AB43" s="1202"/>
      <c r="AC43" s="3519"/>
      <c r="AD43" s="3518"/>
      <c r="AE43" s="3518"/>
      <c r="AF43" s="3517"/>
      <c r="AG43" s="3120"/>
      <c r="AH43" s="3120"/>
      <c r="AI43" s="3120" t="str">
        <f>"34:chuusankanti_tiiki_code:" &amp; IF(I43="■",1,IF(M43="■",2,0))</f>
        <v>34:chuusankanti_tiiki_code:0</v>
      </c>
      <c r="AJ43" s="3120"/>
    </row>
    <row r="44" spans="1:36" ht="18.75" hidden="1" customHeight="1" x14ac:dyDescent="0.2">
      <c r="A44" s="834"/>
      <c r="B44" s="3148"/>
      <c r="C44" s="3147"/>
      <c r="D44" s="3144"/>
      <c r="E44" s="3145"/>
      <c r="F44" s="3144"/>
      <c r="G44" s="3175"/>
      <c r="H44" s="3165"/>
      <c r="I44" s="3428"/>
      <c r="J44" s="3163"/>
      <c r="K44" s="3163"/>
      <c r="L44" s="3163"/>
      <c r="M44" s="3164"/>
      <c r="N44" s="3163"/>
      <c r="O44" s="3163"/>
      <c r="P44" s="3163"/>
      <c r="Q44" s="3207"/>
      <c r="R44" s="3207"/>
      <c r="S44" s="3207"/>
      <c r="T44" s="3207"/>
      <c r="U44" s="3207"/>
      <c r="V44" s="3207"/>
      <c r="W44" s="3207"/>
      <c r="X44" s="3206"/>
      <c r="Y44" s="3293"/>
      <c r="Z44" s="1201"/>
      <c r="AA44" s="1201"/>
      <c r="AB44" s="1202"/>
      <c r="AC44" s="3519"/>
      <c r="AD44" s="3518"/>
      <c r="AE44" s="3518"/>
      <c r="AF44" s="3517"/>
      <c r="AG44" s="3120"/>
      <c r="AH44" s="3120"/>
      <c r="AI44" s="3120"/>
      <c r="AJ44" s="3120"/>
    </row>
    <row r="45" spans="1:36" ht="18.75" hidden="1" customHeight="1" x14ac:dyDescent="0.2">
      <c r="A45" s="3158" t="s">
        <v>116</v>
      </c>
      <c r="B45" s="3148">
        <v>34</v>
      </c>
      <c r="C45" s="3160" t="s">
        <v>2336</v>
      </c>
      <c r="D45" s="3144"/>
      <c r="E45" s="3145"/>
      <c r="F45" s="3144"/>
      <c r="G45" s="3175"/>
      <c r="H45" s="3170" t="s">
        <v>1345</v>
      </c>
      <c r="I45" s="3366" t="s">
        <v>116</v>
      </c>
      <c r="J45" s="3210" t="s">
        <v>1234</v>
      </c>
      <c r="K45" s="3210"/>
      <c r="L45" s="3210"/>
      <c r="M45" s="3211" t="s">
        <v>116</v>
      </c>
      <c r="N45" s="3210" t="s">
        <v>1235</v>
      </c>
      <c r="O45" s="3210"/>
      <c r="P45" s="3210"/>
      <c r="Q45" s="3317"/>
      <c r="R45" s="3317"/>
      <c r="S45" s="3317"/>
      <c r="T45" s="3317"/>
      <c r="U45" s="3317"/>
      <c r="V45" s="3317"/>
      <c r="W45" s="3317"/>
      <c r="X45" s="3429"/>
      <c r="Y45" s="3293"/>
      <c r="Z45" s="1201"/>
      <c r="AA45" s="1201"/>
      <c r="AB45" s="1202"/>
      <c r="AC45" s="3519"/>
      <c r="AD45" s="3518"/>
      <c r="AE45" s="3518"/>
      <c r="AF45" s="3517"/>
      <c r="AG45" s="3120"/>
      <c r="AH45" s="3120"/>
      <c r="AI45" s="3120" t="str">
        <f>"34:chuusankanti_kibo_code:" &amp; IF(I45="■",1,IF(M45="■",2,0))</f>
        <v>34:chuusankanti_kibo_code:0</v>
      </c>
      <c r="AJ45" s="3120"/>
    </row>
    <row r="46" spans="1:36" ht="18" hidden="1" customHeight="1" x14ac:dyDescent="0.2">
      <c r="A46" s="834"/>
      <c r="B46" s="3148"/>
      <c r="C46" s="3160" t="s">
        <v>2335</v>
      </c>
      <c r="D46" s="3144"/>
      <c r="E46" s="3145"/>
      <c r="F46" s="3144"/>
      <c r="G46" s="3175"/>
      <c r="H46" s="3165"/>
      <c r="I46" s="3428"/>
      <c r="J46" s="3163"/>
      <c r="K46" s="3163"/>
      <c r="L46" s="3163"/>
      <c r="M46" s="3164"/>
      <c r="N46" s="3163"/>
      <c r="O46" s="3163"/>
      <c r="P46" s="3163"/>
      <c r="Q46" s="3207"/>
      <c r="R46" s="3207"/>
      <c r="S46" s="3207"/>
      <c r="T46" s="3207"/>
      <c r="U46" s="3207"/>
      <c r="V46" s="3207"/>
      <c r="W46" s="3207"/>
      <c r="X46" s="3206"/>
      <c r="Y46" s="3293"/>
      <c r="Z46" s="1201"/>
      <c r="AA46" s="1201"/>
      <c r="AB46" s="1202"/>
      <c r="AC46" s="3519"/>
      <c r="AD46" s="3518"/>
      <c r="AE46" s="3518"/>
      <c r="AF46" s="3517"/>
    </row>
    <row r="47" spans="1:36" ht="18.75" hidden="1" customHeight="1" x14ac:dyDescent="0.2">
      <c r="A47" s="834"/>
      <c r="B47" s="3148"/>
      <c r="C47" s="3147"/>
      <c r="D47" s="3146"/>
      <c r="E47" s="3336"/>
      <c r="F47" s="3146"/>
      <c r="G47" s="3148"/>
      <c r="H47" s="3412" t="s">
        <v>2290</v>
      </c>
      <c r="I47" s="3158" t="s">
        <v>116</v>
      </c>
      <c r="J47" s="3168" t="s">
        <v>1230</v>
      </c>
      <c r="K47" s="3168"/>
      <c r="L47" s="3258" t="s">
        <v>116</v>
      </c>
      <c r="M47" s="3168" t="s">
        <v>1233</v>
      </c>
      <c r="N47" s="3168"/>
      <c r="O47" s="1200"/>
      <c r="P47" s="1200"/>
      <c r="Q47" s="3231"/>
      <c r="R47" s="3231"/>
      <c r="S47" s="3231"/>
      <c r="T47" s="3231"/>
      <c r="U47" s="3231"/>
      <c r="V47" s="3231"/>
      <c r="W47" s="3231"/>
      <c r="X47" s="3230"/>
      <c r="Y47" s="3293"/>
      <c r="Z47" s="1201"/>
      <c r="AA47" s="1201"/>
      <c r="AB47" s="1202"/>
      <c r="AC47" s="3519"/>
      <c r="AD47" s="3518"/>
      <c r="AE47" s="3518"/>
      <c r="AF47" s="3517"/>
      <c r="AI47" s="3120" t="str">
        <f>"34:field240:" &amp; IF(I47="■",1,IF(L47="■",2,0))</f>
        <v>34:field240:0</v>
      </c>
    </row>
    <row r="48" spans="1:36" ht="18.75" hidden="1" customHeight="1" x14ac:dyDescent="0.2">
      <c r="A48" s="835"/>
      <c r="B48" s="3135"/>
      <c r="C48" s="3378"/>
      <c r="D48" s="3133"/>
      <c r="E48" s="3255"/>
      <c r="F48" s="3133"/>
      <c r="G48" s="3135"/>
      <c r="H48" s="3427" t="s">
        <v>2289</v>
      </c>
      <c r="I48" s="3128" t="s">
        <v>116</v>
      </c>
      <c r="J48" s="3125" t="s">
        <v>1230</v>
      </c>
      <c r="K48" s="3126"/>
      <c r="L48" s="3127" t="s">
        <v>116</v>
      </c>
      <c r="M48" s="3125" t="s">
        <v>1233</v>
      </c>
      <c r="N48" s="3125"/>
      <c r="O48" s="3125"/>
      <c r="P48" s="3125"/>
      <c r="Q48" s="3431"/>
      <c r="R48" s="3431"/>
      <c r="S48" s="3431"/>
      <c r="T48" s="3431"/>
      <c r="U48" s="3431"/>
      <c r="V48" s="3431"/>
      <c r="W48" s="3431"/>
      <c r="X48" s="3430"/>
      <c r="Y48" s="3340"/>
      <c r="Z48" s="3190"/>
      <c r="AA48" s="3190"/>
      <c r="AB48" s="3281"/>
      <c r="AC48" s="3516"/>
      <c r="AD48" s="3515"/>
      <c r="AE48" s="3515"/>
      <c r="AF48" s="3514"/>
      <c r="AI48" s="3120" t="str">
        <f>"34:field241:" &amp; IF(I48="■",1,IF(L48="■",2,0))</f>
        <v>34:field241:0</v>
      </c>
    </row>
    <row r="49" spans="1:37" ht="18.75" customHeight="1" x14ac:dyDescent="0.2">
      <c r="A49" s="3188"/>
      <c r="B49" s="3187"/>
      <c r="C49" s="3186"/>
      <c r="D49" s="3184"/>
      <c r="E49" s="3185"/>
      <c r="F49" s="3184"/>
      <c r="G49" s="3183"/>
      <c r="H49" s="3265" t="s">
        <v>90</v>
      </c>
      <c r="I49" s="3253" t="s">
        <v>116</v>
      </c>
      <c r="J49" s="3252" t="s">
        <v>1230</v>
      </c>
      <c r="K49" s="3252"/>
      <c r="L49" s="3386"/>
      <c r="M49" s="3310" t="s">
        <v>116</v>
      </c>
      <c r="N49" s="3252" t="s">
        <v>1262</v>
      </c>
      <c r="O49" s="3252"/>
      <c r="P49" s="3386"/>
      <c r="Q49" s="3310" t="s">
        <v>116</v>
      </c>
      <c r="R49" s="3309" t="s">
        <v>1263</v>
      </c>
      <c r="S49" s="3309"/>
      <c r="T49" s="3309"/>
      <c r="U49" s="3310" t="s">
        <v>116</v>
      </c>
      <c r="V49" s="3309" t="s">
        <v>1264</v>
      </c>
      <c r="W49" s="3309"/>
      <c r="X49" s="3266"/>
      <c r="Y49" s="3310" t="s">
        <v>116</v>
      </c>
      <c r="Z49" s="3252" t="s">
        <v>1225</v>
      </c>
      <c r="AA49" s="3252"/>
      <c r="AB49" s="3308"/>
      <c r="AC49" s="3497"/>
      <c r="AD49" s="3511"/>
      <c r="AE49" s="3511"/>
      <c r="AF49" s="3510"/>
      <c r="AG49" s="3120" t="str">
        <f>"ser_code = '" &amp; IF(A54="■",66,"") &amp; "'"</f>
        <v>ser_code = ''</v>
      </c>
      <c r="AH49" s="3120"/>
      <c r="AI49" s="3120" t="str">
        <f>"66:"&amp;IF(AND(I49="□",M49="□",Q49="□",U49="□",I50="□",M50="□",Q50="□"),"ketu_doctor_code:0",IF(I49="■","ketu_doctor_code:1:ketu_kangos_code:1:ketu_kshoku_code:1:ketu_rryoho_code:1:ketu_sryoho_code:1:ketu_gengo_code:1",
IF(M49="■","ketu_doctor_code:2","ketu_doctor_code:1")
&amp;IF(Q49="■",":ketu_kangos_code:2",":ketu_kangos_code:1")
&amp;IF(U49="■",":ketu_kshoku_code:2",":ketu_kshoku_code:1")
&amp;IF(I50="■",":ketu_rryoho_code:2",":ketu_rryoho_code:1")
&amp;IF(M50="■",":ketu_sryoho_code:2",":ketu_sryoho_code:1")
&amp;IF(Q50="■",":ketu_gengo_code:2",":ketu_gengo_code:1")))</f>
        <v>66:ketu_doctor_code:0</v>
      </c>
      <c r="AJ49" s="3120" t="str">
        <f>"66:field203:" &amp; IF(Y49="■",1,IF(Y50="■",2,0))</f>
        <v>66:field203:0</v>
      </c>
    </row>
    <row r="50" spans="1:37" ht="18.75" customHeight="1" x14ac:dyDescent="0.2">
      <c r="A50" s="834"/>
      <c r="B50" s="3148"/>
      <c r="C50" s="3160"/>
      <c r="D50" s="3144"/>
      <c r="E50" s="3145"/>
      <c r="F50" s="3144"/>
      <c r="G50" s="3175"/>
      <c r="H50" s="3337"/>
      <c r="I50" s="3158" t="s">
        <v>116</v>
      </c>
      <c r="J50" s="1200" t="s">
        <v>1265</v>
      </c>
      <c r="M50" s="3258" t="s">
        <v>116</v>
      </c>
      <c r="N50" s="1200" t="s">
        <v>1266</v>
      </c>
      <c r="Q50" s="3258" t="s">
        <v>116</v>
      </c>
      <c r="R50" s="1200" t="s">
        <v>1267</v>
      </c>
      <c r="X50" s="3336"/>
      <c r="Y50" s="3258" t="s">
        <v>116</v>
      </c>
      <c r="Z50" s="1200" t="s">
        <v>1226</v>
      </c>
      <c r="AA50" s="1201"/>
      <c r="AB50" s="1202"/>
      <c r="AC50" s="3509"/>
      <c r="AD50" s="3508"/>
      <c r="AE50" s="3508"/>
      <c r="AF50" s="3507"/>
      <c r="AG50" s="3120" t="str">
        <f>"66:sisetukbn_code:" &amp; IF(D53="■",1,IF(D54="■",2,IF(D55="■",3,0)))</f>
        <v>66:sisetukbn_code:0</v>
      </c>
      <c r="AH50" s="3120"/>
      <c r="AI50" s="3120"/>
      <c r="AJ50" s="3120"/>
    </row>
    <row r="51" spans="1:37" ht="19.5" customHeight="1" x14ac:dyDescent="0.2">
      <c r="A51" s="834"/>
      <c r="B51" s="3148"/>
      <c r="C51" s="3160"/>
      <c r="D51" s="3144"/>
      <c r="E51" s="3145"/>
      <c r="F51" s="3144"/>
      <c r="G51" s="3175"/>
      <c r="H51" s="3174" t="s">
        <v>1227</v>
      </c>
      <c r="I51" s="3155" t="s">
        <v>116</v>
      </c>
      <c r="J51" s="3137" t="s">
        <v>1228</v>
      </c>
      <c r="K51" s="3171"/>
      <c r="L51" s="3173"/>
      <c r="M51" s="3154" t="s">
        <v>116</v>
      </c>
      <c r="N51" s="3137" t="s">
        <v>1229</v>
      </c>
      <c r="O51" s="3137"/>
      <c r="P51" s="3137"/>
      <c r="Q51" s="3150"/>
      <c r="R51" s="3150"/>
      <c r="S51" s="3150"/>
      <c r="T51" s="3150"/>
      <c r="U51" s="3150"/>
      <c r="V51" s="3150"/>
      <c r="W51" s="3150"/>
      <c r="X51" s="3149"/>
      <c r="Y51" s="3293"/>
      <c r="Z51" s="1201"/>
      <c r="AA51" s="1201"/>
      <c r="AB51" s="1202"/>
      <c r="AC51" s="3509"/>
      <c r="AD51" s="3508"/>
      <c r="AE51" s="3508"/>
      <c r="AF51" s="3507"/>
      <c r="AG51" s="3499"/>
      <c r="AI51" s="3120" t="str">
        <f>"66:field223:" &amp; IF(I51="■",1,IF(M51="■",2,0))</f>
        <v>66:field223:0</v>
      </c>
    </row>
    <row r="52" spans="1:37" ht="19.5" customHeight="1" x14ac:dyDescent="0.2">
      <c r="A52" s="834"/>
      <c r="B52" s="3148"/>
      <c r="C52" s="3147"/>
      <c r="D52" s="3146"/>
      <c r="E52" s="3145"/>
      <c r="F52" s="3144"/>
      <c r="G52" s="3175"/>
      <c r="H52" s="3395" t="s">
        <v>1253</v>
      </c>
      <c r="I52" s="3141" t="s">
        <v>116</v>
      </c>
      <c r="J52" s="3139" t="s">
        <v>1228</v>
      </c>
      <c r="K52" s="3138"/>
      <c r="L52" s="3385"/>
      <c r="M52" s="3140" t="s">
        <v>116</v>
      </c>
      <c r="N52" s="3139" t="s">
        <v>1229</v>
      </c>
      <c r="O52" s="3139"/>
      <c r="P52" s="3139"/>
      <c r="Q52" s="3207"/>
      <c r="R52" s="3207"/>
      <c r="S52" s="3207"/>
      <c r="T52" s="3207"/>
      <c r="U52" s="3207"/>
      <c r="V52" s="3207"/>
      <c r="W52" s="3207"/>
      <c r="X52" s="3206"/>
      <c r="Y52" s="3293"/>
      <c r="Z52" s="1201"/>
      <c r="AA52" s="1201"/>
      <c r="AB52" s="1202"/>
      <c r="AC52" s="3509"/>
      <c r="AD52" s="3508"/>
      <c r="AE52" s="3508"/>
      <c r="AF52" s="3507"/>
      <c r="AI52" s="3120" t="str">
        <f>"66:field232:" &amp; IF(I52="■",1,IF(M52="■",2,0))</f>
        <v>66:field232:0</v>
      </c>
    </row>
    <row r="53" spans="1:37" ht="18.75" customHeight="1" x14ac:dyDescent="0.2">
      <c r="A53" s="834"/>
      <c r="B53" s="3148"/>
      <c r="C53" s="3147"/>
      <c r="D53" s="3258" t="s">
        <v>116</v>
      </c>
      <c r="E53" s="3145" t="s">
        <v>1342</v>
      </c>
      <c r="F53" s="3144"/>
      <c r="G53" s="3175"/>
      <c r="H53" s="3159" t="s">
        <v>1347</v>
      </c>
      <c r="I53" s="3155" t="s">
        <v>116</v>
      </c>
      <c r="J53" s="3137" t="s">
        <v>1230</v>
      </c>
      <c r="K53" s="3171"/>
      <c r="L53" s="3154" t="s">
        <v>116</v>
      </c>
      <c r="M53" s="3137" t="s">
        <v>1233</v>
      </c>
      <c r="N53" s="3137"/>
      <c r="O53" s="3153"/>
      <c r="P53" s="3153"/>
      <c r="Q53" s="3153"/>
      <c r="R53" s="3153"/>
      <c r="S53" s="3153"/>
      <c r="T53" s="3153"/>
      <c r="U53" s="3153"/>
      <c r="V53" s="3153"/>
      <c r="W53" s="3153"/>
      <c r="X53" s="3152"/>
      <c r="Y53" s="3293"/>
      <c r="Z53" s="1201"/>
      <c r="AA53" s="1201"/>
      <c r="AB53" s="1202"/>
      <c r="AC53" s="3509"/>
      <c r="AD53" s="3508"/>
      <c r="AE53" s="3508"/>
      <c r="AF53" s="3507"/>
      <c r="AI53" s="3120" t="str">
        <f>"66:field157:" &amp; IF(I53="■",1,IF(L53="■",2,0))</f>
        <v>66:field157:0</v>
      </c>
    </row>
    <row r="54" spans="1:37" ht="18.75" customHeight="1" x14ac:dyDescent="0.2">
      <c r="A54" s="3158" t="s">
        <v>116</v>
      </c>
      <c r="B54" s="3148">
        <v>66</v>
      </c>
      <c r="C54" s="3160" t="s">
        <v>1349</v>
      </c>
      <c r="D54" s="3258" t="s">
        <v>116</v>
      </c>
      <c r="E54" s="3145" t="s">
        <v>1247</v>
      </c>
      <c r="F54" s="3144"/>
      <c r="G54" s="3175"/>
      <c r="H54" s="3151" t="s">
        <v>1348</v>
      </c>
      <c r="I54" s="3154" t="s">
        <v>116</v>
      </c>
      <c r="J54" s="3137" t="s">
        <v>1230</v>
      </c>
      <c r="K54" s="3171"/>
      <c r="L54" s="3154" t="s">
        <v>116</v>
      </c>
      <c r="M54" s="3137" t="s">
        <v>1233</v>
      </c>
      <c r="N54" s="3137"/>
      <c r="O54" s="3153"/>
      <c r="P54" s="3153"/>
      <c r="Q54" s="3153"/>
      <c r="R54" s="3153"/>
      <c r="S54" s="3153"/>
      <c r="T54" s="3153"/>
      <c r="U54" s="3153"/>
      <c r="V54" s="3153"/>
      <c r="W54" s="3153"/>
      <c r="X54" s="3152"/>
      <c r="Y54" s="3293"/>
      <c r="Z54" s="1201"/>
      <c r="AA54" s="1201"/>
      <c r="AB54" s="1202"/>
      <c r="AC54" s="3509"/>
      <c r="AD54" s="3508"/>
      <c r="AE54" s="3508"/>
      <c r="AF54" s="3507"/>
      <c r="AI54" s="3120" t="str">
        <f>"66:jyakuninti_uke_code:" &amp; IF(I54="■",1,IF(L54="■",2,0))</f>
        <v>66:jyakuninti_uke_code:0</v>
      </c>
    </row>
    <row r="55" spans="1:37" ht="18.75" customHeight="1" x14ac:dyDescent="0.2">
      <c r="A55" s="834"/>
      <c r="B55" s="3148"/>
      <c r="C55" s="3160" t="s">
        <v>1346</v>
      </c>
      <c r="D55" s="3258" t="s">
        <v>116</v>
      </c>
      <c r="E55" s="3145" t="s">
        <v>1249</v>
      </c>
      <c r="F55" s="3144"/>
      <c r="G55" s="3175"/>
      <c r="H55" s="3151" t="s">
        <v>1257</v>
      </c>
      <c r="I55" s="3154" t="s">
        <v>116</v>
      </c>
      <c r="J55" s="3137" t="s">
        <v>1230</v>
      </c>
      <c r="K55" s="3171"/>
      <c r="L55" s="3154" t="s">
        <v>116</v>
      </c>
      <c r="M55" s="3137" t="s">
        <v>1233</v>
      </c>
      <c r="N55" s="3137"/>
      <c r="O55" s="3153"/>
      <c r="P55" s="3153"/>
      <c r="Q55" s="3153"/>
      <c r="R55" s="3153"/>
      <c r="S55" s="3153"/>
      <c r="T55" s="3153"/>
      <c r="U55" s="3153"/>
      <c r="V55" s="3153"/>
      <c r="W55" s="3153"/>
      <c r="X55" s="3152"/>
      <c r="Y55" s="3293"/>
      <c r="Z55" s="1201"/>
      <c r="AA55" s="1201"/>
      <c r="AB55" s="1202"/>
      <c r="AC55" s="3509"/>
      <c r="AD55" s="3508"/>
      <c r="AE55" s="3508"/>
      <c r="AF55" s="3507"/>
      <c r="AI55" s="3120" t="str">
        <f>"66:eiyomana_code:" &amp; IF(I55="■",1,IF(L55="■",2,0))</f>
        <v>66:eiyomana_code:0</v>
      </c>
    </row>
    <row r="56" spans="1:37" ht="18.75" customHeight="1" x14ac:dyDescent="0.2">
      <c r="A56" s="834"/>
      <c r="B56" s="3148"/>
      <c r="C56" s="3160"/>
      <c r="D56" s="3144"/>
      <c r="E56" s="3145"/>
      <c r="F56" s="3144"/>
      <c r="G56" s="3175"/>
      <c r="H56" s="3142" t="s">
        <v>1258</v>
      </c>
      <c r="I56" s="3154" t="s">
        <v>116</v>
      </c>
      <c r="J56" s="3137" t="s">
        <v>1230</v>
      </c>
      <c r="K56" s="3171"/>
      <c r="L56" s="3154" t="s">
        <v>116</v>
      </c>
      <c r="M56" s="3137" t="s">
        <v>1233</v>
      </c>
      <c r="N56" s="3137"/>
      <c r="O56" s="3153"/>
      <c r="P56" s="3153"/>
      <c r="Q56" s="3153"/>
      <c r="R56" s="3153"/>
      <c r="S56" s="3153"/>
      <c r="T56" s="3153"/>
      <c r="U56" s="3153"/>
      <c r="V56" s="3153"/>
      <c r="W56" s="3153"/>
      <c r="X56" s="3152"/>
      <c r="Y56" s="3293"/>
      <c r="Z56" s="1201"/>
      <c r="AA56" s="1201"/>
      <c r="AB56" s="1202"/>
      <c r="AC56" s="3509"/>
      <c r="AD56" s="3508"/>
      <c r="AE56" s="3508"/>
      <c r="AF56" s="3507"/>
      <c r="AI56" s="3120" t="str">
        <f>"66:koukoukino_code:" &amp; IF(I56="■",1,IF(L56="■",2,0))</f>
        <v>66:koukoukino_code:0</v>
      </c>
    </row>
    <row r="57" spans="1:37" ht="18.75" customHeight="1" x14ac:dyDescent="0.2">
      <c r="A57" s="834"/>
      <c r="B57" s="3148"/>
      <c r="C57" s="3160"/>
      <c r="D57" s="3144"/>
      <c r="E57" s="3145"/>
      <c r="F57" s="3144"/>
      <c r="G57" s="3175"/>
      <c r="H57" s="3433" t="s">
        <v>1350</v>
      </c>
      <c r="I57" s="3303" t="s">
        <v>116</v>
      </c>
      <c r="J57" s="3210" t="s">
        <v>1230</v>
      </c>
      <c r="K57" s="3210"/>
      <c r="L57" s="3301" t="s">
        <v>116</v>
      </c>
      <c r="M57" s="3210" t="s">
        <v>1233</v>
      </c>
      <c r="N57" s="3210"/>
      <c r="O57" s="3513"/>
      <c r="P57" s="3513"/>
      <c r="Q57" s="3513"/>
      <c r="R57" s="3513"/>
      <c r="S57" s="3513"/>
      <c r="T57" s="3513"/>
      <c r="U57" s="3513"/>
      <c r="V57" s="3513"/>
      <c r="W57" s="3513"/>
      <c r="X57" s="3512"/>
      <c r="Y57" s="3293"/>
      <c r="Z57" s="1201"/>
      <c r="AA57" s="1201"/>
      <c r="AB57" s="1202"/>
      <c r="AC57" s="3509"/>
      <c r="AD57" s="3508"/>
      <c r="AE57" s="3508"/>
      <c r="AF57" s="3507"/>
      <c r="AI57" s="3120" t="str">
        <f>"66:field174:" &amp; IF(I57="■",1,IF(L57="■",2,0))</f>
        <v>66:field174:0</v>
      </c>
    </row>
    <row r="58" spans="1:37" ht="18.75" customHeight="1" x14ac:dyDescent="0.2">
      <c r="A58" s="834"/>
      <c r="B58" s="3148"/>
      <c r="C58" s="3160"/>
      <c r="D58" s="3144"/>
      <c r="E58" s="3145"/>
      <c r="F58" s="3144"/>
      <c r="G58" s="3175"/>
      <c r="H58" s="3142" t="s">
        <v>797</v>
      </c>
      <c r="I58" s="3303" t="s">
        <v>116</v>
      </c>
      <c r="J58" s="3137" t="s">
        <v>1230</v>
      </c>
      <c r="K58" s="3171"/>
      <c r="L58" s="3154" t="s">
        <v>116</v>
      </c>
      <c r="M58" s="3137" t="s">
        <v>1233</v>
      </c>
      <c r="N58" s="3137"/>
      <c r="O58" s="3153"/>
      <c r="P58" s="3153"/>
      <c r="Q58" s="3153"/>
      <c r="R58" s="3153"/>
      <c r="S58" s="3153"/>
      <c r="T58" s="3153"/>
      <c r="U58" s="3153"/>
      <c r="V58" s="3153"/>
      <c r="W58" s="3153"/>
      <c r="X58" s="3152"/>
      <c r="Y58" s="3293"/>
      <c r="Z58" s="1201"/>
      <c r="AA58" s="1201"/>
      <c r="AB58" s="1202"/>
      <c r="AC58" s="3509"/>
      <c r="AD58" s="3508"/>
      <c r="AE58" s="3508"/>
      <c r="AF58" s="3507"/>
      <c r="AI58" s="3120" t="str">
        <f>"66:field212:" &amp; IF(I58="■",1,IF(L58="■",2,0))</f>
        <v>66:field212:0</v>
      </c>
    </row>
    <row r="59" spans="1:37" ht="18.75" customHeight="1" x14ac:dyDescent="0.2">
      <c r="A59" s="834"/>
      <c r="B59" s="3148"/>
      <c r="C59" s="3160"/>
      <c r="D59" s="3144"/>
      <c r="E59" s="3145"/>
      <c r="F59" s="3144"/>
      <c r="G59" s="3175"/>
      <c r="H59" s="3151" t="s">
        <v>238</v>
      </c>
      <c r="I59" s="3303" t="s">
        <v>116</v>
      </c>
      <c r="J59" s="3137" t="s">
        <v>1230</v>
      </c>
      <c r="K59" s="3137"/>
      <c r="L59" s="3154" t="s">
        <v>116</v>
      </c>
      <c r="M59" s="3137" t="s">
        <v>1279</v>
      </c>
      <c r="N59" s="3137"/>
      <c r="O59" s="3154" t="s">
        <v>116</v>
      </c>
      <c r="P59" s="3137" t="s">
        <v>1252</v>
      </c>
      <c r="Q59" s="3137"/>
      <c r="R59" s="3154" t="s">
        <v>116</v>
      </c>
      <c r="S59" s="3137" t="s">
        <v>1280</v>
      </c>
      <c r="T59" s="3153"/>
      <c r="U59" s="3153"/>
      <c r="V59" s="3153"/>
      <c r="W59" s="3153"/>
      <c r="X59" s="3152"/>
      <c r="Y59" s="3293"/>
      <c r="Z59" s="1201"/>
      <c r="AA59" s="1201"/>
      <c r="AB59" s="1202"/>
      <c r="AC59" s="3509"/>
      <c r="AD59" s="3508"/>
      <c r="AE59" s="3508"/>
      <c r="AF59" s="3507"/>
      <c r="AI59" s="3120" t="str">
        <f>"66:serteikyo_kyoka_code:" &amp; IF(I59="■",1,IF(L59="■",5,IF(O59="■",4,IF(R59="■",6,0))))</f>
        <v>66:serteikyo_kyoka_code:0</v>
      </c>
    </row>
    <row r="60" spans="1:37" ht="18.75" customHeight="1" x14ac:dyDescent="0.2">
      <c r="A60" s="835"/>
      <c r="B60" s="3148"/>
      <c r="C60" s="3134"/>
      <c r="D60" s="3133"/>
      <c r="E60" s="3132"/>
      <c r="F60" s="3131"/>
      <c r="G60" s="3189"/>
      <c r="H60" s="3289" t="s">
        <v>2129</v>
      </c>
      <c r="I60" s="3128" t="s">
        <v>116</v>
      </c>
      <c r="J60" s="3285" t="s">
        <v>1230</v>
      </c>
      <c r="K60" s="3285"/>
      <c r="L60" s="3127" t="s">
        <v>116</v>
      </c>
      <c r="M60" s="3285" t="s">
        <v>2128</v>
      </c>
      <c r="N60" s="3288"/>
      <c r="O60" s="3127" t="s">
        <v>116</v>
      </c>
      <c r="P60" s="3287" t="s">
        <v>2127</v>
      </c>
      <c r="Q60" s="3286"/>
      <c r="R60" s="3127" t="s">
        <v>116</v>
      </c>
      <c r="S60" s="3285" t="s">
        <v>2126</v>
      </c>
      <c r="T60" s="3286"/>
      <c r="U60" s="3127" t="s">
        <v>116</v>
      </c>
      <c r="V60" s="3285" t="s">
        <v>2125</v>
      </c>
      <c r="W60" s="3284"/>
      <c r="X60" s="3283"/>
      <c r="Y60" s="3282"/>
      <c r="Z60" s="3282"/>
      <c r="AA60" s="3282"/>
      <c r="AB60" s="3281"/>
      <c r="AC60" s="3506"/>
      <c r="AD60" s="3505"/>
      <c r="AE60" s="3505"/>
      <c r="AF60" s="3504"/>
      <c r="AG60" s="3120"/>
      <c r="AH60" s="3120"/>
      <c r="AI60" s="3120" t="str">
        <f>"66:shoguukaizen_code:"&amp;IF(I60="■",1,IF(L60="■",7,IF(O60="■",8,IF(R60="■",9,IF(U60="■","A",0)))))</f>
        <v>66:shoguukaizen_code:0</v>
      </c>
    </row>
    <row r="61" spans="1:37" ht="18.75" hidden="1" customHeight="1" x14ac:dyDescent="0.2">
      <c r="A61" s="3188"/>
      <c r="B61" s="3187"/>
      <c r="C61" s="3229"/>
      <c r="D61" s="3228"/>
      <c r="E61" s="3185"/>
      <c r="F61" s="3184"/>
      <c r="G61" s="3183"/>
      <c r="H61" s="3182" t="s">
        <v>1286</v>
      </c>
      <c r="I61" s="3303" t="s">
        <v>116</v>
      </c>
      <c r="J61" s="3180" t="s">
        <v>1282</v>
      </c>
      <c r="K61" s="3226"/>
      <c r="L61" s="3225"/>
      <c r="M61" s="3179" t="s">
        <v>116</v>
      </c>
      <c r="N61" s="3180" t="s">
        <v>1283</v>
      </c>
      <c r="O61" s="3178"/>
      <c r="P61" s="3178"/>
      <c r="Q61" s="3178"/>
      <c r="R61" s="3178"/>
      <c r="S61" s="3178"/>
      <c r="T61" s="3226"/>
      <c r="U61" s="3226"/>
      <c r="V61" s="3226"/>
      <c r="W61" s="3226"/>
      <c r="X61" s="3339"/>
      <c r="Y61" s="3310" t="s">
        <v>116</v>
      </c>
      <c r="Z61" s="3252" t="s">
        <v>1225</v>
      </c>
      <c r="AA61" s="3252"/>
      <c r="AB61" s="3308"/>
      <c r="AC61" s="3310" t="s">
        <v>116</v>
      </c>
      <c r="AD61" s="3252" t="s">
        <v>1225</v>
      </c>
      <c r="AE61" s="3252"/>
      <c r="AF61" s="3308"/>
      <c r="AG61" s="3120" t="str">
        <f>"ser_code = '" &amp; IF(A73="■",24,"") &amp; "'"</f>
        <v>ser_code = ''</v>
      </c>
      <c r="AH61" s="3120"/>
      <c r="AI61" s="3120" t="str">
        <f>"24:yakan_kinmu_code:" &amp; IF(I61="■",1,IF(M61="■",6,0))</f>
        <v>24:yakan_kinmu_code:0</v>
      </c>
      <c r="AJ61" s="3120" t="str">
        <f>"24:field203:" &amp; IF(Y61="■",1,IF(Y62="■",2,0))</f>
        <v>24:field203:0</v>
      </c>
      <c r="AK61" s="3120" t="str">
        <f>"21:waribiki_code:" &amp; IF(AC61="■",1,IF(AC62="■",2,0))</f>
        <v>21:waribiki_code:0</v>
      </c>
    </row>
    <row r="62" spans="1:37" ht="18.75" hidden="1" customHeight="1" x14ac:dyDescent="0.2">
      <c r="A62" s="834"/>
      <c r="B62" s="3148"/>
      <c r="C62" s="3147"/>
      <c r="D62" s="3146"/>
      <c r="E62" s="3145"/>
      <c r="F62" s="3144"/>
      <c r="G62" s="3175"/>
      <c r="H62" s="3151" t="s">
        <v>90</v>
      </c>
      <c r="I62" s="3303" t="s">
        <v>116</v>
      </c>
      <c r="J62" s="3137" t="s">
        <v>1230</v>
      </c>
      <c r="K62" s="3137"/>
      <c r="L62" s="3173"/>
      <c r="M62" s="3154" t="s">
        <v>116</v>
      </c>
      <c r="N62" s="3137" t="s">
        <v>2103</v>
      </c>
      <c r="O62" s="3137"/>
      <c r="P62" s="3173"/>
      <c r="Q62" s="3154" t="s">
        <v>116</v>
      </c>
      <c r="R62" s="3153" t="s">
        <v>2102</v>
      </c>
      <c r="S62" s="3153"/>
      <c r="T62" s="3171"/>
      <c r="U62" s="3171"/>
      <c r="V62" s="3171"/>
      <c r="W62" s="3171"/>
      <c r="X62" s="3297"/>
      <c r="Y62" s="3258" t="s">
        <v>116</v>
      </c>
      <c r="Z62" s="1200" t="s">
        <v>1226</v>
      </c>
      <c r="AA62" s="1201"/>
      <c r="AB62" s="1202"/>
      <c r="AC62" s="3258" t="s">
        <v>116</v>
      </c>
      <c r="AD62" s="1200" t="s">
        <v>1226</v>
      </c>
      <c r="AE62" s="1201"/>
      <c r="AF62" s="1202"/>
      <c r="AG62" s="3120" t="str">
        <f>"24:sisetukbn_code:" &amp; IF(D72="■",1,IF(D73="■",2,IF(D74="■",3,IF(D75="■",4,0))))</f>
        <v>24:sisetukbn_code:0</v>
      </c>
      <c r="AI62" s="3120" t="str">
        <f>"24:"&amp;IF(AND(I62="□",M62="□",Q62="□"),"ketu_kangos_code:0",IF(I62="■","ketu_kangos_code:1:ketu_kshoku_code:1",IF(M62="■","ketu_kangos_code:2","ketu_kangos_code:1")&amp;IF(Q62="■",":ketu_kshoku_code:2",":ketu_kshoku_code:1")))</f>
        <v>24:ketu_kangos_code:0</v>
      </c>
    </row>
    <row r="63" spans="1:37" ht="18.75" hidden="1" customHeight="1" x14ac:dyDescent="0.2">
      <c r="A63" s="834"/>
      <c r="B63" s="3148"/>
      <c r="C63" s="3147"/>
      <c r="D63" s="3146"/>
      <c r="E63" s="3145"/>
      <c r="F63" s="3144"/>
      <c r="G63" s="3175"/>
      <c r="H63" s="3151" t="s">
        <v>91</v>
      </c>
      <c r="I63" s="3303" t="s">
        <v>116</v>
      </c>
      <c r="J63" s="3137" t="s">
        <v>1240</v>
      </c>
      <c r="K63" s="3171"/>
      <c r="L63" s="3173"/>
      <c r="M63" s="3154" t="s">
        <v>116</v>
      </c>
      <c r="N63" s="3137" t="s">
        <v>1241</v>
      </c>
      <c r="O63" s="3150"/>
      <c r="P63" s="3153"/>
      <c r="Q63" s="3153"/>
      <c r="R63" s="3153"/>
      <c r="S63" s="3153"/>
      <c r="T63" s="3171"/>
      <c r="U63" s="3171"/>
      <c r="V63" s="3171"/>
      <c r="W63" s="3171"/>
      <c r="X63" s="3297"/>
      <c r="Y63" s="3293"/>
      <c r="Z63" s="1201"/>
      <c r="AA63" s="1201"/>
      <c r="AB63" s="1202"/>
      <c r="AC63" s="3293"/>
      <c r="AD63" s="1201"/>
      <c r="AE63" s="1201"/>
      <c r="AF63" s="1202"/>
      <c r="AI63" s="3120" t="str">
        <f>"24:unitcare_code:" &amp; IF(I63="■",1,IF(M63="■",2,0))</f>
        <v>24:unitcare_code:0</v>
      </c>
    </row>
    <row r="64" spans="1:37" s="3120" customFormat="1" ht="18.75" hidden="1" customHeight="1" x14ac:dyDescent="0.2">
      <c r="A64" s="834"/>
      <c r="B64" s="3148"/>
      <c r="C64" s="3295"/>
      <c r="D64" s="3294"/>
      <c r="E64" s="3145"/>
      <c r="F64" s="3144"/>
      <c r="G64" s="3175"/>
      <c r="H64" s="3381" t="s">
        <v>1325</v>
      </c>
      <c r="I64" s="3303" t="s">
        <v>116</v>
      </c>
      <c r="J64" s="3217" t="s">
        <v>1228</v>
      </c>
      <c r="K64" s="3221"/>
      <c r="L64" s="3220"/>
      <c r="M64" s="3219" t="s">
        <v>116</v>
      </c>
      <c r="N64" s="3217" t="s">
        <v>1322</v>
      </c>
      <c r="O64" s="3221"/>
      <c r="P64" s="3380"/>
      <c r="Q64" s="3380"/>
      <c r="R64" s="3380"/>
      <c r="S64" s="3380"/>
      <c r="T64" s="3380"/>
      <c r="U64" s="3380"/>
      <c r="V64" s="3380"/>
      <c r="W64" s="3380"/>
      <c r="X64" s="3379"/>
      <c r="Y64" s="3293"/>
      <c r="Z64" s="1201"/>
      <c r="AA64" s="1201"/>
      <c r="AB64" s="1202"/>
      <c r="AC64" s="3293"/>
      <c r="AD64" s="1201"/>
      <c r="AE64" s="1201"/>
      <c r="AF64" s="1202"/>
      <c r="AI64" s="3120" t="str">
        <f>"24:sintaikousoku_code:" &amp; IF(I64="■",1,IF(M64="■",2,0))</f>
        <v>24:sintaikousoku_code:0</v>
      </c>
    </row>
    <row r="65" spans="1:35" ht="19.5" hidden="1" customHeight="1" x14ac:dyDescent="0.2">
      <c r="A65" s="834"/>
      <c r="B65" s="3148"/>
      <c r="C65" s="3147"/>
      <c r="D65" s="3146"/>
      <c r="E65" s="3145"/>
      <c r="F65" s="3144"/>
      <c r="G65" s="3175"/>
      <c r="H65" s="3174" t="s">
        <v>1227</v>
      </c>
      <c r="I65" s="3303" t="s">
        <v>116</v>
      </c>
      <c r="J65" s="3137" t="s">
        <v>1228</v>
      </c>
      <c r="K65" s="3171"/>
      <c r="L65" s="3173"/>
      <c r="M65" s="3154" t="s">
        <v>116</v>
      </c>
      <c r="N65" s="3137" t="s">
        <v>1229</v>
      </c>
      <c r="O65" s="3137"/>
      <c r="P65" s="3137"/>
      <c r="Q65" s="3150"/>
      <c r="R65" s="3150"/>
      <c r="S65" s="3150"/>
      <c r="T65" s="3150"/>
      <c r="U65" s="3150"/>
      <c r="V65" s="3150"/>
      <c r="W65" s="3150"/>
      <c r="X65" s="3149"/>
      <c r="Y65" s="1201"/>
      <c r="Z65" s="1201"/>
      <c r="AA65" s="1201"/>
      <c r="AB65" s="1202"/>
      <c r="AC65" s="3293"/>
      <c r="AD65" s="1201"/>
      <c r="AE65" s="1201"/>
      <c r="AF65" s="1202"/>
      <c r="AI65" s="3120" t="str">
        <f>"24:field223:" &amp; IF(I65="■",1,IF(M65="■",2,0))</f>
        <v>24:field223:0</v>
      </c>
    </row>
    <row r="66" spans="1:35" ht="19.5" hidden="1" customHeight="1" x14ac:dyDescent="0.2">
      <c r="A66" s="834"/>
      <c r="B66" s="3148"/>
      <c r="C66" s="3147"/>
      <c r="D66" s="3146"/>
      <c r="E66" s="3145"/>
      <c r="F66" s="3144"/>
      <c r="G66" s="3175"/>
      <c r="H66" s="3174" t="s">
        <v>1253</v>
      </c>
      <c r="I66" s="3303" t="s">
        <v>116</v>
      </c>
      <c r="J66" s="3139" t="s">
        <v>1228</v>
      </c>
      <c r="K66" s="3138"/>
      <c r="L66" s="3385"/>
      <c r="M66" s="3140" t="s">
        <v>116</v>
      </c>
      <c r="N66" s="3139" t="s">
        <v>1229</v>
      </c>
      <c r="O66" s="3139"/>
      <c r="P66" s="3139"/>
      <c r="Q66" s="3207"/>
      <c r="R66" s="3207"/>
      <c r="S66" s="3207"/>
      <c r="T66" s="3207"/>
      <c r="U66" s="3207"/>
      <c r="V66" s="3207"/>
      <c r="W66" s="3207"/>
      <c r="X66" s="3206"/>
      <c r="Y66" s="1201"/>
      <c r="Z66" s="1200"/>
      <c r="AA66" s="1201"/>
      <c r="AB66" s="1202"/>
      <c r="AC66" s="3293"/>
      <c r="AD66" s="1201"/>
      <c r="AE66" s="1201"/>
      <c r="AF66" s="1202"/>
      <c r="AI66" s="3120" t="str">
        <f>"24:field232:" &amp; IF(I66="■",1,IF(M66="■",2,0))</f>
        <v>24:field232:0</v>
      </c>
    </row>
    <row r="67" spans="1:35" ht="18.75" hidden="1" customHeight="1" x14ac:dyDescent="0.2">
      <c r="A67" s="834"/>
      <c r="B67" s="3148"/>
      <c r="C67" s="3147"/>
      <c r="D67" s="3146"/>
      <c r="E67" s="3145"/>
      <c r="F67" s="3144"/>
      <c r="G67" s="3175"/>
      <c r="H67" s="3170" t="s">
        <v>2287</v>
      </c>
      <c r="I67" s="3303" t="s">
        <v>116</v>
      </c>
      <c r="J67" s="3347" t="s">
        <v>1230</v>
      </c>
      <c r="K67" s="3347"/>
      <c r="L67" s="3346" t="s">
        <v>116</v>
      </c>
      <c r="M67" s="3347" t="s">
        <v>1233</v>
      </c>
      <c r="N67" s="3347"/>
      <c r="O67" s="3302"/>
      <c r="P67" s="3302"/>
      <c r="Q67" s="3302"/>
      <c r="R67" s="3302"/>
      <c r="S67" s="3302"/>
      <c r="T67" s="3302"/>
      <c r="U67" s="3302"/>
      <c r="V67" s="3302"/>
      <c r="W67" s="3302"/>
      <c r="X67" s="3335"/>
      <c r="Y67" s="3293"/>
      <c r="Z67" s="1201"/>
      <c r="AA67" s="1201"/>
      <c r="AB67" s="1202"/>
      <c r="AC67" s="3293"/>
      <c r="AD67" s="1201"/>
      <c r="AE67" s="1201"/>
      <c r="AF67" s="1202"/>
      <c r="AI67" s="3120" t="str">
        <f>"24:field189:" &amp; IF(I67="■",1,IF(L67="■",2,0))</f>
        <v>24:field189:0</v>
      </c>
    </row>
    <row r="68" spans="1:35" ht="18.75" hidden="1" customHeight="1" x14ac:dyDescent="0.2">
      <c r="A68" s="834"/>
      <c r="B68" s="3148"/>
      <c r="C68" s="3147"/>
      <c r="D68" s="3146"/>
      <c r="E68" s="3145"/>
      <c r="F68" s="3144"/>
      <c r="G68" s="3175"/>
      <c r="H68" s="3165"/>
      <c r="I68" s="3158" t="s">
        <v>116</v>
      </c>
      <c r="J68" s="3347"/>
      <c r="K68" s="3347"/>
      <c r="L68" s="3346"/>
      <c r="M68" s="3347"/>
      <c r="N68" s="3347"/>
      <c r="O68" s="3139"/>
      <c r="P68" s="3139"/>
      <c r="Q68" s="3139"/>
      <c r="R68" s="3139"/>
      <c r="S68" s="3139"/>
      <c r="T68" s="3139"/>
      <c r="U68" s="3139"/>
      <c r="V68" s="3139"/>
      <c r="W68" s="3139"/>
      <c r="X68" s="3195"/>
      <c r="Y68" s="3293"/>
      <c r="Z68" s="1201"/>
      <c r="AA68" s="1201"/>
      <c r="AB68" s="1202"/>
      <c r="AC68" s="3293"/>
      <c r="AD68" s="1201"/>
      <c r="AE68" s="1201"/>
      <c r="AF68" s="1202"/>
      <c r="AI68" s="3120"/>
    </row>
    <row r="69" spans="1:35" ht="18.75" hidden="1" customHeight="1" x14ac:dyDescent="0.2">
      <c r="A69" s="834"/>
      <c r="B69" s="3148"/>
      <c r="C69" s="3147"/>
      <c r="D69" s="3146"/>
      <c r="E69" s="3145"/>
      <c r="F69" s="3144"/>
      <c r="G69" s="3175"/>
      <c r="H69" s="3151" t="s">
        <v>2094</v>
      </c>
      <c r="I69" s="3303" t="s">
        <v>116</v>
      </c>
      <c r="J69" s="3137" t="s">
        <v>1230</v>
      </c>
      <c r="K69" s="3171"/>
      <c r="L69" s="3154" t="s">
        <v>116</v>
      </c>
      <c r="M69" s="3137" t="s">
        <v>1233</v>
      </c>
      <c r="N69" s="3153"/>
      <c r="O69" s="3150"/>
      <c r="P69" s="3150"/>
      <c r="Q69" s="3150"/>
      <c r="R69" s="3150"/>
      <c r="S69" s="3150"/>
      <c r="T69" s="3150"/>
      <c r="U69" s="3150"/>
      <c r="V69" s="3150"/>
      <c r="W69" s="3150"/>
      <c r="X69" s="3149"/>
      <c r="Y69" s="3293"/>
      <c r="Z69" s="1201"/>
      <c r="AA69" s="1201"/>
      <c r="AB69" s="1202"/>
      <c r="AC69" s="3293"/>
      <c r="AD69" s="1201"/>
      <c r="AE69" s="1201"/>
      <c r="AF69" s="1202"/>
      <c r="AI69" s="3120" t="str">
        <f>"24:field151:" &amp; IF(I69="■",1,IF(L69="■",2,0))</f>
        <v>24:field151:0</v>
      </c>
    </row>
    <row r="70" spans="1:35" ht="18.75" hidden="1" customHeight="1" x14ac:dyDescent="0.2">
      <c r="A70" s="834"/>
      <c r="B70" s="3148"/>
      <c r="C70" s="3147"/>
      <c r="D70" s="3146"/>
      <c r="E70" s="3145"/>
      <c r="F70" s="3144"/>
      <c r="G70" s="3175"/>
      <c r="H70" s="3151" t="s">
        <v>2091</v>
      </c>
      <c r="I70" s="3303" t="s">
        <v>116</v>
      </c>
      <c r="J70" s="3137" t="s">
        <v>1230</v>
      </c>
      <c r="K70" s="3137"/>
      <c r="L70" s="3154" t="s">
        <v>116</v>
      </c>
      <c r="M70" s="3137" t="s">
        <v>1239</v>
      </c>
      <c r="N70" s="3137"/>
      <c r="O70" s="3154" t="s">
        <v>116</v>
      </c>
      <c r="P70" s="3137" t="s">
        <v>2090</v>
      </c>
      <c r="Q70" s="3153"/>
      <c r="R70" s="3153"/>
      <c r="S70" s="3153"/>
      <c r="T70" s="3153"/>
      <c r="U70" s="3153"/>
      <c r="V70" s="3153"/>
      <c r="W70" s="3153"/>
      <c r="X70" s="3152"/>
      <c r="Y70" s="3293"/>
      <c r="Z70" s="1201"/>
      <c r="AA70" s="1201"/>
      <c r="AB70" s="1202"/>
      <c r="AC70" s="3293"/>
      <c r="AD70" s="1201"/>
      <c r="AE70" s="1201"/>
      <c r="AF70" s="1202"/>
      <c r="AI70" s="3120" t="str">
        <f>"24:field185:" &amp; IF(I70="■",1,IF(L70="■",3,IF(O70="■",2,0)))</f>
        <v>24:field185:0</v>
      </c>
    </row>
    <row r="71" spans="1:35" ht="18.75" hidden="1" customHeight="1" x14ac:dyDescent="0.2">
      <c r="A71" s="834"/>
      <c r="B71" s="3148"/>
      <c r="C71" s="3147"/>
      <c r="D71" s="3146"/>
      <c r="E71" s="3145"/>
      <c r="F71" s="3144"/>
      <c r="G71" s="3175"/>
      <c r="H71" s="3151" t="s">
        <v>2285</v>
      </c>
      <c r="I71" s="3303" t="s">
        <v>116</v>
      </c>
      <c r="J71" s="3137" t="s">
        <v>1230</v>
      </c>
      <c r="K71" s="3171"/>
      <c r="L71" s="3154" t="s">
        <v>116</v>
      </c>
      <c r="M71" s="3137" t="s">
        <v>1233</v>
      </c>
      <c r="N71" s="3153"/>
      <c r="O71" s="3150"/>
      <c r="P71" s="3150"/>
      <c r="Q71" s="3150"/>
      <c r="R71" s="3150"/>
      <c r="S71" s="3150"/>
      <c r="T71" s="3150"/>
      <c r="U71" s="3150"/>
      <c r="V71" s="3150"/>
      <c r="W71" s="3150"/>
      <c r="X71" s="3149"/>
      <c r="Y71" s="3293"/>
      <c r="Z71" s="1201"/>
      <c r="AA71" s="1201"/>
      <c r="AB71" s="1202"/>
      <c r="AC71" s="3293"/>
      <c r="AD71" s="1201"/>
      <c r="AE71" s="1201"/>
      <c r="AF71" s="1202"/>
      <c r="AI71" s="3120" t="str">
        <f>"24:kunren_code:" &amp; IF(I71="■",1,IF(L71="■",2,0))</f>
        <v>24:kunren_code:0</v>
      </c>
    </row>
    <row r="72" spans="1:35" ht="18.75" hidden="1" customHeight="1" x14ac:dyDescent="0.2">
      <c r="A72" s="834"/>
      <c r="B72" s="3148"/>
      <c r="C72" s="3147"/>
      <c r="D72" s="3258" t="s">
        <v>116</v>
      </c>
      <c r="E72" s="3145" t="s">
        <v>2279</v>
      </c>
      <c r="F72" s="3144"/>
      <c r="G72" s="3175"/>
      <c r="H72" s="3151" t="s">
        <v>2284</v>
      </c>
      <c r="I72" s="3303" t="s">
        <v>116</v>
      </c>
      <c r="J72" s="3137" t="s">
        <v>1230</v>
      </c>
      <c r="K72" s="3171"/>
      <c r="L72" s="3154" t="s">
        <v>116</v>
      </c>
      <c r="M72" s="3137" t="s">
        <v>1233</v>
      </c>
      <c r="N72" s="3153"/>
      <c r="O72" s="3150"/>
      <c r="P72" s="3150"/>
      <c r="Q72" s="3150"/>
      <c r="R72" s="3150"/>
      <c r="S72" s="3150"/>
      <c r="T72" s="3150"/>
      <c r="U72" s="3150"/>
      <c r="V72" s="3150"/>
      <c r="W72" s="3150"/>
      <c r="X72" s="3149"/>
      <c r="Y72" s="3293"/>
      <c r="Z72" s="1201"/>
      <c r="AA72" s="1201"/>
      <c r="AB72" s="1202"/>
      <c r="AC72" s="3293"/>
      <c r="AD72" s="1201"/>
      <c r="AE72" s="1201"/>
      <c r="AF72" s="1202"/>
      <c r="AI72" s="3120" t="str">
        <f>"24:kobetu_kunren_code:" &amp; IF(I72="■",1,IF(L72="■",2,0))</f>
        <v>24:kobetu_kunren_code:0</v>
      </c>
    </row>
    <row r="73" spans="1:35" ht="18.75" hidden="1" customHeight="1" x14ac:dyDescent="0.2">
      <c r="A73" s="3158" t="s">
        <v>116</v>
      </c>
      <c r="B73" s="3148">
        <v>24</v>
      </c>
      <c r="C73" s="3147" t="s">
        <v>74</v>
      </c>
      <c r="D73" s="3258" t="s">
        <v>116</v>
      </c>
      <c r="E73" s="3145" t="s">
        <v>2276</v>
      </c>
      <c r="F73" s="3144"/>
      <c r="G73" s="3175"/>
      <c r="H73" s="3151" t="s">
        <v>1348</v>
      </c>
      <c r="I73" s="3303" t="s">
        <v>116</v>
      </c>
      <c r="J73" s="3137" t="s">
        <v>1230</v>
      </c>
      <c r="K73" s="3171"/>
      <c r="L73" s="3154" t="s">
        <v>116</v>
      </c>
      <c r="M73" s="3137" t="s">
        <v>1233</v>
      </c>
      <c r="N73" s="3153"/>
      <c r="O73" s="3171"/>
      <c r="P73" s="3171"/>
      <c r="Q73" s="3171"/>
      <c r="R73" s="3171"/>
      <c r="S73" s="3171"/>
      <c r="T73" s="3171"/>
      <c r="U73" s="3171"/>
      <c r="V73" s="3171"/>
      <c r="W73" s="3171"/>
      <c r="X73" s="3297"/>
      <c r="Y73" s="3293"/>
      <c r="Z73" s="1201"/>
      <c r="AA73" s="1201"/>
      <c r="AB73" s="1202"/>
      <c r="AC73" s="3293"/>
      <c r="AD73" s="1201"/>
      <c r="AE73" s="1201"/>
      <c r="AF73" s="1202"/>
      <c r="AI73" s="3120" t="str">
        <f>"24:jyakuninti_uke_code:" &amp; IF(I73="■",1,IF(L73="■",2,0))</f>
        <v>24:jyakuninti_uke_code:0</v>
      </c>
    </row>
    <row r="74" spans="1:35" ht="18.75" hidden="1" customHeight="1" x14ac:dyDescent="0.2">
      <c r="A74" s="834"/>
      <c r="B74" s="3148"/>
      <c r="C74" s="3147"/>
      <c r="D74" s="3258" t="s">
        <v>116</v>
      </c>
      <c r="E74" s="3145" t="s">
        <v>2274</v>
      </c>
      <c r="F74" s="3144"/>
      <c r="G74" s="3175"/>
      <c r="H74" s="3151" t="s">
        <v>1284</v>
      </c>
      <c r="I74" s="3303" t="s">
        <v>116</v>
      </c>
      <c r="J74" s="3137" t="s">
        <v>1240</v>
      </c>
      <c r="K74" s="3171"/>
      <c r="L74" s="3173"/>
      <c r="M74" s="3154" t="s">
        <v>116</v>
      </c>
      <c r="N74" s="3137" t="s">
        <v>1241</v>
      </c>
      <c r="O74" s="3150"/>
      <c r="P74" s="3171"/>
      <c r="Q74" s="3171"/>
      <c r="R74" s="3171"/>
      <c r="S74" s="3171"/>
      <c r="T74" s="3171"/>
      <c r="U74" s="3171"/>
      <c r="V74" s="3171"/>
      <c r="W74" s="3171"/>
      <c r="X74" s="3297"/>
      <c r="Y74" s="3293"/>
      <c r="Z74" s="1201"/>
      <c r="AA74" s="1201"/>
      <c r="AB74" s="1202"/>
      <c r="AC74" s="3293"/>
      <c r="AD74" s="1201"/>
      <c r="AE74" s="1201"/>
      <c r="AF74" s="1202"/>
      <c r="AI74" s="3120" t="str">
        <f>"24:sougei_code:" &amp; IF(I74="■",1,IF(M74="■",2,0))</f>
        <v>24:sougei_code:0</v>
      </c>
    </row>
    <row r="75" spans="1:35" ht="19.5" hidden="1" customHeight="1" x14ac:dyDescent="0.2">
      <c r="A75" s="834"/>
      <c r="B75" s="3148"/>
      <c r="C75" s="3147"/>
      <c r="D75" s="3258" t="s">
        <v>116</v>
      </c>
      <c r="E75" s="3145" t="s">
        <v>2272</v>
      </c>
      <c r="F75" s="3144"/>
      <c r="G75" s="3175"/>
      <c r="H75" s="3174" t="s">
        <v>1236</v>
      </c>
      <c r="I75" s="3303" t="s">
        <v>116</v>
      </c>
      <c r="J75" s="3137" t="s">
        <v>1230</v>
      </c>
      <c r="K75" s="3137"/>
      <c r="L75" s="3154" t="s">
        <v>116</v>
      </c>
      <c r="M75" s="3137" t="s">
        <v>1233</v>
      </c>
      <c r="N75" s="3137"/>
      <c r="O75" s="3150"/>
      <c r="P75" s="3137"/>
      <c r="Q75" s="3150"/>
      <c r="R75" s="3150"/>
      <c r="S75" s="3150"/>
      <c r="T75" s="3150"/>
      <c r="U75" s="3150"/>
      <c r="V75" s="3150"/>
      <c r="W75" s="3150"/>
      <c r="X75" s="3149"/>
      <c r="Y75" s="1201"/>
      <c r="Z75" s="1201"/>
      <c r="AA75" s="1201"/>
      <c r="AB75" s="1202"/>
      <c r="AC75" s="3293"/>
      <c r="AD75" s="1201"/>
      <c r="AE75" s="1201"/>
      <c r="AF75" s="1202"/>
      <c r="AI75" s="3120" t="str">
        <f>"24:field224:" &amp; IF(I75="■",1,IF(L75="■",2,0))</f>
        <v>24:field224:0</v>
      </c>
    </row>
    <row r="76" spans="1:35" ht="18.75" hidden="1" customHeight="1" x14ac:dyDescent="0.2">
      <c r="A76" s="834"/>
      <c r="B76" s="3148"/>
      <c r="C76" s="3147"/>
      <c r="D76" s="3146"/>
      <c r="E76" s="3145"/>
      <c r="F76" s="3144"/>
      <c r="G76" s="3175"/>
      <c r="H76" s="3151" t="s">
        <v>140</v>
      </c>
      <c r="I76" s="3303" t="s">
        <v>116</v>
      </c>
      <c r="J76" s="3137" t="s">
        <v>1230</v>
      </c>
      <c r="K76" s="3171"/>
      <c r="L76" s="3154" t="s">
        <v>116</v>
      </c>
      <c r="M76" s="3137" t="s">
        <v>1233</v>
      </c>
      <c r="N76" s="3153"/>
      <c r="O76" s="3171"/>
      <c r="P76" s="3171"/>
      <c r="Q76" s="3171"/>
      <c r="R76" s="3171"/>
      <c r="S76" s="3171"/>
      <c r="T76" s="3171"/>
      <c r="U76" s="3171"/>
      <c r="V76" s="3171"/>
      <c r="W76" s="3171"/>
      <c r="X76" s="3297"/>
      <c r="Y76" s="3293"/>
      <c r="Z76" s="1201"/>
      <c r="AA76" s="1201"/>
      <c r="AB76" s="1202"/>
      <c r="AC76" s="3293"/>
      <c r="AD76" s="1201"/>
      <c r="AE76" s="1201"/>
      <c r="AF76" s="1202"/>
      <c r="AI76" s="3120" t="str">
        <f>"24:ryouyoushoku_code:" &amp; IF(I76="■",1,IF(L76="■",2,0))</f>
        <v>24:ryouyoushoku_code:0</v>
      </c>
    </row>
    <row r="77" spans="1:35" ht="18.75" hidden="1" customHeight="1" x14ac:dyDescent="0.2">
      <c r="A77" s="834"/>
      <c r="B77" s="3148"/>
      <c r="C77" s="3147"/>
      <c r="D77" s="3146"/>
      <c r="E77" s="3145"/>
      <c r="F77" s="3144"/>
      <c r="G77" s="3175"/>
      <c r="H77" s="3243" t="s">
        <v>1237</v>
      </c>
      <c r="I77" s="3303" t="s">
        <v>116</v>
      </c>
      <c r="J77" s="3137" t="s">
        <v>1230</v>
      </c>
      <c r="K77" s="3137"/>
      <c r="L77" s="3154" t="s">
        <v>116</v>
      </c>
      <c r="M77" s="3137" t="s">
        <v>1231</v>
      </c>
      <c r="N77" s="3137"/>
      <c r="O77" s="3154" t="s">
        <v>116</v>
      </c>
      <c r="P77" s="3137" t="s">
        <v>1232</v>
      </c>
      <c r="Q77" s="3150"/>
      <c r="R77" s="3150"/>
      <c r="S77" s="3150"/>
      <c r="T77" s="3150"/>
      <c r="U77" s="3150"/>
      <c r="V77" s="3150"/>
      <c r="W77" s="3150"/>
      <c r="X77" s="3149"/>
      <c r="Y77" s="3293"/>
      <c r="Z77" s="1201"/>
      <c r="AA77" s="1201"/>
      <c r="AB77" s="1202"/>
      <c r="AC77" s="3293"/>
      <c r="AD77" s="1201"/>
      <c r="AE77" s="1201"/>
      <c r="AF77" s="1202"/>
      <c r="AI77" s="3120" t="str">
        <f>"24:ninti_senmoncare_code:" &amp; IF(I77="■",1,IF(O77="■",3,IF(L77="■",2,0)))</f>
        <v>24:ninti_senmoncare_code:0</v>
      </c>
    </row>
    <row r="78" spans="1:35" ht="18.75" hidden="1" customHeight="1" x14ac:dyDescent="0.2">
      <c r="A78" s="834"/>
      <c r="B78" s="3148"/>
      <c r="C78" s="3147"/>
      <c r="D78" s="3146"/>
      <c r="E78" s="3145"/>
      <c r="F78" s="3144"/>
      <c r="G78" s="3175"/>
      <c r="H78" s="3296" t="s">
        <v>1285</v>
      </c>
      <c r="I78" s="3303" t="s">
        <v>116</v>
      </c>
      <c r="J78" s="3137" t="s">
        <v>1230</v>
      </c>
      <c r="K78" s="3137"/>
      <c r="L78" s="3154" t="s">
        <v>116</v>
      </c>
      <c r="M78" s="3137" t="s">
        <v>1231</v>
      </c>
      <c r="N78" s="3137"/>
      <c r="O78" s="3154" t="s">
        <v>116</v>
      </c>
      <c r="P78" s="3137" t="s">
        <v>1232</v>
      </c>
      <c r="Q78" s="3150"/>
      <c r="R78" s="3150"/>
      <c r="S78" s="3150"/>
      <c r="T78" s="3150"/>
      <c r="U78" s="3209"/>
      <c r="V78" s="3209"/>
      <c r="W78" s="3209"/>
      <c r="X78" s="3208"/>
      <c r="Y78" s="3293"/>
      <c r="Z78" s="1201"/>
      <c r="AA78" s="1201"/>
      <c r="AB78" s="1202"/>
      <c r="AC78" s="3293"/>
      <c r="AD78" s="1201"/>
      <c r="AE78" s="1201"/>
      <c r="AF78" s="1202"/>
      <c r="AI78" s="3120" t="str">
        <f>"24:field225:" &amp; IF(I78="■",1,IF(L78="■",2,IF(O78="■",3,0)))</f>
        <v>24:field225:0</v>
      </c>
    </row>
    <row r="79" spans="1:35" ht="18.75" hidden="1" customHeight="1" x14ac:dyDescent="0.2">
      <c r="A79" s="834"/>
      <c r="B79" s="3148"/>
      <c r="C79" s="3147"/>
      <c r="D79" s="3146"/>
      <c r="E79" s="3145"/>
      <c r="F79" s="3144"/>
      <c r="G79" s="3175"/>
      <c r="H79" s="3170" t="s">
        <v>2271</v>
      </c>
      <c r="I79" s="3346" t="s">
        <v>116</v>
      </c>
      <c r="J79" s="3347" t="s">
        <v>1230</v>
      </c>
      <c r="K79" s="3347"/>
      <c r="L79" s="3346" t="s">
        <v>116</v>
      </c>
      <c r="M79" s="3347" t="s">
        <v>2269</v>
      </c>
      <c r="N79" s="3347"/>
      <c r="O79" s="3346" t="s">
        <v>116</v>
      </c>
      <c r="P79" s="3347" t="s">
        <v>2268</v>
      </c>
      <c r="Q79" s="3347"/>
      <c r="R79" s="3346" t="s">
        <v>116</v>
      </c>
      <c r="S79" s="3347" t="s">
        <v>2267</v>
      </c>
      <c r="T79" s="3347"/>
      <c r="U79" s="3302"/>
      <c r="V79" s="3302"/>
      <c r="W79" s="3302"/>
      <c r="X79" s="3335"/>
      <c r="Y79" s="3293"/>
      <c r="Z79" s="1201"/>
      <c r="AA79" s="1201"/>
      <c r="AB79" s="1202"/>
      <c r="AC79" s="3293"/>
      <c r="AD79" s="1201"/>
      <c r="AE79" s="1201"/>
      <c r="AF79" s="1202"/>
      <c r="AI79" s="3120" t="str">
        <f>"24:serteikyo_kyoka_code:" &amp; IF(I79="■",1,IF(L79="■",6,IF(O79="■",5,IF(R79="■",7,0))))</f>
        <v>24:serteikyo_kyoka_code:0</v>
      </c>
    </row>
    <row r="80" spans="1:35" ht="18.75" hidden="1" customHeight="1" x14ac:dyDescent="0.2">
      <c r="A80" s="834"/>
      <c r="B80" s="3148"/>
      <c r="C80" s="3147"/>
      <c r="D80" s="3146"/>
      <c r="E80" s="3145"/>
      <c r="F80" s="3144"/>
      <c r="G80" s="3175"/>
      <c r="H80" s="3165"/>
      <c r="I80" s="3346"/>
      <c r="J80" s="3347"/>
      <c r="K80" s="3347"/>
      <c r="L80" s="3346"/>
      <c r="M80" s="3347"/>
      <c r="N80" s="3347"/>
      <c r="O80" s="3346"/>
      <c r="P80" s="3347"/>
      <c r="Q80" s="3347"/>
      <c r="R80" s="3346"/>
      <c r="S80" s="3347"/>
      <c r="T80" s="3347"/>
      <c r="U80" s="3139"/>
      <c r="V80" s="3139"/>
      <c r="W80" s="3139"/>
      <c r="X80" s="3195"/>
      <c r="Y80" s="3293"/>
      <c r="Z80" s="1201"/>
      <c r="AA80" s="1201"/>
      <c r="AB80" s="1202"/>
      <c r="AC80" s="3293"/>
      <c r="AD80" s="1201"/>
      <c r="AE80" s="1201"/>
      <c r="AF80" s="1202"/>
      <c r="AI80" s="3120"/>
    </row>
    <row r="81" spans="1:36" ht="18.75" hidden="1" customHeight="1" x14ac:dyDescent="0.2">
      <c r="A81" s="834"/>
      <c r="B81" s="3148"/>
      <c r="C81" s="3147"/>
      <c r="D81" s="3146"/>
      <c r="E81" s="3145"/>
      <c r="F81" s="3144"/>
      <c r="G81" s="3175"/>
      <c r="H81" s="3170" t="s">
        <v>2334</v>
      </c>
      <c r="I81" s="3346" t="s">
        <v>116</v>
      </c>
      <c r="J81" s="3347" t="s">
        <v>1230</v>
      </c>
      <c r="K81" s="3347"/>
      <c r="L81" s="3346" t="s">
        <v>116</v>
      </c>
      <c r="M81" s="3347" t="s">
        <v>2269</v>
      </c>
      <c r="N81" s="3347"/>
      <c r="O81" s="3346" t="s">
        <v>116</v>
      </c>
      <c r="P81" s="3347" t="s">
        <v>2268</v>
      </c>
      <c r="Q81" s="3347"/>
      <c r="R81" s="3346" t="s">
        <v>116</v>
      </c>
      <c r="S81" s="3347" t="s">
        <v>2267</v>
      </c>
      <c r="T81" s="3347"/>
      <c r="U81" s="3302"/>
      <c r="V81" s="3302"/>
      <c r="W81" s="3302"/>
      <c r="X81" s="3335"/>
      <c r="Y81" s="3293"/>
      <c r="Z81" s="1201"/>
      <c r="AA81" s="1201"/>
      <c r="AB81" s="1202"/>
      <c r="AC81" s="3293"/>
      <c r="AD81" s="1201"/>
      <c r="AE81" s="1201"/>
      <c r="AF81" s="1202"/>
      <c r="AI81" s="3120" t="str">
        <f>"24:serteikyo_kyoka_kuushou_code:" &amp; IF(I81="■",1,IF(L81="■",6,IF(O81="■",5,IF(R81="■",7,0))))</f>
        <v>24:serteikyo_kyoka_kuushou_code:0</v>
      </c>
    </row>
    <row r="82" spans="1:36" ht="18.75" hidden="1" customHeight="1" x14ac:dyDescent="0.2">
      <c r="A82" s="834"/>
      <c r="B82" s="3148"/>
      <c r="C82" s="3147"/>
      <c r="D82" s="3146"/>
      <c r="E82" s="3145"/>
      <c r="F82" s="3144"/>
      <c r="G82" s="3175"/>
      <c r="H82" s="3165"/>
      <c r="I82" s="3346"/>
      <c r="J82" s="3347"/>
      <c r="K82" s="3347"/>
      <c r="L82" s="3346"/>
      <c r="M82" s="3347"/>
      <c r="N82" s="3347"/>
      <c r="O82" s="3346"/>
      <c r="P82" s="3347"/>
      <c r="Q82" s="3347"/>
      <c r="R82" s="3346"/>
      <c r="S82" s="3347"/>
      <c r="T82" s="3347"/>
      <c r="U82" s="3139"/>
      <c r="V82" s="3139"/>
      <c r="W82" s="3139"/>
      <c r="X82" s="3195"/>
      <c r="Y82" s="3293"/>
      <c r="Z82" s="1201"/>
      <c r="AA82" s="1201"/>
      <c r="AB82" s="1202"/>
      <c r="AC82" s="3293"/>
      <c r="AD82" s="1201"/>
      <c r="AE82" s="1201"/>
      <c r="AF82" s="1202"/>
      <c r="AI82" s="3120"/>
    </row>
    <row r="83" spans="1:36" ht="18.75" hidden="1" customHeight="1" x14ac:dyDescent="0.2">
      <c r="A83" s="834"/>
      <c r="B83" s="3148"/>
      <c r="C83" s="3147"/>
      <c r="D83" s="3146"/>
      <c r="E83" s="3145"/>
      <c r="F83" s="3144"/>
      <c r="G83" s="3175"/>
      <c r="H83" s="3170" t="s">
        <v>2058</v>
      </c>
      <c r="I83" s="3346" t="s">
        <v>116</v>
      </c>
      <c r="J83" s="3347" t="s">
        <v>1230</v>
      </c>
      <c r="K83" s="3347"/>
      <c r="L83" s="3346" t="s">
        <v>116</v>
      </c>
      <c r="M83" s="3347" t="s">
        <v>1233</v>
      </c>
      <c r="N83" s="3347"/>
      <c r="O83" s="3302"/>
      <c r="P83" s="3302"/>
      <c r="Q83" s="3302"/>
      <c r="R83" s="3302"/>
      <c r="S83" s="3302"/>
      <c r="T83" s="3302"/>
      <c r="U83" s="3302"/>
      <c r="V83" s="3302"/>
      <c r="W83" s="3302"/>
      <c r="X83" s="3335"/>
      <c r="Y83" s="3293"/>
      <c r="Z83" s="1201"/>
      <c r="AA83" s="1201"/>
      <c r="AB83" s="1202"/>
      <c r="AC83" s="3293"/>
      <c r="AD83" s="1201"/>
      <c r="AE83" s="1201"/>
      <c r="AF83" s="1202"/>
      <c r="AI83" s="3120" t="str">
        <f>"24:field221:" &amp; IF(I83="■",1,IF(L83="■",2,0))</f>
        <v>24:field221:0</v>
      </c>
    </row>
    <row r="84" spans="1:36" ht="18.75" hidden="1" customHeight="1" x14ac:dyDescent="0.2">
      <c r="A84" s="834"/>
      <c r="B84" s="3148"/>
      <c r="C84" s="3147"/>
      <c r="D84" s="3146"/>
      <c r="E84" s="3145"/>
      <c r="F84" s="3144"/>
      <c r="G84" s="3175"/>
      <c r="H84" s="3165"/>
      <c r="I84" s="3346"/>
      <c r="J84" s="3347"/>
      <c r="K84" s="3347"/>
      <c r="L84" s="3346"/>
      <c r="M84" s="3347"/>
      <c r="N84" s="3347"/>
      <c r="O84" s="3139"/>
      <c r="P84" s="3139"/>
      <c r="Q84" s="3139"/>
      <c r="R84" s="3139"/>
      <c r="S84" s="3139"/>
      <c r="T84" s="3139"/>
      <c r="U84" s="3139"/>
      <c r="V84" s="3139"/>
      <c r="W84" s="3139"/>
      <c r="X84" s="3195"/>
      <c r="Y84" s="3293"/>
      <c r="Z84" s="1201"/>
      <c r="AA84" s="1201"/>
      <c r="AB84" s="1202"/>
      <c r="AC84" s="3293"/>
      <c r="AD84" s="1201"/>
      <c r="AE84" s="1201"/>
      <c r="AF84" s="1202"/>
    </row>
    <row r="85" spans="1:36" ht="18.75" hidden="1" customHeight="1" x14ac:dyDescent="0.2">
      <c r="A85" s="835"/>
      <c r="B85" s="3135"/>
      <c r="C85" s="3134"/>
      <c r="D85" s="3133"/>
      <c r="E85" s="3132"/>
      <c r="F85" s="3131"/>
      <c r="G85" s="3189"/>
      <c r="H85" s="3289" t="s">
        <v>2129</v>
      </c>
      <c r="I85" s="3128" t="s">
        <v>116</v>
      </c>
      <c r="J85" s="3285" t="s">
        <v>1230</v>
      </c>
      <c r="K85" s="3285"/>
      <c r="L85" s="3127" t="s">
        <v>116</v>
      </c>
      <c r="M85" s="3285" t="s">
        <v>2128</v>
      </c>
      <c r="N85" s="3288"/>
      <c r="O85" s="3127" t="s">
        <v>116</v>
      </c>
      <c r="P85" s="3287" t="s">
        <v>2127</v>
      </c>
      <c r="Q85" s="3286"/>
      <c r="R85" s="3127" t="s">
        <v>116</v>
      </c>
      <c r="S85" s="3285" t="s">
        <v>2126</v>
      </c>
      <c r="T85" s="3286"/>
      <c r="U85" s="3127" t="s">
        <v>116</v>
      </c>
      <c r="V85" s="3285" t="s">
        <v>2125</v>
      </c>
      <c r="W85" s="3284"/>
      <c r="X85" s="3283"/>
      <c r="Y85" s="3282"/>
      <c r="Z85" s="3282"/>
      <c r="AA85" s="3282"/>
      <c r="AB85" s="3281"/>
      <c r="AC85" s="3340"/>
      <c r="AD85" s="3282"/>
      <c r="AE85" s="3282"/>
      <c r="AF85" s="3281"/>
      <c r="AG85" s="3120"/>
      <c r="AH85" s="3120"/>
      <c r="AI85" s="3120" t="str">
        <f>"24:shoguukaizen_code:"&amp;IF(I85="■",1,IF(L85="■",7,IF(O85="■",8,IF(R85="■",9,IF(U85="■","A",0)))))</f>
        <v>24:shoguukaizen_code:0</v>
      </c>
    </row>
    <row r="86" spans="1:36" ht="18.75" hidden="1" customHeight="1" x14ac:dyDescent="0.2">
      <c r="A86" s="3188"/>
      <c r="B86" s="3187"/>
      <c r="C86" s="3229"/>
      <c r="D86" s="3228"/>
      <c r="E86" s="3185"/>
      <c r="F86" s="3184"/>
      <c r="G86" s="3185"/>
      <c r="H86" s="3182" t="s">
        <v>1286</v>
      </c>
      <c r="I86" s="3303" t="s">
        <v>116</v>
      </c>
      <c r="J86" s="3180" t="s">
        <v>1282</v>
      </c>
      <c r="K86" s="3226"/>
      <c r="L86" s="3225"/>
      <c r="M86" s="3179" t="s">
        <v>116</v>
      </c>
      <c r="N86" s="3180" t="s">
        <v>1283</v>
      </c>
      <c r="O86" s="3178"/>
      <c r="P86" s="3226"/>
      <c r="Q86" s="3226"/>
      <c r="R86" s="3226"/>
      <c r="S86" s="3226"/>
      <c r="T86" s="3226"/>
      <c r="U86" s="3226"/>
      <c r="V86" s="3226"/>
      <c r="W86" s="3226"/>
      <c r="X86" s="3339"/>
      <c r="Y86" s="3310" t="s">
        <v>116</v>
      </c>
      <c r="Z86" s="3252" t="s">
        <v>1225</v>
      </c>
      <c r="AA86" s="3252"/>
      <c r="AB86" s="3308"/>
      <c r="AC86" s="3497"/>
      <c r="AD86" s="3511"/>
      <c r="AE86" s="3511"/>
      <c r="AF86" s="3510"/>
      <c r="AG86" s="3120" t="str">
        <f>"ser_code = '" &amp; IF(A96="■",25,"") &amp; "'"</f>
        <v>ser_code = ''</v>
      </c>
      <c r="AH86" s="3120" t="str">
        <f>"25:jininkbn_code:" &amp; IF(F96="■",1,IF(F97="■",2,0))</f>
        <v>25:jininkbn_code:0</v>
      </c>
      <c r="AI86" s="3120" t="str">
        <f>"25:yakan_kinmu_code:" &amp; IF(I86="■",1,IF(M86="■",6,0))</f>
        <v>25:yakan_kinmu_code:0</v>
      </c>
      <c r="AJ86" s="3120" t="str">
        <f>"25:field203:" &amp; IF(Y86="■",1,IF(Y87="■",2,0))</f>
        <v>25:field203:0</v>
      </c>
    </row>
    <row r="87" spans="1:36" ht="18.75" hidden="1" customHeight="1" x14ac:dyDescent="0.2">
      <c r="A87" s="834"/>
      <c r="B87" s="3148"/>
      <c r="C87" s="3147"/>
      <c r="D87" s="3146"/>
      <c r="E87" s="3145"/>
      <c r="F87" s="3144"/>
      <c r="G87" s="3145"/>
      <c r="H87" s="3304" t="s">
        <v>90</v>
      </c>
      <c r="I87" s="3303" t="s">
        <v>116</v>
      </c>
      <c r="J87" s="1200" t="s">
        <v>1230</v>
      </c>
      <c r="K87" s="1200"/>
      <c r="L87" s="3198"/>
      <c r="M87" s="3258" t="s">
        <v>116</v>
      </c>
      <c r="N87" s="1200" t="s">
        <v>1262</v>
      </c>
      <c r="O87" s="1200"/>
      <c r="P87" s="3198"/>
      <c r="Q87" s="3258" t="s">
        <v>116</v>
      </c>
      <c r="R87" s="836" t="s">
        <v>1263</v>
      </c>
      <c r="U87" s="3258" t="s">
        <v>116</v>
      </c>
      <c r="V87" s="836" t="s">
        <v>1264</v>
      </c>
      <c r="X87" s="3336"/>
      <c r="Y87" s="3258" t="s">
        <v>116</v>
      </c>
      <c r="Z87" s="1200" t="s">
        <v>1226</v>
      </c>
      <c r="AA87" s="1201"/>
      <c r="AB87" s="1202"/>
      <c r="AC87" s="3509"/>
      <c r="AD87" s="3508"/>
      <c r="AE87" s="3508"/>
      <c r="AF87" s="3507"/>
      <c r="AG87" s="3120" t="str">
        <f>"25:sisetukbn_code:" &amp; IF(D96="■",1,IF(D97="■",2,0))</f>
        <v>25:sisetukbn_code:0</v>
      </c>
      <c r="AH87" s="3120"/>
      <c r="AI87" s="3120" t="str">
        <f>"25:"&amp;IF(AND(I87="□",M87="□",Q87="□",U87="□",I88="□",M88="□",Q88="□"),"ketu_doctor_code:0",IF(I87="■","ketu_doctor_code:1:ketu_kangos_code:1:ketu_kshoku_code:1:ketu_rryoho_code:1:ketu_sryoho_code:1:ketu_gengo_code:1",
IF(M87="■","ketu_doctor_code:2","ketu_doctor_code:1")
&amp;IF(Q87="■",":ketu_kangos_code:2",":ketu_kangos_code:1")
&amp;IF(U87="■",":ketu_kshoku_code:2",":ketu_kshoku_code:1")
&amp;IF(I88="■",":ketu_rryoho_code:2",":ketu_rryoho_code:1")
&amp;IF(M88="■",":ketu_sryoho_code:2",":ketu_sryoho_code:1")
&amp;IF(Q88="■",":ketu_gengo_code:2",":ketu_gengo_code:1")))</f>
        <v>25:ketu_doctor_code:0</v>
      </c>
      <c r="AJ87" s="3120"/>
    </row>
    <row r="88" spans="1:36" ht="18.75" hidden="1" customHeight="1" x14ac:dyDescent="0.2">
      <c r="A88" s="834"/>
      <c r="B88" s="3148"/>
      <c r="C88" s="3147"/>
      <c r="D88" s="3146"/>
      <c r="E88" s="3145"/>
      <c r="F88" s="3144"/>
      <c r="G88" s="3145"/>
      <c r="H88" s="3300"/>
      <c r="I88" s="3158" t="s">
        <v>116</v>
      </c>
      <c r="J88" s="3139" t="s">
        <v>1265</v>
      </c>
      <c r="K88" s="3162"/>
      <c r="L88" s="3162"/>
      <c r="M88" s="3140" t="s">
        <v>116</v>
      </c>
      <c r="N88" s="3139" t="s">
        <v>1266</v>
      </c>
      <c r="O88" s="3162"/>
      <c r="P88" s="3162"/>
      <c r="Q88" s="3140" t="s">
        <v>116</v>
      </c>
      <c r="R88" s="3139" t="s">
        <v>1267</v>
      </c>
      <c r="S88" s="3162"/>
      <c r="T88" s="3162"/>
      <c r="U88" s="3162"/>
      <c r="V88" s="3162"/>
      <c r="W88" s="3162"/>
      <c r="X88" s="3161"/>
      <c r="Y88" s="3293"/>
      <c r="Z88" s="1201"/>
      <c r="AA88" s="1201"/>
      <c r="AB88" s="1202"/>
      <c r="AC88" s="3509"/>
      <c r="AD88" s="3508"/>
      <c r="AE88" s="3508"/>
      <c r="AF88" s="3507"/>
      <c r="AG88" s="3120"/>
      <c r="AH88" s="3120"/>
      <c r="AI88" s="3120"/>
      <c r="AJ88" s="3120"/>
    </row>
    <row r="89" spans="1:36" ht="18.75" hidden="1" customHeight="1" x14ac:dyDescent="0.2">
      <c r="A89" s="834"/>
      <c r="B89" s="3148"/>
      <c r="C89" s="3147"/>
      <c r="D89" s="3146"/>
      <c r="E89" s="3145"/>
      <c r="F89" s="3144"/>
      <c r="G89" s="3145"/>
      <c r="H89" s="3151" t="s">
        <v>91</v>
      </c>
      <c r="I89" s="3303" t="s">
        <v>116</v>
      </c>
      <c r="J89" s="3137" t="s">
        <v>1240</v>
      </c>
      <c r="K89" s="3171"/>
      <c r="L89" s="3173"/>
      <c r="M89" s="3154" t="s">
        <v>116</v>
      </c>
      <c r="N89" s="3137" t="s">
        <v>1241</v>
      </c>
      <c r="O89" s="3150"/>
      <c r="P89" s="3171"/>
      <c r="Q89" s="3171"/>
      <c r="R89" s="3171"/>
      <c r="S89" s="3171"/>
      <c r="T89" s="3171"/>
      <c r="U89" s="3171"/>
      <c r="V89" s="3171"/>
      <c r="W89" s="3171"/>
      <c r="X89" s="3297"/>
      <c r="Y89" s="3293"/>
      <c r="Z89" s="1201"/>
      <c r="AA89" s="1201"/>
      <c r="AB89" s="1202"/>
      <c r="AC89" s="3509"/>
      <c r="AD89" s="3508"/>
      <c r="AE89" s="3508"/>
      <c r="AF89" s="3507"/>
      <c r="AI89" s="3120" t="str">
        <f>"25:unitcare_code:" &amp; IF(I89="■",1,IF(M89="■",2,0))</f>
        <v>25:unitcare_code:0</v>
      </c>
    </row>
    <row r="90" spans="1:36" s="3120" customFormat="1" ht="18.75" hidden="1" customHeight="1" x14ac:dyDescent="0.2">
      <c r="A90" s="834"/>
      <c r="B90" s="3148"/>
      <c r="C90" s="3295"/>
      <c r="D90" s="3294"/>
      <c r="E90" s="3145"/>
      <c r="F90" s="3144"/>
      <c r="G90" s="3175"/>
      <c r="H90" s="3381" t="s">
        <v>1325</v>
      </c>
      <c r="I90" s="3222" t="s">
        <v>116</v>
      </c>
      <c r="J90" s="3217" t="s">
        <v>1228</v>
      </c>
      <c r="K90" s="3221"/>
      <c r="L90" s="3220"/>
      <c r="M90" s="3219" t="s">
        <v>116</v>
      </c>
      <c r="N90" s="3217" t="s">
        <v>1322</v>
      </c>
      <c r="O90" s="3221"/>
      <c r="P90" s="3380"/>
      <c r="Q90" s="3380"/>
      <c r="R90" s="3380"/>
      <c r="S90" s="3380"/>
      <c r="T90" s="3380"/>
      <c r="U90" s="3380"/>
      <c r="V90" s="3380"/>
      <c r="W90" s="3380"/>
      <c r="X90" s="3379"/>
      <c r="Y90" s="3293"/>
      <c r="Z90" s="1201"/>
      <c r="AA90" s="1201"/>
      <c r="AB90" s="1202"/>
      <c r="AC90" s="3509"/>
      <c r="AD90" s="3508"/>
      <c r="AE90" s="3508"/>
      <c r="AF90" s="3507"/>
      <c r="AI90" s="3120" t="str">
        <f>"25:sintaikousoku_code:" &amp; IF(I90="■",1,IF(M90="■",2,0))</f>
        <v>25:sintaikousoku_code:0</v>
      </c>
    </row>
    <row r="91" spans="1:36" ht="19.5" hidden="1" customHeight="1" x14ac:dyDescent="0.2">
      <c r="A91" s="834"/>
      <c r="B91" s="3148"/>
      <c r="C91" s="3147"/>
      <c r="D91" s="3146"/>
      <c r="E91" s="3145"/>
      <c r="F91" s="3144"/>
      <c r="G91" s="3175"/>
      <c r="H91" s="3174" t="s">
        <v>1227</v>
      </c>
      <c r="I91" s="3303" t="s">
        <v>116</v>
      </c>
      <c r="J91" s="3137" t="s">
        <v>1228</v>
      </c>
      <c r="K91" s="3171"/>
      <c r="L91" s="3173"/>
      <c r="M91" s="3154" t="s">
        <v>116</v>
      </c>
      <c r="N91" s="3137" t="s">
        <v>1229</v>
      </c>
      <c r="O91" s="3137"/>
      <c r="P91" s="3137"/>
      <c r="Q91" s="3150"/>
      <c r="R91" s="3150"/>
      <c r="S91" s="3150"/>
      <c r="T91" s="3150"/>
      <c r="U91" s="3150"/>
      <c r="V91" s="3150"/>
      <c r="W91" s="3150"/>
      <c r="X91" s="3149"/>
      <c r="Y91" s="1201"/>
      <c r="Z91" s="1201"/>
      <c r="AA91" s="1201"/>
      <c r="AB91" s="1202"/>
      <c r="AC91" s="3509"/>
      <c r="AD91" s="3508"/>
      <c r="AE91" s="3508"/>
      <c r="AF91" s="3507"/>
      <c r="AI91" s="3120" t="str">
        <f>"25:field223:" &amp; IF(I91="■",1,IF(M91="■",2,0))</f>
        <v>25:field223:0</v>
      </c>
    </row>
    <row r="92" spans="1:36" ht="19.5" hidden="1" customHeight="1" x14ac:dyDescent="0.2">
      <c r="A92" s="834"/>
      <c r="B92" s="3148"/>
      <c r="C92" s="3147"/>
      <c r="D92" s="3146"/>
      <c r="E92" s="3145"/>
      <c r="F92" s="3144"/>
      <c r="G92" s="3175"/>
      <c r="H92" s="3174" t="s">
        <v>1253</v>
      </c>
      <c r="I92" s="3303" t="s">
        <v>116</v>
      </c>
      <c r="J92" s="3139" t="s">
        <v>1228</v>
      </c>
      <c r="K92" s="3138"/>
      <c r="L92" s="3385"/>
      <c r="M92" s="3140" t="s">
        <v>116</v>
      </c>
      <c r="N92" s="3139" t="s">
        <v>1229</v>
      </c>
      <c r="O92" s="3139"/>
      <c r="P92" s="3139"/>
      <c r="Q92" s="3207"/>
      <c r="R92" s="3207"/>
      <c r="S92" s="3207"/>
      <c r="T92" s="3207"/>
      <c r="U92" s="3207"/>
      <c r="V92" s="3207"/>
      <c r="W92" s="3207"/>
      <c r="X92" s="3206"/>
      <c r="Y92" s="1201"/>
      <c r="Z92" s="1200"/>
      <c r="AA92" s="1201"/>
      <c r="AB92" s="1202"/>
      <c r="AC92" s="3509"/>
      <c r="AD92" s="3508"/>
      <c r="AE92" s="3508"/>
      <c r="AF92" s="3507"/>
      <c r="AI92" s="3120" t="str">
        <f>"25:field232:" &amp; IF(I92="■",1,IF(M92="■",2,0))</f>
        <v>25:field232:0</v>
      </c>
    </row>
    <row r="93" spans="1:36" s="1247" customFormat="1" ht="19.5" hidden="1" customHeight="1" x14ac:dyDescent="0.2">
      <c r="A93" s="579"/>
      <c r="B93" s="1250"/>
      <c r="C93" s="581"/>
      <c r="D93" s="1251"/>
      <c r="E93" s="1253"/>
      <c r="F93" s="1249"/>
      <c r="G93" s="583"/>
      <c r="H93" s="3324" t="s">
        <v>2133</v>
      </c>
      <c r="I93" s="3501" t="s">
        <v>116</v>
      </c>
      <c r="J93" s="3320" t="s">
        <v>2131</v>
      </c>
      <c r="K93" s="3323"/>
      <c r="L93" s="3322"/>
      <c r="M93" s="3500" t="s">
        <v>116</v>
      </c>
      <c r="N93" s="3320" t="s">
        <v>2130</v>
      </c>
      <c r="O93" s="3321"/>
      <c r="P93" s="3320"/>
      <c r="Q93" s="3319"/>
      <c r="R93" s="3319"/>
      <c r="S93" s="3319"/>
      <c r="T93" s="3319"/>
      <c r="U93" s="3319"/>
      <c r="V93" s="3319"/>
      <c r="W93" s="3319"/>
      <c r="X93" s="3318"/>
      <c r="Y93" s="1248"/>
      <c r="Z93" s="2"/>
      <c r="AA93" s="584"/>
      <c r="AB93" s="585"/>
      <c r="AC93" s="3509"/>
      <c r="AD93" s="3508"/>
      <c r="AE93" s="3508"/>
      <c r="AF93" s="3507"/>
      <c r="AI93" s="3120" t="str">
        <f>"25:field242:" &amp; IF(I93="■",1,IF(M93="■",2,0))</f>
        <v>25:field242:0</v>
      </c>
    </row>
    <row r="94" spans="1:36" ht="18.75" hidden="1" customHeight="1" x14ac:dyDescent="0.2">
      <c r="A94" s="834"/>
      <c r="B94" s="3148"/>
      <c r="C94" s="3147"/>
      <c r="D94" s="3146"/>
      <c r="E94" s="3145"/>
      <c r="F94" s="3144"/>
      <c r="G94" s="3145"/>
      <c r="H94" s="3151" t="s">
        <v>2137</v>
      </c>
      <c r="I94" s="3303" t="s">
        <v>116</v>
      </c>
      <c r="J94" s="3137" t="s">
        <v>1230</v>
      </c>
      <c r="K94" s="3171"/>
      <c r="L94" s="3154" t="s">
        <v>116</v>
      </c>
      <c r="M94" s="3137" t="s">
        <v>1233</v>
      </c>
      <c r="N94" s="3153"/>
      <c r="O94" s="3171"/>
      <c r="P94" s="3171"/>
      <c r="Q94" s="3171"/>
      <c r="R94" s="3171"/>
      <c r="S94" s="3171"/>
      <c r="T94" s="3171"/>
      <c r="U94" s="3171"/>
      <c r="V94" s="3171"/>
      <c r="W94" s="3171"/>
      <c r="X94" s="3297"/>
      <c r="Y94" s="3293"/>
      <c r="Z94" s="1201"/>
      <c r="AA94" s="1201"/>
      <c r="AB94" s="1202"/>
      <c r="AC94" s="3509"/>
      <c r="AD94" s="3508"/>
      <c r="AE94" s="3508"/>
      <c r="AF94" s="3507"/>
      <c r="AI94" s="3120" t="str">
        <f>"25:yakinhaiti_code:" &amp; IF(I94="■",1,IF(L94="■",2,0))</f>
        <v>25:yakinhaiti_code:0</v>
      </c>
    </row>
    <row r="95" spans="1:36" ht="18.75" hidden="1" customHeight="1" x14ac:dyDescent="0.2">
      <c r="A95" s="834"/>
      <c r="B95" s="3148"/>
      <c r="C95" s="3147"/>
      <c r="D95" s="3146"/>
      <c r="E95" s="3145"/>
      <c r="F95" s="3144"/>
      <c r="G95" s="3145"/>
      <c r="H95" s="3151" t="s">
        <v>1348</v>
      </c>
      <c r="I95" s="3303" t="s">
        <v>116</v>
      </c>
      <c r="J95" s="3137" t="s">
        <v>1230</v>
      </c>
      <c r="K95" s="3171"/>
      <c r="L95" s="3154" t="s">
        <v>116</v>
      </c>
      <c r="M95" s="3137" t="s">
        <v>1233</v>
      </c>
      <c r="N95" s="3153"/>
      <c r="O95" s="3171"/>
      <c r="P95" s="3171"/>
      <c r="Q95" s="3171"/>
      <c r="R95" s="3171"/>
      <c r="S95" s="3171"/>
      <c r="T95" s="3171"/>
      <c r="U95" s="3171"/>
      <c r="V95" s="3171"/>
      <c r="W95" s="3171"/>
      <c r="X95" s="3297"/>
      <c r="Y95" s="3293"/>
      <c r="Z95" s="1201"/>
      <c r="AA95" s="1201"/>
      <c r="AB95" s="1202"/>
      <c r="AC95" s="3509"/>
      <c r="AD95" s="3508"/>
      <c r="AE95" s="3508"/>
      <c r="AF95" s="3507"/>
      <c r="AI95" s="3120" t="str">
        <f>"25:jyakuninti_uke_code:" &amp; IF(I95="■",1,IF(L95="■",2,0))</f>
        <v>25:jyakuninti_uke_code:0</v>
      </c>
    </row>
    <row r="96" spans="1:36" ht="18.75" hidden="1" customHeight="1" x14ac:dyDescent="0.2">
      <c r="A96" s="3158" t="s">
        <v>116</v>
      </c>
      <c r="B96" s="3148">
        <v>25</v>
      </c>
      <c r="C96" s="3147" t="s">
        <v>641</v>
      </c>
      <c r="D96" s="3158" t="s">
        <v>116</v>
      </c>
      <c r="E96" s="3145" t="s">
        <v>2333</v>
      </c>
      <c r="F96" s="3158" t="s">
        <v>116</v>
      </c>
      <c r="G96" s="3145" t="s">
        <v>2158</v>
      </c>
      <c r="H96" s="3151" t="s">
        <v>2157</v>
      </c>
      <c r="I96" s="3303" t="s">
        <v>116</v>
      </c>
      <c r="J96" s="3137" t="s">
        <v>1230</v>
      </c>
      <c r="K96" s="3137"/>
      <c r="L96" s="3140" t="s">
        <v>116</v>
      </c>
      <c r="M96" s="3137" t="s">
        <v>1231</v>
      </c>
      <c r="N96" s="3137"/>
      <c r="O96" s="3154" t="s">
        <v>116</v>
      </c>
      <c r="P96" s="3137" t="s">
        <v>1232</v>
      </c>
      <c r="Q96" s="3150"/>
      <c r="R96" s="3137"/>
      <c r="S96" s="3137"/>
      <c r="T96" s="3137"/>
      <c r="U96" s="3137"/>
      <c r="V96" s="3137"/>
      <c r="W96" s="3137"/>
      <c r="X96" s="3136"/>
      <c r="Y96" s="3293"/>
      <c r="Z96" s="1201"/>
      <c r="AA96" s="1201"/>
      <c r="AB96" s="1202"/>
      <c r="AC96" s="3509"/>
      <c r="AD96" s="3508"/>
      <c r="AE96" s="3508"/>
      <c r="AF96" s="3507"/>
      <c r="AI96" s="3120" t="str">
        <f>"25:zaitaku_hukki_code:" &amp; IF(I96="■",1,IF(L96="■",2,IF(O96="■",3,0)))</f>
        <v>25:zaitaku_hukki_code:0</v>
      </c>
    </row>
    <row r="97" spans="1:36" ht="18.75" hidden="1" customHeight="1" x14ac:dyDescent="0.2">
      <c r="A97" s="834"/>
      <c r="B97" s="3148"/>
      <c r="C97" s="3147"/>
      <c r="D97" s="3146"/>
      <c r="E97" s="3145"/>
      <c r="F97" s="3158" t="s">
        <v>116</v>
      </c>
      <c r="G97" s="3145" t="s">
        <v>2156</v>
      </c>
      <c r="H97" s="3151" t="s">
        <v>1284</v>
      </c>
      <c r="I97" s="3303" t="s">
        <v>116</v>
      </c>
      <c r="J97" s="3137" t="s">
        <v>1240</v>
      </c>
      <c r="K97" s="3171"/>
      <c r="L97" s="3173"/>
      <c r="M97" s="3154" t="s">
        <v>116</v>
      </c>
      <c r="N97" s="3137" t="s">
        <v>1241</v>
      </c>
      <c r="O97" s="3150"/>
      <c r="P97" s="3171"/>
      <c r="Q97" s="3171"/>
      <c r="R97" s="3171"/>
      <c r="S97" s="3171"/>
      <c r="T97" s="3171"/>
      <c r="U97" s="3171"/>
      <c r="V97" s="3171"/>
      <c r="W97" s="3171"/>
      <c r="X97" s="3297"/>
      <c r="Y97" s="3293"/>
      <c r="Z97" s="1201"/>
      <c r="AA97" s="1201"/>
      <c r="AB97" s="1202"/>
      <c r="AC97" s="3509"/>
      <c r="AD97" s="3508"/>
      <c r="AE97" s="3508"/>
      <c r="AF97" s="3507"/>
      <c r="AI97" s="3120" t="str">
        <f>"25:sougei_code:" &amp; IF(I97="■",1,IF(M97="■",2,0))</f>
        <v>25:sougei_code:0</v>
      </c>
    </row>
    <row r="98" spans="1:36" ht="19.5" hidden="1" customHeight="1" x14ac:dyDescent="0.2">
      <c r="A98" s="834"/>
      <c r="B98" s="3148"/>
      <c r="C98" s="3147"/>
      <c r="D98" s="3146"/>
      <c r="E98" s="3145"/>
      <c r="F98" s="3144"/>
      <c r="G98" s="3145"/>
      <c r="H98" s="3174" t="s">
        <v>1236</v>
      </c>
      <c r="I98" s="3303" t="s">
        <v>116</v>
      </c>
      <c r="J98" s="3137" t="s">
        <v>1230</v>
      </c>
      <c r="K98" s="3137"/>
      <c r="L98" s="3154" t="s">
        <v>116</v>
      </c>
      <c r="M98" s="3137" t="s">
        <v>1233</v>
      </c>
      <c r="N98" s="3137"/>
      <c r="O98" s="3150"/>
      <c r="P98" s="3137"/>
      <c r="Q98" s="3150"/>
      <c r="R98" s="3150"/>
      <c r="S98" s="3150"/>
      <c r="T98" s="3150"/>
      <c r="U98" s="3150"/>
      <c r="V98" s="3150"/>
      <c r="W98" s="3150"/>
      <c r="X98" s="3149"/>
      <c r="Y98" s="1201"/>
      <c r="Z98" s="1201"/>
      <c r="AA98" s="1201"/>
      <c r="AB98" s="1202"/>
      <c r="AC98" s="3509"/>
      <c r="AD98" s="3508"/>
      <c r="AE98" s="3508"/>
      <c r="AF98" s="3507"/>
      <c r="AI98" s="3120" t="str">
        <f>"25:field224:" &amp; IF(I98="■",1,IF(L98="■",2,0))</f>
        <v>25:field224:0</v>
      </c>
    </row>
    <row r="99" spans="1:36" ht="18.75" hidden="1" customHeight="1" x14ac:dyDescent="0.2">
      <c r="A99" s="834"/>
      <c r="B99" s="3148"/>
      <c r="C99" s="3147"/>
      <c r="D99" s="3146"/>
      <c r="E99" s="3145"/>
      <c r="F99" s="3144"/>
      <c r="G99" s="3145"/>
      <c r="H99" s="3151" t="s">
        <v>140</v>
      </c>
      <c r="I99" s="3303" t="s">
        <v>116</v>
      </c>
      <c r="J99" s="3137" t="s">
        <v>1230</v>
      </c>
      <c r="K99" s="3171"/>
      <c r="L99" s="3154" t="s">
        <v>116</v>
      </c>
      <c r="M99" s="3137" t="s">
        <v>1233</v>
      </c>
      <c r="N99" s="3153"/>
      <c r="O99" s="3171"/>
      <c r="P99" s="3171"/>
      <c r="Q99" s="3171"/>
      <c r="R99" s="3171"/>
      <c r="S99" s="3171"/>
      <c r="T99" s="3171"/>
      <c r="U99" s="3171"/>
      <c r="V99" s="3171"/>
      <c r="W99" s="3171"/>
      <c r="X99" s="3297"/>
      <c r="Y99" s="3293"/>
      <c r="Z99" s="1201"/>
      <c r="AA99" s="1201"/>
      <c r="AB99" s="1202"/>
      <c r="AC99" s="3509"/>
      <c r="AD99" s="3508"/>
      <c r="AE99" s="3508"/>
      <c r="AF99" s="3507"/>
      <c r="AI99" s="3120" t="str">
        <f>"25:ryouyoushoku_code:" &amp; IF(I99="■",1,IF(L99="■",2,0))</f>
        <v>25:ryouyoushoku_code:0</v>
      </c>
    </row>
    <row r="100" spans="1:36" ht="18.75" hidden="1" customHeight="1" x14ac:dyDescent="0.2">
      <c r="A100" s="834"/>
      <c r="B100" s="3148"/>
      <c r="C100" s="3147"/>
      <c r="D100" s="3146"/>
      <c r="E100" s="3145"/>
      <c r="F100" s="3144"/>
      <c r="G100" s="3145"/>
      <c r="H100" s="3151" t="s">
        <v>2219</v>
      </c>
      <c r="I100" s="3303" t="s">
        <v>116</v>
      </c>
      <c r="J100" s="3137" t="s">
        <v>1230</v>
      </c>
      <c r="K100" s="3137"/>
      <c r="L100" s="3154" t="s">
        <v>116</v>
      </c>
      <c r="M100" s="3137" t="s">
        <v>1231</v>
      </c>
      <c r="N100" s="3137"/>
      <c r="O100" s="3154" t="s">
        <v>116</v>
      </c>
      <c r="P100" s="3137" t="s">
        <v>1232</v>
      </c>
      <c r="Q100" s="3150"/>
      <c r="R100" s="3171"/>
      <c r="S100" s="3171"/>
      <c r="T100" s="3171"/>
      <c r="U100" s="3171"/>
      <c r="V100" s="3171"/>
      <c r="W100" s="3171"/>
      <c r="X100" s="3297"/>
      <c r="Y100" s="3293"/>
      <c r="Z100" s="1201"/>
      <c r="AA100" s="1201"/>
      <c r="AB100" s="1202"/>
      <c r="AC100" s="3509"/>
      <c r="AD100" s="3508"/>
      <c r="AE100" s="3508"/>
      <c r="AF100" s="3507"/>
      <c r="AI100" s="3120" t="str">
        <f>"25:ninti_senmoncare_code:" &amp; IF(I100="■",1,IF(O100="■",3,IF(L100="■",2,0)))</f>
        <v>25:ninti_senmoncare_code:0</v>
      </c>
    </row>
    <row r="101" spans="1:36" ht="18.75" hidden="1" customHeight="1" x14ac:dyDescent="0.2">
      <c r="A101" s="834"/>
      <c r="B101" s="3148"/>
      <c r="C101" s="3147"/>
      <c r="D101" s="3146"/>
      <c r="E101" s="3145"/>
      <c r="F101" s="3144"/>
      <c r="G101" s="3145"/>
      <c r="H101" s="3296" t="s">
        <v>1285</v>
      </c>
      <c r="I101" s="3303" t="s">
        <v>116</v>
      </c>
      <c r="J101" s="3137" t="s">
        <v>1230</v>
      </c>
      <c r="K101" s="3137"/>
      <c r="L101" s="3154" t="s">
        <v>116</v>
      </c>
      <c r="M101" s="3137" t="s">
        <v>1231</v>
      </c>
      <c r="N101" s="3137"/>
      <c r="O101" s="3154" t="s">
        <v>116</v>
      </c>
      <c r="P101" s="3137" t="s">
        <v>1232</v>
      </c>
      <c r="Q101" s="3150"/>
      <c r="R101" s="3150"/>
      <c r="S101" s="3150"/>
      <c r="T101" s="3150"/>
      <c r="U101" s="3209"/>
      <c r="V101" s="3209"/>
      <c r="W101" s="3209"/>
      <c r="X101" s="3208"/>
      <c r="Y101" s="3293"/>
      <c r="Z101" s="1201"/>
      <c r="AA101" s="1201"/>
      <c r="AB101" s="1202"/>
      <c r="AC101" s="3509"/>
      <c r="AD101" s="3508"/>
      <c r="AE101" s="3508"/>
      <c r="AF101" s="3507"/>
      <c r="AI101" s="3120" t="str">
        <f>"25:field225:" &amp; IF(I101="■",1,IF(L101="■",2,IF(O101="■",3,0)))</f>
        <v>25:field225:0</v>
      </c>
    </row>
    <row r="102" spans="1:36" ht="18.75" hidden="1" customHeight="1" x14ac:dyDescent="0.2">
      <c r="A102" s="834"/>
      <c r="B102" s="3148"/>
      <c r="C102" s="3147"/>
      <c r="D102" s="3146"/>
      <c r="E102" s="3145"/>
      <c r="F102" s="3144"/>
      <c r="G102" s="3145"/>
      <c r="H102" s="3159" t="s">
        <v>238</v>
      </c>
      <c r="I102" s="3303" t="s">
        <v>116</v>
      </c>
      <c r="J102" s="3137" t="s">
        <v>1230</v>
      </c>
      <c r="K102" s="3137"/>
      <c r="L102" s="3154" t="s">
        <v>116</v>
      </c>
      <c r="M102" s="3137" t="s">
        <v>1259</v>
      </c>
      <c r="N102" s="3137"/>
      <c r="O102" s="3154" t="s">
        <v>116</v>
      </c>
      <c r="P102" s="3137" t="s">
        <v>1260</v>
      </c>
      <c r="Q102" s="3153"/>
      <c r="R102" s="3154" t="s">
        <v>116</v>
      </c>
      <c r="S102" s="3137" t="s">
        <v>1261</v>
      </c>
      <c r="T102" s="3137"/>
      <c r="U102" s="3137"/>
      <c r="V102" s="3137"/>
      <c r="W102" s="3137"/>
      <c r="X102" s="3136"/>
      <c r="Y102" s="3293"/>
      <c r="Z102" s="1201"/>
      <c r="AA102" s="1201"/>
      <c r="AB102" s="1202"/>
      <c r="AC102" s="3509"/>
      <c r="AD102" s="3508"/>
      <c r="AE102" s="3508"/>
      <c r="AF102" s="3507"/>
      <c r="AI102" s="3120" t="str">
        <f>"25:serteikyo_kyoka_code:" &amp; IF(I102="■",1,IF(L102="■",6,IF(O102="■",5,IF(R102="■",7,0))))</f>
        <v>25:serteikyo_kyoka_code:0</v>
      </c>
    </row>
    <row r="103" spans="1:36" ht="18.75" hidden="1" customHeight="1" x14ac:dyDescent="0.2">
      <c r="A103" s="834"/>
      <c r="B103" s="3148"/>
      <c r="C103" s="3147"/>
      <c r="D103" s="3146"/>
      <c r="E103" s="3145"/>
      <c r="F103" s="3144"/>
      <c r="G103" s="3145"/>
      <c r="H103" s="3170" t="s">
        <v>2058</v>
      </c>
      <c r="I103" s="3346" t="s">
        <v>116</v>
      </c>
      <c r="J103" s="3347" t="s">
        <v>1230</v>
      </c>
      <c r="K103" s="3347"/>
      <c r="L103" s="3346" t="s">
        <v>116</v>
      </c>
      <c r="M103" s="3347" t="s">
        <v>1233</v>
      </c>
      <c r="N103" s="3347"/>
      <c r="O103" s="3302"/>
      <c r="P103" s="3302"/>
      <c r="Q103" s="3302"/>
      <c r="R103" s="3302"/>
      <c r="S103" s="3302"/>
      <c r="T103" s="3302"/>
      <c r="U103" s="3302"/>
      <c r="V103" s="3302"/>
      <c r="W103" s="3302"/>
      <c r="X103" s="3335"/>
      <c r="Y103" s="3293"/>
      <c r="Z103" s="1201"/>
      <c r="AA103" s="1201"/>
      <c r="AB103" s="1202"/>
      <c r="AC103" s="3509"/>
      <c r="AD103" s="3508"/>
      <c r="AE103" s="3508"/>
      <c r="AF103" s="3507"/>
      <c r="AI103" s="3120" t="str">
        <f>"25:field221:" &amp; IF(I103="■",1,IF(L103="■",2,0))</f>
        <v>25:field221:0</v>
      </c>
    </row>
    <row r="104" spans="1:36" ht="18.75" hidden="1" customHeight="1" x14ac:dyDescent="0.2">
      <c r="A104" s="834"/>
      <c r="B104" s="3148"/>
      <c r="C104" s="3147"/>
      <c r="D104" s="3146"/>
      <c r="E104" s="3145"/>
      <c r="F104" s="3144"/>
      <c r="G104" s="3145"/>
      <c r="H104" s="3165"/>
      <c r="I104" s="3346"/>
      <c r="J104" s="3347"/>
      <c r="K104" s="3347"/>
      <c r="L104" s="3346"/>
      <c r="M104" s="3347"/>
      <c r="N104" s="3347"/>
      <c r="O104" s="3139"/>
      <c r="P104" s="3139"/>
      <c r="Q104" s="3139"/>
      <c r="R104" s="3139"/>
      <c r="S104" s="3139"/>
      <c r="T104" s="3139"/>
      <c r="U104" s="3139"/>
      <c r="V104" s="3139"/>
      <c r="W104" s="3139"/>
      <c r="X104" s="3195"/>
      <c r="Y104" s="3293"/>
      <c r="Z104" s="1201"/>
      <c r="AA104" s="1201"/>
      <c r="AB104" s="1202"/>
      <c r="AC104" s="3509"/>
      <c r="AD104" s="3508"/>
      <c r="AE104" s="3508"/>
      <c r="AF104" s="3507"/>
    </row>
    <row r="105" spans="1:36" ht="18.75" hidden="1" customHeight="1" x14ac:dyDescent="0.2">
      <c r="A105" s="835"/>
      <c r="B105" s="3148"/>
      <c r="C105" s="3134"/>
      <c r="D105" s="3133"/>
      <c r="E105" s="3132"/>
      <c r="F105" s="3131"/>
      <c r="G105" s="3189"/>
      <c r="H105" s="3289" t="s">
        <v>2129</v>
      </c>
      <c r="I105" s="3128" t="s">
        <v>116</v>
      </c>
      <c r="J105" s="3285" t="s">
        <v>1230</v>
      </c>
      <c r="K105" s="3285"/>
      <c r="L105" s="3127" t="s">
        <v>116</v>
      </c>
      <c r="M105" s="3285" t="s">
        <v>2128</v>
      </c>
      <c r="N105" s="3288"/>
      <c r="O105" s="3127" t="s">
        <v>116</v>
      </c>
      <c r="P105" s="3287" t="s">
        <v>2127</v>
      </c>
      <c r="Q105" s="3286"/>
      <c r="R105" s="3127" t="s">
        <v>116</v>
      </c>
      <c r="S105" s="3285" t="s">
        <v>2126</v>
      </c>
      <c r="T105" s="3286"/>
      <c r="U105" s="3127" t="s">
        <v>116</v>
      </c>
      <c r="V105" s="3285" t="s">
        <v>2125</v>
      </c>
      <c r="W105" s="3284"/>
      <c r="X105" s="3283"/>
      <c r="Y105" s="3282"/>
      <c r="Z105" s="3282"/>
      <c r="AA105" s="3282"/>
      <c r="AB105" s="3281"/>
      <c r="AC105" s="3506"/>
      <c r="AD105" s="3505"/>
      <c r="AE105" s="3505"/>
      <c r="AF105" s="3504"/>
      <c r="AG105" s="3120"/>
      <c r="AH105" s="3120"/>
      <c r="AI105" s="3120" t="str">
        <f>"25:shoguukaizen_code:"&amp;IF(I105="■",1,IF(L105="■",7,IF(O105="■",8,IF(R105="■",9,IF(U105="■","A",0)))))</f>
        <v>25:shoguukaizen_code:0</v>
      </c>
    </row>
    <row r="106" spans="1:36" ht="18.75" hidden="1" customHeight="1" x14ac:dyDescent="0.2">
      <c r="A106" s="3188"/>
      <c r="B106" s="3187"/>
      <c r="C106" s="3229"/>
      <c r="D106" s="3228"/>
      <c r="E106" s="3185"/>
      <c r="F106" s="3184"/>
      <c r="G106" s="3185"/>
      <c r="H106" s="3182" t="s">
        <v>1286</v>
      </c>
      <c r="I106" s="3253" t="s">
        <v>116</v>
      </c>
      <c r="J106" s="3180" t="s">
        <v>1282</v>
      </c>
      <c r="K106" s="3226"/>
      <c r="L106" s="3225"/>
      <c r="M106" s="3179" t="s">
        <v>116</v>
      </c>
      <c r="N106" s="3180" t="s">
        <v>1283</v>
      </c>
      <c r="O106" s="3178"/>
      <c r="P106" s="3226"/>
      <c r="Q106" s="3226"/>
      <c r="R106" s="3226"/>
      <c r="S106" s="3226"/>
      <c r="T106" s="3226"/>
      <c r="U106" s="3226"/>
      <c r="V106" s="3226"/>
      <c r="W106" s="3226"/>
      <c r="X106" s="3339"/>
      <c r="Y106" s="3310" t="s">
        <v>116</v>
      </c>
      <c r="Z106" s="3252" t="s">
        <v>1225</v>
      </c>
      <c r="AA106" s="3252"/>
      <c r="AB106" s="3308"/>
      <c r="AC106" s="3497"/>
      <c r="AD106" s="3511"/>
      <c r="AE106" s="3511"/>
      <c r="AF106" s="3510"/>
      <c r="AG106" s="3120" t="str">
        <f>"ser_code = '" &amp; IF(A115="■",25,"") &amp; "'"</f>
        <v>ser_code = ''</v>
      </c>
      <c r="AH106" s="3120" t="str">
        <f>"25:jininkbn_code:" &amp; IF(F115="■",1,IF(F116="■",2,0))</f>
        <v>25:jininkbn_code:0</v>
      </c>
      <c r="AI106" s="3120" t="str">
        <f>"25:yakan_kinmu_code:" &amp; IF(I106="■",1,IF(M106="■",6,0))</f>
        <v>25:yakan_kinmu_code:0</v>
      </c>
      <c r="AJ106" s="3120" t="str">
        <f>"25:field203:" &amp; IF(Y106="■",1,IF(Y107="■",2,0))</f>
        <v>25:field203:0</v>
      </c>
    </row>
    <row r="107" spans="1:36" ht="18.75" hidden="1" customHeight="1" x14ac:dyDescent="0.2">
      <c r="A107" s="834"/>
      <c r="B107" s="3148"/>
      <c r="C107" s="3147"/>
      <c r="D107" s="3146"/>
      <c r="E107" s="3145"/>
      <c r="F107" s="3144"/>
      <c r="G107" s="3145"/>
      <c r="H107" s="3304" t="s">
        <v>90</v>
      </c>
      <c r="I107" s="3303" t="s">
        <v>116</v>
      </c>
      <c r="J107" s="1200" t="s">
        <v>1230</v>
      </c>
      <c r="K107" s="1200"/>
      <c r="L107" s="3198"/>
      <c r="M107" s="3258" t="s">
        <v>116</v>
      </c>
      <c r="N107" s="1200" t="s">
        <v>1262</v>
      </c>
      <c r="O107" s="1200"/>
      <c r="P107" s="3198"/>
      <c r="Q107" s="3258" t="s">
        <v>116</v>
      </c>
      <c r="R107" s="836" t="s">
        <v>1263</v>
      </c>
      <c r="U107" s="3258" t="s">
        <v>116</v>
      </c>
      <c r="V107" s="836" t="s">
        <v>1264</v>
      </c>
      <c r="X107" s="3336"/>
      <c r="Y107" s="3258" t="s">
        <v>116</v>
      </c>
      <c r="Z107" s="1200" t="s">
        <v>1226</v>
      </c>
      <c r="AA107" s="1201"/>
      <c r="AB107" s="1202"/>
      <c r="AC107" s="3509"/>
      <c r="AD107" s="3508"/>
      <c r="AE107" s="3508"/>
      <c r="AF107" s="3507"/>
      <c r="AG107" s="3120" t="str">
        <f>"25:sisetukbn_code:"&amp;IF(D115="■",2,0)</f>
        <v>25:sisetukbn_code:0</v>
      </c>
      <c r="AH107" s="3120"/>
      <c r="AI107" s="3120" t="str">
        <f>"25:"&amp;IF(AND(I107="□",M107="□",Q107="□",U107="□",I108="□",M108="□",Q108="□"),"ketu_doctor_code:0",IF(I107="■","ketu_doctor_code:1:ketu_kangos_code:1:ketu_kshoku_code:1:ketu_rryoho_code:1:ketu_sryoho_code:1:ketu_gengo_code:1",
IF(M107="■","ketu_doctor_code:2","ketu_doctor_code:1")
&amp;IF(Q107="■",":ketu_kangos_code:2",":ketu_kangos_code:1")
&amp;IF(U107="■",":ketu_kshoku_code:2",":ketu_kshoku_code:1")
&amp;IF(I108="■",":ketu_rryoho_code:2",":ketu_rryoho_code:1")
&amp;IF(M108="■",":ketu_sryoho_code:2",":ketu_sryoho_code:1")
&amp;IF(Q108="■",":ketu_gengo_code:2",":ketu_gengo_code:1")))</f>
        <v>25:ketu_doctor_code:0</v>
      </c>
      <c r="AJ107" s="3120"/>
    </row>
    <row r="108" spans="1:36" ht="18.75" hidden="1" customHeight="1" x14ac:dyDescent="0.2">
      <c r="A108" s="834"/>
      <c r="B108" s="3148"/>
      <c r="C108" s="3147"/>
      <c r="D108" s="3146"/>
      <c r="E108" s="3145"/>
      <c r="F108" s="3144"/>
      <c r="G108" s="3145"/>
      <c r="H108" s="3300"/>
      <c r="I108" s="3158" t="s">
        <v>116</v>
      </c>
      <c r="J108" s="3139" t="s">
        <v>1265</v>
      </c>
      <c r="K108" s="3162"/>
      <c r="L108" s="3162"/>
      <c r="M108" s="3140" t="s">
        <v>116</v>
      </c>
      <c r="N108" s="3139" t="s">
        <v>1266</v>
      </c>
      <c r="O108" s="3162"/>
      <c r="P108" s="3162"/>
      <c r="Q108" s="3140" t="s">
        <v>116</v>
      </c>
      <c r="R108" s="3139" t="s">
        <v>1267</v>
      </c>
      <c r="S108" s="3162"/>
      <c r="T108" s="3162"/>
      <c r="U108" s="3162"/>
      <c r="V108" s="3162"/>
      <c r="W108" s="3162"/>
      <c r="X108" s="3161"/>
      <c r="Y108" s="3293"/>
      <c r="Z108" s="1201"/>
      <c r="AA108" s="1201"/>
      <c r="AB108" s="1202"/>
      <c r="AC108" s="3509"/>
      <c r="AD108" s="3508"/>
      <c r="AE108" s="3508"/>
      <c r="AF108" s="3507"/>
      <c r="AG108" s="3120"/>
      <c r="AH108" s="3120"/>
      <c r="AI108" s="3120"/>
      <c r="AJ108" s="3120"/>
    </row>
    <row r="109" spans="1:36" ht="18.75" hidden="1" customHeight="1" x14ac:dyDescent="0.2">
      <c r="A109" s="834"/>
      <c r="B109" s="3148"/>
      <c r="C109" s="3147"/>
      <c r="D109" s="3146"/>
      <c r="E109" s="3145"/>
      <c r="F109" s="3144"/>
      <c r="G109" s="3145"/>
      <c r="H109" s="3151" t="s">
        <v>91</v>
      </c>
      <c r="I109" s="3303" t="s">
        <v>116</v>
      </c>
      <c r="J109" s="3137" t="s">
        <v>1240</v>
      </c>
      <c r="K109" s="3171"/>
      <c r="L109" s="3173"/>
      <c r="M109" s="3154" t="s">
        <v>116</v>
      </c>
      <c r="N109" s="3137" t="s">
        <v>1241</v>
      </c>
      <c r="O109" s="3150"/>
      <c r="P109" s="3171"/>
      <c r="Q109" s="3171"/>
      <c r="R109" s="3171"/>
      <c r="S109" s="3171"/>
      <c r="T109" s="3171"/>
      <c r="U109" s="3171"/>
      <c r="V109" s="3171"/>
      <c r="W109" s="3171"/>
      <c r="X109" s="3297"/>
      <c r="Y109" s="3293"/>
      <c r="Z109" s="1201"/>
      <c r="AA109" s="1201"/>
      <c r="AB109" s="1202"/>
      <c r="AC109" s="3509"/>
      <c r="AD109" s="3508"/>
      <c r="AE109" s="3508"/>
      <c r="AF109" s="3507"/>
      <c r="AI109" s="3120" t="str">
        <f>"25:unitcare_code:" &amp; IF(I109="■",1,IF(M109="■",2,0))</f>
        <v>25:unitcare_code:0</v>
      </c>
    </row>
    <row r="110" spans="1:36" s="3120" customFormat="1" ht="18.75" hidden="1" customHeight="1" x14ac:dyDescent="0.2">
      <c r="A110" s="834"/>
      <c r="B110" s="3148"/>
      <c r="C110" s="3295"/>
      <c r="D110" s="3294"/>
      <c r="E110" s="3145"/>
      <c r="F110" s="3144"/>
      <c r="G110" s="3175"/>
      <c r="H110" s="3381" t="s">
        <v>1325</v>
      </c>
      <c r="I110" s="3222" t="s">
        <v>116</v>
      </c>
      <c r="J110" s="3217" t="s">
        <v>1228</v>
      </c>
      <c r="K110" s="3221"/>
      <c r="L110" s="3220"/>
      <c r="M110" s="3219" t="s">
        <v>116</v>
      </c>
      <c r="N110" s="3217" t="s">
        <v>1322</v>
      </c>
      <c r="O110" s="3221"/>
      <c r="P110" s="3380"/>
      <c r="Q110" s="3380"/>
      <c r="R110" s="3380"/>
      <c r="S110" s="3380"/>
      <c r="T110" s="3380"/>
      <c r="U110" s="3380"/>
      <c r="V110" s="3380"/>
      <c r="W110" s="3380"/>
      <c r="X110" s="3379"/>
      <c r="Y110" s="3293"/>
      <c r="Z110" s="1201"/>
      <c r="AA110" s="1201"/>
      <c r="AB110" s="1202"/>
      <c r="AC110" s="3509"/>
      <c r="AD110" s="3508"/>
      <c r="AE110" s="3508"/>
      <c r="AF110" s="3507"/>
      <c r="AI110" s="3120" t="str">
        <f>"25:sintaikousoku_code:" &amp; IF(I110="■",1,IF(M110="■",2,0))</f>
        <v>25:sintaikousoku_code:0</v>
      </c>
    </row>
    <row r="111" spans="1:36" ht="19.5" hidden="1" customHeight="1" x14ac:dyDescent="0.2">
      <c r="A111" s="834"/>
      <c r="B111" s="3148"/>
      <c r="C111" s="3147"/>
      <c r="D111" s="3146"/>
      <c r="E111" s="3145"/>
      <c r="F111" s="3144"/>
      <c r="G111" s="3175"/>
      <c r="H111" s="3174" t="s">
        <v>1227</v>
      </c>
      <c r="I111" s="3303" t="s">
        <v>116</v>
      </c>
      <c r="J111" s="3137" t="s">
        <v>1228</v>
      </c>
      <c r="K111" s="3171"/>
      <c r="L111" s="3173"/>
      <c r="M111" s="3154" t="s">
        <v>116</v>
      </c>
      <c r="N111" s="3137" t="s">
        <v>1229</v>
      </c>
      <c r="O111" s="3137"/>
      <c r="P111" s="3137"/>
      <c r="Q111" s="3150"/>
      <c r="R111" s="3150"/>
      <c r="S111" s="3150"/>
      <c r="T111" s="3150"/>
      <c r="U111" s="3150"/>
      <c r="V111" s="3150"/>
      <c r="W111" s="3150"/>
      <c r="X111" s="3149"/>
      <c r="Y111" s="1201"/>
      <c r="Z111" s="1201"/>
      <c r="AA111" s="1201"/>
      <c r="AB111" s="1202"/>
      <c r="AC111" s="3509"/>
      <c r="AD111" s="3508"/>
      <c r="AE111" s="3508"/>
      <c r="AF111" s="3507"/>
      <c r="AI111" s="3120" t="str">
        <f>"25:field223:" &amp; IF(I111="■",1,IF(M111="■",2,0))</f>
        <v>25:field223:0</v>
      </c>
    </row>
    <row r="112" spans="1:36" ht="19.5" hidden="1" customHeight="1" x14ac:dyDescent="0.2">
      <c r="A112" s="834"/>
      <c r="B112" s="3148"/>
      <c r="C112" s="3147"/>
      <c r="D112" s="3146"/>
      <c r="E112" s="3145"/>
      <c r="F112" s="3144"/>
      <c r="G112" s="3175"/>
      <c r="H112" s="3174" t="s">
        <v>1253</v>
      </c>
      <c r="I112" s="3303" t="s">
        <v>116</v>
      </c>
      <c r="J112" s="3139" t="s">
        <v>1228</v>
      </c>
      <c r="K112" s="3138"/>
      <c r="L112" s="3385"/>
      <c r="M112" s="3140" t="s">
        <v>116</v>
      </c>
      <c r="N112" s="3139" t="s">
        <v>1229</v>
      </c>
      <c r="O112" s="3139"/>
      <c r="P112" s="3139"/>
      <c r="Q112" s="3207"/>
      <c r="R112" s="3207"/>
      <c r="S112" s="3207"/>
      <c r="T112" s="3207"/>
      <c r="U112" s="3207"/>
      <c r="V112" s="3207"/>
      <c r="W112" s="3207"/>
      <c r="X112" s="3206"/>
      <c r="Y112" s="1201"/>
      <c r="Z112" s="1200"/>
      <c r="AA112" s="1201"/>
      <c r="AB112" s="1202"/>
      <c r="AC112" s="3509"/>
      <c r="AD112" s="3508"/>
      <c r="AE112" s="3508"/>
      <c r="AF112" s="3507"/>
      <c r="AI112" s="3120" t="str">
        <f>"25:field232:" &amp; IF(I112="■",1,IF(M112="■",2,0))</f>
        <v>25:field232:0</v>
      </c>
    </row>
    <row r="113" spans="1:36" ht="18.75" hidden="1" customHeight="1" x14ac:dyDescent="0.2">
      <c r="A113" s="834"/>
      <c r="B113" s="3148"/>
      <c r="C113" s="3147"/>
      <c r="D113" s="3146"/>
      <c r="E113" s="3145"/>
      <c r="F113" s="3144"/>
      <c r="G113" s="3145"/>
      <c r="H113" s="3151" t="s">
        <v>2137</v>
      </c>
      <c r="I113" s="3303" t="s">
        <v>116</v>
      </c>
      <c r="J113" s="3137" t="s">
        <v>1230</v>
      </c>
      <c r="K113" s="3171"/>
      <c r="L113" s="3154" t="s">
        <v>116</v>
      </c>
      <c r="M113" s="3137" t="s">
        <v>1233</v>
      </c>
      <c r="N113" s="3153"/>
      <c r="O113" s="3171"/>
      <c r="P113" s="3171"/>
      <c r="Q113" s="3171"/>
      <c r="R113" s="3171"/>
      <c r="S113" s="3171"/>
      <c r="T113" s="3171"/>
      <c r="U113" s="3171"/>
      <c r="V113" s="3171"/>
      <c r="W113" s="3171"/>
      <c r="X113" s="3297"/>
      <c r="Y113" s="3293"/>
      <c r="Z113" s="1201"/>
      <c r="AA113" s="1201"/>
      <c r="AB113" s="1202"/>
      <c r="AC113" s="3509"/>
      <c r="AD113" s="3508"/>
      <c r="AE113" s="3508"/>
      <c r="AF113" s="3507"/>
      <c r="AI113" s="3120" t="str">
        <f>"25:yakinhaiti_code:" &amp; IF(I113="■",1,IF(L113="■",2,0))</f>
        <v>25:yakinhaiti_code:0</v>
      </c>
    </row>
    <row r="114" spans="1:36" ht="18.75" hidden="1" customHeight="1" x14ac:dyDescent="0.2">
      <c r="A114" s="834"/>
      <c r="B114" s="3148"/>
      <c r="C114" s="3147"/>
      <c r="D114" s="3146"/>
      <c r="E114" s="3145"/>
      <c r="F114" s="3144"/>
      <c r="G114" s="3145"/>
      <c r="H114" s="3151" t="s">
        <v>1348</v>
      </c>
      <c r="I114" s="3303" t="s">
        <v>116</v>
      </c>
      <c r="J114" s="3137" t="s">
        <v>1230</v>
      </c>
      <c r="K114" s="3171"/>
      <c r="L114" s="3154" t="s">
        <v>116</v>
      </c>
      <c r="M114" s="3137" t="s">
        <v>1233</v>
      </c>
      <c r="N114" s="3153"/>
      <c r="O114" s="3171"/>
      <c r="P114" s="3171"/>
      <c r="Q114" s="3171"/>
      <c r="R114" s="3171"/>
      <c r="S114" s="3171"/>
      <c r="T114" s="3171"/>
      <c r="U114" s="3171"/>
      <c r="V114" s="3171"/>
      <c r="W114" s="3171"/>
      <c r="X114" s="3297"/>
      <c r="Y114" s="3293"/>
      <c r="Z114" s="1201"/>
      <c r="AA114" s="1201"/>
      <c r="AB114" s="1202"/>
      <c r="AC114" s="3509"/>
      <c r="AD114" s="3508"/>
      <c r="AE114" s="3508"/>
      <c r="AF114" s="3507"/>
      <c r="AI114" s="3120" t="str">
        <f>"25:jyakuninti_uke_code:" &amp; IF(I114="■",1,IF(L114="■",2,0))</f>
        <v>25:jyakuninti_uke_code:0</v>
      </c>
    </row>
    <row r="115" spans="1:36" ht="18.75" hidden="1" customHeight="1" x14ac:dyDescent="0.2">
      <c r="A115" s="3158" t="s">
        <v>116</v>
      </c>
      <c r="B115" s="3148">
        <v>25</v>
      </c>
      <c r="C115" s="3147" t="s">
        <v>641</v>
      </c>
      <c r="D115" s="3158" t="s">
        <v>116</v>
      </c>
      <c r="E115" s="3145" t="s">
        <v>2265</v>
      </c>
      <c r="F115" s="3158" t="s">
        <v>116</v>
      </c>
      <c r="G115" s="3145" t="s">
        <v>2158</v>
      </c>
      <c r="H115" s="3151" t="s">
        <v>2157</v>
      </c>
      <c r="I115" s="3303" t="s">
        <v>116</v>
      </c>
      <c r="J115" s="3137" t="s">
        <v>1230</v>
      </c>
      <c r="K115" s="3137"/>
      <c r="L115" s="3140" t="s">
        <v>116</v>
      </c>
      <c r="M115" s="3137" t="s">
        <v>1231</v>
      </c>
      <c r="N115" s="3137"/>
      <c r="O115" s="3154" t="s">
        <v>116</v>
      </c>
      <c r="P115" s="3137" t="s">
        <v>1232</v>
      </c>
      <c r="Q115" s="3150"/>
      <c r="R115" s="3137"/>
      <c r="S115" s="3137"/>
      <c r="T115" s="3137"/>
      <c r="U115" s="3137"/>
      <c r="V115" s="3137"/>
      <c r="W115" s="3137"/>
      <c r="X115" s="3136"/>
      <c r="Y115" s="3293"/>
      <c r="Z115" s="1201"/>
      <c r="AA115" s="1201"/>
      <c r="AB115" s="1202"/>
      <c r="AC115" s="3509"/>
      <c r="AD115" s="3508"/>
      <c r="AE115" s="3508"/>
      <c r="AF115" s="3507"/>
      <c r="AI115" s="3120" t="str">
        <f>"25:zaitaku_hukki_code:" &amp; IF(I115="■",1,IF(L115="■",2,IF(O115="■",3,0)))</f>
        <v>25:zaitaku_hukki_code:0</v>
      </c>
    </row>
    <row r="116" spans="1:36" ht="18.75" hidden="1" customHeight="1" x14ac:dyDescent="0.2">
      <c r="A116" s="834"/>
      <c r="B116" s="3148"/>
      <c r="C116" s="3147"/>
      <c r="D116" s="3146"/>
      <c r="E116" s="3145"/>
      <c r="F116" s="3158" t="s">
        <v>116</v>
      </c>
      <c r="G116" s="3145" t="s">
        <v>2156</v>
      </c>
      <c r="H116" s="3151" t="s">
        <v>1284</v>
      </c>
      <c r="I116" s="3303" t="s">
        <v>116</v>
      </c>
      <c r="J116" s="3137" t="s">
        <v>1240</v>
      </c>
      <c r="K116" s="3171"/>
      <c r="L116" s="3173"/>
      <c r="M116" s="3154" t="s">
        <v>116</v>
      </c>
      <c r="N116" s="3137" t="s">
        <v>1241</v>
      </c>
      <c r="O116" s="3150"/>
      <c r="P116" s="3171"/>
      <c r="Q116" s="3171"/>
      <c r="R116" s="3171"/>
      <c r="S116" s="3171"/>
      <c r="T116" s="3171"/>
      <c r="U116" s="3171"/>
      <c r="V116" s="3171"/>
      <c r="W116" s="3171"/>
      <c r="X116" s="3297"/>
      <c r="Y116" s="3293"/>
      <c r="Z116" s="1201"/>
      <c r="AA116" s="1201"/>
      <c r="AB116" s="1202"/>
      <c r="AC116" s="3509"/>
      <c r="AD116" s="3508"/>
      <c r="AE116" s="3508"/>
      <c r="AF116" s="3507"/>
      <c r="AI116" s="3120" t="str">
        <f>"25:sougei_code:" &amp; IF(I116="■",1,IF(M116="■",2,0))</f>
        <v>25:sougei_code:0</v>
      </c>
    </row>
    <row r="117" spans="1:36" ht="19.5" hidden="1" customHeight="1" x14ac:dyDescent="0.2">
      <c r="A117" s="834"/>
      <c r="B117" s="3148"/>
      <c r="C117" s="3147"/>
      <c r="D117" s="3146"/>
      <c r="E117" s="3145"/>
      <c r="F117" s="3144"/>
      <c r="G117" s="3145"/>
      <c r="H117" s="3174" t="s">
        <v>1236</v>
      </c>
      <c r="I117" s="3303" t="s">
        <v>116</v>
      </c>
      <c r="J117" s="3137" t="s">
        <v>1230</v>
      </c>
      <c r="K117" s="3137"/>
      <c r="L117" s="3154" t="s">
        <v>116</v>
      </c>
      <c r="M117" s="3137" t="s">
        <v>1233</v>
      </c>
      <c r="N117" s="3137"/>
      <c r="O117" s="3150"/>
      <c r="P117" s="3137"/>
      <c r="Q117" s="3150"/>
      <c r="R117" s="3150"/>
      <c r="S117" s="3150"/>
      <c r="T117" s="3150"/>
      <c r="U117" s="3150"/>
      <c r="V117" s="3150"/>
      <c r="W117" s="3150"/>
      <c r="X117" s="3149"/>
      <c r="Y117" s="1201"/>
      <c r="Z117" s="1201"/>
      <c r="AA117" s="1201"/>
      <c r="AB117" s="1202"/>
      <c r="AC117" s="3509"/>
      <c r="AD117" s="3508"/>
      <c r="AE117" s="3508"/>
      <c r="AF117" s="3507"/>
      <c r="AI117" s="3120" t="str">
        <f>"25:field224:" &amp; IF(I117="■",1,IF(L117="■",2,0))</f>
        <v>25:field224:0</v>
      </c>
    </row>
    <row r="118" spans="1:36" ht="18.75" hidden="1" customHeight="1" x14ac:dyDescent="0.2">
      <c r="A118" s="834"/>
      <c r="B118" s="3148"/>
      <c r="C118" s="3147"/>
      <c r="D118" s="3146"/>
      <c r="E118" s="3145"/>
      <c r="F118" s="3144"/>
      <c r="G118" s="3145"/>
      <c r="H118" s="3151" t="s">
        <v>140</v>
      </c>
      <c r="I118" s="3303" t="s">
        <v>116</v>
      </c>
      <c r="J118" s="3137" t="s">
        <v>1230</v>
      </c>
      <c r="K118" s="3171"/>
      <c r="L118" s="3154" t="s">
        <v>116</v>
      </c>
      <c r="M118" s="3137" t="s">
        <v>1233</v>
      </c>
      <c r="N118" s="3153"/>
      <c r="O118" s="3171"/>
      <c r="P118" s="3171"/>
      <c r="Q118" s="3171"/>
      <c r="R118" s="3171"/>
      <c r="S118" s="3171"/>
      <c r="T118" s="3171"/>
      <c r="U118" s="3171"/>
      <c r="V118" s="3171"/>
      <c r="W118" s="3171"/>
      <c r="X118" s="3297"/>
      <c r="Y118" s="3293"/>
      <c r="Z118" s="1201"/>
      <c r="AA118" s="1201"/>
      <c r="AB118" s="1202"/>
      <c r="AC118" s="3509"/>
      <c r="AD118" s="3508"/>
      <c r="AE118" s="3508"/>
      <c r="AF118" s="3507"/>
      <c r="AI118" s="3120" t="str">
        <f>"25:ryouyoushoku_code:" &amp; IF(I118="■",1,IF(L118="■",2,0))</f>
        <v>25:ryouyoushoku_code:0</v>
      </c>
    </row>
    <row r="119" spans="1:36" ht="18.75" hidden="1" customHeight="1" x14ac:dyDescent="0.2">
      <c r="A119" s="834"/>
      <c r="B119" s="3148"/>
      <c r="C119" s="3147"/>
      <c r="D119" s="3146"/>
      <c r="E119" s="3145"/>
      <c r="F119" s="3144"/>
      <c r="G119" s="3145"/>
      <c r="H119" s="3151" t="s">
        <v>2219</v>
      </c>
      <c r="I119" s="3303" t="s">
        <v>116</v>
      </c>
      <c r="J119" s="3137" t="s">
        <v>1230</v>
      </c>
      <c r="K119" s="3137"/>
      <c r="L119" s="3154" t="s">
        <v>116</v>
      </c>
      <c r="M119" s="3137" t="s">
        <v>1231</v>
      </c>
      <c r="N119" s="3137"/>
      <c r="O119" s="3154" t="s">
        <v>116</v>
      </c>
      <c r="P119" s="3137" t="s">
        <v>1232</v>
      </c>
      <c r="Q119" s="3150"/>
      <c r="R119" s="3171"/>
      <c r="S119" s="3171"/>
      <c r="T119" s="3171"/>
      <c r="U119" s="3171"/>
      <c r="V119" s="3171"/>
      <c r="W119" s="3171"/>
      <c r="X119" s="3297"/>
      <c r="Y119" s="3293"/>
      <c r="Z119" s="1201"/>
      <c r="AA119" s="1201"/>
      <c r="AB119" s="1202"/>
      <c r="AC119" s="3509"/>
      <c r="AD119" s="3508"/>
      <c r="AE119" s="3508"/>
      <c r="AF119" s="3507"/>
      <c r="AI119" s="3120" t="str">
        <f>"25:ninti_senmoncare_code:" &amp; IF(I119="■",1,IF(O119="■",3,IF(L119="■",2,0)))</f>
        <v>25:ninti_senmoncare_code:0</v>
      </c>
    </row>
    <row r="120" spans="1:36" ht="18.75" hidden="1" customHeight="1" x14ac:dyDescent="0.2">
      <c r="A120" s="834"/>
      <c r="B120" s="3148"/>
      <c r="C120" s="3147"/>
      <c r="D120" s="3146"/>
      <c r="E120" s="3145"/>
      <c r="F120" s="3144"/>
      <c r="G120" s="3145"/>
      <c r="H120" s="3296" t="s">
        <v>1285</v>
      </c>
      <c r="I120" s="3303" t="s">
        <v>116</v>
      </c>
      <c r="J120" s="3137" t="s">
        <v>1230</v>
      </c>
      <c r="K120" s="3137"/>
      <c r="L120" s="3154" t="s">
        <v>116</v>
      </c>
      <c r="M120" s="3137" t="s">
        <v>1231</v>
      </c>
      <c r="N120" s="3137"/>
      <c r="O120" s="3154" t="s">
        <v>116</v>
      </c>
      <c r="P120" s="3137" t="s">
        <v>1232</v>
      </c>
      <c r="Q120" s="3150"/>
      <c r="R120" s="3150"/>
      <c r="S120" s="3150"/>
      <c r="T120" s="3150"/>
      <c r="U120" s="3209"/>
      <c r="V120" s="3209"/>
      <c r="W120" s="3209"/>
      <c r="X120" s="3208"/>
      <c r="Y120" s="3293"/>
      <c r="Z120" s="1201"/>
      <c r="AA120" s="1201"/>
      <c r="AB120" s="1202"/>
      <c r="AC120" s="3509"/>
      <c r="AD120" s="3508"/>
      <c r="AE120" s="3508"/>
      <c r="AF120" s="3507"/>
      <c r="AI120" s="3120" t="str">
        <f>"25:field225:" &amp; IF(I120="■",1,IF(L120="■",2,IF(O120="■",3,0)))</f>
        <v>25:field225:0</v>
      </c>
    </row>
    <row r="121" spans="1:36" ht="18.75" hidden="1" customHeight="1" x14ac:dyDescent="0.2">
      <c r="A121" s="834"/>
      <c r="B121" s="3148"/>
      <c r="C121" s="3147"/>
      <c r="D121" s="3146"/>
      <c r="E121" s="3145"/>
      <c r="F121" s="3144"/>
      <c r="G121" s="3145"/>
      <c r="H121" s="3159" t="s">
        <v>238</v>
      </c>
      <c r="I121" s="3303" t="s">
        <v>116</v>
      </c>
      <c r="J121" s="3137" t="s">
        <v>1230</v>
      </c>
      <c r="K121" s="3137"/>
      <c r="L121" s="3154" t="s">
        <v>116</v>
      </c>
      <c r="M121" s="3137" t="s">
        <v>1259</v>
      </c>
      <c r="N121" s="3137"/>
      <c r="O121" s="3154" t="s">
        <v>116</v>
      </c>
      <c r="P121" s="3137" t="s">
        <v>1260</v>
      </c>
      <c r="Q121" s="3153"/>
      <c r="R121" s="3154" t="s">
        <v>116</v>
      </c>
      <c r="S121" s="3137" t="s">
        <v>1261</v>
      </c>
      <c r="T121" s="3137"/>
      <c r="U121" s="3137"/>
      <c r="V121" s="3137"/>
      <c r="W121" s="3137"/>
      <c r="X121" s="3136"/>
      <c r="Y121" s="3293"/>
      <c r="Z121" s="1201"/>
      <c r="AA121" s="1201"/>
      <c r="AB121" s="1202"/>
      <c r="AC121" s="3509"/>
      <c r="AD121" s="3508"/>
      <c r="AE121" s="3508"/>
      <c r="AF121" s="3507"/>
      <c r="AI121" s="3120" t="str">
        <f>"25:serteikyo_kyoka_code:" &amp; IF(I121="■",1,IF(L121="■",6,IF(O121="■",5,IF(R121="■",7,0))))</f>
        <v>25:serteikyo_kyoka_code:0</v>
      </c>
    </row>
    <row r="122" spans="1:36" ht="18.75" hidden="1" customHeight="1" x14ac:dyDescent="0.2">
      <c r="A122" s="834"/>
      <c r="B122" s="3148"/>
      <c r="C122" s="3147"/>
      <c r="D122" s="3146"/>
      <c r="E122" s="3145"/>
      <c r="F122" s="3144"/>
      <c r="G122" s="3145"/>
      <c r="H122" s="3170" t="s">
        <v>2058</v>
      </c>
      <c r="I122" s="3346" t="s">
        <v>116</v>
      </c>
      <c r="J122" s="3347" t="s">
        <v>1230</v>
      </c>
      <c r="K122" s="3347"/>
      <c r="L122" s="3346" t="s">
        <v>116</v>
      </c>
      <c r="M122" s="3347" t="s">
        <v>1233</v>
      </c>
      <c r="N122" s="3347"/>
      <c r="O122" s="3302"/>
      <c r="P122" s="3302"/>
      <c r="Q122" s="3302"/>
      <c r="R122" s="3302"/>
      <c r="S122" s="3302"/>
      <c r="T122" s="3302"/>
      <c r="U122" s="3302"/>
      <c r="V122" s="3302"/>
      <c r="W122" s="3302"/>
      <c r="X122" s="3335"/>
      <c r="Y122" s="3293"/>
      <c r="Z122" s="1201"/>
      <c r="AA122" s="1201"/>
      <c r="AB122" s="1202"/>
      <c r="AC122" s="3509"/>
      <c r="AD122" s="3508"/>
      <c r="AE122" s="3508"/>
      <c r="AF122" s="3507"/>
      <c r="AI122" s="3120" t="str">
        <f>"25:field221:" &amp; IF(I122="■",1,IF(L122="■",2,0))</f>
        <v>25:field221:0</v>
      </c>
    </row>
    <row r="123" spans="1:36" ht="18.75" hidden="1" customHeight="1" x14ac:dyDescent="0.2">
      <c r="A123" s="834"/>
      <c r="B123" s="3148"/>
      <c r="C123" s="3147"/>
      <c r="D123" s="3146"/>
      <c r="E123" s="3145"/>
      <c r="F123" s="3144"/>
      <c r="G123" s="3145"/>
      <c r="H123" s="3165"/>
      <c r="I123" s="3346"/>
      <c r="J123" s="3347"/>
      <c r="K123" s="3347"/>
      <c r="L123" s="3346"/>
      <c r="M123" s="3347"/>
      <c r="N123" s="3347"/>
      <c r="O123" s="3139"/>
      <c r="P123" s="3139"/>
      <c r="Q123" s="3139"/>
      <c r="R123" s="3139"/>
      <c r="S123" s="3139"/>
      <c r="T123" s="3139"/>
      <c r="U123" s="3139"/>
      <c r="V123" s="3139"/>
      <c r="W123" s="3139"/>
      <c r="X123" s="3195"/>
      <c r="Y123" s="3293"/>
      <c r="Z123" s="1201"/>
      <c r="AA123" s="1201"/>
      <c r="AB123" s="1202"/>
      <c r="AC123" s="3509"/>
      <c r="AD123" s="3508"/>
      <c r="AE123" s="3508"/>
      <c r="AF123" s="3507"/>
    </row>
    <row r="124" spans="1:36" ht="18.75" hidden="1" customHeight="1" x14ac:dyDescent="0.2">
      <c r="A124" s="835"/>
      <c r="B124" s="3135"/>
      <c r="C124" s="3134"/>
      <c r="D124" s="3133"/>
      <c r="E124" s="3132"/>
      <c r="F124" s="3131"/>
      <c r="G124" s="3189"/>
      <c r="H124" s="3289" t="s">
        <v>2129</v>
      </c>
      <c r="I124" s="3128" t="s">
        <v>116</v>
      </c>
      <c r="J124" s="3285" t="s">
        <v>1230</v>
      </c>
      <c r="K124" s="3285"/>
      <c r="L124" s="3127" t="s">
        <v>116</v>
      </c>
      <c r="M124" s="3285" t="s">
        <v>2128</v>
      </c>
      <c r="N124" s="3288"/>
      <c r="O124" s="3127" t="s">
        <v>116</v>
      </c>
      <c r="P124" s="3287" t="s">
        <v>2127</v>
      </c>
      <c r="Q124" s="3286"/>
      <c r="R124" s="3127" t="s">
        <v>116</v>
      </c>
      <c r="S124" s="3285" t="s">
        <v>2126</v>
      </c>
      <c r="T124" s="3286"/>
      <c r="U124" s="3127" t="s">
        <v>116</v>
      </c>
      <c r="V124" s="3285" t="s">
        <v>2125</v>
      </c>
      <c r="W124" s="3284"/>
      <c r="X124" s="3283"/>
      <c r="Y124" s="3282"/>
      <c r="Z124" s="3282"/>
      <c r="AA124" s="3282"/>
      <c r="AB124" s="3281"/>
      <c r="AC124" s="3506"/>
      <c r="AD124" s="3505"/>
      <c r="AE124" s="3505"/>
      <c r="AF124" s="3504"/>
      <c r="AG124" s="3120"/>
      <c r="AH124" s="3120"/>
      <c r="AI124" s="3120" t="str">
        <f>"25:shoguukaizen_code:"&amp;IF(I124="■",1,IF(L124="■",7,IF(O124="■",8,IF(R124="■",9,IF(U124="■","A",0)))))</f>
        <v>25:shoguukaizen_code:0</v>
      </c>
    </row>
    <row r="125" spans="1:36" ht="18.75" hidden="1" customHeight="1" x14ac:dyDescent="0.2">
      <c r="A125" s="3188"/>
      <c r="B125" s="3187"/>
      <c r="C125" s="3229"/>
      <c r="D125" s="3228"/>
      <c r="E125" s="3185"/>
      <c r="F125" s="3184"/>
      <c r="G125" s="3185"/>
      <c r="H125" s="3182" t="s">
        <v>1286</v>
      </c>
      <c r="I125" s="3303" t="s">
        <v>116</v>
      </c>
      <c r="J125" s="3180" t="s">
        <v>1282</v>
      </c>
      <c r="K125" s="3226"/>
      <c r="L125" s="3225"/>
      <c r="M125" s="3179" t="s">
        <v>116</v>
      </c>
      <c r="N125" s="3180" t="s">
        <v>1283</v>
      </c>
      <c r="O125" s="3178"/>
      <c r="P125" s="3226"/>
      <c r="Q125" s="3226"/>
      <c r="R125" s="3226"/>
      <c r="S125" s="3226"/>
      <c r="T125" s="3226"/>
      <c r="U125" s="3226"/>
      <c r="V125" s="3226"/>
      <c r="W125" s="3226"/>
      <c r="X125" s="3339"/>
      <c r="Y125" s="3310" t="s">
        <v>116</v>
      </c>
      <c r="Z125" s="3252" t="s">
        <v>1225</v>
      </c>
      <c r="AA125" s="3252"/>
      <c r="AB125" s="3308"/>
      <c r="AC125" s="3497"/>
      <c r="AD125" s="3511"/>
      <c r="AE125" s="3511"/>
      <c r="AF125" s="3510"/>
      <c r="AG125" s="3120" t="str">
        <f>"ser_code = '" &amp; IF(A135="■",25,"") &amp; "'"</f>
        <v>ser_code = ''</v>
      </c>
      <c r="AH125" s="3120"/>
      <c r="AI125" s="3120" t="str">
        <f>"25:yakan_kinmu_code:" &amp; IF(I125="■",1,IF(M125="■",6,0))</f>
        <v>25:yakan_kinmu_code:0</v>
      </c>
      <c r="AJ125" s="3120" t="str">
        <f>"25:field203:" &amp; IF(Y125="■",1,IF(Y126="■",2,0))</f>
        <v>25:field203:0</v>
      </c>
    </row>
    <row r="126" spans="1:36" ht="18.75" hidden="1" customHeight="1" x14ac:dyDescent="0.2">
      <c r="A126" s="834"/>
      <c r="B126" s="3148"/>
      <c r="C126" s="3147"/>
      <c r="D126" s="3146"/>
      <c r="E126" s="3145"/>
      <c r="F126" s="3144"/>
      <c r="G126" s="3145"/>
      <c r="H126" s="3304" t="s">
        <v>90</v>
      </c>
      <c r="I126" s="3303" t="s">
        <v>116</v>
      </c>
      <c r="J126" s="1200" t="s">
        <v>1230</v>
      </c>
      <c r="K126" s="1200"/>
      <c r="L126" s="3198"/>
      <c r="M126" s="3258" t="s">
        <v>116</v>
      </c>
      <c r="N126" s="1200" t="s">
        <v>1262</v>
      </c>
      <c r="O126" s="1200"/>
      <c r="P126" s="3198"/>
      <c r="Q126" s="3258" t="s">
        <v>116</v>
      </c>
      <c r="R126" s="836" t="s">
        <v>1263</v>
      </c>
      <c r="U126" s="3258" t="s">
        <v>116</v>
      </c>
      <c r="V126" s="836" t="s">
        <v>1264</v>
      </c>
      <c r="X126" s="3336"/>
      <c r="Y126" s="3258" t="s">
        <v>116</v>
      </c>
      <c r="Z126" s="1200" t="s">
        <v>1226</v>
      </c>
      <c r="AA126" s="1201"/>
      <c r="AB126" s="1202"/>
      <c r="AC126" s="3509"/>
      <c r="AD126" s="3508"/>
      <c r="AE126" s="3508"/>
      <c r="AF126" s="3507"/>
      <c r="AG126" s="3120" t="str">
        <f>"25:sisetukbn_code:" &amp; IF(D135="■",5,IF(D136="■",7,0))</f>
        <v>25:sisetukbn_code:0</v>
      </c>
      <c r="AH126" s="3120"/>
      <c r="AI126" s="3120" t="str">
        <f>"25:"&amp;IF(AND(I126="□",M126="□",Q126="□",U126="□",I127="□",M127="□",Q127="□"),"ketu_doctor_code:0",IF(I126="■","ketu_doctor_code:1:ketu_kangos_code:1:ketu_kshoku_code:1:ketu_rryoho_code:1:ketu_sryoho_code:1:ketu_gengo_code:1",
IF(M126="■","ketu_doctor_code:2","ketu_doctor_code:1")
&amp;IF(Q126="■",":ketu_kangos_code:2",":ketu_kangos_code:1")
&amp;IF(U126="■",":ketu_kshoku_code:2",":ketu_kshoku_code:1")
&amp;IF(I127="■",":ketu_rryoho_code:2",":ketu_rryoho_code:1")
&amp;IF(M127="■",":ketu_sryoho_code:2",":ketu_sryoho_code:1")
&amp;IF(Q127="■",":ketu_gengo_code:2",":ketu_gengo_code:1")))</f>
        <v>25:ketu_doctor_code:0</v>
      </c>
      <c r="AJ126" s="3120"/>
    </row>
    <row r="127" spans="1:36" ht="18.75" hidden="1" customHeight="1" x14ac:dyDescent="0.2">
      <c r="A127" s="834"/>
      <c r="B127" s="3148"/>
      <c r="C127" s="3147"/>
      <c r="D127" s="3146"/>
      <c r="E127" s="3145"/>
      <c r="F127" s="3144"/>
      <c r="G127" s="3145"/>
      <c r="H127" s="3300"/>
      <c r="I127" s="3158" t="s">
        <v>116</v>
      </c>
      <c r="J127" s="3139" t="s">
        <v>1265</v>
      </c>
      <c r="K127" s="3162"/>
      <c r="L127" s="3162"/>
      <c r="M127" s="3140" t="s">
        <v>116</v>
      </c>
      <c r="N127" s="3139" t="s">
        <v>1266</v>
      </c>
      <c r="O127" s="3162"/>
      <c r="P127" s="3162"/>
      <c r="Q127" s="3140" t="s">
        <v>116</v>
      </c>
      <c r="R127" s="3139" t="s">
        <v>1267</v>
      </c>
      <c r="S127" s="3162"/>
      <c r="T127" s="3162"/>
      <c r="U127" s="3162"/>
      <c r="V127" s="3162"/>
      <c r="W127" s="3162"/>
      <c r="X127" s="3161"/>
      <c r="Y127" s="3293"/>
      <c r="Z127" s="1201"/>
      <c r="AA127" s="1201"/>
      <c r="AB127" s="1202"/>
      <c r="AC127" s="3509"/>
      <c r="AD127" s="3508"/>
      <c r="AE127" s="3508"/>
      <c r="AF127" s="3507"/>
      <c r="AG127" s="3120"/>
      <c r="AH127" s="3120"/>
      <c r="AI127" s="3120"/>
      <c r="AJ127" s="3120"/>
    </row>
    <row r="128" spans="1:36" ht="18.75" hidden="1" customHeight="1" x14ac:dyDescent="0.2">
      <c r="A128" s="834"/>
      <c r="B128" s="3148"/>
      <c r="C128" s="3147"/>
      <c r="D128" s="3146"/>
      <c r="E128" s="3145"/>
      <c r="F128" s="3144"/>
      <c r="G128" s="3145"/>
      <c r="H128" s="3151" t="s">
        <v>91</v>
      </c>
      <c r="I128" s="3303" t="s">
        <v>116</v>
      </c>
      <c r="J128" s="3137" t="s">
        <v>1240</v>
      </c>
      <c r="K128" s="3171"/>
      <c r="L128" s="3173"/>
      <c r="M128" s="3154" t="s">
        <v>116</v>
      </c>
      <c r="N128" s="3137" t="s">
        <v>1241</v>
      </c>
      <c r="O128" s="3150"/>
      <c r="P128" s="3171"/>
      <c r="Q128" s="3171"/>
      <c r="R128" s="3171"/>
      <c r="S128" s="3171"/>
      <c r="T128" s="3171"/>
      <c r="U128" s="3171"/>
      <c r="V128" s="3171"/>
      <c r="W128" s="3171"/>
      <c r="X128" s="3297"/>
      <c r="Y128" s="3293"/>
      <c r="Z128" s="1201"/>
      <c r="AA128" s="1201"/>
      <c r="AB128" s="1202"/>
      <c r="AC128" s="3509"/>
      <c r="AD128" s="3508"/>
      <c r="AE128" s="3508"/>
      <c r="AF128" s="3507"/>
      <c r="AG128" s="3120"/>
      <c r="AH128" s="3120"/>
      <c r="AI128" s="3120" t="str">
        <f>"25:unitcare_code:" &amp; IF(I128="■",1,IF(M128="■",2,0))</f>
        <v>25:unitcare_code:0</v>
      </c>
      <c r="AJ128" s="3120"/>
    </row>
    <row r="129" spans="1:35" s="3120" customFormat="1" ht="18.75" hidden="1" customHeight="1" x14ac:dyDescent="0.2">
      <c r="A129" s="834"/>
      <c r="B129" s="3148"/>
      <c r="C129" s="3295"/>
      <c r="D129" s="3294"/>
      <c r="E129" s="3145"/>
      <c r="F129" s="3144"/>
      <c r="G129" s="3175"/>
      <c r="H129" s="3381" t="s">
        <v>1325</v>
      </c>
      <c r="I129" s="3222" t="s">
        <v>116</v>
      </c>
      <c r="J129" s="3217" t="s">
        <v>1228</v>
      </c>
      <c r="K129" s="3221"/>
      <c r="L129" s="3220"/>
      <c r="M129" s="3219" t="s">
        <v>116</v>
      </c>
      <c r="N129" s="3217" t="s">
        <v>1322</v>
      </c>
      <c r="O129" s="3221"/>
      <c r="P129" s="3380"/>
      <c r="Q129" s="3380"/>
      <c r="R129" s="3380"/>
      <c r="S129" s="3380"/>
      <c r="T129" s="3380"/>
      <c r="U129" s="3380"/>
      <c r="V129" s="3380"/>
      <c r="W129" s="3380"/>
      <c r="X129" s="3379"/>
      <c r="Y129" s="3293"/>
      <c r="Z129" s="1201"/>
      <c r="AA129" s="1201"/>
      <c r="AB129" s="1202"/>
      <c r="AC129" s="3509"/>
      <c r="AD129" s="3508"/>
      <c r="AE129" s="3508"/>
      <c r="AF129" s="3507"/>
      <c r="AI129" s="3120" t="str">
        <f>"25:sintaikousoku_code:" &amp; IF(I129="■",1,IF(M129="■",2,0))</f>
        <v>25:sintaikousoku_code:0</v>
      </c>
    </row>
    <row r="130" spans="1:35" ht="19.5" hidden="1" customHeight="1" x14ac:dyDescent="0.2">
      <c r="A130" s="834"/>
      <c r="B130" s="3148"/>
      <c r="C130" s="3147"/>
      <c r="D130" s="3146"/>
      <c r="E130" s="3145"/>
      <c r="F130" s="3144"/>
      <c r="G130" s="3175"/>
      <c r="H130" s="3174" t="s">
        <v>1227</v>
      </c>
      <c r="I130" s="3303" t="s">
        <v>116</v>
      </c>
      <c r="J130" s="3137" t="s">
        <v>1228</v>
      </c>
      <c r="K130" s="3171"/>
      <c r="L130" s="3173"/>
      <c r="M130" s="3154" t="s">
        <v>116</v>
      </c>
      <c r="N130" s="3137" t="s">
        <v>1229</v>
      </c>
      <c r="O130" s="3137"/>
      <c r="P130" s="3137"/>
      <c r="Q130" s="3150"/>
      <c r="R130" s="3150"/>
      <c r="S130" s="3150"/>
      <c r="T130" s="3150"/>
      <c r="U130" s="3150"/>
      <c r="V130" s="3150"/>
      <c r="W130" s="3150"/>
      <c r="X130" s="3149"/>
      <c r="Y130" s="1201"/>
      <c r="Z130" s="1201"/>
      <c r="AA130" s="1201"/>
      <c r="AB130" s="1202"/>
      <c r="AC130" s="3509"/>
      <c r="AD130" s="3508"/>
      <c r="AE130" s="3508"/>
      <c r="AF130" s="3507"/>
      <c r="AI130" s="3120" t="str">
        <f>"25:field223:" &amp; IF(I130="■",1,IF(M130="■",2,0))</f>
        <v>25:field223:0</v>
      </c>
    </row>
    <row r="131" spans="1:35" ht="19.5" hidden="1" customHeight="1" x14ac:dyDescent="0.2">
      <c r="A131" s="834"/>
      <c r="B131" s="3148"/>
      <c r="C131" s="3147"/>
      <c r="D131" s="3146"/>
      <c r="E131" s="3145"/>
      <c r="F131" s="3144"/>
      <c r="G131" s="3175"/>
      <c r="H131" s="3174" t="s">
        <v>1253</v>
      </c>
      <c r="I131" s="3303" t="s">
        <v>116</v>
      </c>
      <c r="J131" s="3139" t="s">
        <v>1228</v>
      </c>
      <c r="K131" s="3138"/>
      <c r="L131" s="3385"/>
      <c r="M131" s="3140" t="s">
        <v>116</v>
      </c>
      <c r="N131" s="3139" t="s">
        <v>1229</v>
      </c>
      <c r="O131" s="3139"/>
      <c r="P131" s="3139"/>
      <c r="Q131" s="3207"/>
      <c r="R131" s="3207"/>
      <c r="S131" s="3207"/>
      <c r="T131" s="3207"/>
      <c r="U131" s="3207"/>
      <c r="V131" s="3207"/>
      <c r="W131" s="3207"/>
      <c r="X131" s="3206"/>
      <c r="Y131" s="1201"/>
      <c r="Z131" s="1200"/>
      <c r="AA131" s="1201"/>
      <c r="AB131" s="1202"/>
      <c r="AC131" s="3509"/>
      <c r="AD131" s="3508"/>
      <c r="AE131" s="3508"/>
      <c r="AF131" s="3507"/>
      <c r="AI131" s="3120" t="str">
        <f>"25:field232:" &amp; IF(I131="■",1,IF(M131="■",2,0))</f>
        <v>25:field232:0</v>
      </c>
    </row>
    <row r="132" spans="1:35" s="1247" customFormat="1" ht="19.5" hidden="1" customHeight="1" x14ac:dyDescent="0.2">
      <c r="A132" s="579"/>
      <c r="B132" s="1250"/>
      <c r="C132" s="581"/>
      <c r="D132" s="1251"/>
      <c r="E132" s="1253"/>
      <c r="F132" s="1249"/>
      <c r="G132" s="583"/>
      <c r="H132" s="3324" t="s">
        <v>2133</v>
      </c>
      <c r="I132" s="3501" t="s">
        <v>116</v>
      </c>
      <c r="J132" s="3320" t="s">
        <v>2131</v>
      </c>
      <c r="K132" s="3323"/>
      <c r="L132" s="3322"/>
      <c r="M132" s="3500" t="s">
        <v>116</v>
      </c>
      <c r="N132" s="3320" t="s">
        <v>2130</v>
      </c>
      <c r="O132" s="3321"/>
      <c r="P132" s="3320"/>
      <c r="Q132" s="3319"/>
      <c r="R132" s="3319"/>
      <c r="S132" s="3319"/>
      <c r="T132" s="3319"/>
      <c r="U132" s="3319"/>
      <c r="V132" s="3319"/>
      <c r="W132" s="3319"/>
      <c r="X132" s="3318"/>
      <c r="Y132" s="1248"/>
      <c r="Z132" s="2"/>
      <c r="AA132" s="584"/>
      <c r="AB132" s="585"/>
      <c r="AC132" s="3509"/>
      <c r="AD132" s="3508"/>
      <c r="AE132" s="3508"/>
      <c r="AF132" s="3507"/>
      <c r="AI132" s="3120" t="str">
        <f>"25:field242:" &amp; IF(I132="■",1,IF(M132="■",2,0))</f>
        <v>25:field242:0</v>
      </c>
    </row>
    <row r="133" spans="1:35" ht="18.75" hidden="1" customHeight="1" x14ac:dyDescent="0.2">
      <c r="A133" s="834"/>
      <c r="B133" s="3148"/>
      <c r="C133" s="3147"/>
      <c r="D133" s="3146"/>
      <c r="E133" s="3145"/>
      <c r="F133" s="3144"/>
      <c r="G133" s="3145"/>
      <c r="H133" s="3151" t="s">
        <v>2137</v>
      </c>
      <c r="I133" s="3303" t="s">
        <v>116</v>
      </c>
      <c r="J133" s="3137" t="s">
        <v>1230</v>
      </c>
      <c r="K133" s="3171"/>
      <c r="L133" s="3154" t="s">
        <v>116</v>
      </c>
      <c r="M133" s="3137" t="s">
        <v>1233</v>
      </c>
      <c r="N133" s="3153"/>
      <c r="O133" s="3150"/>
      <c r="P133" s="3150"/>
      <c r="Q133" s="3150"/>
      <c r="R133" s="3150"/>
      <c r="S133" s="3150"/>
      <c r="T133" s="3150"/>
      <c r="U133" s="3150"/>
      <c r="V133" s="3150"/>
      <c r="W133" s="3150"/>
      <c r="X133" s="3149"/>
      <c r="Y133" s="3293"/>
      <c r="Z133" s="1201"/>
      <c r="AA133" s="1201"/>
      <c r="AB133" s="1202"/>
      <c r="AC133" s="3509"/>
      <c r="AD133" s="3508"/>
      <c r="AE133" s="3508"/>
      <c r="AF133" s="3507"/>
      <c r="AI133" s="3120" t="str">
        <f>"25:yakinhaiti_code:" &amp; IF(I133="■",1,IF(L133="■",2,0))</f>
        <v>25:yakinhaiti_code:0</v>
      </c>
    </row>
    <row r="134" spans="1:35" ht="18.75" hidden="1" customHeight="1" x14ac:dyDescent="0.2">
      <c r="A134" s="834"/>
      <c r="B134" s="3148"/>
      <c r="C134" s="3147"/>
      <c r="D134" s="3146"/>
      <c r="E134" s="3145"/>
      <c r="F134" s="3144"/>
      <c r="G134" s="3145"/>
      <c r="H134" s="3151" t="s">
        <v>1348</v>
      </c>
      <c r="I134" s="3303" t="s">
        <v>116</v>
      </c>
      <c r="J134" s="3137" t="s">
        <v>1230</v>
      </c>
      <c r="K134" s="3171"/>
      <c r="L134" s="3154" t="s">
        <v>116</v>
      </c>
      <c r="M134" s="3137" t="s">
        <v>1233</v>
      </c>
      <c r="N134" s="3153"/>
      <c r="O134" s="3150"/>
      <c r="P134" s="3150"/>
      <c r="Q134" s="3150"/>
      <c r="R134" s="3150"/>
      <c r="S134" s="3150"/>
      <c r="T134" s="3150"/>
      <c r="U134" s="3150"/>
      <c r="V134" s="3150"/>
      <c r="W134" s="3150"/>
      <c r="X134" s="3149"/>
      <c r="Y134" s="3293"/>
      <c r="Z134" s="1201"/>
      <c r="AA134" s="1201"/>
      <c r="AB134" s="1202"/>
      <c r="AC134" s="3509"/>
      <c r="AD134" s="3508"/>
      <c r="AE134" s="3508"/>
      <c r="AF134" s="3507"/>
      <c r="AI134" s="3120" t="str">
        <f>"25:jyakuninti_uke_code:" &amp; IF(I134="■",1,IF(L134="■",2,0))</f>
        <v>25:jyakuninti_uke_code:0</v>
      </c>
    </row>
    <row r="135" spans="1:35" ht="18.75" hidden="1" customHeight="1" x14ac:dyDescent="0.2">
      <c r="A135" s="3158" t="s">
        <v>116</v>
      </c>
      <c r="B135" s="3148">
        <v>25</v>
      </c>
      <c r="C135" s="3147" t="s">
        <v>641</v>
      </c>
      <c r="D135" s="3158" t="s">
        <v>116</v>
      </c>
      <c r="E135" s="3145" t="s">
        <v>2264</v>
      </c>
      <c r="F135" s="3144"/>
      <c r="G135" s="3145"/>
      <c r="H135" s="3151" t="s">
        <v>1284</v>
      </c>
      <c r="I135" s="3303" t="s">
        <v>116</v>
      </c>
      <c r="J135" s="3137" t="s">
        <v>1240</v>
      </c>
      <c r="K135" s="3171"/>
      <c r="L135" s="3173"/>
      <c r="M135" s="3154" t="s">
        <v>116</v>
      </c>
      <c r="N135" s="3137" t="s">
        <v>1241</v>
      </c>
      <c r="O135" s="3150"/>
      <c r="P135" s="3150"/>
      <c r="Q135" s="3150"/>
      <c r="R135" s="3150"/>
      <c r="S135" s="3150"/>
      <c r="T135" s="3150"/>
      <c r="U135" s="3150"/>
      <c r="V135" s="3150"/>
      <c r="W135" s="3150"/>
      <c r="X135" s="3149"/>
      <c r="Y135" s="3293"/>
      <c r="Z135" s="1201"/>
      <c r="AA135" s="1201"/>
      <c r="AB135" s="1202"/>
      <c r="AC135" s="3509"/>
      <c r="AD135" s="3508"/>
      <c r="AE135" s="3508"/>
      <c r="AF135" s="3507"/>
      <c r="AI135" s="3120" t="str">
        <f>"25:sougei_code:" &amp; IF(I135="■",1,IF(M135="■",2,0))</f>
        <v>25:sougei_code:0</v>
      </c>
    </row>
    <row r="136" spans="1:35" ht="18.75" hidden="1" customHeight="1" x14ac:dyDescent="0.2">
      <c r="A136" s="834"/>
      <c r="B136" s="3148"/>
      <c r="C136" s="3147"/>
      <c r="D136" s="3158" t="s">
        <v>116</v>
      </c>
      <c r="E136" s="3145" t="s">
        <v>2263</v>
      </c>
      <c r="F136" s="3144"/>
      <c r="G136" s="3145"/>
      <c r="H136" s="3151" t="s">
        <v>2256</v>
      </c>
      <c r="I136" s="3303" t="s">
        <v>116</v>
      </c>
      <c r="J136" s="3137" t="s">
        <v>1287</v>
      </c>
      <c r="K136" s="3150"/>
      <c r="L136" s="3150"/>
      <c r="M136" s="3150"/>
      <c r="N136" s="3150"/>
      <c r="O136" s="3150"/>
      <c r="P136" s="3154" t="s">
        <v>116</v>
      </c>
      <c r="Q136" s="3137" t="s">
        <v>1288</v>
      </c>
      <c r="R136" s="3150"/>
      <c r="S136" s="3150"/>
      <c r="T136" s="3150"/>
      <c r="U136" s="3150"/>
      <c r="V136" s="3150"/>
      <c r="W136" s="3150"/>
      <c r="X136" s="3149"/>
      <c r="Y136" s="3293"/>
      <c r="Z136" s="1201"/>
      <c r="AA136" s="1201"/>
      <c r="AB136" s="1202"/>
      <c r="AC136" s="3509"/>
      <c r="AD136" s="3508"/>
      <c r="AE136" s="3508"/>
      <c r="AF136" s="3507"/>
      <c r="AI136" s="3120" t="str">
        <f>"25:" &amp; IF(AND(I136="□",P136="□"),"tokusin_jyusho_code:0:tokusin_yakuzai_code:0",IF(I136="■","tokusin_jyusho_code:2","tokusin_jyusho_code:1")
&amp;IF(P136="■",":tokusin_yakuzai_code:2",":tokusin_yakuzai_code:1"))</f>
        <v>25:tokusin_jyusho_code:0:tokusin_yakuzai_code:0</v>
      </c>
    </row>
    <row r="137" spans="1:35" ht="18.75" hidden="1" customHeight="1" x14ac:dyDescent="0.2">
      <c r="A137" s="834"/>
      <c r="B137" s="3148"/>
      <c r="C137" s="3147"/>
      <c r="D137" s="3146"/>
      <c r="E137" s="3145"/>
      <c r="F137" s="3144"/>
      <c r="G137" s="3145"/>
      <c r="H137" s="3151" t="s">
        <v>2332</v>
      </c>
      <c r="I137" s="3303" t="s">
        <v>116</v>
      </c>
      <c r="J137" s="3137" t="s">
        <v>1230</v>
      </c>
      <c r="K137" s="3171"/>
      <c r="L137" s="3154" t="s">
        <v>116</v>
      </c>
      <c r="M137" s="3137" t="s">
        <v>1233</v>
      </c>
      <c r="N137" s="3153"/>
      <c r="O137" s="3153"/>
      <c r="P137" s="3153"/>
      <c r="Q137" s="3153"/>
      <c r="R137" s="3153"/>
      <c r="S137" s="3153"/>
      <c r="T137" s="3153"/>
      <c r="U137" s="3153"/>
      <c r="V137" s="3153"/>
      <c r="W137" s="3153"/>
      <c r="X137" s="3152"/>
      <c r="Y137" s="3293"/>
      <c r="Z137" s="1201"/>
      <c r="AA137" s="1201"/>
      <c r="AB137" s="1202"/>
      <c r="AC137" s="3509"/>
      <c r="AD137" s="3508"/>
      <c r="AE137" s="3508"/>
      <c r="AF137" s="3507"/>
      <c r="AI137" s="3120" t="str">
        <f>"25:field198:" &amp; IF(I137="■",1,IF(L137="■",2,0))</f>
        <v>25:field198:0</v>
      </c>
    </row>
    <row r="138" spans="1:35" ht="18.75" hidden="1" customHeight="1" x14ac:dyDescent="0.2">
      <c r="A138" s="834"/>
      <c r="B138" s="3148"/>
      <c r="C138" s="3147"/>
      <c r="D138" s="3146"/>
      <c r="E138" s="3145"/>
      <c r="F138" s="3144"/>
      <c r="G138" s="3145"/>
      <c r="H138" s="3151" t="s">
        <v>2148</v>
      </c>
      <c r="I138" s="3303" t="s">
        <v>116</v>
      </c>
      <c r="J138" s="3137" t="s">
        <v>1230</v>
      </c>
      <c r="K138" s="3171"/>
      <c r="L138" s="3154" t="s">
        <v>116</v>
      </c>
      <c r="M138" s="3137" t="s">
        <v>1233</v>
      </c>
      <c r="N138" s="3153"/>
      <c r="O138" s="3153"/>
      <c r="P138" s="3153"/>
      <c r="Q138" s="3153"/>
      <c r="R138" s="3153"/>
      <c r="S138" s="3153"/>
      <c r="T138" s="3153"/>
      <c r="U138" s="3153"/>
      <c r="V138" s="3153"/>
      <c r="W138" s="3153"/>
      <c r="X138" s="3152"/>
      <c r="Y138" s="3293"/>
      <c r="Z138" s="1201"/>
      <c r="AA138" s="1201"/>
      <c r="AB138" s="1202"/>
      <c r="AC138" s="3509"/>
      <c r="AD138" s="3508"/>
      <c r="AE138" s="3508"/>
      <c r="AF138" s="3507"/>
      <c r="AI138" s="3120" t="str">
        <f>"25:field199:" &amp; IF(I138="■",1,IF(L138="■",2,0))</f>
        <v>25:field199:0</v>
      </c>
    </row>
    <row r="139" spans="1:35" ht="19.5" hidden="1" customHeight="1" x14ac:dyDescent="0.2">
      <c r="A139" s="834"/>
      <c r="B139" s="3148"/>
      <c r="C139" s="3147"/>
      <c r="D139" s="3146"/>
      <c r="E139" s="3145"/>
      <c r="F139" s="3144"/>
      <c r="G139" s="3175"/>
      <c r="H139" s="3174" t="s">
        <v>1236</v>
      </c>
      <c r="I139" s="3303" t="s">
        <v>116</v>
      </c>
      <c r="J139" s="3137" t="s">
        <v>1230</v>
      </c>
      <c r="K139" s="3137"/>
      <c r="L139" s="3154" t="s">
        <v>116</v>
      </c>
      <c r="M139" s="3137" t="s">
        <v>1233</v>
      </c>
      <c r="N139" s="3137"/>
      <c r="O139" s="3150"/>
      <c r="P139" s="3137"/>
      <c r="Q139" s="3150"/>
      <c r="R139" s="3150"/>
      <c r="S139" s="3150"/>
      <c r="T139" s="3150"/>
      <c r="U139" s="3150"/>
      <c r="V139" s="3150"/>
      <c r="W139" s="3150"/>
      <c r="X139" s="3149"/>
      <c r="Y139" s="1201"/>
      <c r="Z139" s="1201"/>
      <c r="AA139" s="1201"/>
      <c r="AB139" s="1202"/>
      <c r="AC139" s="3509"/>
      <c r="AD139" s="3508"/>
      <c r="AE139" s="3508"/>
      <c r="AF139" s="3507"/>
      <c r="AI139" s="3120" t="str">
        <f>"25:field224:" &amp; IF(I139="■",1,IF(L139="■",2,0))</f>
        <v>25:field224:0</v>
      </c>
    </row>
    <row r="140" spans="1:35" ht="18.75" hidden="1" customHeight="1" x14ac:dyDescent="0.2">
      <c r="A140" s="834"/>
      <c r="B140" s="3148"/>
      <c r="C140" s="3147"/>
      <c r="D140" s="3146"/>
      <c r="E140" s="3145"/>
      <c r="F140" s="3144"/>
      <c r="G140" s="3145"/>
      <c r="H140" s="3151" t="s">
        <v>140</v>
      </c>
      <c r="I140" s="3303" t="s">
        <v>116</v>
      </c>
      <c r="J140" s="3137" t="s">
        <v>1230</v>
      </c>
      <c r="K140" s="3171"/>
      <c r="L140" s="3154" t="s">
        <v>116</v>
      </c>
      <c r="M140" s="3137" t="s">
        <v>1233</v>
      </c>
      <c r="N140" s="3153"/>
      <c r="O140" s="3150"/>
      <c r="P140" s="3150"/>
      <c r="Q140" s="3150"/>
      <c r="R140" s="3150"/>
      <c r="S140" s="3150"/>
      <c r="T140" s="3150"/>
      <c r="U140" s="3150"/>
      <c r="V140" s="3150"/>
      <c r="W140" s="3150"/>
      <c r="X140" s="3149"/>
      <c r="Y140" s="3293"/>
      <c r="Z140" s="1201"/>
      <c r="AA140" s="1201"/>
      <c r="AB140" s="1202"/>
      <c r="AC140" s="3509"/>
      <c r="AD140" s="3508"/>
      <c r="AE140" s="3508"/>
      <c r="AF140" s="3507"/>
      <c r="AI140" s="3120" t="str">
        <f>"25:ryouyoushoku_code:" &amp; IF(I140="■",1,IF(L140="■",2,0))</f>
        <v>25:ryouyoushoku_code:0</v>
      </c>
    </row>
    <row r="141" spans="1:35" ht="18.75" hidden="1" customHeight="1" x14ac:dyDescent="0.2">
      <c r="A141" s="834"/>
      <c r="B141" s="3148"/>
      <c r="C141" s="3147"/>
      <c r="D141" s="3146"/>
      <c r="E141" s="3145"/>
      <c r="F141" s="3144"/>
      <c r="G141" s="3145"/>
      <c r="H141" s="3151" t="s">
        <v>2219</v>
      </c>
      <c r="I141" s="3303" t="s">
        <v>116</v>
      </c>
      <c r="J141" s="3137" t="s">
        <v>1230</v>
      </c>
      <c r="K141" s="3137"/>
      <c r="L141" s="3154" t="s">
        <v>116</v>
      </c>
      <c r="M141" s="3137" t="s">
        <v>1231</v>
      </c>
      <c r="N141" s="3137"/>
      <c r="O141" s="3154" t="s">
        <v>116</v>
      </c>
      <c r="P141" s="3137" t="s">
        <v>1232</v>
      </c>
      <c r="Q141" s="3150"/>
      <c r="R141" s="3150"/>
      <c r="S141" s="3150"/>
      <c r="T141" s="3150"/>
      <c r="U141" s="3150"/>
      <c r="V141" s="3150"/>
      <c r="W141" s="3150"/>
      <c r="X141" s="3149"/>
      <c r="Y141" s="3293"/>
      <c r="Z141" s="1201"/>
      <c r="AA141" s="1201"/>
      <c r="AB141" s="1202"/>
      <c r="AC141" s="3509"/>
      <c r="AD141" s="3508"/>
      <c r="AE141" s="3508"/>
      <c r="AF141" s="3507"/>
      <c r="AI141" s="3120" t="str">
        <f>"25:ninti_senmoncare_code:" &amp; IF(I141="■",1,IF(O141="■",3,IF(L141="■",2,0)))</f>
        <v>25:ninti_senmoncare_code:0</v>
      </c>
    </row>
    <row r="142" spans="1:35" ht="18.75" hidden="1" customHeight="1" x14ac:dyDescent="0.2">
      <c r="A142" s="834"/>
      <c r="B142" s="3148"/>
      <c r="C142" s="3147"/>
      <c r="D142" s="3146"/>
      <c r="E142" s="3145"/>
      <c r="F142" s="3144"/>
      <c r="G142" s="3145"/>
      <c r="H142" s="3151" t="s">
        <v>2262</v>
      </c>
      <c r="I142" s="3303" t="s">
        <v>116</v>
      </c>
      <c r="J142" s="3137" t="s">
        <v>2261</v>
      </c>
      <c r="K142" s="3137"/>
      <c r="L142" s="3173"/>
      <c r="M142" s="3173"/>
      <c r="N142" s="3154" t="s">
        <v>116</v>
      </c>
      <c r="O142" s="3137" t="s">
        <v>2260</v>
      </c>
      <c r="P142" s="3150"/>
      <c r="Q142" s="3150"/>
      <c r="R142" s="3150"/>
      <c r="S142" s="3154" t="s">
        <v>116</v>
      </c>
      <c r="T142" s="3137" t="s">
        <v>2259</v>
      </c>
      <c r="U142" s="3150"/>
      <c r="V142" s="3150"/>
      <c r="W142" s="3150"/>
      <c r="X142" s="3149"/>
      <c r="Y142" s="3293"/>
      <c r="Z142" s="1201"/>
      <c r="AA142" s="1201"/>
      <c r="AB142" s="1202"/>
      <c r="AC142" s="3509"/>
      <c r="AD142" s="3508"/>
      <c r="AE142" s="3508"/>
      <c r="AF142" s="3507"/>
      <c r="AI142" s="3120" t="str">
        <f>"25:"&amp;IF(AND(I142="□",N142="□",S142="□"),"koriha_gengo_code:0:riha_seisin_code:0:koriha_other_code:0",IF(I142="■","koriha_gengo_code:2","koriha_gengo_code:1")
&amp;IF(N142="■",":riha_seisin_code:2",":riha_seisin_code:1")
&amp;IF(S142="■",":koriha_other_code:2",":koriha_other_code:1"))</f>
        <v>25:koriha_gengo_code:0:riha_seisin_code:0:koriha_other_code:0</v>
      </c>
    </row>
    <row r="143" spans="1:35" ht="18.75" hidden="1" customHeight="1" x14ac:dyDescent="0.2">
      <c r="A143" s="834"/>
      <c r="B143" s="3148"/>
      <c r="C143" s="3147"/>
      <c r="D143" s="3146"/>
      <c r="E143" s="3145"/>
      <c r="F143" s="3144"/>
      <c r="G143" s="3145"/>
      <c r="H143" s="3296" t="s">
        <v>1285</v>
      </c>
      <c r="I143" s="3303" t="s">
        <v>116</v>
      </c>
      <c r="J143" s="3137" t="s">
        <v>1230</v>
      </c>
      <c r="K143" s="3137"/>
      <c r="L143" s="3154" t="s">
        <v>116</v>
      </c>
      <c r="M143" s="3137" t="s">
        <v>1231</v>
      </c>
      <c r="N143" s="3137"/>
      <c r="O143" s="3154" t="s">
        <v>116</v>
      </c>
      <c r="P143" s="3137" t="s">
        <v>1232</v>
      </c>
      <c r="Q143" s="3150"/>
      <c r="R143" s="3150"/>
      <c r="S143" s="3150"/>
      <c r="T143" s="3150"/>
      <c r="U143" s="3209"/>
      <c r="V143" s="3209"/>
      <c r="W143" s="3209"/>
      <c r="X143" s="3208"/>
      <c r="Y143" s="3293"/>
      <c r="Z143" s="1201"/>
      <c r="AA143" s="1201"/>
      <c r="AB143" s="1202"/>
      <c r="AC143" s="3509"/>
      <c r="AD143" s="3508"/>
      <c r="AE143" s="3508"/>
      <c r="AF143" s="3507"/>
      <c r="AI143" s="3120" t="str">
        <f>"25:field225:" &amp; IF(I143="■",1,IF(L143="■",2,IF(O143="■",3,0)))</f>
        <v>25:field225:0</v>
      </c>
    </row>
    <row r="144" spans="1:35" ht="18.75" hidden="1" customHeight="1" x14ac:dyDescent="0.2">
      <c r="A144" s="834"/>
      <c r="B144" s="3148"/>
      <c r="C144" s="3147"/>
      <c r="D144" s="3146"/>
      <c r="E144" s="3145"/>
      <c r="F144" s="3144"/>
      <c r="G144" s="3145"/>
      <c r="H144" s="3151" t="s">
        <v>238</v>
      </c>
      <c r="I144" s="3303" t="s">
        <v>116</v>
      </c>
      <c r="J144" s="3137" t="s">
        <v>1230</v>
      </c>
      <c r="K144" s="3137"/>
      <c r="L144" s="3154" t="s">
        <v>116</v>
      </c>
      <c r="M144" s="3137" t="s">
        <v>1259</v>
      </c>
      <c r="N144" s="3137"/>
      <c r="O144" s="3154" t="s">
        <v>116</v>
      </c>
      <c r="P144" s="3137" t="s">
        <v>1260</v>
      </c>
      <c r="Q144" s="3153"/>
      <c r="R144" s="3154" t="s">
        <v>116</v>
      </c>
      <c r="S144" s="3137" t="s">
        <v>1261</v>
      </c>
      <c r="T144" s="3137"/>
      <c r="U144" s="3137"/>
      <c r="V144" s="3137"/>
      <c r="W144" s="3137"/>
      <c r="X144" s="3136"/>
      <c r="Y144" s="3293"/>
      <c r="Z144" s="1201"/>
      <c r="AA144" s="1201"/>
      <c r="AB144" s="1202"/>
      <c r="AC144" s="3509"/>
      <c r="AD144" s="3508"/>
      <c r="AE144" s="3508"/>
      <c r="AF144" s="3507"/>
      <c r="AI144" s="3120" t="str">
        <f>"25:serteikyo_kyoka_code:" &amp; IF(I144="■",1,IF(L144="■",6,IF(O144="■",5,IF(R144="■",7,0))))</f>
        <v>25:serteikyo_kyoka_code:0</v>
      </c>
    </row>
    <row r="145" spans="1:36" ht="18.75" hidden="1" customHeight="1" x14ac:dyDescent="0.2">
      <c r="A145" s="834"/>
      <c r="B145" s="3148"/>
      <c r="C145" s="3147"/>
      <c r="D145" s="3146"/>
      <c r="E145" s="3145"/>
      <c r="F145" s="3144"/>
      <c r="G145" s="3145"/>
      <c r="H145" s="3170" t="s">
        <v>2058</v>
      </c>
      <c r="I145" s="3346" t="s">
        <v>116</v>
      </c>
      <c r="J145" s="3347" t="s">
        <v>1230</v>
      </c>
      <c r="K145" s="3347"/>
      <c r="L145" s="3346" t="s">
        <v>116</v>
      </c>
      <c r="M145" s="3347" t="s">
        <v>1233</v>
      </c>
      <c r="N145" s="3347"/>
      <c r="O145" s="3302"/>
      <c r="P145" s="3302"/>
      <c r="Q145" s="3302"/>
      <c r="R145" s="3302"/>
      <c r="S145" s="3302"/>
      <c r="T145" s="3302"/>
      <c r="U145" s="3302"/>
      <c r="V145" s="3302"/>
      <c r="W145" s="3302"/>
      <c r="X145" s="3335"/>
      <c r="Y145" s="3293"/>
      <c r="Z145" s="1201"/>
      <c r="AA145" s="1201"/>
      <c r="AB145" s="1202"/>
      <c r="AC145" s="3509"/>
      <c r="AD145" s="3508"/>
      <c r="AE145" s="3508"/>
      <c r="AF145" s="3507"/>
      <c r="AI145" s="3120" t="str">
        <f>"25:field221:" &amp; IF(I145="■",1,IF(L145="■",2,0))</f>
        <v>25:field221:0</v>
      </c>
    </row>
    <row r="146" spans="1:36" ht="18.75" hidden="1" customHeight="1" x14ac:dyDescent="0.2">
      <c r="A146" s="834"/>
      <c r="B146" s="3148"/>
      <c r="C146" s="3147"/>
      <c r="D146" s="3146"/>
      <c r="E146" s="3145"/>
      <c r="F146" s="3144"/>
      <c r="G146" s="3145"/>
      <c r="H146" s="3165"/>
      <c r="I146" s="3346"/>
      <c r="J146" s="3347"/>
      <c r="K146" s="3347"/>
      <c r="L146" s="3346"/>
      <c r="M146" s="3347"/>
      <c r="N146" s="3347"/>
      <c r="O146" s="3139"/>
      <c r="P146" s="3139"/>
      <c r="Q146" s="3139"/>
      <c r="R146" s="3139"/>
      <c r="S146" s="3139"/>
      <c r="T146" s="3139"/>
      <c r="U146" s="3139"/>
      <c r="V146" s="3139"/>
      <c r="W146" s="3139"/>
      <c r="X146" s="3195"/>
      <c r="Y146" s="3293"/>
      <c r="Z146" s="1201"/>
      <c r="AA146" s="1201"/>
      <c r="AB146" s="1202"/>
      <c r="AC146" s="3509"/>
      <c r="AD146" s="3508"/>
      <c r="AE146" s="3508"/>
      <c r="AF146" s="3507"/>
    </row>
    <row r="147" spans="1:36" ht="18.75" hidden="1" customHeight="1" x14ac:dyDescent="0.2">
      <c r="A147" s="835"/>
      <c r="B147" s="3148"/>
      <c r="C147" s="3134"/>
      <c r="D147" s="3133"/>
      <c r="E147" s="3132"/>
      <c r="F147" s="3131"/>
      <c r="G147" s="3189"/>
      <c r="H147" s="3289" t="s">
        <v>2129</v>
      </c>
      <c r="I147" s="3128" t="s">
        <v>116</v>
      </c>
      <c r="J147" s="3285" t="s">
        <v>1230</v>
      </c>
      <c r="K147" s="3285"/>
      <c r="L147" s="3127" t="s">
        <v>116</v>
      </c>
      <c r="M147" s="3285" t="s">
        <v>2128</v>
      </c>
      <c r="N147" s="3288"/>
      <c r="O147" s="3127" t="s">
        <v>116</v>
      </c>
      <c r="P147" s="3287" t="s">
        <v>2127</v>
      </c>
      <c r="Q147" s="3286"/>
      <c r="R147" s="3127" t="s">
        <v>116</v>
      </c>
      <c r="S147" s="3285" t="s">
        <v>2126</v>
      </c>
      <c r="T147" s="3286"/>
      <c r="U147" s="3127" t="s">
        <v>116</v>
      </c>
      <c r="V147" s="3285" t="s">
        <v>2125</v>
      </c>
      <c r="W147" s="3284"/>
      <c r="X147" s="3283"/>
      <c r="Y147" s="3282"/>
      <c r="Z147" s="3282"/>
      <c r="AA147" s="3282"/>
      <c r="AB147" s="3281"/>
      <c r="AC147" s="3506"/>
      <c r="AD147" s="3505"/>
      <c r="AE147" s="3505"/>
      <c r="AF147" s="3504"/>
      <c r="AG147" s="3120"/>
      <c r="AH147" s="3120"/>
      <c r="AI147" s="3120" t="str">
        <f>"25:shoguukaizen_code:"&amp;IF(I147="■",1,IF(L147="■",7,IF(O147="■",8,IF(R147="■",9,IF(U147="■","A",0)))))</f>
        <v>25:shoguukaizen_code:0</v>
      </c>
    </row>
    <row r="148" spans="1:36" ht="18.75" hidden="1" customHeight="1" x14ac:dyDescent="0.2">
      <c r="A148" s="3188"/>
      <c r="B148" s="3187"/>
      <c r="C148" s="3229"/>
      <c r="D148" s="3228"/>
      <c r="E148" s="3185"/>
      <c r="F148" s="3184"/>
      <c r="G148" s="3185"/>
      <c r="H148" s="3182" t="s">
        <v>1286</v>
      </c>
      <c r="I148" s="3253" t="s">
        <v>116</v>
      </c>
      <c r="J148" s="3180" t="s">
        <v>1282</v>
      </c>
      <c r="K148" s="3226"/>
      <c r="L148" s="3225"/>
      <c r="M148" s="3179" t="s">
        <v>116</v>
      </c>
      <c r="N148" s="3180" t="s">
        <v>1283</v>
      </c>
      <c r="O148" s="3178"/>
      <c r="P148" s="3226"/>
      <c r="Q148" s="3226"/>
      <c r="R148" s="3226"/>
      <c r="S148" s="3226"/>
      <c r="T148" s="3226"/>
      <c r="U148" s="3226"/>
      <c r="V148" s="3226"/>
      <c r="W148" s="3226"/>
      <c r="X148" s="3339"/>
      <c r="Y148" s="3310" t="s">
        <v>116</v>
      </c>
      <c r="Z148" s="3252" t="s">
        <v>1225</v>
      </c>
      <c r="AA148" s="3252"/>
      <c r="AB148" s="3308"/>
      <c r="AC148" s="3497"/>
      <c r="AD148" s="3511"/>
      <c r="AE148" s="3511"/>
      <c r="AF148" s="3510"/>
      <c r="AG148" s="3120" t="str">
        <f>"ser_code = '" &amp; IF(A157="■",25,"") &amp; "'"</f>
        <v>ser_code = ''</v>
      </c>
      <c r="AH148" s="3120"/>
      <c r="AI148" s="3120" t="str">
        <f>"25:yakan_kinmu_code:" &amp; IF(I148="■",1,IF(M148="■",6,0))</f>
        <v>25:yakan_kinmu_code:0</v>
      </c>
      <c r="AJ148" s="3120" t="str">
        <f>"25:field203:" &amp; IF(Y148="■",1,IF(Y149="■",2,0))</f>
        <v>25:field203:0</v>
      </c>
    </row>
    <row r="149" spans="1:36" ht="18.75" hidden="1" customHeight="1" x14ac:dyDescent="0.2">
      <c r="A149" s="834"/>
      <c r="B149" s="3148"/>
      <c r="C149" s="3147"/>
      <c r="D149" s="3146"/>
      <c r="E149" s="3145"/>
      <c r="F149" s="3144"/>
      <c r="G149" s="3145"/>
      <c r="H149" s="3304" t="s">
        <v>90</v>
      </c>
      <c r="I149" s="3303" t="s">
        <v>116</v>
      </c>
      <c r="J149" s="1200" t="s">
        <v>1230</v>
      </c>
      <c r="K149" s="1200"/>
      <c r="L149" s="3198"/>
      <c r="M149" s="3258" t="s">
        <v>116</v>
      </c>
      <c r="N149" s="1200" t="s">
        <v>1262</v>
      </c>
      <c r="O149" s="1200"/>
      <c r="P149" s="3198"/>
      <c r="Q149" s="3258" t="s">
        <v>116</v>
      </c>
      <c r="R149" s="836" t="s">
        <v>1263</v>
      </c>
      <c r="U149" s="3258" t="s">
        <v>116</v>
      </c>
      <c r="V149" s="836" t="s">
        <v>1264</v>
      </c>
      <c r="X149" s="3336"/>
      <c r="Y149" s="3258" t="s">
        <v>116</v>
      </c>
      <c r="Z149" s="1200" t="s">
        <v>1226</v>
      </c>
      <c r="AA149" s="1201"/>
      <c r="AB149" s="1202"/>
      <c r="AC149" s="3509"/>
      <c r="AD149" s="3508"/>
      <c r="AE149" s="3508"/>
      <c r="AF149" s="3507"/>
      <c r="AG149" s="3120" t="str">
        <f>"25:sisetukbn_code:" &amp; IF(D157="■",6,IF(D158="■",8,0))</f>
        <v>25:sisetukbn_code:0</v>
      </c>
      <c r="AH149" s="3120"/>
      <c r="AI149" s="3120" t="str">
        <f>"25:"&amp;IF(AND(I149="□",M149="□",Q149="□",U149="□",I150="□",M150="□",Q150="□"),"ketu_doctor_code:0",IF(I149="■","ketu_doctor_code:1:ketu_kangos_code:1:ketu_kshoku_code:1:ketu_rryoho_code:1:ketu_sryoho_code:1:ketu_gengo_code:1",
IF(M149="■","ketu_doctor_code:2","ketu_doctor_code:1")
&amp;IF(Q149="■",":ketu_kangos_code:2",":ketu_kangos_code:1")
&amp;IF(U149="■",":ketu_kshoku_code:2",":ketu_kshoku_code:1")
&amp;IF(I150="■",":ketu_rryoho_code:2",":ketu_rryoho_code:1")
&amp;IF(M150="■",":ketu_sryoho_code:2",":ketu_sryoho_code:1")
&amp;IF(Q150="■",":ketu_gengo_code:2",":ketu_gengo_code:1")))</f>
        <v>25:ketu_doctor_code:0</v>
      </c>
      <c r="AJ149" s="3120"/>
    </row>
    <row r="150" spans="1:36" ht="18.75" hidden="1" customHeight="1" x14ac:dyDescent="0.2">
      <c r="A150" s="834"/>
      <c r="B150" s="3148"/>
      <c r="C150" s="3147"/>
      <c r="D150" s="3146"/>
      <c r="E150" s="3145"/>
      <c r="F150" s="3144"/>
      <c r="G150" s="3145"/>
      <c r="H150" s="3300"/>
      <c r="I150" s="3158" t="s">
        <v>116</v>
      </c>
      <c r="J150" s="3139" t="s">
        <v>1265</v>
      </c>
      <c r="K150" s="3162"/>
      <c r="L150" s="3162"/>
      <c r="M150" s="3140" t="s">
        <v>116</v>
      </c>
      <c r="N150" s="3139" t="s">
        <v>1266</v>
      </c>
      <c r="O150" s="3162"/>
      <c r="P150" s="3162"/>
      <c r="Q150" s="3140" t="s">
        <v>116</v>
      </c>
      <c r="R150" s="3139" t="s">
        <v>1267</v>
      </c>
      <c r="S150" s="3162"/>
      <c r="T150" s="3162"/>
      <c r="U150" s="3162"/>
      <c r="V150" s="3162"/>
      <c r="W150" s="3162"/>
      <c r="X150" s="3161"/>
      <c r="Y150" s="3293"/>
      <c r="Z150" s="1201"/>
      <c r="AA150" s="1201"/>
      <c r="AB150" s="1202"/>
      <c r="AC150" s="3509"/>
      <c r="AD150" s="3508"/>
      <c r="AE150" s="3508"/>
      <c r="AF150" s="3507"/>
      <c r="AG150" s="3120"/>
      <c r="AH150" s="3120"/>
      <c r="AI150" s="3120"/>
      <c r="AJ150" s="3120"/>
    </row>
    <row r="151" spans="1:36" ht="18.75" hidden="1" customHeight="1" x14ac:dyDescent="0.2">
      <c r="A151" s="834"/>
      <c r="B151" s="3148"/>
      <c r="C151" s="3147"/>
      <c r="D151" s="3146"/>
      <c r="E151" s="3145"/>
      <c r="F151" s="3144"/>
      <c r="G151" s="3145"/>
      <c r="H151" s="3151" t="s">
        <v>91</v>
      </c>
      <c r="I151" s="3303" t="s">
        <v>116</v>
      </c>
      <c r="J151" s="3137" t="s">
        <v>1240</v>
      </c>
      <c r="K151" s="3171"/>
      <c r="L151" s="3173"/>
      <c r="M151" s="3154" t="s">
        <v>116</v>
      </c>
      <c r="N151" s="3137" t="s">
        <v>1241</v>
      </c>
      <c r="O151" s="3150"/>
      <c r="P151" s="3171"/>
      <c r="Q151" s="3171"/>
      <c r="R151" s="3171"/>
      <c r="S151" s="3171"/>
      <c r="T151" s="3171"/>
      <c r="U151" s="3171"/>
      <c r="V151" s="3171"/>
      <c r="W151" s="3171"/>
      <c r="X151" s="3297"/>
      <c r="Y151" s="3293"/>
      <c r="Z151" s="1201"/>
      <c r="AA151" s="1201"/>
      <c r="AB151" s="1202"/>
      <c r="AC151" s="3509"/>
      <c r="AD151" s="3508"/>
      <c r="AE151" s="3508"/>
      <c r="AF151" s="3507"/>
      <c r="AG151" s="3120"/>
      <c r="AH151" s="3120"/>
      <c r="AI151" s="3120" t="str">
        <f>"25:unitcare_code:" &amp; IF(I151="■",1,IF(M151="■",2,0))</f>
        <v>25:unitcare_code:0</v>
      </c>
      <c r="AJ151" s="3120"/>
    </row>
    <row r="152" spans="1:36" s="3120" customFormat="1" ht="18.75" hidden="1" customHeight="1" x14ac:dyDescent="0.2">
      <c r="A152" s="834"/>
      <c r="B152" s="3148"/>
      <c r="C152" s="3295"/>
      <c r="D152" s="3294"/>
      <c r="E152" s="3145"/>
      <c r="F152" s="3144"/>
      <c r="G152" s="3175"/>
      <c r="H152" s="3381" t="s">
        <v>1325</v>
      </c>
      <c r="I152" s="3222" t="s">
        <v>116</v>
      </c>
      <c r="J152" s="3217" t="s">
        <v>1228</v>
      </c>
      <c r="K152" s="3221"/>
      <c r="L152" s="3220"/>
      <c r="M152" s="3219" t="s">
        <v>116</v>
      </c>
      <c r="N152" s="3217" t="s">
        <v>1322</v>
      </c>
      <c r="O152" s="3221"/>
      <c r="P152" s="3380"/>
      <c r="Q152" s="3380"/>
      <c r="R152" s="3380"/>
      <c r="S152" s="3380"/>
      <c r="T152" s="3380"/>
      <c r="U152" s="3380"/>
      <c r="V152" s="3380"/>
      <c r="W152" s="3380"/>
      <c r="X152" s="3379"/>
      <c r="Y152" s="3293"/>
      <c r="Z152" s="1201"/>
      <c r="AA152" s="1201"/>
      <c r="AB152" s="1202"/>
      <c r="AC152" s="3509"/>
      <c r="AD152" s="3508"/>
      <c r="AE152" s="3508"/>
      <c r="AF152" s="3507"/>
      <c r="AI152" s="3120" t="str">
        <f>"25:sintaikousoku_code:" &amp; IF(I152="■",1,IF(M152="■",2,0))</f>
        <v>25:sintaikousoku_code:0</v>
      </c>
    </row>
    <row r="153" spans="1:36" ht="19.5" hidden="1" customHeight="1" x14ac:dyDescent="0.2">
      <c r="A153" s="834"/>
      <c r="B153" s="3148"/>
      <c r="C153" s="3147"/>
      <c r="D153" s="3146"/>
      <c r="E153" s="3145"/>
      <c r="F153" s="3144"/>
      <c r="G153" s="3175"/>
      <c r="H153" s="3174" t="s">
        <v>1227</v>
      </c>
      <c r="I153" s="3303" t="s">
        <v>116</v>
      </c>
      <c r="J153" s="3137" t="s">
        <v>1228</v>
      </c>
      <c r="K153" s="3171"/>
      <c r="L153" s="3173"/>
      <c r="M153" s="3154" t="s">
        <v>116</v>
      </c>
      <c r="N153" s="3137" t="s">
        <v>1229</v>
      </c>
      <c r="O153" s="3137"/>
      <c r="P153" s="3137"/>
      <c r="Q153" s="3150"/>
      <c r="R153" s="3150"/>
      <c r="S153" s="3150"/>
      <c r="T153" s="3150"/>
      <c r="U153" s="3150"/>
      <c r="V153" s="3150"/>
      <c r="W153" s="3150"/>
      <c r="X153" s="3149"/>
      <c r="Y153" s="1201"/>
      <c r="Z153" s="1201"/>
      <c r="AA153" s="1201"/>
      <c r="AB153" s="1202"/>
      <c r="AC153" s="3509"/>
      <c r="AD153" s="3508"/>
      <c r="AE153" s="3508"/>
      <c r="AF153" s="3507"/>
      <c r="AI153" s="3120" t="str">
        <f>"25:field223:" &amp; IF(I153="■",1,IF(M153="■",2,0))</f>
        <v>25:field223:0</v>
      </c>
    </row>
    <row r="154" spans="1:36" ht="19.5" hidden="1" customHeight="1" x14ac:dyDescent="0.2">
      <c r="A154" s="834"/>
      <c r="B154" s="3148"/>
      <c r="C154" s="3147"/>
      <c r="D154" s="3146"/>
      <c r="E154" s="3145"/>
      <c r="F154" s="3144"/>
      <c r="G154" s="3175"/>
      <c r="H154" s="3174" t="s">
        <v>1253</v>
      </c>
      <c r="I154" s="3303" t="s">
        <v>116</v>
      </c>
      <c r="J154" s="3139" t="s">
        <v>1228</v>
      </c>
      <c r="K154" s="3138"/>
      <c r="L154" s="3385"/>
      <c r="M154" s="3140" t="s">
        <v>116</v>
      </c>
      <c r="N154" s="3139" t="s">
        <v>1229</v>
      </c>
      <c r="O154" s="3139"/>
      <c r="P154" s="3139"/>
      <c r="Q154" s="3207"/>
      <c r="R154" s="3207"/>
      <c r="S154" s="3207"/>
      <c r="T154" s="3207"/>
      <c r="U154" s="3207"/>
      <c r="V154" s="3207"/>
      <c r="W154" s="3207"/>
      <c r="X154" s="3206"/>
      <c r="Y154" s="1201"/>
      <c r="Z154" s="1200"/>
      <c r="AA154" s="1201"/>
      <c r="AB154" s="1202"/>
      <c r="AC154" s="3509"/>
      <c r="AD154" s="3508"/>
      <c r="AE154" s="3508"/>
      <c r="AF154" s="3507"/>
      <c r="AI154" s="3120" t="str">
        <f>"25:field232:" &amp; IF(I154="■",1,IF(M154="■",2,0))</f>
        <v>25:field232:0</v>
      </c>
    </row>
    <row r="155" spans="1:36" ht="18.75" hidden="1" customHeight="1" x14ac:dyDescent="0.2">
      <c r="A155" s="834"/>
      <c r="B155" s="3148"/>
      <c r="C155" s="3147"/>
      <c r="D155" s="3146"/>
      <c r="E155" s="3145"/>
      <c r="F155" s="3144"/>
      <c r="G155" s="3145"/>
      <c r="H155" s="3151" t="s">
        <v>2137</v>
      </c>
      <c r="I155" s="3303" t="s">
        <v>116</v>
      </c>
      <c r="J155" s="3137" t="s">
        <v>1230</v>
      </c>
      <c r="K155" s="3171"/>
      <c r="L155" s="3154" t="s">
        <v>116</v>
      </c>
      <c r="M155" s="3137" t="s">
        <v>1233</v>
      </c>
      <c r="N155" s="3153"/>
      <c r="O155" s="3150"/>
      <c r="P155" s="3150"/>
      <c r="Q155" s="3150"/>
      <c r="R155" s="3150"/>
      <c r="S155" s="3150"/>
      <c r="T155" s="3150"/>
      <c r="U155" s="3150"/>
      <c r="V155" s="3150"/>
      <c r="W155" s="3150"/>
      <c r="X155" s="3149"/>
      <c r="Y155" s="3293"/>
      <c r="Z155" s="1201"/>
      <c r="AA155" s="1201"/>
      <c r="AB155" s="1202"/>
      <c r="AC155" s="3509"/>
      <c r="AD155" s="3508"/>
      <c r="AE155" s="3508"/>
      <c r="AF155" s="3507"/>
      <c r="AI155" s="3120" t="str">
        <f>"25:yakinhaiti_code:" &amp; IF(I155="■",1,IF(L155="■",2,0))</f>
        <v>25:yakinhaiti_code:0</v>
      </c>
    </row>
    <row r="156" spans="1:36" ht="18.75" hidden="1" customHeight="1" x14ac:dyDescent="0.2">
      <c r="A156" s="834"/>
      <c r="B156" s="3148"/>
      <c r="C156" s="3147"/>
      <c r="D156" s="3146"/>
      <c r="E156" s="3145"/>
      <c r="F156" s="3144"/>
      <c r="G156" s="3145"/>
      <c r="H156" s="3151" t="s">
        <v>1348</v>
      </c>
      <c r="I156" s="3303" t="s">
        <v>116</v>
      </c>
      <c r="J156" s="3137" t="s">
        <v>1230</v>
      </c>
      <c r="K156" s="3171"/>
      <c r="L156" s="3154" t="s">
        <v>116</v>
      </c>
      <c r="M156" s="3137" t="s">
        <v>1233</v>
      </c>
      <c r="N156" s="3153"/>
      <c r="O156" s="3150"/>
      <c r="P156" s="3150"/>
      <c r="Q156" s="3150"/>
      <c r="R156" s="3150"/>
      <c r="S156" s="3150"/>
      <c r="T156" s="3150"/>
      <c r="U156" s="3150"/>
      <c r="V156" s="3150"/>
      <c r="W156" s="3150"/>
      <c r="X156" s="3149"/>
      <c r="Y156" s="3293"/>
      <c r="Z156" s="1201"/>
      <c r="AA156" s="1201"/>
      <c r="AB156" s="1202"/>
      <c r="AC156" s="3509"/>
      <c r="AD156" s="3508"/>
      <c r="AE156" s="3508"/>
      <c r="AF156" s="3507"/>
      <c r="AI156" s="3120" t="str">
        <f>"25:jyakuninti_uke_code:" &amp; IF(I156="■",1,IF(L156="■",2,0))</f>
        <v>25:jyakuninti_uke_code:0</v>
      </c>
    </row>
    <row r="157" spans="1:36" ht="18.75" hidden="1" customHeight="1" x14ac:dyDescent="0.2">
      <c r="A157" s="3158" t="s">
        <v>116</v>
      </c>
      <c r="B157" s="3148">
        <v>25</v>
      </c>
      <c r="C157" s="3147" t="s">
        <v>641</v>
      </c>
      <c r="D157" s="3158" t="s">
        <v>116</v>
      </c>
      <c r="E157" s="3145" t="s">
        <v>2258</v>
      </c>
      <c r="F157" s="3144"/>
      <c r="G157" s="3145"/>
      <c r="H157" s="3151" t="s">
        <v>1284</v>
      </c>
      <c r="I157" s="3303" t="s">
        <v>116</v>
      </c>
      <c r="J157" s="3137" t="s">
        <v>1240</v>
      </c>
      <c r="K157" s="3171"/>
      <c r="L157" s="3173"/>
      <c r="M157" s="3154" t="s">
        <v>116</v>
      </c>
      <c r="N157" s="3137" t="s">
        <v>1241</v>
      </c>
      <c r="O157" s="3150"/>
      <c r="P157" s="3150"/>
      <c r="Q157" s="3150"/>
      <c r="R157" s="3150"/>
      <c r="S157" s="3150"/>
      <c r="T157" s="3150"/>
      <c r="U157" s="3150"/>
      <c r="V157" s="3150"/>
      <c r="W157" s="3150"/>
      <c r="X157" s="3149"/>
      <c r="Y157" s="3293"/>
      <c r="Z157" s="1201"/>
      <c r="AA157" s="1201"/>
      <c r="AB157" s="1202"/>
      <c r="AC157" s="3509"/>
      <c r="AD157" s="3508"/>
      <c r="AE157" s="3508"/>
      <c r="AF157" s="3507"/>
      <c r="AI157" s="3120" t="str">
        <f>"25:sougei_code:" &amp; IF(I157="■",1,IF(M157="■",2,0))</f>
        <v>25:sougei_code:0</v>
      </c>
    </row>
    <row r="158" spans="1:36" ht="18.75" hidden="1" customHeight="1" x14ac:dyDescent="0.2">
      <c r="A158" s="834"/>
      <c r="B158" s="3148"/>
      <c r="C158" s="3147"/>
      <c r="D158" s="3158" t="s">
        <v>116</v>
      </c>
      <c r="E158" s="3145" t="s">
        <v>2257</v>
      </c>
      <c r="F158" s="3144"/>
      <c r="G158" s="3145"/>
      <c r="H158" s="3151" t="s">
        <v>2256</v>
      </c>
      <c r="I158" s="3303" t="s">
        <v>116</v>
      </c>
      <c r="J158" s="3137" t="s">
        <v>1287</v>
      </c>
      <c r="K158" s="3150"/>
      <c r="L158" s="3150"/>
      <c r="M158" s="3150"/>
      <c r="N158" s="3150"/>
      <c r="O158" s="3150"/>
      <c r="P158" s="3154" t="s">
        <v>116</v>
      </c>
      <c r="Q158" s="3137" t="s">
        <v>1288</v>
      </c>
      <c r="R158" s="3150"/>
      <c r="S158" s="3150"/>
      <c r="T158" s="3150"/>
      <c r="U158" s="3150"/>
      <c r="V158" s="3150"/>
      <c r="W158" s="3150"/>
      <c r="X158" s="3149"/>
      <c r="Y158" s="3293"/>
      <c r="Z158" s="1201"/>
      <c r="AA158" s="1201"/>
      <c r="AB158" s="1202"/>
      <c r="AC158" s="3509"/>
      <c r="AD158" s="3508"/>
      <c r="AE158" s="3508"/>
      <c r="AF158" s="3507"/>
      <c r="AI158" s="3120" t="str">
        <f>"25:" &amp; IF(AND(I158="□",P158="□"),"tokusin_jyusho_code:0:tokusin_yakuzai_code:0",IF(I158="■","tokusin_jyusho_code:2","tokusin_jyusho_code:1")
&amp;IF(P158="■",":tokusin_yakuzai_code:2",":tokusin_yakuzai_code:1"))</f>
        <v>25:tokusin_jyusho_code:0:tokusin_yakuzai_code:0</v>
      </c>
    </row>
    <row r="159" spans="1:36" ht="18.75" hidden="1" customHeight="1" x14ac:dyDescent="0.2">
      <c r="A159" s="834"/>
      <c r="B159" s="3148"/>
      <c r="C159" s="3147"/>
      <c r="D159" s="3146"/>
      <c r="E159" s="3145"/>
      <c r="F159" s="3144"/>
      <c r="G159" s="3145"/>
      <c r="H159" s="3151" t="s">
        <v>2332</v>
      </c>
      <c r="I159" s="3303" t="s">
        <v>116</v>
      </c>
      <c r="J159" s="3137" t="s">
        <v>1230</v>
      </c>
      <c r="K159" s="3171"/>
      <c r="L159" s="3154" t="s">
        <v>116</v>
      </c>
      <c r="M159" s="3137" t="s">
        <v>1233</v>
      </c>
      <c r="N159" s="3153"/>
      <c r="O159" s="3153"/>
      <c r="P159" s="3153"/>
      <c r="Q159" s="3153"/>
      <c r="R159" s="3153"/>
      <c r="S159" s="3153"/>
      <c r="T159" s="3153"/>
      <c r="U159" s="3153"/>
      <c r="V159" s="3153"/>
      <c r="W159" s="3153"/>
      <c r="X159" s="3152"/>
      <c r="Y159" s="3293"/>
      <c r="Z159" s="1201"/>
      <c r="AA159" s="1201"/>
      <c r="AB159" s="1202"/>
      <c r="AC159" s="3509"/>
      <c r="AD159" s="3508"/>
      <c r="AE159" s="3508"/>
      <c r="AF159" s="3507"/>
      <c r="AI159" s="3120" t="str">
        <f>"25:field198:" &amp; IF(I159="■",1,IF(L159="■",2,0))</f>
        <v>25:field198:0</v>
      </c>
    </row>
    <row r="160" spans="1:36" ht="18.75" hidden="1" customHeight="1" x14ac:dyDescent="0.2">
      <c r="A160" s="834"/>
      <c r="B160" s="3148"/>
      <c r="C160" s="3147"/>
      <c r="D160" s="3146"/>
      <c r="E160" s="3145"/>
      <c r="F160" s="3144"/>
      <c r="G160" s="3145"/>
      <c r="H160" s="3151" t="s">
        <v>2148</v>
      </c>
      <c r="I160" s="3303" t="s">
        <v>116</v>
      </c>
      <c r="J160" s="3137" t="s">
        <v>1230</v>
      </c>
      <c r="K160" s="3171"/>
      <c r="L160" s="3154" t="s">
        <v>116</v>
      </c>
      <c r="M160" s="3137" t="s">
        <v>1233</v>
      </c>
      <c r="N160" s="3153"/>
      <c r="O160" s="3153"/>
      <c r="P160" s="3153"/>
      <c r="Q160" s="3153"/>
      <c r="R160" s="3153"/>
      <c r="S160" s="3153"/>
      <c r="T160" s="3153"/>
      <c r="U160" s="3153"/>
      <c r="V160" s="3153"/>
      <c r="W160" s="3153"/>
      <c r="X160" s="3152"/>
      <c r="Y160" s="3293"/>
      <c r="Z160" s="1201"/>
      <c r="AA160" s="1201"/>
      <c r="AB160" s="1202"/>
      <c r="AC160" s="3509"/>
      <c r="AD160" s="3508"/>
      <c r="AE160" s="3508"/>
      <c r="AF160" s="3507"/>
      <c r="AI160" s="3120" t="str">
        <f>"25:field199:" &amp; IF(I160="■",1,IF(L160="■",2,0))</f>
        <v>25:field199:0</v>
      </c>
    </row>
    <row r="161" spans="1:36" ht="19.5" hidden="1" customHeight="1" x14ac:dyDescent="0.2">
      <c r="A161" s="834"/>
      <c r="B161" s="3148"/>
      <c r="C161" s="3147"/>
      <c r="D161" s="3146"/>
      <c r="E161" s="3145"/>
      <c r="F161" s="3144"/>
      <c r="G161" s="3175"/>
      <c r="H161" s="3174" t="s">
        <v>1236</v>
      </c>
      <c r="I161" s="3303" t="s">
        <v>116</v>
      </c>
      <c r="J161" s="3137" t="s">
        <v>1230</v>
      </c>
      <c r="K161" s="3137"/>
      <c r="L161" s="3154" t="s">
        <v>116</v>
      </c>
      <c r="M161" s="3137" t="s">
        <v>1233</v>
      </c>
      <c r="N161" s="3137"/>
      <c r="O161" s="3150"/>
      <c r="P161" s="3137"/>
      <c r="Q161" s="3150"/>
      <c r="R161" s="3150"/>
      <c r="S161" s="3150"/>
      <c r="T161" s="3150"/>
      <c r="U161" s="3150"/>
      <c r="V161" s="3150"/>
      <c r="W161" s="3150"/>
      <c r="X161" s="3149"/>
      <c r="Y161" s="1201"/>
      <c r="Z161" s="1201"/>
      <c r="AA161" s="1201"/>
      <c r="AB161" s="1202"/>
      <c r="AC161" s="3509"/>
      <c r="AD161" s="3508"/>
      <c r="AE161" s="3508"/>
      <c r="AF161" s="3507"/>
      <c r="AI161" s="3120" t="str">
        <f>"25:field224:" &amp; IF(I161="■",1,IF(L161="■",2,0))</f>
        <v>25:field224:0</v>
      </c>
    </row>
    <row r="162" spans="1:36" ht="18.75" hidden="1" customHeight="1" x14ac:dyDescent="0.2">
      <c r="A162" s="834"/>
      <c r="B162" s="3148"/>
      <c r="C162" s="3147"/>
      <c r="D162" s="3146"/>
      <c r="E162" s="3145"/>
      <c r="F162" s="3144"/>
      <c r="G162" s="3145"/>
      <c r="H162" s="3151" t="s">
        <v>140</v>
      </c>
      <c r="I162" s="3303" t="s">
        <v>116</v>
      </c>
      <c r="J162" s="3137" t="s">
        <v>1230</v>
      </c>
      <c r="K162" s="3171"/>
      <c r="L162" s="3154" t="s">
        <v>116</v>
      </c>
      <c r="M162" s="3137" t="s">
        <v>1233</v>
      </c>
      <c r="N162" s="3153"/>
      <c r="O162" s="3150"/>
      <c r="P162" s="3150"/>
      <c r="Q162" s="3150"/>
      <c r="R162" s="3150"/>
      <c r="S162" s="3150"/>
      <c r="T162" s="3150"/>
      <c r="U162" s="3150"/>
      <c r="V162" s="3150"/>
      <c r="W162" s="3150"/>
      <c r="X162" s="3149"/>
      <c r="Y162" s="3293"/>
      <c r="Z162" s="1201"/>
      <c r="AA162" s="1201"/>
      <c r="AB162" s="1202"/>
      <c r="AC162" s="3509"/>
      <c r="AD162" s="3508"/>
      <c r="AE162" s="3508"/>
      <c r="AF162" s="3507"/>
      <c r="AI162" s="3120" t="str">
        <f>"25:ryouyoushoku_code:" &amp; IF(I162="■",1,IF(L162="■",2,0))</f>
        <v>25:ryouyoushoku_code:0</v>
      </c>
    </row>
    <row r="163" spans="1:36" ht="18.75" hidden="1" customHeight="1" x14ac:dyDescent="0.2">
      <c r="A163" s="834"/>
      <c r="B163" s="3148"/>
      <c r="C163" s="3147"/>
      <c r="D163" s="3146"/>
      <c r="E163" s="3145"/>
      <c r="F163" s="3144"/>
      <c r="G163" s="3145"/>
      <c r="H163" s="3151" t="s">
        <v>2219</v>
      </c>
      <c r="I163" s="3303" t="s">
        <v>116</v>
      </c>
      <c r="J163" s="3137" t="s">
        <v>1230</v>
      </c>
      <c r="K163" s="3137"/>
      <c r="L163" s="3154" t="s">
        <v>116</v>
      </c>
      <c r="M163" s="3137" t="s">
        <v>1231</v>
      </c>
      <c r="N163" s="3137"/>
      <c r="O163" s="3154" t="s">
        <v>116</v>
      </c>
      <c r="P163" s="3137" t="s">
        <v>1232</v>
      </c>
      <c r="Q163" s="3150"/>
      <c r="R163" s="3150"/>
      <c r="S163" s="3150"/>
      <c r="T163" s="3150"/>
      <c r="U163" s="3150"/>
      <c r="V163" s="3150"/>
      <c r="W163" s="3150"/>
      <c r="X163" s="3149"/>
      <c r="Y163" s="3293"/>
      <c r="Z163" s="1201"/>
      <c r="AA163" s="1201"/>
      <c r="AB163" s="1202"/>
      <c r="AC163" s="3509"/>
      <c r="AD163" s="3508"/>
      <c r="AE163" s="3508"/>
      <c r="AF163" s="3507"/>
      <c r="AI163" s="3120" t="str">
        <f>"25:ninti_senmoncare_code:" &amp; IF(I163="■",1,IF(O163="■",3,IF(L163="■",2,0)))</f>
        <v>25:ninti_senmoncare_code:0</v>
      </c>
    </row>
    <row r="164" spans="1:36" ht="18.75" hidden="1" customHeight="1" x14ac:dyDescent="0.2">
      <c r="A164" s="834"/>
      <c r="B164" s="3148"/>
      <c r="C164" s="3147"/>
      <c r="D164" s="3146"/>
      <c r="E164" s="3145"/>
      <c r="F164" s="3144"/>
      <c r="G164" s="3145"/>
      <c r="H164" s="3151" t="s">
        <v>2262</v>
      </c>
      <c r="I164" s="3303" t="s">
        <v>116</v>
      </c>
      <c r="J164" s="3137" t="s">
        <v>2261</v>
      </c>
      <c r="K164" s="3137"/>
      <c r="L164" s="3173"/>
      <c r="M164" s="3173"/>
      <c r="N164" s="3154" t="s">
        <v>116</v>
      </c>
      <c r="O164" s="3137" t="s">
        <v>2260</v>
      </c>
      <c r="P164" s="3150"/>
      <c r="Q164" s="3150"/>
      <c r="R164" s="3150"/>
      <c r="S164" s="3154" t="s">
        <v>116</v>
      </c>
      <c r="T164" s="3137" t="s">
        <v>2259</v>
      </c>
      <c r="U164" s="3150"/>
      <c r="V164" s="3150"/>
      <c r="W164" s="3150"/>
      <c r="X164" s="3149"/>
      <c r="Y164" s="3293"/>
      <c r="Z164" s="1201"/>
      <c r="AA164" s="1201"/>
      <c r="AB164" s="1202"/>
      <c r="AC164" s="3509"/>
      <c r="AD164" s="3508"/>
      <c r="AE164" s="3508"/>
      <c r="AF164" s="3507"/>
      <c r="AI164" s="3120" t="str">
        <f>"25:"&amp;IF(AND(I164="□",N164="□",S164="□"),"koriha_gengo_code:0:riha_seisin_code:0:koriha_other_code:0",IF(I164="■","koriha_gengo_code:2","koriha_gengo_code:1")
&amp;IF(N164="■",":riha_seisin_code:2",":riha_seisin_code:1")
&amp;IF(S164="■",":koriha_other_code:2",":koriha_other_code:1"))</f>
        <v>25:koriha_gengo_code:0:riha_seisin_code:0:koriha_other_code:0</v>
      </c>
    </row>
    <row r="165" spans="1:36" ht="18.75" hidden="1" customHeight="1" x14ac:dyDescent="0.2">
      <c r="A165" s="834"/>
      <c r="B165" s="3148"/>
      <c r="C165" s="3147"/>
      <c r="D165" s="3146"/>
      <c r="E165" s="3145"/>
      <c r="F165" s="3144"/>
      <c r="G165" s="3145"/>
      <c r="H165" s="3296" t="s">
        <v>1285</v>
      </c>
      <c r="I165" s="3303" t="s">
        <v>116</v>
      </c>
      <c r="J165" s="3137" t="s">
        <v>1230</v>
      </c>
      <c r="K165" s="3137"/>
      <c r="L165" s="3154" t="s">
        <v>116</v>
      </c>
      <c r="M165" s="3137" t="s">
        <v>1231</v>
      </c>
      <c r="N165" s="3137"/>
      <c r="O165" s="3154" t="s">
        <v>116</v>
      </c>
      <c r="P165" s="3137" t="s">
        <v>1232</v>
      </c>
      <c r="Q165" s="3150"/>
      <c r="R165" s="3150"/>
      <c r="S165" s="3150"/>
      <c r="T165" s="3150"/>
      <c r="U165" s="3209"/>
      <c r="V165" s="3209"/>
      <c r="W165" s="3209"/>
      <c r="X165" s="3208"/>
      <c r="Y165" s="3293"/>
      <c r="Z165" s="1201"/>
      <c r="AA165" s="1201"/>
      <c r="AB165" s="1202"/>
      <c r="AC165" s="3509"/>
      <c r="AD165" s="3508"/>
      <c r="AE165" s="3508"/>
      <c r="AF165" s="3507"/>
      <c r="AI165" s="3120" t="str">
        <f>"25:field225:" &amp; IF(I165="■",1,IF(L165="■",2,IF(O165="■",3,0)))</f>
        <v>25:field225:0</v>
      </c>
    </row>
    <row r="166" spans="1:36" ht="18.75" hidden="1" customHeight="1" x14ac:dyDescent="0.2">
      <c r="A166" s="834"/>
      <c r="B166" s="3148"/>
      <c r="C166" s="3147"/>
      <c r="D166" s="3146"/>
      <c r="E166" s="3145"/>
      <c r="F166" s="3144"/>
      <c r="G166" s="3145"/>
      <c r="H166" s="3151" t="s">
        <v>238</v>
      </c>
      <c r="I166" s="3303" t="s">
        <v>116</v>
      </c>
      <c r="J166" s="3137" t="s">
        <v>1230</v>
      </c>
      <c r="K166" s="3137"/>
      <c r="L166" s="3154" t="s">
        <v>116</v>
      </c>
      <c r="M166" s="3137" t="s">
        <v>1259</v>
      </c>
      <c r="N166" s="3137"/>
      <c r="O166" s="3154" t="s">
        <v>116</v>
      </c>
      <c r="P166" s="3137" t="s">
        <v>1260</v>
      </c>
      <c r="Q166" s="3153"/>
      <c r="R166" s="3154" t="s">
        <v>116</v>
      </c>
      <c r="S166" s="3137" t="s">
        <v>1261</v>
      </c>
      <c r="T166" s="3137"/>
      <c r="U166" s="3137"/>
      <c r="V166" s="3137"/>
      <c r="W166" s="3137"/>
      <c r="X166" s="3136"/>
      <c r="Y166" s="3293"/>
      <c r="Z166" s="1201"/>
      <c r="AA166" s="1201"/>
      <c r="AB166" s="1202"/>
      <c r="AC166" s="3509"/>
      <c r="AD166" s="3508"/>
      <c r="AE166" s="3508"/>
      <c r="AF166" s="3507"/>
      <c r="AI166" s="3120" t="str">
        <f>"25:serteikyo_kyoka_code:" &amp; IF(I166="■",1,IF(L166="■",6,IF(O166="■",5,IF(R166="■",7,0))))</f>
        <v>25:serteikyo_kyoka_code:0</v>
      </c>
    </row>
    <row r="167" spans="1:36" ht="18.75" hidden="1" customHeight="1" x14ac:dyDescent="0.2">
      <c r="A167" s="834"/>
      <c r="B167" s="3148"/>
      <c r="C167" s="3147"/>
      <c r="D167" s="3146"/>
      <c r="E167" s="3145"/>
      <c r="F167" s="3144"/>
      <c r="G167" s="3145"/>
      <c r="H167" s="3170" t="s">
        <v>2058</v>
      </c>
      <c r="I167" s="3346" t="s">
        <v>116</v>
      </c>
      <c r="J167" s="3347" t="s">
        <v>1230</v>
      </c>
      <c r="K167" s="3347"/>
      <c r="L167" s="3346" t="s">
        <v>116</v>
      </c>
      <c r="M167" s="3347" t="s">
        <v>1233</v>
      </c>
      <c r="N167" s="3347"/>
      <c r="O167" s="3302"/>
      <c r="P167" s="3302"/>
      <c r="Q167" s="3302"/>
      <c r="R167" s="3302"/>
      <c r="S167" s="3302"/>
      <c r="T167" s="3302"/>
      <c r="U167" s="3302"/>
      <c r="V167" s="3302"/>
      <c r="W167" s="3302"/>
      <c r="X167" s="3335"/>
      <c r="Y167" s="3293"/>
      <c r="Z167" s="1201"/>
      <c r="AA167" s="1201"/>
      <c r="AB167" s="1202"/>
      <c r="AC167" s="3509"/>
      <c r="AD167" s="3508"/>
      <c r="AE167" s="3508"/>
      <c r="AF167" s="3507"/>
      <c r="AI167" s="3120" t="str">
        <f>"25:field221:" &amp; IF(I167="■",1,IF(L167="■",2,0))</f>
        <v>25:field221:0</v>
      </c>
    </row>
    <row r="168" spans="1:36" ht="18.75" hidden="1" customHeight="1" x14ac:dyDescent="0.2">
      <c r="A168" s="834"/>
      <c r="B168" s="3148"/>
      <c r="C168" s="3147"/>
      <c r="D168" s="3146"/>
      <c r="E168" s="3145"/>
      <c r="F168" s="3144"/>
      <c r="G168" s="3145"/>
      <c r="H168" s="3165"/>
      <c r="I168" s="3346"/>
      <c r="J168" s="3347"/>
      <c r="K168" s="3347"/>
      <c r="L168" s="3346"/>
      <c r="M168" s="3347"/>
      <c r="N168" s="3347"/>
      <c r="O168" s="3139"/>
      <c r="P168" s="3139"/>
      <c r="Q168" s="3139"/>
      <c r="R168" s="3139"/>
      <c r="S168" s="3139"/>
      <c r="T168" s="3139"/>
      <c r="U168" s="3139"/>
      <c r="V168" s="3139"/>
      <c r="W168" s="3139"/>
      <c r="X168" s="3195"/>
      <c r="Y168" s="3293"/>
      <c r="Z168" s="1201"/>
      <c r="AA168" s="1201"/>
      <c r="AB168" s="1202"/>
      <c r="AC168" s="3509"/>
      <c r="AD168" s="3508"/>
      <c r="AE168" s="3508"/>
      <c r="AF168" s="3507"/>
    </row>
    <row r="169" spans="1:36" ht="18.75" hidden="1" customHeight="1" x14ac:dyDescent="0.2">
      <c r="A169" s="835"/>
      <c r="B169" s="3135"/>
      <c r="C169" s="3134"/>
      <c r="D169" s="3133"/>
      <c r="E169" s="3132"/>
      <c r="F169" s="3131"/>
      <c r="G169" s="3189"/>
      <c r="H169" s="3289" t="s">
        <v>2129</v>
      </c>
      <c r="I169" s="3128" t="s">
        <v>116</v>
      </c>
      <c r="J169" s="3285" t="s">
        <v>1230</v>
      </c>
      <c r="K169" s="3285"/>
      <c r="L169" s="3127" t="s">
        <v>116</v>
      </c>
      <c r="M169" s="3285" t="s">
        <v>2128</v>
      </c>
      <c r="N169" s="3288"/>
      <c r="O169" s="3127" t="s">
        <v>116</v>
      </c>
      <c r="P169" s="3287" t="s">
        <v>2127</v>
      </c>
      <c r="Q169" s="3286"/>
      <c r="R169" s="3127" t="s">
        <v>116</v>
      </c>
      <c r="S169" s="3285" t="s">
        <v>2126</v>
      </c>
      <c r="T169" s="3286"/>
      <c r="U169" s="3127" t="s">
        <v>116</v>
      </c>
      <c r="V169" s="3285" t="s">
        <v>2125</v>
      </c>
      <c r="W169" s="3284"/>
      <c r="X169" s="3283"/>
      <c r="Y169" s="3282"/>
      <c r="Z169" s="3282"/>
      <c r="AA169" s="3282"/>
      <c r="AB169" s="3281"/>
      <c r="AC169" s="3506"/>
      <c r="AD169" s="3505"/>
      <c r="AE169" s="3505"/>
      <c r="AF169" s="3504"/>
      <c r="AG169" s="3120"/>
      <c r="AH169" s="3120"/>
      <c r="AI169" s="3120" t="str">
        <f>"25:shoguukaizen_code:"&amp;IF(I169="■",1,IF(L169="■",7,IF(O169="■",8,IF(R169="■",9,IF(U169="■","A",0)))))</f>
        <v>25:shoguukaizen_code:0</v>
      </c>
    </row>
    <row r="170" spans="1:36" ht="18.75" hidden="1" customHeight="1" x14ac:dyDescent="0.2">
      <c r="A170" s="3188"/>
      <c r="B170" s="3187"/>
      <c r="C170" s="3229"/>
      <c r="D170" s="3228"/>
      <c r="E170" s="3185"/>
      <c r="F170" s="3184"/>
      <c r="G170" s="3185"/>
      <c r="H170" s="3182" t="s">
        <v>1286</v>
      </c>
      <c r="I170" s="3303" t="s">
        <v>116</v>
      </c>
      <c r="J170" s="3180" t="s">
        <v>1282</v>
      </c>
      <c r="K170" s="3226"/>
      <c r="L170" s="3225"/>
      <c r="M170" s="3179" t="s">
        <v>116</v>
      </c>
      <c r="N170" s="3180" t="s">
        <v>1283</v>
      </c>
      <c r="O170" s="3178"/>
      <c r="P170" s="3226"/>
      <c r="Q170" s="3226"/>
      <c r="R170" s="3226"/>
      <c r="S170" s="3226"/>
      <c r="T170" s="3226"/>
      <c r="U170" s="3226"/>
      <c r="V170" s="3226"/>
      <c r="W170" s="3226"/>
      <c r="X170" s="3339"/>
      <c r="Y170" s="3310" t="s">
        <v>116</v>
      </c>
      <c r="Z170" s="3252" t="s">
        <v>1225</v>
      </c>
      <c r="AA170" s="3252"/>
      <c r="AB170" s="3308"/>
      <c r="AC170" s="3497"/>
      <c r="AD170" s="3511"/>
      <c r="AE170" s="3511"/>
      <c r="AF170" s="3510"/>
      <c r="AG170" s="3120" t="str">
        <f>"ser_code = '" &amp; IF(A179="■",25,"") &amp; "'"</f>
        <v>ser_code = ''</v>
      </c>
      <c r="AH170" s="3120"/>
      <c r="AI170" s="3120" t="str">
        <f>"25:yakan_kinmu_code:" &amp; IF(I170="■",1,IF(M170="■",6,0))</f>
        <v>25:yakan_kinmu_code:0</v>
      </c>
      <c r="AJ170" s="3120" t="str">
        <f>"25:field203:" &amp; IF(Y170="■",1,IF(Y171="■",2,0))</f>
        <v>25:field203:0</v>
      </c>
    </row>
    <row r="171" spans="1:36" ht="18.75" hidden="1" customHeight="1" x14ac:dyDescent="0.2">
      <c r="A171" s="834"/>
      <c r="B171" s="3148"/>
      <c r="C171" s="3147"/>
      <c r="D171" s="3146"/>
      <c r="E171" s="3145"/>
      <c r="F171" s="3144"/>
      <c r="G171" s="3145"/>
      <c r="H171" s="3304" t="s">
        <v>90</v>
      </c>
      <c r="I171" s="3303" t="s">
        <v>116</v>
      </c>
      <c r="J171" s="1200" t="s">
        <v>1230</v>
      </c>
      <c r="K171" s="1200"/>
      <c r="L171" s="3198"/>
      <c r="M171" s="3258" t="s">
        <v>116</v>
      </c>
      <c r="N171" s="1200" t="s">
        <v>1262</v>
      </c>
      <c r="O171" s="1200"/>
      <c r="P171" s="3198"/>
      <c r="Q171" s="3258" t="s">
        <v>116</v>
      </c>
      <c r="R171" s="836" t="s">
        <v>1263</v>
      </c>
      <c r="U171" s="3258" t="s">
        <v>116</v>
      </c>
      <c r="V171" s="836" t="s">
        <v>1264</v>
      </c>
      <c r="X171" s="3336"/>
      <c r="Y171" s="3258" t="s">
        <v>116</v>
      </c>
      <c r="Z171" s="1200" t="s">
        <v>1226</v>
      </c>
      <c r="AA171" s="1201"/>
      <c r="AB171" s="1202"/>
      <c r="AC171" s="3509"/>
      <c r="AD171" s="3508"/>
      <c r="AE171" s="3508"/>
      <c r="AF171" s="3507"/>
      <c r="AG171" s="3120" t="str">
        <f>"25:sisetukbn_code:" &amp; IF(D179="■",9,0)</f>
        <v>25:sisetukbn_code:0</v>
      </c>
      <c r="AH171" s="3120"/>
      <c r="AI171" s="3120" t="str">
        <f>"25:"&amp;IF(AND(I171="□",M171="□",Q171="□",U171="□",I172="□",M172="□",Q172="□"),"ketu_doctor_code:0",IF(I171="■","ketu_doctor_code:1:ketu_kangos_code:1:ketu_kshoku_code:1:ketu_rryoho_code:1:ketu_sryoho_code:1:ketu_gengo_code:1",
IF(M171="■","ketu_doctor_code:2","ketu_doctor_code:1")
&amp;IF(Q171="■",":ketu_kangos_code:2",":ketu_kangos_code:1")
&amp;IF(U171="■",":ketu_kshoku_code:2",":ketu_kshoku_code:1")
&amp;IF(I172="■",":ketu_rryoho_code:2",":ketu_rryoho_code:1")
&amp;IF(M172="■",":ketu_sryoho_code:2",":ketu_sryoho_code:1")
&amp;IF(Q172="■",":ketu_gengo_code:2",":ketu_gengo_code:1")))</f>
        <v>25:ketu_doctor_code:0</v>
      </c>
      <c r="AJ171" s="3120"/>
    </row>
    <row r="172" spans="1:36" ht="18.75" hidden="1" customHeight="1" x14ac:dyDescent="0.2">
      <c r="A172" s="834"/>
      <c r="B172" s="3148"/>
      <c r="C172" s="3147"/>
      <c r="D172" s="3146"/>
      <c r="E172" s="3145"/>
      <c r="F172" s="3144"/>
      <c r="G172" s="3145"/>
      <c r="H172" s="3300"/>
      <c r="I172" s="3158" t="s">
        <v>116</v>
      </c>
      <c r="J172" s="3139" t="s">
        <v>1265</v>
      </c>
      <c r="K172" s="3162"/>
      <c r="L172" s="3162"/>
      <c r="M172" s="3140" t="s">
        <v>116</v>
      </c>
      <c r="N172" s="3139" t="s">
        <v>1266</v>
      </c>
      <c r="O172" s="3162"/>
      <c r="P172" s="3162"/>
      <c r="Q172" s="3140" t="s">
        <v>116</v>
      </c>
      <c r="R172" s="3139" t="s">
        <v>1267</v>
      </c>
      <c r="S172" s="3162"/>
      <c r="T172" s="3162"/>
      <c r="U172" s="3162"/>
      <c r="V172" s="3162"/>
      <c r="W172" s="3162"/>
      <c r="X172" s="3161"/>
      <c r="Y172" s="3293"/>
      <c r="Z172" s="1201"/>
      <c r="AA172" s="1201"/>
      <c r="AB172" s="1202"/>
      <c r="AC172" s="3509"/>
      <c r="AD172" s="3508"/>
      <c r="AE172" s="3508"/>
      <c r="AF172" s="3507"/>
    </row>
    <row r="173" spans="1:36" ht="18.75" hidden="1" customHeight="1" x14ac:dyDescent="0.2">
      <c r="A173" s="834"/>
      <c r="B173" s="3148"/>
      <c r="C173" s="3147"/>
      <c r="D173" s="3146"/>
      <c r="E173" s="3145"/>
      <c r="F173" s="3144"/>
      <c r="G173" s="3145"/>
      <c r="H173" s="3151" t="s">
        <v>91</v>
      </c>
      <c r="I173" s="3303" t="s">
        <v>116</v>
      </c>
      <c r="J173" s="3137" t="s">
        <v>1240</v>
      </c>
      <c r="K173" s="3171"/>
      <c r="L173" s="3173"/>
      <c r="M173" s="3154" t="s">
        <v>116</v>
      </c>
      <c r="N173" s="3137" t="s">
        <v>1241</v>
      </c>
      <c r="O173" s="3150"/>
      <c r="P173" s="3171"/>
      <c r="Q173" s="3150"/>
      <c r="R173" s="3150"/>
      <c r="S173" s="3150"/>
      <c r="T173" s="3150"/>
      <c r="U173" s="3150"/>
      <c r="V173" s="3150"/>
      <c r="W173" s="3150"/>
      <c r="X173" s="3149"/>
      <c r="Y173" s="3293"/>
      <c r="Z173" s="1201"/>
      <c r="AA173" s="1201"/>
      <c r="AB173" s="1202"/>
      <c r="AC173" s="3509"/>
      <c r="AD173" s="3508"/>
      <c r="AE173" s="3508"/>
      <c r="AF173" s="3507"/>
      <c r="AI173" s="3120" t="str">
        <f>"25:unitcare_code:" &amp; IF(I173="■",1,IF(M173="■",2,0))</f>
        <v>25:unitcare_code:0</v>
      </c>
    </row>
    <row r="174" spans="1:36" s="3120" customFormat="1" ht="18.75" hidden="1" customHeight="1" x14ac:dyDescent="0.2">
      <c r="A174" s="834"/>
      <c r="B174" s="3148"/>
      <c r="C174" s="3295"/>
      <c r="D174" s="3294"/>
      <c r="E174" s="3145"/>
      <c r="F174" s="3144"/>
      <c r="G174" s="3175"/>
      <c r="H174" s="3381" t="s">
        <v>1325</v>
      </c>
      <c r="I174" s="3222" t="s">
        <v>116</v>
      </c>
      <c r="J174" s="3217" t="s">
        <v>1228</v>
      </c>
      <c r="K174" s="3221"/>
      <c r="L174" s="3220"/>
      <c r="M174" s="3219" t="s">
        <v>116</v>
      </c>
      <c r="N174" s="3217" t="s">
        <v>1322</v>
      </c>
      <c r="O174" s="3221"/>
      <c r="P174" s="3380"/>
      <c r="Q174" s="3380"/>
      <c r="R174" s="3380"/>
      <c r="S174" s="3380"/>
      <c r="T174" s="3380"/>
      <c r="U174" s="3380"/>
      <c r="V174" s="3380"/>
      <c r="W174" s="3380"/>
      <c r="X174" s="3379"/>
      <c r="Y174" s="3293"/>
      <c r="Z174" s="1201"/>
      <c r="AA174" s="1201"/>
      <c r="AB174" s="1202"/>
      <c r="AC174" s="3509"/>
      <c r="AD174" s="3508"/>
      <c r="AE174" s="3508"/>
      <c r="AF174" s="3507"/>
      <c r="AI174" s="3120" t="str">
        <f>"25:sintaikousoku_code:" &amp; IF(I174="■",1,IF(M174="■",2,0))</f>
        <v>25:sintaikousoku_code:0</v>
      </c>
    </row>
    <row r="175" spans="1:36" ht="19.5" hidden="1" customHeight="1" x14ac:dyDescent="0.2">
      <c r="A175" s="834"/>
      <c r="B175" s="3148"/>
      <c r="C175" s="3147"/>
      <c r="D175" s="3146"/>
      <c r="E175" s="3145"/>
      <c r="F175" s="3144"/>
      <c r="G175" s="3175"/>
      <c r="H175" s="3174" t="s">
        <v>1227</v>
      </c>
      <c r="I175" s="3303" t="s">
        <v>116</v>
      </c>
      <c r="J175" s="3137" t="s">
        <v>1228</v>
      </c>
      <c r="K175" s="3171"/>
      <c r="L175" s="3173"/>
      <c r="M175" s="3154" t="s">
        <v>116</v>
      </c>
      <c r="N175" s="3137" t="s">
        <v>1229</v>
      </c>
      <c r="O175" s="3137"/>
      <c r="P175" s="3137"/>
      <c r="Q175" s="3150"/>
      <c r="R175" s="3150"/>
      <c r="S175" s="3150"/>
      <c r="T175" s="3150"/>
      <c r="U175" s="3150"/>
      <c r="V175" s="3150"/>
      <c r="W175" s="3150"/>
      <c r="X175" s="3149"/>
      <c r="Y175" s="1201"/>
      <c r="Z175" s="1201"/>
      <c r="AA175" s="1201"/>
      <c r="AB175" s="1202"/>
      <c r="AC175" s="3509"/>
      <c r="AD175" s="3508"/>
      <c r="AE175" s="3508"/>
      <c r="AF175" s="3507"/>
      <c r="AI175" s="3120" t="str">
        <f>"25:field223:" &amp; IF(I175="■",1,IF(M175="■",2,0))</f>
        <v>25:field223:0</v>
      </c>
    </row>
    <row r="176" spans="1:36" ht="19.5" hidden="1" customHeight="1" x14ac:dyDescent="0.2">
      <c r="A176" s="834"/>
      <c r="B176" s="3148"/>
      <c r="C176" s="3147"/>
      <c r="D176" s="3146"/>
      <c r="E176" s="3145"/>
      <c r="F176" s="3144"/>
      <c r="G176" s="3175"/>
      <c r="H176" s="3174" t="s">
        <v>1253</v>
      </c>
      <c r="I176" s="3303" t="s">
        <v>116</v>
      </c>
      <c r="J176" s="3139" t="s">
        <v>1228</v>
      </c>
      <c r="K176" s="3138"/>
      <c r="L176" s="3385"/>
      <c r="M176" s="3140" t="s">
        <v>116</v>
      </c>
      <c r="N176" s="3139" t="s">
        <v>1229</v>
      </c>
      <c r="O176" s="3139"/>
      <c r="P176" s="3139"/>
      <c r="Q176" s="3207"/>
      <c r="R176" s="3207"/>
      <c r="S176" s="3207"/>
      <c r="T176" s="3207"/>
      <c r="U176" s="3207"/>
      <c r="V176" s="3207"/>
      <c r="W176" s="3207"/>
      <c r="X176" s="3206"/>
      <c r="Y176" s="1201"/>
      <c r="Z176" s="1200"/>
      <c r="AA176" s="1201"/>
      <c r="AB176" s="1202"/>
      <c r="AC176" s="3509"/>
      <c r="AD176" s="3508"/>
      <c r="AE176" s="3508"/>
      <c r="AF176" s="3507"/>
      <c r="AI176" s="3120" t="str">
        <f>"25:field232:" &amp; IF(I176="■",1,IF(M176="■",2,0))</f>
        <v>25:field232:0</v>
      </c>
    </row>
    <row r="177" spans="1:36" s="1247" customFormat="1" ht="19.5" hidden="1" customHeight="1" x14ac:dyDescent="0.2">
      <c r="A177" s="579"/>
      <c r="B177" s="1250"/>
      <c r="C177" s="581"/>
      <c r="D177" s="1251"/>
      <c r="E177" s="1253"/>
      <c r="F177" s="1249"/>
      <c r="G177" s="583"/>
      <c r="H177" s="3324" t="s">
        <v>2133</v>
      </c>
      <c r="I177" s="3501" t="s">
        <v>116</v>
      </c>
      <c r="J177" s="3320" t="s">
        <v>2131</v>
      </c>
      <c r="K177" s="3323"/>
      <c r="L177" s="3322"/>
      <c r="M177" s="3500" t="s">
        <v>116</v>
      </c>
      <c r="N177" s="3320" t="s">
        <v>2130</v>
      </c>
      <c r="O177" s="3321"/>
      <c r="P177" s="3320"/>
      <c r="Q177" s="3319"/>
      <c r="R177" s="3319"/>
      <c r="S177" s="3319"/>
      <c r="T177" s="3319"/>
      <c r="U177" s="3319"/>
      <c r="V177" s="3319"/>
      <c r="W177" s="3319"/>
      <c r="X177" s="3318"/>
      <c r="Y177" s="1248"/>
      <c r="Z177" s="2"/>
      <c r="AA177" s="584"/>
      <c r="AB177" s="585"/>
      <c r="AC177" s="3509"/>
      <c r="AD177" s="3508"/>
      <c r="AE177" s="3508"/>
      <c r="AF177" s="3507"/>
      <c r="AI177" s="3120" t="str">
        <f>"25:field242:" &amp; IF(I177="■",1,IF(M177="■",2,0))</f>
        <v>25:field242:0</v>
      </c>
    </row>
    <row r="178" spans="1:36" ht="18.75" hidden="1" customHeight="1" x14ac:dyDescent="0.2">
      <c r="A178" s="834"/>
      <c r="B178" s="3148"/>
      <c r="C178" s="3147"/>
      <c r="D178" s="3146"/>
      <c r="E178" s="3145"/>
      <c r="F178" s="3144"/>
      <c r="G178" s="3145"/>
      <c r="H178" s="3151" t="s">
        <v>2137</v>
      </c>
      <c r="I178" s="3303" t="s">
        <v>116</v>
      </c>
      <c r="J178" s="3137" t="s">
        <v>1230</v>
      </c>
      <c r="K178" s="3171"/>
      <c r="L178" s="3154" t="s">
        <v>116</v>
      </c>
      <c r="M178" s="3137" t="s">
        <v>1233</v>
      </c>
      <c r="N178" s="3153"/>
      <c r="O178" s="3150"/>
      <c r="P178" s="3150"/>
      <c r="Q178" s="3150"/>
      <c r="R178" s="3150"/>
      <c r="S178" s="3150"/>
      <c r="T178" s="3150"/>
      <c r="U178" s="3150"/>
      <c r="V178" s="3150"/>
      <c r="W178" s="3150"/>
      <c r="X178" s="3149"/>
      <c r="Y178" s="3293"/>
      <c r="Z178" s="1201"/>
      <c r="AA178" s="1201"/>
      <c r="AB178" s="1202"/>
      <c r="AC178" s="3509"/>
      <c r="AD178" s="3508"/>
      <c r="AE178" s="3508"/>
      <c r="AF178" s="3507"/>
      <c r="AI178" s="3120" t="str">
        <f>"25:yakinhaiti_code:" &amp; IF(I178="■",1,IF(L178="■",2,0))</f>
        <v>25:yakinhaiti_code:0</v>
      </c>
    </row>
    <row r="179" spans="1:36" ht="18.75" hidden="1" customHeight="1" x14ac:dyDescent="0.2">
      <c r="A179" s="3158" t="s">
        <v>116</v>
      </c>
      <c r="B179" s="3148">
        <v>25</v>
      </c>
      <c r="C179" s="3147" t="s">
        <v>2326</v>
      </c>
      <c r="D179" s="3158" t="s">
        <v>116</v>
      </c>
      <c r="E179" s="3145" t="s">
        <v>2254</v>
      </c>
      <c r="F179" s="3144"/>
      <c r="G179" s="3145"/>
      <c r="H179" s="3151" t="s">
        <v>1348</v>
      </c>
      <c r="I179" s="3303" t="s">
        <v>116</v>
      </c>
      <c r="J179" s="3137" t="s">
        <v>1230</v>
      </c>
      <c r="K179" s="3171"/>
      <c r="L179" s="3154" t="s">
        <v>116</v>
      </c>
      <c r="M179" s="3137" t="s">
        <v>1233</v>
      </c>
      <c r="N179" s="3153"/>
      <c r="O179" s="3150"/>
      <c r="P179" s="3150"/>
      <c r="Q179" s="3150"/>
      <c r="R179" s="3150"/>
      <c r="S179" s="3150"/>
      <c r="T179" s="3150"/>
      <c r="U179" s="3150"/>
      <c r="V179" s="3150"/>
      <c r="W179" s="3150"/>
      <c r="X179" s="3149"/>
      <c r="Y179" s="3293"/>
      <c r="Z179" s="1201"/>
      <c r="AA179" s="1201"/>
      <c r="AB179" s="1202"/>
      <c r="AC179" s="3509"/>
      <c r="AD179" s="3508"/>
      <c r="AE179" s="3508"/>
      <c r="AF179" s="3507"/>
      <c r="AI179" s="3120" t="str">
        <f>"25:jyakuninti_uke_code:" &amp; IF(I179="■",1,IF(L179="■",2,0))</f>
        <v>25:jyakuninti_uke_code:0</v>
      </c>
    </row>
    <row r="180" spans="1:36" ht="18.75" hidden="1" customHeight="1" x14ac:dyDescent="0.2">
      <c r="A180" s="834"/>
      <c r="B180" s="3148"/>
      <c r="C180" s="3147"/>
      <c r="D180" s="3146"/>
      <c r="E180" s="3145"/>
      <c r="F180" s="3144"/>
      <c r="G180" s="3145"/>
      <c r="H180" s="3151" t="s">
        <v>1284</v>
      </c>
      <c r="I180" s="3303" t="s">
        <v>116</v>
      </c>
      <c r="J180" s="3137" t="s">
        <v>1240</v>
      </c>
      <c r="K180" s="3171"/>
      <c r="L180" s="3173"/>
      <c r="M180" s="3154" t="s">
        <v>116</v>
      </c>
      <c r="N180" s="3137" t="s">
        <v>1241</v>
      </c>
      <c r="O180" s="3150"/>
      <c r="P180" s="3150"/>
      <c r="Q180" s="3150"/>
      <c r="R180" s="3150"/>
      <c r="S180" s="3150"/>
      <c r="T180" s="3150"/>
      <c r="U180" s="3150"/>
      <c r="V180" s="3150"/>
      <c r="W180" s="3150"/>
      <c r="X180" s="3149"/>
      <c r="Y180" s="3293"/>
      <c r="Z180" s="1201"/>
      <c r="AA180" s="1201"/>
      <c r="AB180" s="1202"/>
      <c r="AC180" s="3509"/>
      <c r="AD180" s="3508"/>
      <c r="AE180" s="3508"/>
      <c r="AF180" s="3507"/>
      <c r="AI180" s="3120" t="str">
        <f>"25:sougei_code:" &amp; IF(I180="■",1,IF(M180="■",2,0))</f>
        <v>25:sougei_code:0</v>
      </c>
    </row>
    <row r="181" spans="1:36" ht="19.5" hidden="1" customHeight="1" x14ac:dyDescent="0.2">
      <c r="A181" s="834"/>
      <c r="B181" s="3148"/>
      <c r="C181" s="3147"/>
      <c r="D181" s="3146"/>
      <c r="E181" s="3145"/>
      <c r="F181" s="3144"/>
      <c r="G181" s="3175"/>
      <c r="H181" s="3174" t="s">
        <v>1236</v>
      </c>
      <c r="I181" s="3303" t="s">
        <v>116</v>
      </c>
      <c r="J181" s="3137" t="s">
        <v>1230</v>
      </c>
      <c r="K181" s="3137"/>
      <c r="L181" s="3154" t="s">
        <v>116</v>
      </c>
      <c r="M181" s="3137" t="s">
        <v>1233</v>
      </c>
      <c r="N181" s="3137"/>
      <c r="O181" s="3150"/>
      <c r="P181" s="3137"/>
      <c r="Q181" s="3150"/>
      <c r="R181" s="3150"/>
      <c r="S181" s="3150"/>
      <c r="T181" s="3150"/>
      <c r="U181" s="3150"/>
      <c r="V181" s="3150"/>
      <c r="W181" s="3150"/>
      <c r="X181" s="3149"/>
      <c r="Y181" s="1201"/>
      <c r="Z181" s="1201"/>
      <c r="AA181" s="1201"/>
      <c r="AB181" s="1202"/>
      <c r="AC181" s="3509"/>
      <c r="AD181" s="3508"/>
      <c r="AE181" s="3508"/>
      <c r="AF181" s="3507"/>
      <c r="AI181" s="3120" t="str">
        <f>"25:field224:" &amp; IF(I181="■",1,IF(L181="■",2,0))</f>
        <v>25:field224:0</v>
      </c>
    </row>
    <row r="182" spans="1:36" ht="18.75" hidden="1" customHeight="1" x14ac:dyDescent="0.2">
      <c r="A182" s="834"/>
      <c r="B182" s="3148"/>
      <c r="C182" s="3147"/>
      <c r="D182" s="3146"/>
      <c r="E182" s="3145"/>
      <c r="F182" s="3144"/>
      <c r="G182" s="3145"/>
      <c r="H182" s="3151" t="s">
        <v>140</v>
      </c>
      <c r="I182" s="3303" t="s">
        <v>116</v>
      </c>
      <c r="J182" s="3137" t="s">
        <v>1230</v>
      </c>
      <c r="K182" s="3171"/>
      <c r="L182" s="3154" t="s">
        <v>116</v>
      </c>
      <c r="M182" s="3137" t="s">
        <v>1233</v>
      </c>
      <c r="N182" s="3153"/>
      <c r="O182" s="3150"/>
      <c r="P182" s="3150"/>
      <c r="Q182" s="3150"/>
      <c r="R182" s="3150"/>
      <c r="S182" s="3150"/>
      <c r="T182" s="3150"/>
      <c r="U182" s="3150"/>
      <c r="V182" s="3150"/>
      <c r="W182" s="3150"/>
      <c r="X182" s="3149"/>
      <c r="Y182" s="3293"/>
      <c r="Z182" s="1201"/>
      <c r="AA182" s="1201"/>
      <c r="AB182" s="1202"/>
      <c r="AC182" s="3509"/>
      <c r="AD182" s="3508"/>
      <c r="AE182" s="3508"/>
      <c r="AF182" s="3507"/>
      <c r="AI182" s="3120" t="str">
        <f>"25:ryouyoushoku_code:" &amp; IF(I182="■",1,IF(L182="■",2,0))</f>
        <v>25:ryouyoushoku_code:0</v>
      </c>
    </row>
    <row r="183" spans="1:36" ht="18.75" hidden="1" customHeight="1" x14ac:dyDescent="0.2">
      <c r="A183" s="834"/>
      <c r="B183" s="3148"/>
      <c r="C183" s="3147"/>
      <c r="D183" s="3146"/>
      <c r="E183" s="3145"/>
      <c r="F183" s="3144"/>
      <c r="G183" s="3145"/>
      <c r="H183" s="3151" t="s">
        <v>2219</v>
      </c>
      <c r="I183" s="3303" t="s">
        <v>116</v>
      </c>
      <c r="J183" s="3137" t="s">
        <v>1230</v>
      </c>
      <c r="K183" s="3137"/>
      <c r="L183" s="3154" t="s">
        <v>116</v>
      </c>
      <c r="M183" s="3137" t="s">
        <v>1231</v>
      </c>
      <c r="N183" s="3137"/>
      <c r="O183" s="3154" t="s">
        <v>116</v>
      </c>
      <c r="P183" s="3137" t="s">
        <v>1232</v>
      </c>
      <c r="Q183" s="3150"/>
      <c r="R183" s="3150"/>
      <c r="S183" s="3150"/>
      <c r="T183" s="3150"/>
      <c r="U183" s="3150"/>
      <c r="V183" s="3150"/>
      <c r="W183" s="3150"/>
      <c r="X183" s="3149"/>
      <c r="Y183" s="3293"/>
      <c r="Z183" s="1201"/>
      <c r="AA183" s="1201"/>
      <c r="AB183" s="1202"/>
      <c r="AC183" s="3509"/>
      <c r="AD183" s="3508"/>
      <c r="AE183" s="3508"/>
      <c r="AF183" s="3507"/>
      <c r="AI183" s="3120" t="str">
        <f>"25:ninti_senmoncare_code:" &amp; IF(I183="■",1,IF(O183="■",3,IF(L183="■",2,0)))</f>
        <v>25:ninti_senmoncare_code:0</v>
      </c>
    </row>
    <row r="184" spans="1:36" ht="18.75" hidden="1" customHeight="1" x14ac:dyDescent="0.2">
      <c r="A184" s="834"/>
      <c r="B184" s="3148"/>
      <c r="C184" s="3147"/>
      <c r="D184" s="3146"/>
      <c r="E184" s="3145"/>
      <c r="F184" s="3144"/>
      <c r="G184" s="3145"/>
      <c r="H184" s="3296" t="s">
        <v>1285</v>
      </c>
      <c r="I184" s="3303" t="s">
        <v>116</v>
      </c>
      <c r="J184" s="3137" t="s">
        <v>1230</v>
      </c>
      <c r="K184" s="3137"/>
      <c r="L184" s="3154" t="s">
        <v>116</v>
      </c>
      <c r="M184" s="3137" t="s">
        <v>1231</v>
      </c>
      <c r="N184" s="3137"/>
      <c r="O184" s="3154" t="s">
        <v>116</v>
      </c>
      <c r="P184" s="3137" t="s">
        <v>1232</v>
      </c>
      <c r="Q184" s="3150"/>
      <c r="R184" s="3150"/>
      <c r="S184" s="3150"/>
      <c r="T184" s="3150"/>
      <c r="U184" s="3209"/>
      <c r="V184" s="3209"/>
      <c r="W184" s="3209"/>
      <c r="X184" s="3208"/>
      <c r="Y184" s="3293"/>
      <c r="Z184" s="1201"/>
      <c r="AA184" s="1201"/>
      <c r="AB184" s="1202"/>
      <c r="AC184" s="3509"/>
      <c r="AD184" s="3508"/>
      <c r="AE184" s="3508"/>
      <c r="AF184" s="3507"/>
      <c r="AI184" s="3120" t="str">
        <f>"25:field225:" &amp; IF(I184="■",1,IF(L184="■",2,IF(O184="■",3,0)))</f>
        <v>25:field225:0</v>
      </c>
    </row>
    <row r="185" spans="1:36" ht="18.75" hidden="1" customHeight="1" x14ac:dyDescent="0.2">
      <c r="A185" s="834"/>
      <c r="B185" s="3148"/>
      <c r="C185" s="3147"/>
      <c r="D185" s="3146"/>
      <c r="E185" s="3145"/>
      <c r="F185" s="3144"/>
      <c r="G185" s="3145"/>
      <c r="H185" s="3151" t="s">
        <v>238</v>
      </c>
      <c r="I185" s="3303" t="s">
        <v>116</v>
      </c>
      <c r="J185" s="3137" t="s">
        <v>1230</v>
      </c>
      <c r="K185" s="3137"/>
      <c r="L185" s="3154" t="s">
        <v>116</v>
      </c>
      <c r="M185" s="3137" t="s">
        <v>1259</v>
      </c>
      <c r="N185" s="3137"/>
      <c r="O185" s="3154" t="s">
        <v>116</v>
      </c>
      <c r="P185" s="3137" t="s">
        <v>1260</v>
      </c>
      <c r="Q185" s="3153"/>
      <c r="R185" s="3154" t="s">
        <v>116</v>
      </c>
      <c r="S185" s="3137" t="s">
        <v>1261</v>
      </c>
      <c r="T185" s="3137"/>
      <c r="U185" s="3153"/>
      <c r="V185" s="3153"/>
      <c r="W185" s="3153"/>
      <c r="X185" s="3152"/>
      <c r="Y185" s="3293"/>
      <c r="Z185" s="1201"/>
      <c r="AA185" s="1201"/>
      <c r="AB185" s="1202"/>
      <c r="AC185" s="3509"/>
      <c r="AD185" s="3508"/>
      <c r="AE185" s="3508"/>
      <c r="AF185" s="3507"/>
      <c r="AI185" s="3120" t="str">
        <f>"25:serteikyo_kyoka_code:" &amp; IF(I185="■",1,IF(L185="■",6,IF(O185="■",5,IF(R185="■",7,0))))</f>
        <v>25:serteikyo_kyoka_code:0</v>
      </c>
    </row>
    <row r="186" spans="1:36" ht="18.75" hidden="1" customHeight="1" x14ac:dyDescent="0.2">
      <c r="A186" s="834"/>
      <c r="B186" s="3148"/>
      <c r="C186" s="3147"/>
      <c r="D186" s="3146"/>
      <c r="E186" s="3145"/>
      <c r="F186" s="3144"/>
      <c r="G186" s="3145"/>
      <c r="H186" s="3170" t="s">
        <v>2058</v>
      </c>
      <c r="I186" s="3346" t="s">
        <v>116</v>
      </c>
      <c r="J186" s="3347" t="s">
        <v>1230</v>
      </c>
      <c r="K186" s="3347"/>
      <c r="L186" s="3346" t="s">
        <v>116</v>
      </c>
      <c r="M186" s="3347" t="s">
        <v>1233</v>
      </c>
      <c r="N186" s="3347"/>
      <c r="O186" s="3302"/>
      <c r="P186" s="3302"/>
      <c r="Q186" s="3302"/>
      <c r="R186" s="3302"/>
      <c r="S186" s="3302"/>
      <c r="T186" s="3302"/>
      <c r="U186" s="3302"/>
      <c r="V186" s="3302"/>
      <c r="W186" s="3302"/>
      <c r="X186" s="3335"/>
      <c r="Y186" s="3293"/>
      <c r="Z186" s="1201"/>
      <c r="AA186" s="1201"/>
      <c r="AB186" s="1202"/>
      <c r="AC186" s="3509"/>
      <c r="AD186" s="3508"/>
      <c r="AE186" s="3508"/>
      <c r="AF186" s="3507"/>
      <c r="AI186" s="3120" t="str">
        <f>"25:field221:" &amp; IF(I186="■",1,IF(L186="■",2,0))</f>
        <v>25:field221:0</v>
      </c>
    </row>
    <row r="187" spans="1:36" ht="18.75" hidden="1" customHeight="1" x14ac:dyDescent="0.2">
      <c r="A187" s="834"/>
      <c r="B187" s="3148"/>
      <c r="C187" s="3147"/>
      <c r="D187" s="3146"/>
      <c r="E187" s="3145"/>
      <c r="F187" s="3144"/>
      <c r="G187" s="3145"/>
      <c r="H187" s="3165"/>
      <c r="I187" s="3346"/>
      <c r="J187" s="3347"/>
      <c r="K187" s="3347"/>
      <c r="L187" s="3346"/>
      <c r="M187" s="3347"/>
      <c r="N187" s="3347"/>
      <c r="O187" s="3139"/>
      <c r="P187" s="3139"/>
      <c r="Q187" s="3139"/>
      <c r="R187" s="3139"/>
      <c r="S187" s="3139"/>
      <c r="T187" s="3139"/>
      <c r="U187" s="3139"/>
      <c r="V187" s="3139"/>
      <c r="W187" s="3139"/>
      <c r="X187" s="3195"/>
      <c r="Y187" s="3293"/>
      <c r="Z187" s="1201"/>
      <c r="AA187" s="1201"/>
      <c r="AB187" s="1202"/>
      <c r="AC187" s="3509"/>
      <c r="AD187" s="3508"/>
      <c r="AE187" s="3508"/>
      <c r="AF187" s="3507"/>
    </row>
    <row r="188" spans="1:36" ht="18.75" hidden="1" customHeight="1" x14ac:dyDescent="0.2">
      <c r="A188" s="835"/>
      <c r="B188" s="3148"/>
      <c r="C188" s="3134"/>
      <c r="D188" s="3133"/>
      <c r="E188" s="3132"/>
      <c r="F188" s="3131"/>
      <c r="G188" s="3189"/>
      <c r="H188" s="3289" t="s">
        <v>2129</v>
      </c>
      <c r="I188" s="3303" t="s">
        <v>116</v>
      </c>
      <c r="J188" s="3285" t="s">
        <v>1230</v>
      </c>
      <c r="K188" s="3285"/>
      <c r="L188" s="3127" t="s">
        <v>116</v>
      </c>
      <c r="M188" s="3285" t="s">
        <v>2128</v>
      </c>
      <c r="N188" s="3288"/>
      <c r="O188" s="3127" t="s">
        <v>116</v>
      </c>
      <c r="P188" s="3287" t="s">
        <v>2127</v>
      </c>
      <c r="Q188" s="3286"/>
      <c r="R188" s="3127" t="s">
        <v>116</v>
      </c>
      <c r="S188" s="3285" t="s">
        <v>2126</v>
      </c>
      <c r="T188" s="3286"/>
      <c r="U188" s="3127" t="s">
        <v>116</v>
      </c>
      <c r="V188" s="3285" t="s">
        <v>2125</v>
      </c>
      <c r="W188" s="3284"/>
      <c r="X188" s="3283"/>
      <c r="Y188" s="3282"/>
      <c r="Z188" s="3282"/>
      <c r="AA188" s="3282"/>
      <c r="AB188" s="3281"/>
      <c r="AC188" s="3506"/>
      <c r="AD188" s="3505"/>
      <c r="AE188" s="3505"/>
      <c r="AF188" s="3504"/>
      <c r="AG188" s="3120"/>
      <c r="AH188" s="3120"/>
      <c r="AI188" s="3120" t="str">
        <f>"25:shoguukaizen_code:"&amp;IF(I188="■",1,IF(L188="■",7,IF(O188="■",8,IF(R188="■",9,IF(U188="■","A",0)))))</f>
        <v>25:shoguukaizen_code:0</v>
      </c>
    </row>
    <row r="189" spans="1:36" ht="18.75" hidden="1" customHeight="1" x14ac:dyDescent="0.2">
      <c r="A189" s="3188"/>
      <c r="B189" s="3187"/>
      <c r="C189" s="3229"/>
      <c r="D189" s="3228"/>
      <c r="E189" s="3185"/>
      <c r="F189" s="3184"/>
      <c r="G189" s="3185"/>
      <c r="H189" s="3182" t="s">
        <v>1286</v>
      </c>
      <c r="I189" s="3303" t="s">
        <v>116</v>
      </c>
      <c r="J189" s="3180" t="s">
        <v>1282</v>
      </c>
      <c r="K189" s="3226"/>
      <c r="L189" s="3225"/>
      <c r="M189" s="3179" t="s">
        <v>116</v>
      </c>
      <c r="N189" s="3180" t="s">
        <v>1283</v>
      </c>
      <c r="O189" s="3178"/>
      <c r="P189" s="3226"/>
      <c r="Q189" s="3226"/>
      <c r="R189" s="3226"/>
      <c r="S189" s="3226"/>
      <c r="T189" s="3226"/>
      <c r="U189" s="3226"/>
      <c r="V189" s="3226"/>
      <c r="W189" s="3226"/>
      <c r="X189" s="3339"/>
      <c r="Y189" s="3310" t="s">
        <v>116</v>
      </c>
      <c r="Z189" s="3252" t="s">
        <v>1225</v>
      </c>
      <c r="AA189" s="3252"/>
      <c r="AB189" s="3308"/>
      <c r="AC189" s="3497"/>
      <c r="AD189" s="3511"/>
      <c r="AE189" s="3511"/>
      <c r="AF189" s="3510"/>
      <c r="AG189" s="3120" t="str">
        <f>"ser_code = '" &amp; IF(A198="■",25,"") &amp; "'"</f>
        <v>ser_code = ''</v>
      </c>
      <c r="AH189" s="3120"/>
      <c r="AI189" s="3120" t="str">
        <f>"25:yakan_kinmu_code:" &amp; IF(I189="■",1,IF(M189="■",6,0))</f>
        <v>25:yakan_kinmu_code:0</v>
      </c>
      <c r="AJ189" s="3120" t="str">
        <f>"25:field203:" &amp; IF(Y189="■",1,IF(Y190="■",2,0))</f>
        <v>25:field203:0</v>
      </c>
    </row>
    <row r="190" spans="1:36" ht="18.75" hidden="1" customHeight="1" x14ac:dyDescent="0.2">
      <c r="A190" s="834"/>
      <c r="B190" s="3148"/>
      <c r="C190" s="3147"/>
      <c r="D190" s="3146"/>
      <c r="E190" s="3145"/>
      <c r="F190" s="3144"/>
      <c r="G190" s="3145"/>
      <c r="H190" s="3304" t="s">
        <v>90</v>
      </c>
      <c r="I190" s="3303" t="s">
        <v>116</v>
      </c>
      <c r="J190" s="1200" t="s">
        <v>1230</v>
      </c>
      <c r="K190" s="1200"/>
      <c r="L190" s="3198"/>
      <c r="M190" s="3258" t="s">
        <v>116</v>
      </c>
      <c r="N190" s="1200" t="s">
        <v>1262</v>
      </c>
      <c r="O190" s="1200"/>
      <c r="P190" s="3198"/>
      <c r="Q190" s="3258" t="s">
        <v>116</v>
      </c>
      <c r="R190" s="836" t="s">
        <v>1263</v>
      </c>
      <c r="U190" s="3258" t="s">
        <v>116</v>
      </c>
      <c r="V190" s="836" t="s">
        <v>1264</v>
      </c>
      <c r="X190" s="3336"/>
      <c r="Y190" s="3258" t="s">
        <v>116</v>
      </c>
      <c r="Z190" s="1200" t="s">
        <v>1226</v>
      </c>
      <c r="AA190" s="1201"/>
      <c r="AB190" s="1202"/>
      <c r="AC190" s="3509"/>
      <c r="AD190" s="3508"/>
      <c r="AE190" s="3508"/>
      <c r="AF190" s="3507"/>
      <c r="AG190" s="3120" t="str">
        <f>"25:sisetukbn_code:" &amp; IF(D198="■","A",0)</f>
        <v>25:sisetukbn_code:0</v>
      </c>
      <c r="AH190" s="3120"/>
      <c r="AI190" s="3120" t="str">
        <f>"25:"&amp;IF(AND(I190="□",M190="□",Q190="□",U190="□",I191="□",M191="□",Q191="□"),"ketu_doctor_code:0",IF(I190="■","ketu_doctor_code:1:ketu_kangos_code:1:ketu_kshoku_code:1:ketu_rryoho_code:1:ketu_sryoho_code:1:ketu_gengo_code:1",
IF(M190="■","ketu_doctor_code:2","ketu_doctor_code:1")
&amp;IF(Q190="■",":ketu_kangos_code:2",":ketu_kangos_code:1")
&amp;IF(U190="■",":ketu_kshoku_code:2",":ketu_kshoku_code:1")
&amp;IF(I191="■",":ketu_rryoho_code:2",":ketu_rryoho_code:1")
&amp;IF(M191="■",":ketu_sryoho_code:2",":ketu_sryoho_code:1")
&amp;IF(Q191="■",":ketu_gengo_code:2",":ketu_gengo_code:1")))</f>
        <v>25:ketu_doctor_code:0</v>
      </c>
      <c r="AJ190" s="3120"/>
    </row>
    <row r="191" spans="1:36" ht="18.75" hidden="1" customHeight="1" x14ac:dyDescent="0.2">
      <c r="A191" s="834"/>
      <c r="B191" s="3148"/>
      <c r="C191" s="3147"/>
      <c r="D191" s="3146"/>
      <c r="E191" s="3145"/>
      <c r="F191" s="3144"/>
      <c r="G191" s="3145"/>
      <c r="H191" s="3300"/>
      <c r="I191" s="3158" t="s">
        <v>116</v>
      </c>
      <c r="J191" s="3139" t="s">
        <v>1265</v>
      </c>
      <c r="K191" s="3162"/>
      <c r="L191" s="3162"/>
      <c r="M191" s="3140" t="s">
        <v>116</v>
      </c>
      <c r="N191" s="3139" t="s">
        <v>1266</v>
      </c>
      <c r="O191" s="3162"/>
      <c r="P191" s="3162"/>
      <c r="Q191" s="3140" t="s">
        <v>116</v>
      </c>
      <c r="R191" s="3139" t="s">
        <v>1267</v>
      </c>
      <c r="S191" s="3162"/>
      <c r="T191" s="3162"/>
      <c r="U191" s="3162"/>
      <c r="V191" s="3162"/>
      <c r="W191" s="3162"/>
      <c r="X191" s="3161"/>
      <c r="Y191" s="3293"/>
      <c r="Z191" s="1201"/>
      <c r="AA191" s="1201"/>
      <c r="AB191" s="1202"/>
      <c r="AC191" s="3509"/>
      <c r="AD191" s="3508"/>
      <c r="AE191" s="3508"/>
      <c r="AF191" s="3507"/>
    </row>
    <row r="192" spans="1:36" ht="18.75" hidden="1" customHeight="1" x14ac:dyDescent="0.2">
      <c r="A192" s="834"/>
      <c r="B192" s="3148"/>
      <c r="C192" s="3147"/>
      <c r="D192" s="3146"/>
      <c r="E192" s="3145"/>
      <c r="F192" s="3144"/>
      <c r="G192" s="3145"/>
      <c r="H192" s="3151" t="s">
        <v>91</v>
      </c>
      <c r="I192" s="3303" t="s">
        <v>116</v>
      </c>
      <c r="J192" s="3137" t="s">
        <v>1240</v>
      </c>
      <c r="K192" s="3171"/>
      <c r="L192" s="3173"/>
      <c r="M192" s="3154" t="s">
        <v>116</v>
      </c>
      <c r="N192" s="3137" t="s">
        <v>1241</v>
      </c>
      <c r="O192" s="3150"/>
      <c r="P192" s="3171"/>
      <c r="Q192" s="3150"/>
      <c r="R192" s="3150"/>
      <c r="S192" s="3150"/>
      <c r="T192" s="3150"/>
      <c r="U192" s="3150"/>
      <c r="V192" s="3150"/>
      <c r="W192" s="3150"/>
      <c r="X192" s="3149"/>
      <c r="Y192" s="3293"/>
      <c r="Z192" s="1201"/>
      <c r="AA192" s="1201"/>
      <c r="AB192" s="1202"/>
      <c r="AC192" s="3509"/>
      <c r="AD192" s="3508"/>
      <c r="AE192" s="3508"/>
      <c r="AF192" s="3507"/>
      <c r="AI192" s="3120" t="str">
        <f>"25:unitcare_code:" &amp; IF(I192="■",1,IF(M192="■",2,0))</f>
        <v>25:unitcare_code:0</v>
      </c>
    </row>
    <row r="193" spans="1:36" s="3120" customFormat="1" ht="18.75" hidden="1" customHeight="1" x14ac:dyDescent="0.2">
      <c r="A193" s="834"/>
      <c r="B193" s="3148"/>
      <c r="C193" s="3295"/>
      <c r="D193" s="3294"/>
      <c r="E193" s="3145"/>
      <c r="F193" s="3144"/>
      <c r="G193" s="3175"/>
      <c r="H193" s="3381" t="s">
        <v>1325</v>
      </c>
      <c r="I193" s="3222" t="s">
        <v>116</v>
      </c>
      <c r="J193" s="3217" t="s">
        <v>1228</v>
      </c>
      <c r="K193" s="3221"/>
      <c r="L193" s="3220"/>
      <c r="M193" s="3219" t="s">
        <v>116</v>
      </c>
      <c r="N193" s="3217" t="s">
        <v>1322</v>
      </c>
      <c r="O193" s="3221"/>
      <c r="P193" s="3380"/>
      <c r="Q193" s="3380"/>
      <c r="R193" s="3380"/>
      <c r="S193" s="3380"/>
      <c r="T193" s="3380"/>
      <c r="U193" s="3380"/>
      <c r="V193" s="3380"/>
      <c r="W193" s="3380"/>
      <c r="X193" s="3379"/>
      <c r="Y193" s="3293"/>
      <c r="Z193" s="1201"/>
      <c r="AA193" s="1201"/>
      <c r="AB193" s="1202"/>
      <c r="AC193" s="3509"/>
      <c r="AD193" s="3508"/>
      <c r="AE193" s="3508"/>
      <c r="AF193" s="3507"/>
      <c r="AI193" s="3120" t="str">
        <f>"25:sintaikousoku_code:" &amp; IF(I193="■",1,IF(M193="■",2,0))</f>
        <v>25:sintaikousoku_code:0</v>
      </c>
    </row>
    <row r="194" spans="1:36" ht="19.5" hidden="1" customHeight="1" x14ac:dyDescent="0.2">
      <c r="A194" s="834"/>
      <c r="B194" s="3148"/>
      <c r="C194" s="3147"/>
      <c r="D194" s="3146"/>
      <c r="E194" s="3145"/>
      <c r="F194" s="3144"/>
      <c r="G194" s="3175"/>
      <c r="H194" s="3174" t="s">
        <v>1227</v>
      </c>
      <c r="I194" s="3303" t="s">
        <v>116</v>
      </c>
      <c r="J194" s="3137" t="s">
        <v>1228</v>
      </c>
      <c r="K194" s="3171"/>
      <c r="L194" s="3173"/>
      <c r="M194" s="3154" t="s">
        <v>116</v>
      </c>
      <c r="N194" s="3137" t="s">
        <v>1229</v>
      </c>
      <c r="O194" s="3137"/>
      <c r="P194" s="3137"/>
      <c r="Q194" s="3150"/>
      <c r="R194" s="3150"/>
      <c r="S194" s="3150"/>
      <c r="T194" s="3150"/>
      <c r="U194" s="3150"/>
      <c r="V194" s="3150"/>
      <c r="W194" s="3150"/>
      <c r="X194" s="3149"/>
      <c r="Y194" s="1201"/>
      <c r="Z194" s="1201"/>
      <c r="AA194" s="1201"/>
      <c r="AB194" s="1202"/>
      <c r="AC194" s="3509"/>
      <c r="AD194" s="3508"/>
      <c r="AE194" s="3508"/>
      <c r="AF194" s="3507"/>
      <c r="AI194" s="3120" t="str">
        <f>"25:field223:" &amp; IF(I194="■",1,IF(M194="■",2,0))</f>
        <v>25:field223:0</v>
      </c>
    </row>
    <row r="195" spans="1:36" ht="19.5" hidden="1" customHeight="1" x14ac:dyDescent="0.2">
      <c r="A195" s="834"/>
      <c r="B195" s="3148"/>
      <c r="C195" s="3147"/>
      <c r="D195" s="3146"/>
      <c r="E195" s="3145"/>
      <c r="F195" s="3144"/>
      <c r="G195" s="3175"/>
      <c r="H195" s="3174" t="s">
        <v>1253</v>
      </c>
      <c r="I195" s="3303" t="s">
        <v>116</v>
      </c>
      <c r="J195" s="3139" t="s">
        <v>1228</v>
      </c>
      <c r="K195" s="3138"/>
      <c r="L195" s="3385"/>
      <c r="M195" s="3140" t="s">
        <v>116</v>
      </c>
      <c r="N195" s="3139" t="s">
        <v>1229</v>
      </c>
      <c r="O195" s="3139"/>
      <c r="P195" s="3139"/>
      <c r="Q195" s="3207"/>
      <c r="R195" s="3207"/>
      <c r="S195" s="3207"/>
      <c r="T195" s="3207"/>
      <c r="U195" s="3207"/>
      <c r="V195" s="3207"/>
      <c r="W195" s="3207"/>
      <c r="X195" s="3206"/>
      <c r="Y195" s="1201"/>
      <c r="Z195" s="1200"/>
      <c r="AA195" s="1201"/>
      <c r="AB195" s="1202"/>
      <c r="AC195" s="3509"/>
      <c r="AD195" s="3508"/>
      <c r="AE195" s="3508"/>
      <c r="AF195" s="3507"/>
      <c r="AI195" s="3120" t="str">
        <f>"25:field232:" &amp; IF(I195="■",1,IF(M195="■",2,0))</f>
        <v>25:field232:0</v>
      </c>
    </row>
    <row r="196" spans="1:36" ht="18.75" hidden="1" customHeight="1" x14ac:dyDescent="0.2">
      <c r="A196" s="834"/>
      <c r="B196" s="3148"/>
      <c r="C196" s="3147"/>
      <c r="D196" s="3146"/>
      <c r="E196" s="3145"/>
      <c r="F196" s="3144"/>
      <c r="G196" s="3145"/>
      <c r="H196" s="3151" t="s">
        <v>2137</v>
      </c>
      <c r="I196" s="3303" t="s">
        <v>116</v>
      </c>
      <c r="J196" s="3137" t="s">
        <v>1230</v>
      </c>
      <c r="K196" s="3171"/>
      <c r="L196" s="3154" t="s">
        <v>116</v>
      </c>
      <c r="M196" s="3137" t="s">
        <v>1233</v>
      </c>
      <c r="N196" s="3153"/>
      <c r="O196" s="3150"/>
      <c r="P196" s="3150"/>
      <c r="Q196" s="3150"/>
      <c r="R196" s="3150"/>
      <c r="S196" s="3150"/>
      <c r="T196" s="3150"/>
      <c r="U196" s="3150"/>
      <c r="V196" s="3150"/>
      <c r="W196" s="3150"/>
      <c r="X196" s="3149"/>
      <c r="Y196" s="3293"/>
      <c r="Z196" s="1201"/>
      <c r="AA196" s="1201"/>
      <c r="AB196" s="1202"/>
      <c r="AC196" s="3509"/>
      <c r="AD196" s="3508"/>
      <c r="AE196" s="3508"/>
      <c r="AF196" s="3507"/>
      <c r="AI196" s="3120" t="str">
        <f>"25:yakinhaiti_code:" &amp; IF(I196="■",1,IF(L196="■",2,0))</f>
        <v>25:yakinhaiti_code:0</v>
      </c>
    </row>
    <row r="197" spans="1:36" ht="18.75" hidden="1" customHeight="1" x14ac:dyDescent="0.2">
      <c r="A197" s="834"/>
      <c r="B197" s="3148"/>
      <c r="C197" s="3147"/>
      <c r="D197" s="3146"/>
      <c r="E197" s="3145"/>
      <c r="F197" s="3144"/>
      <c r="G197" s="3145"/>
      <c r="H197" s="3151" t="s">
        <v>1348</v>
      </c>
      <c r="I197" s="3303" t="s">
        <v>116</v>
      </c>
      <c r="J197" s="3137" t="s">
        <v>1230</v>
      </c>
      <c r="K197" s="3171"/>
      <c r="L197" s="3154" t="s">
        <v>116</v>
      </c>
      <c r="M197" s="3137" t="s">
        <v>1233</v>
      </c>
      <c r="N197" s="3153"/>
      <c r="O197" s="3150"/>
      <c r="P197" s="3150"/>
      <c r="Q197" s="3150"/>
      <c r="R197" s="3150"/>
      <c r="S197" s="3150"/>
      <c r="T197" s="3150"/>
      <c r="U197" s="3150"/>
      <c r="V197" s="3150"/>
      <c r="W197" s="3150"/>
      <c r="X197" s="3149"/>
      <c r="Y197" s="3293"/>
      <c r="Z197" s="1201"/>
      <c r="AA197" s="1201"/>
      <c r="AB197" s="1202"/>
      <c r="AC197" s="3509"/>
      <c r="AD197" s="3508"/>
      <c r="AE197" s="3508"/>
      <c r="AF197" s="3507"/>
      <c r="AI197" s="3120" t="str">
        <f>"25:jyakuninti_uke_code:" &amp; IF(I197="■",1,IF(L197="■",2,0))</f>
        <v>25:jyakuninti_uke_code:0</v>
      </c>
    </row>
    <row r="198" spans="1:36" ht="18.75" hidden="1" customHeight="1" x14ac:dyDescent="0.2">
      <c r="A198" s="3158" t="s">
        <v>116</v>
      </c>
      <c r="B198" s="3148">
        <v>25</v>
      </c>
      <c r="C198" s="3147" t="s">
        <v>2326</v>
      </c>
      <c r="D198" s="3158" t="s">
        <v>116</v>
      </c>
      <c r="E198" s="3145" t="s">
        <v>2253</v>
      </c>
      <c r="F198" s="3144"/>
      <c r="G198" s="3145"/>
      <c r="H198" s="3151" t="s">
        <v>1284</v>
      </c>
      <c r="I198" s="3303" t="s">
        <v>116</v>
      </c>
      <c r="J198" s="3137" t="s">
        <v>1240</v>
      </c>
      <c r="K198" s="3171"/>
      <c r="L198" s="3173"/>
      <c r="M198" s="3154" t="s">
        <v>116</v>
      </c>
      <c r="N198" s="3137" t="s">
        <v>1241</v>
      </c>
      <c r="O198" s="3150"/>
      <c r="P198" s="3150"/>
      <c r="Q198" s="3150"/>
      <c r="R198" s="3150"/>
      <c r="S198" s="3150"/>
      <c r="T198" s="3150"/>
      <c r="U198" s="3150"/>
      <c r="V198" s="3150"/>
      <c r="W198" s="3150"/>
      <c r="X198" s="3149"/>
      <c r="Y198" s="3293"/>
      <c r="Z198" s="1201"/>
      <c r="AA198" s="1201"/>
      <c r="AB198" s="1202"/>
      <c r="AC198" s="3509"/>
      <c r="AD198" s="3508"/>
      <c r="AE198" s="3508"/>
      <c r="AF198" s="3507"/>
      <c r="AI198" s="3120" t="str">
        <f>"25:sougei_code:" &amp; IF(I198="■",1,IF(M198="■",2,0))</f>
        <v>25:sougei_code:0</v>
      </c>
    </row>
    <row r="199" spans="1:36" ht="19.5" hidden="1" customHeight="1" x14ac:dyDescent="0.2">
      <c r="A199" s="834"/>
      <c r="B199" s="3148"/>
      <c r="C199" s="3147"/>
      <c r="D199" s="3146"/>
      <c r="E199" s="3145"/>
      <c r="F199" s="3144"/>
      <c r="G199" s="3175"/>
      <c r="H199" s="3174" t="s">
        <v>1236</v>
      </c>
      <c r="I199" s="3303" t="s">
        <v>116</v>
      </c>
      <c r="J199" s="3137" t="s">
        <v>1230</v>
      </c>
      <c r="K199" s="3137"/>
      <c r="L199" s="3154" t="s">
        <v>116</v>
      </c>
      <c r="M199" s="3137" t="s">
        <v>1233</v>
      </c>
      <c r="N199" s="3137"/>
      <c r="O199" s="3150"/>
      <c r="P199" s="3137"/>
      <c r="Q199" s="3150"/>
      <c r="R199" s="3150"/>
      <c r="S199" s="3150"/>
      <c r="T199" s="3150"/>
      <c r="U199" s="3150"/>
      <c r="V199" s="3150"/>
      <c r="W199" s="3150"/>
      <c r="X199" s="3149"/>
      <c r="Y199" s="1201"/>
      <c r="Z199" s="1201"/>
      <c r="AA199" s="1201"/>
      <c r="AB199" s="1202"/>
      <c r="AC199" s="3509"/>
      <c r="AD199" s="3508"/>
      <c r="AE199" s="3508"/>
      <c r="AF199" s="3507"/>
      <c r="AI199" s="3120" t="str">
        <f>"25:field224:" &amp; IF(I199="■",1,IF(L199="■",2,0))</f>
        <v>25:field224:0</v>
      </c>
    </row>
    <row r="200" spans="1:36" ht="18.75" hidden="1" customHeight="1" x14ac:dyDescent="0.2">
      <c r="A200" s="834"/>
      <c r="B200" s="3148"/>
      <c r="C200" s="3147"/>
      <c r="D200" s="3146"/>
      <c r="E200" s="3145"/>
      <c r="F200" s="3144"/>
      <c r="G200" s="3145"/>
      <c r="H200" s="3151" t="s">
        <v>140</v>
      </c>
      <c r="I200" s="3303" t="s">
        <v>116</v>
      </c>
      <c r="J200" s="3137" t="s">
        <v>1230</v>
      </c>
      <c r="K200" s="3171"/>
      <c r="L200" s="3154" t="s">
        <v>116</v>
      </c>
      <c r="M200" s="3137" t="s">
        <v>1233</v>
      </c>
      <c r="N200" s="3153"/>
      <c r="O200" s="3150"/>
      <c r="P200" s="3150"/>
      <c r="Q200" s="3150"/>
      <c r="R200" s="3150"/>
      <c r="S200" s="3150"/>
      <c r="T200" s="3150"/>
      <c r="U200" s="3150"/>
      <c r="V200" s="3150"/>
      <c r="W200" s="3150"/>
      <c r="X200" s="3149"/>
      <c r="Y200" s="3293"/>
      <c r="Z200" s="1201"/>
      <c r="AA200" s="1201"/>
      <c r="AB200" s="1202"/>
      <c r="AC200" s="3509"/>
      <c r="AD200" s="3508"/>
      <c r="AE200" s="3508"/>
      <c r="AF200" s="3507"/>
      <c r="AI200" s="3120" t="str">
        <f>"25:ryouyoushoku_code:" &amp; IF(I200="■",1,IF(L200="■",2,0))</f>
        <v>25:ryouyoushoku_code:0</v>
      </c>
    </row>
    <row r="201" spans="1:36" ht="18.75" hidden="1" customHeight="1" x14ac:dyDescent="0.2">
      <c r="A201" s="834"/>
      <c r="B201" s="3148"/>
      <c r="C201" s="3147"/>
      <c r="D201" s="3146"/>
      <c r="E201" s="3145"/>
      <c r="F201" s="3144"/>
      <c r="G201" s="3145"/>
      <c r="H201" s="3151" t="s">
        <v>2219</v>
      </c>
      <c r="I201" s="3303" t="s">
        <v>116</v>
      </c>
      <c r="J201" s="3137" t="s">
        <v>1230</v>
      </c>
      <c r="K201" s="3137"/>
      <c r="L201" s="3154" t="s">
        <v>116</v>
      </c>
      <c r="M201" s="3137" t="s">
        <v>1231</v>
      </c>
      <c r="N201" s="3137"/>
      <c r="O201" s="3154" t="s">
        <v>116</v>
      </c>
      <c r="P201" s="3137" t="s">
        <v>1232</v>
      </c>
      <c r="Q201" s="3150"/>
      <c r="R201" s="3150"/>
      <c r="S201" s="3150"/>
      <c r="T201" s="3150"/>
      <c r="U201" s="3150"/>
      <c r="V201" s="3150"/>
      <c r="W201" s="3150"/>
      <c r="X201" s="3149"/>
      <c r="Y201" s="3293"/>
      <c r="Z201" s="1201"/>
      <c r="AA201" s="1201"/>
      <c r="AB201" s="1202"/>
      <c r="AC201" s="3509"/>
      <c r="AD201" s="3508"/>
      <c r="AE201" s="3508"/>
      <c r="AF201" s="3507"/>
      <c r="AI201" s="3120" t="str">
        <f>"25:ninti_senmoncare_code:" &amp; IF(I201="■",1,IF(O201="■",3,IF(L201="■",2,0)))</f>
        <v>25:ninti_senmoncare_code:0</v>
      </c>
    </row>
    <row r="202" spans="1:36" ht="18.75" hidden="1" customHeight="1" x14ac:dyDescent="0.2">
      <c r="A202" s="834"/>
      <c r="B202" s="3148"/>
      <c r="C202" s="3147"/>
      <c r="D202" s="3146"/>
      <c r="E202" s="3145"/>
      <c r="F202" s="3144"/>
      <c r="G202" s="3145"/>
      <c r="H202" s="3296" t="s">
        <v>1285</v>
      </c>
      <c r="I202" s="3303" t="s">
        <v>116</v>
      </c>
      <c r="J202" s="3137" t="s">
        <v>1230</v>
      </c>
      <c r="K202" s="3137"/>
      <c r="L202" s="3154" t="s">
        <v>116</v>
      </c>
      <c r="M202" s="3137" t="s">
        <v>1231</v>
      </c>
      <c r="N202" s="3137"/>
      <c r="O202" s="3154" t="s">
        <v>116</v>
      </c>
      <c r="P202" s="3137" t="s">
        <v>1232</v>
      </c>
      <c r="Q202" s="3150"/>
      <c r="R202" s="3150"/>
      <c r="S202" s="3150"/>
      <c r="T202" s="3150"/>
      <c r="U202" s="3209"/>
      <c r="V202" s="3209"/>
      <c r="W202" s="3209"/>
      <c r="X202" s="3208"/>
      <c r="Y202" s="3293"/>
      <c r="Z202" s="1201"/>
      <c r="AA202" s="1201"/>
      <c r="AB202" s="1202"/>
      <c r="AC202" s="3509"/>
      <c r="AD202" s="3508"/>
      <c r="AE202" s="3508"/>
      <c r="AF202" s="3507"/>
      <c r="AI202" s="3120" t="str">
        <f>"25:field225:" &amp; IF(I202="■",1,IF(L202="■",2,IF(O202="■",3,0)))</f>
        <v>25:field225:0</v>
      </c>
    </row>
    <row r="203" spans="1:36" ht="18.75" hidden="1" customHeight="1" x14ac:dyDescent="0.2">
      <c r="A203" s="834"/>
      <c r="B203" s="3148"/>
      <c r="C203" s="3147"/>
      <c r="D203" s="3146"/>
      <c r="E203" s="3145"/>
      <c r="F203" s="3144"/>
      <c r="G203" s="3145"/>
      <c r="H203" s="3151" t="s">
        <v>238</v>
      </c>
      <c r="I203" s="3303" t="s">
        <v>116</v>
      </c>
      <c r="J203" s="3137" t="s">
        <v>1230</v>
      </c>
      <c r="K203" s="3137"/>
      <c r="L203" s="3154" t="s">
        <v>116</v>
      </c>
      <c r="M203" s="3137" t="s">
        <v>1259</v>
      </c>
      <c r="N203" s="3137"/>
      <c r="O203" s="3154" t="s">
        <v>116</v>
      </c>
      <c r="P203" s="3137" t="s">
        <v>1260</v>
      </c>
      <c r="Q203" s="3153"/>
      <c r="R203" s="3154" t="s">
        <v>116</v>
      </c>
      <c r="S203" s="3137" t="s">
        <v>1261</v>
      </c>
      <c r="T203" s="3137"/>
      <c r="U203" s="3153"/>
      <c r="V203" s="3153"/>
      <c r="W203" s="3153"/>
      <c r="X203" s="3152"/>
      <c r="Y203" s="3293"/>
      <c r="Z203" s="1201"/>
      <c r="AA203" s="1201"/>
      <c r="AB203" s="1202"/>
      <c r="AC203" s="3509"/>
      <c r="AD203" s="3508"/>
      <c r="AE203" s="3508"/>
      <c r="AF203" s="3507"/>
      <c r="AI203" s="3120" t="str">
        <f>"25:serteikyo_kyoka_code:" &amp; IF(I203="■",1,IF(L203="■",6,IF(O203="■",5,IF(R203="■",7,0))))</f>
        <v>25:serteikyo_kyoka_code:0</v>
      </c>
    </row>
    <row r="204" spans="1:36" ht="18.75" hidden="1" customHeight="1" x14ac:dyDescent="0.2">
      <c r="A204" s="834"/>
      <c r="B204" s="3148"/>
      <c r="C204" s="3147"/>
      <c r="D204" s="3146"/>
      <c r="E204" s="3145"/>
      <c r="F204" s="3144"/>
      <c r="G204" s="3145"/>
      <c r="H204" s="3170" t="s">
        <v>2058</v>
      </c>
      <c r="I204" s="3346" t="s">
        <v>116</v>
      </c>
      <c r="J204" s="3347" t="s">
        <v>1230</v>
      </c>
      <c r="K204" s="3347"/>
      <c r="L204" s="3346" t="s">
        <v>116</v>
      </c>
      <c r="M204" s="3347" t="s">
        <v>1233</v>
      </c>
      <c r="N204" s="3347"/>
      <c r="O204" s="3302"/>
      <c r="P204" s="3302"/>
      <c r="Q204" s="3302"/>
      <c r="R204" s="3302"/>
      <c r="S204" s="3302"/>
      <c r="T204" s="3302"/>
      <c r="U204" s="3302"/>
      <c r="V204" s="3302"/>
      <c r="W204" s="3302"/>
      <c r="X204" s="3335"/>
      <c r="Y204" s="3293"/>
      <c r="Z204" s="1201"/>
      <c r="AA204" s="1201"/>
      <c r="AB204" s="1202"/>
      <c r="AC204" s="3509"/>
      <c r="AD204" s="3508"/>
      <c r="AE204" s="3508"/>
      <c r="AF204" s="3507"/>
      <c r="AI204" s="3120" t="str">
        <f>"25:field221:" &amp; IF(I204="■",1,IF(L204="■",2,0))</f>
        <v>25:field221:0</v>
      </c>
    </row>
    <row r="205" spans="1:36" ht="18.75" hidden="1" customHeight="1" x14ac:dyDescent="0.2">
      <c r="A205" s="834"/>
      <c r="B205" s="3148"/>
      <c r="C205" s="3147"/>
      <c r="D205" s="3146"/>
      <c r="E205" s="3145"/>
      <c r="F205" s="3144"/>
      <c r="G205" s="3145"/>
      <c r="H205" s="3165"/>
      <c r="I205" s="3346"/>
      <c r="J205" s="3347"/>
      <c r="K205" s="3347"/>
      <c r="L205" s="3346"/>
      <c r="M205" s="3347"/>
      <c r="N205" s="3347"/>
      <c r="O205" s="3139"/>
      <c r="P205" s="3139"/>
      <c r="Q205" s="3139"/>
      <c r="R205" s="3139"/>
      <c r="S205" s="3139"/>
      <c r="T205" s="3139"/>
      <c r="U205" s="3139"/>
      <c r="V205" s="3139"/>
      <c r="W205" s="3139"/>
      <c r="X205" s="3195"/>
      <c r="Y205" s="3293"/>
      <c r="Z205" s="1201"/>
      <c r="AA205" s="1201"/>
      <c r="AB205" s="1202"/>
      <c r="AC205" s="3509"/>
      <c r="AD205" s="3508"/>
      <c r="AE205" s="3508"/>
      <c r="AF205" s="3507"/>
    </row>
    <row r="206" spans="1:36" ht="18.75" hidden="1" customHeight="1" x14ac:dyDescent="0.2">
      <c r="A206" s="835"/>
      <c r="B206" s="3135"/>
      <c r="C206" s="3134"/>
      <c r="D206" s="3133"/>
      <c r="E206" s="3132"/>
      <c r="F206" s="3131"/>
      <c r="G206" s="3189"/>
      <c r="H206" s="3289" t="s">
        <v>2129</v>
      </c>
      <c r="I206" s="3128" t="s">
        <v>116</v>
      </c>
      <c r="J206" s="3285" t="s">
        <v>1230</v>
      </c>
      <c r="K206" s="3285"/>
      <c r="L206" s="3127" t="s">
        <v>116</v>
      </c>
      <c r="M206" s="3285" t="s">
        <v>2128</v>
      </c>
      <c r="N206" s="3288"/>
      <c r="O206" s="3127" t="s">
        <v>116</v>
      </c>
      <c r="P206" s="3287" t="s">
        <v>2127</v>
      </c>
      <c r="Q206" s="3286"/>
      <c r="R206" s="3127" t="s">
        <v>116</v>
      </c>
      <c r="S206" s="3285" t="s">
        <v>2126</v>
      </c>
      <c r="T206" s="3286"/>
      <c r="U206" s="3127" t="s">
        <v>116</v>
      </c>
      <c r="V206" s="3285" t="s">
        <v>2125</v>
      </c>
      <c r="W206" s="3284"/>
      <c r="X206" s="3283"/>
      <c r="Y206" s="3282"/>
      <c r="Z206" s="3282"/>
      <c r="AA206" s="3282"/>
      <c r="AB206" s="3281"/>
      <c r="AC206" s="3506"/>
      <c r="AD206" s="3505"/>
      <c r="AE206" s="3505"/>
      <c r="AF206" s="3504"/>
      <c r="AG206" s="3120"/>
      <c r="AH206" s="3120"/>
      <c r="AI206" s="3120" t="str">
        <f>"25:shoguukaizen_code:"&amp;IF(I206="■",1,IF(L206="■",7,IF(O206="■",8,IF(R206="■",9,IF(U206="■","A",0)))))</f>
        <v>25:shoguukaizen_code:0</v>
      </c>
    </row>
    <row r="207" spans="1:36" ht="18.75" hidden="1" customHeight="1" x14ac:dyDescent="0.2">
      <c r="A207" s="3188"/>
      <c r="B207" s="3187"/>
      <c r="C207" s="3229"/>
      <c r="D207" s="3228"/>
      <c r="E207" s="3183"/>
      <c r="F207" s="3228"/>
      <c r="G207" s="3185"/>
      <c r="H207" s="3265" t="s">
        <v>1281</v>
      </c>
      <c r="I207" s="3253" t="s">
        <v>116</v>
      </c>
      <c r="J207" s="3252" t="s">
        <v>1282</v>
      </c>
      <c r="K207" s="3311"/>
      <c r="L207" s="3386"/>
      <c r="M207" s="3310" t="s">
        <v>116</v>
      </c>
      <c r="N207" s="3252" t="s">
        <v>1289</v>
      </c>
      <c r="O207" s="3309"/>
      <c r="P207" s="3309"/>
      <c r="Q207" s="3310" t="s">
        <v>116</v>
      </c>
      <c r="R207" s="3252" t="s">
        <v>1290</v>
      </c>
      <c r="S207" s="3309"/>
      <c r="T207" s="3309"/>
      <c r="U207" s="3310" t="s">
        <v>116</v>
      </c>
      <c r="V207" s="3252" t="s">
        <v>1291</v>
      </c>
      <c r="W207" s="3309"/>
      <c r="X207" s="3266"/>
      <c r="Y207" s="3310" t="s">
        <v>116</v>
      </c>
      <c r="Z207" s="3252" t="s">
        <v>1225</v>
      </c>
      <c r="AA207" s="3252"/>
      <c r="AB207" s="3308"/>
      <c r="AC207" s="3497"/>
      <c r="AD207" s="3511"/>
      <c r="AE207" s="3511"/>
      <c r="AF207" s="3510"/>
      <c r="AG207" s="3120" t="str">
        <f>"ser_code = '" &amp; IF(A217="■",26,"") &amp; "'"</f>
        <v>ser_code = ''</v>
      </c>
      <c r="AH207" s="3120" t="str">
        <f>"26:jininkbn_code:" &amp; IF(F213="■",2,IF(F215="■",5,IF(F217="■",6,IF(F219="■",3,IF(F221="■",7,IF(F223="■",4,0))))))</f>
        <v>26:jininkbn_code:0</v>
      </c>
      <c r="AI207" s="3120" t="str">
        <f>"26:yakan_kinmu_code:" &amp; IF(I207="■",1,IF(M207="■",2,IF(Q207="■",3,IF(U207="■",7,IF(I208="■",5,IF(M208="■",6,0))))))</f>
        <v>26:yakan_kinmu_code:0</v>
      </c>
      <c r="AJ207" s="3120" t="str">
        <f>"26:field203:" &amp; IF(Y207="■",1,IF(Y208="■",2,0))</f>
        <v>26:field203:0</v>
      </c>
    </row>
    <row r="208" spans="1:36" ht="18.75" hidden="1" customHeight="1" x14ac:dyDescent="0.2">
      <c r="A208" s="834"/>
      <c r="B208" s="3148"/>
      <c r="C208" s="3147"/>
      <c r="D208" s="3146"/>
      <c r="E208" s="3175"/>
      <c r="F208" s="3146"/>
      <c r="G208" s="3145"/>
      <c r="H208" s="3300"/>
      <c r="I208" s="3158" t="s">
        <v>116</v>
      </c>
      <c r="J208" s="3139" t="s">
        <v>1292</v>
      </c>
      <c r="K208" s="3138"/>
      <c r="L208" s="3385"/>
      <c r="M208" s="3140" t="s">
        <v>116</v>
      </c>
      <c r="N208" s="3139" t="s">
        <v>1283</v>
      </c>
      <c r="O208" s="3162"/>
      <c r="P208" s="3162"/>
      <c r="Q208" s="3162"/>
      <c r="R208" s="3162"/>
      <c r="S208" s="3162"/>
      <c r="T208" s="3162"/>
      <c r="U208" s="3162"/>
      <c r="V208" s="3162"/>
      <c r="W208" s="3162"/>
      <c r="X208" s="3161"/>
      <c r="Y208" s="3258" t="s">
        <v>116</v>
      </c>
      <c r="Z208" s="1200" t="s">
        <v>1226</v>
      </c>
      <c r="AA208" s="1201"/>
      <c r="AB208" s="1202"/>
      <c r="AC208" s="3509"/>
      <c r="AD208" s="3508"/>
      <c r="AE208" s="3508"/>
      <c r="AF208" s="3507"/>
      <c r="AG208" s="3120" t="str">
        <f>"26:sisetukbn_code:" &amp; IF(D217="■",1,0)</f>
        <v>26:sisetukbn_code:0</v>
      </c>
      <c r="AH208" s="3120"/>
      <c r="AI208" s="3120"/>
      <c r="AJ208" s="3120"/>
    </row>
    <row r="209" spans="1:35" ht="18.75" hidden="1" customHeight="1" x14ac:dyDescent="0.2">
      <c r="A209" s="834"/>
      <c r="B209" s="3148"/>
      <c r="C209" s="3147"/>
      <c r="D209" s="3146"/>
      <c r="E209" s="3175"/>
      <c r="F209" s="3146"/>
      <c r="G209" s="3145"/>
      <c r="H209" s="3151" t="s">
        <v>90</v>
      </c>
      <c r="I209" s="3303" t="s">
        <v>116</v>
      </c>
      <c r="J209" s="3137" t="s">
        <v>1230</v>
      </c>
      <c r="K209" s="3137"/>
      <c r="L209" s="3173"/>
      <c r="M209" s="3154" t="s">
        <v>116</v>
      </c>
      <c r="N209" s="3137" t="s">
        <v>1262</v>
      </c>
      <c r="O209" s="3137"/>
      <c r="P209" s="3173"/>
      <c r="Q209" s="3154" t="s">
        <v>116</v>
      </c>
      <c r="R209" s="3153" t="s">
        <v>1263</v>
      </c>
      <c r="S209" s="3153"/>
      <c r="T209" s="3153"/>
      <c r="U209" s="3154" t="s">
        <v>116</v>
      </c>
      <c r="V209" s="3153" t="s">
        <v>1264</v>
      </c>
      <c r="W209" s="3150"/>
      <c r="X209" s="3149"/>
      <c r="Y209" s="3293"/>
      <c r="Z209" s="1201"/>
      <c r="AA209" s="1201"/>
      <c r="AB209" s="1202"/>
      <c r="AC209" s="3509"/>
      <c r="AD209" s="3508"/>
      <c r="AE209" s="3508"/>
      <c r="AF209" s="3507"/>
      <c r="AI209" s="3120" t="str">
        <f>"26:"&amp;IF(AND(I209="□",M209="□",Q209="□",U209="□"),"ketu_doctor_code:0",IF(I209="■","ketu_doctor_code:1:ketu_kangos_code:1:ketu_kshoku_code:1",
IF(M209="■","ketu_doctor_code:2","ketu_doctor_code:1")
&amp;IF(Q209="■",":ketu_kangos_code:2",":ketu_kangos_code:1")
&amp;IF(U209="■",":ketu_kshoku_code:2",":ketu_kshoku_code:1")))</f>
        <v>26:ketu_doctor_code:0</v>
      </c>
    </row>
    <row r="210" spans="1:35" s="3120" customFormat="1" ht="18.75" hidden="1" customHeight="1" x14ac:dyDescent="0.2">
      <c r="A210" s="834"/>
      <c r="B210" s="3148"/>
      <c r="C210" s="3295"/>
      <c r="D210" s="3294"/>
      <c r="E210" s="3145"/>
      <c r="F210" s="3144"/>
      <c r="G210" s="3175"/>
      <c r="H210" s="3381" t="s">
        <v>1325</v>
      </c>
      <c r="I210" s="3222" t="s">
        <v>116</v>
      </c>
      <c r="J210" s="3217" t="s">
        <v>1228</v>
      </c>
      <c r="K210" s="3221"/>
      <c r="L210" s="3220"/>
      <c r="M210" s="3219" t="s">
        <v>116</v>
      </c>
      <c r="N210" s="3217" t="s">
        <v>1322</v>
      </c>
      <c r="O210" s="3221"/>
      <c r="P210" s="3380"/>
      <c r="Q210" s="3380"/>
      <c r="R210" s="3380"/>
      <c r="S210" s="3380"/>
      <c r="T210" s="3380"/>
      <c r="U210" s="3380"/>
      <c r="V210" s="3380"/>
      <c r="W210" s="3380"/>
      <c r="X210" s="3379"/>
      <c r="Y210" s="3293"/>
      <c r="Z210" s="1201"/>
      <c r="AA210" s="1201"/>
      <c r="AB210" s="1202"/>
      <c r="AC210" s="3509"/>
      <c r="AD210" s="3508"/>
      <c r="AE210" s="3508"/>
      <c r="AF210" s="3507"/>
      <c r="AI210" s="3120" t="str">
        <f>"26:sintaikousoku_code:" &amp; IF(I210="■",1,IF(M210="■",2,0))</f>
        <v>26:sintaikousoku_code:0</v>
      </c>
    </row>
    <row r="211" spans="1:35" ht="19.5" hidden="1" customHeight="1" x14ac:dyDescent="0.2">
      <c r="A211" s="834"/>
      <c r="B211" s="3148"/>
      <c r="C211" s="3147"/>
      <c r="D211" s="3146"/>
      <c r="E211" s="3145"/>
      <c r="F211" s="3144"/>
      <c r="G211" s="3175"/>
      <c r="H211" s="3174" t="s">
        <v>1227</v>
      </c>
      <c r="I211" s="3303" t="s">
        <v>116</v>
      </c>
      <c r="J211" s="3137" t="s">
        <v>1228</v>
      </c>
      <c r="K211" s="3171"/>
      <c r="L211" s="3173"/>
      <c r="M211" s="3154" t="s">
        <v>116</v>
      </c>
      <c r="N211" s="3137" t="s">
        <v>1229</v>
      </c>
      <c r="O211" s="3137"/>
      <c r="P211" s="3137"/>
      <c r="Q211" s="3150"/>
      <c r="R211" s="3150"/>
      <c r="S211" s="3150"/>
      <c r="T211" s="3150"/>
      <c r="U211" s="3150"/>
      <c r="V211" s="3150"/>
      <c r="W211" s="3150"/>
      <c r="X211" s="3149"/>
      <c r="Y211" s="1201"/>
      <c r="Z211" s="1201"/>
      <c r="AA211" s="1201"/>
      <c r="AB211" s="1202"/>
      <c r="AC211" s="3509"/>
      <c r="AD211" s="3508"/>
      <c r="AE211" s="3508"/>
      <c r="AF211" s="3507"/>
      <c r="AI211" s="3120" t="str">
        <f>"26:field223:" &amp; IF(I211="■",1,IF(M211="■",2,0))</f>
        <v>26:field223:0</v>
      </c>
    </row>
    <row r="212" spans="1:35" ht="19.5" hidden="1" customHeight="1" x14ac:dyDescent="0.2">
      <c r="A212" s="834"/>
      <c r="B212" s="3148"/>
      <c r="C212" s="3147"/>
      <c r="D212" s="3146"/>
      <c r="E212" s="3145"/>
      <c r="F212" s="3144"/>
      <c r="G212" s="3175"/>
      <c r="H212" s="3174" t="s">
        <v>1253</v>
      </c>
      <c r="I212" s="3303" t="s">
        <v>116</v>
      </c>
      <c r="J212" s="3139" t="s">
        <v>1228</v>
      </c>
      <c r="K212" s="3138"/>
      <c r="L212" s="3385"/>
      <c r="M212" s="3140" t="s">
        <v>116</v>
      </c>
      <c r="N212" s="3139" t="s">
        <v>1229</v>
      </c>
      <c r="O212" s="3139"/>
      <c r="P212" s="3139"/>
      <c r="Q212" s="3207"/>
      <c r="R212" s="3207"/>
      <c r="S212" s="3207"/>
      <c r="T212" s="3207"/>
      <c r="U212" s="3207"/>
      <c r="V212" s="3207"/>
      <c r="W212" s="3207"/>
      <c r="X212" s="3206"/>
      <c r="Y212" s="1201"/>
      <c r="Z212" s="1200"/>
      <c r="AA212" s="1201"/>
      <c r="AB212" s="1202"/>
      <c r="AC212" s="3509"/>
      <c r="AD212" s="3508"/>
      <c r="AE212" s="3508"/>
      <c r="AF212" s="3507"/>
      <c r="AI212" s="3120" t="str">
        <f>"26:field232:" &amp; IF(I212="■",1,IF(M212="■",2,0))</f>
        <v>26:field232:0</v>
      </c>
    </row>
    <row r="213" spans="1:35" ht="18.75" hidden="1" customHeight="1" x14ac:dyDescent="0.2">
      <c r="A213" s="834"/>
      <c r="B213" s="3148"/>
      <c r="C213" s="3147"/>
      <c r="D213" s="3146"/>
      <c r="E213" s="3175"/>
      <c r="F213" s="3158" t="s">
        <v>116</v>
      </c>
      <c r="G213" s="3145" t="s">
        <v>2252</v>
      </c>
      <c r="H213" s="3151" t="s">
        <v>2329</v>
      </c>
      <c r="I213" s="3303" t="s">
        <v>116</v>
      </c>
      <c r="J213" s="3137" t="s">
        <v>1282</v>
      </c>
      <c r="K213" s="3171"/>
      <c r="L213" s="3173"/>
      <c r="M213" s="3154" t="s">
        <v>116</v>
      </c>
      <c r="N213" s="3137" t="s">
        <v>1293</v>
      </c>
      <c r="O213" s="3153"/>
      <c r="P213" s="3153"/>
      <c r="Q213" s="3153"/>
      <c r="R213" s="3153"/>
      <c r="S213" s="3153"/>
      <c r="T213" s="3153"/>
      <c r="U213" s="3153"/>
      <c r="V213" s="3153"/>
      <c r="W213" s="3153"/>
      <c r="X213" s="3152"/>
      <c r="Y213" s="3293"/>
      <c r="Z213" s="1201"/>
      <c r="AA213" s="1201"/>
      <c r="AB213" s="1202"/>
      <c r="AC213" s="3509"/>
      <c r="AD213" s="3508"/>
      <c r="AE213" s="3508"/>
      <c r="AF213" s="3507"/>
      <c r="AI213" s="3120" t="str">
        <f>"26:ryokan_code:" &amp; IF(I213="■",1,IF(M213="■",2,0))</f>
        <v>26:ryokan_code:0</v>
      </c>
    </row>
    <row r="214" spans="1:35" ht="18.75" hidden="1" customHeight="1" x14ac:dyDescent="0.2">
      <c r="A214" s="834"/>
      <c r="B214" s="3148"/>
      <c r="C214" s="3147"/>
      <c r="D214" s="3146"/>
      <c r="E214" s="3175"/>
      <c r="F214" s="3146"/>
      <c r="G214" s="3145" t="s">
        <v>2233</v>
      </c>
      <c r="H214" s="3151" t="s">
        <v>2241</v>
      </c>
      <c r="I214" s="3303" t="s">
        <v>116</v>
      </c>
      <c r="J214" s="3137" t="s">
        <v>2240</v>
      </c>
      <c r="K214" s="3171"/>
      <c r="L214" s="3173"/>
      <c r="M214" s="3154" t="s">
        <v>116</v>
      </c>
      <c r="N214" s="3137" t="s">
        <v>2239</v>
      </c>
      <c r="O214" s="3150"/>
      <c r="P214" s="3150"/>
      <c r="Q214" s="3150"/>
      <c r="R214" s="3153"/>
      <c r="S214" s="3150"/>
      <c r="T214" s="3150"/>
      <c r="U214" s="3150"/>
      <c r="V214" s="3150"/>
      <c r="W214" s="3150"/>
      <c r="X214" s="3149"/>
      <c r="Y214" s="3293"/>
      <c r="Z214" s="1201"/>
      <c r="AA214" s="1201"/>
      <c r="AB214" s="1202"/>
      <c r="AC214" s="3509"/>
      <c r="AD214" s="3508"/>
      <c r="AE214" s="3508"/>
      <c r="AF214" s="3507"/>
      <c r="AI214" s="3120" t="str">
        <f>"26:doctor_haiti_code:" &amp; IF(I214="■",1,IF(M214="■",2,0))</f>
        <v>26:doctor_haiti_code:0</v>
      </c>
    </row>
    <row r="215" spans="1:35" ht="18.75" hidden="1" customHeight="1" x14ac:dyDescent="0.2">
      <c r="A215" s="834"/>
      <c r="B215" s="3148"/>
      <c r="C215" s="3147"/>
      <c r="D215" s="3146"/>
      <c r="E215" s="3175"/>
      <c r="F215" s="3158" t="s">
        <v>116</v>
      </c>
      <c r="G215" s="3145" t="s">
        <v>2251</v>
      </c>
      <c r="H215" s="3151" t="s">
        <v>1348</v>
      </c>
      <c r="I215" s="3303" t="s">
        <v>116</v>
      </c>
      <c r="J215" s="3137" t="s">
        <v>1230</v>
      </c>
      <c r="K215" s="3171"/>
      <c r="L215" s="3154" t="s">
        <v>116</v>
      </c>
      <c r="M215" s="3137" t="s">
        <v>1233</v>
      </c>
      <c r="N215" s="3150"/>
      <c r="O215" s="3150"/>
      <c r="P215" s="3150"/>
      <c r="Q215" s="3150"/>
      <c r="R215" s="3150"/>
      <c r="S215" s="3150"/>
      <c r="T215" s="3150"/>
      <c r="U215" s="3150"/>
      <c r="V215" s="3150"/>
      <c r="W215" s="3150"/>
      <c r="X215" s="3149"/>
      <c r="Y215" s="3293"/>
      <c r="Z215" s="1201"/>
      <c r="AA215" s="1201"/>
      <c r="AB215" s="1202"/>
      <c r="AC215" s="3509"/>
      <c r="AD215" s="3508"/>
      <c r="AE215" s="3508"/>
      <c r="AF215" s="3507"/>
      <c r="AI215" s="3120" t="str">
        <f>"26:jyakuninti_uke_code:" &amp; IF(I215="■",1,IF(L215="■",2,0))</f>
        <v>26:jyakuninti_uke_code:0</v>
      </c>
    </row>
    <row r="216" spans="1:35" ht="18.75" hidden="1" customHeight="1" x14ac:dyDescent="0.2">
      <c r="A216" s="834"/>
      <c r="B216" s="3148"/>
      <c r="C216" s="3147"/>
      <c r="D216" s="3146"/>
      <c r="E216" s="3175"/>
      <c r="F216" s="3146"/>
      <c r="G216" s="3145" t="s">
        <v>2250</v>
      </c>
      <c r="H216" s="3151" t="s">
        <v>1284</v>
      </c>
      <c r="I216" s="3303" t="s">
        <v>116</v>
      </c>
      <c r="J216" s="3137" t="s">
        <v>1240</v>
      </c>
      <c r="K216" s="3171"/>
      <c r="L216" s="3173"/>
      <c r="M216" s="3154" t="s">
        <v>116</v>
      </c>
      <c r="N216" s="3137" t="s">
        <v>1241</v>
      </c>
      <c r="O216" s="3150"/>
      <c r="P216" s="3150"/>
      <c r="Q216" s="3150"/>
      <c r="R216" s="3150"/>
      <c r="S216" s="3150"/>
      <c r="T216" s="3150"/>
      <c r="U216" s="3150"/>
      <c r="V216" s="3150"/>
      <c r="W216" s="3150"/>
      <c r="X216" s="3149"/>
      <c r="Y216" s="3293"/>
      <c r="Z216" s="1201"/>
      <c r="AA216" s="1201"/>
      <c r="AB216" s="1202"/>
      <c r="AC216" s="3509"/>
      <c r="AD216" s="3508"/>
      <c r="AE216" s="3508"/>
      <c r="AF216" s="3507"/>
      <c r="AI216" s="3120" t="str">
        <f>"26:sougei_code:" &amp; IF(I216="■",1,IF(M216="■",2,0))</f>
        <v>26:sougei_code:0</v>
      </c>
    </row>
    <row r="217" spans="1:35" ht="19.5" hidden="1" customHeight="1" x14ac:dyDescent="0.2">
      <c r="A217" s="3158" t="s">
        <v>116</v>
      </c>
      <c r="B217" s="3148">
        <v>26</v>
      </c>
      <c r="C217" s="3147" t="s">
        <v>641</v>
      </c>
      <c r="D217" s="3158" t="s">
        <v>116</v>
      </c>
      <c r="E217" s="3175" t="s">
        <v>2331</v>
      </c>
      <c r="F217" s="3158" t="s">
        <v>116</v>
      </c>
      <c r="G217" s="3145" t="s">
        <v>2249</v>
      </c>
      <c r="H217" s="3174" t="s">
        <v>1236</v>
      </c>
      <c r="I217" s="3303" t="s">
        <v>116</v>
      </c>
      <c r="J217" s="3137" t="s">
        <v>1230</v>
      </c>
      <c r="K217" s="3137"/>
      <c r="L217" s="3154" t="s">
        <v>116</v>
      </c>
      <c r="M217" s="3137" t="s">
        <v>1233</v>
      </c>
      <c r="N217" s="3137"/>
      <c r="O217" s="3150"/>
      <c r="P217" s="3137"/>
      <c r="Q217" s="3150"/>
      <c r="R217" s="3150"/>
      <c r="S217" s="3150"/>
      <c r="T217" s="3150"/>
      <c r="U217" s="3150"/>
      <c r="V217" s="3150"/>
      <c r="W217" s="3150"/>
      <c r="X217" s="3149"/>
      <c r="Y217" s="1201"/>
      <c r="Z217" s="1201"/>
      <c r="AA217" s="1201"/>
      <c r="AB217" s="1202"/>
      <c r="AC217" s="3509"/>
      <c r="AD217" s="3508"/>
      <c r="AE217" s="3508"/>
      <c r="AF217" s="3507"/>
      <c r="AI217" s="3120" t="str">
        <f>"26:field224:" &amp; IF(I217="■",1,IF(L217="■",2,0))</f>
        <v>26:field224:0</v>
      </c>
    </row>
    <row r="218" spans="1:35" ht="18.75" hidden="1" customHeight="1" x14ac:dyDescent="0.2">
      <c r="A218" s="834"/>
      <c r="B218" s="3148"/>
      <c r="C218" s="3147"/>
      <c r="D218" s="3146"/>
      <c r="E218" s="3145"/>
      <c r="F218" s="3146"/>
      <c r="G218" s="3145" t="s">
        <v>2227</v>
      </c>
      <c r="H218" s="3151" t="s">
        <v>140</v>
      </c>
      <c r="I218" s="3303" t="s">
        <v>116</v>
      </c>
      <c r="J218" s="3137" t="s">
        <v>1230</v>
      </c>
      <c r="K218" s="3171"/>
      <c r="L218" s="3154" t="s">
        <v>116</v>
      </c>
      <c r="M218" s="3137" t="s">
        <v>1233</v>
      </c>
      <c r="N218" s="3150"/>
      <c r="O218" s="3150"/>
      <c r="P218" s="3150"/>
      <c r="Q218" s="3150"/>
      <c r="R218" s="3150"/>
      <c r="S218" s="3150"/>
      <c r="T218" s="3150"/>
      <c r="U218" s="3150"/>
      <c r="V218" s="3150"/>
      <c r="W218" s="3150"/>
      <c r="X218" s="3149"/>
      <c r="Y218" s="3293"/>
      <c r="Z218" s="1201"/>
      <c r="AA218" s="1201"/>
      <c r="AB218" s="1202"/>
      <c r="AC218" s="3509"/>
      <c r="AD218" s="3508"/>
      <c r="AE218" s="3508"/>
      <c r="AF218" s="3507"/>
      <c r="AI218" s="3120" t="str">
        <f>"26:ryouyoushoku_code:" &amp; IF(I218="■",1,IF(L218="■",2,0))</f>
        <v>26:ryouyoushoku_code:0</v>
      </c>
    </row>
    <row r="219" spans="1:35" ht="18.75" hidden="1" customHeight="1" x14ac:dyDescent="0.2">
      <c r="A219" s="834"/>
      <c r="B219" s="3148"/>
      <c r="C219" s="3147"/>
      <c r="D219" s="3146"/>
      <c r="E219" s="3175"/>
      <c r="F219" s="3158" t="s">
        <v>116</v>
      </c>
      <c r="G219" s="3145" t="s">
        <v>2247</v>
      </c>
      <c r="H219" s="3151" t="s">
        <v>2219</v>
      </c>
      <c r="I219" s="3303" t="s">
        <v>116</v>
      </c>
      <c r="J219" s="3137" t="s">
        <v>1230</v>
      </c>
      <c r="K219" s="3137"/>
      <c r="L219" s="3154" t="s">
        <v>116</v>
      </c>
      <c r="M219" s="3137" t="s">
        <v>1231</v>
      </c>
      <c r="N219" s="3137"/>
      <c r="O219" s="3154" t="s">
        <v>116</v>
      </c>
      <c r="P219" s="3137" t="s">
        <v>1232</v>
      </c>
      <c r="Q219" s="3150"/>
      <c r="R219" s="3150"/>
      <c r="S219" s="3150"/>
      <c r="T219" s="3150"/>
      <c r="U219" s="3150"/>
      <c r="V219" s="3150"/>
      <c r="W219" s="3150"/>
      <c r="X219" s="3149"/>
      <c r="Y219" s="3293"/>
      <c r="Z219" s="1201"/>
      <c r="AA219" s="1201"/>
      <c r="AB219" s="1202"/>
      <c r="AC219" s="3509"/>
      <c r="AD219" s="3508"/>
      <c r="AE219" s="3508"/>
      <c r="AF219" s="3507"/>
      <c r="AI219" s="3120" t="str">
        <f>"26:ninti_senmoncare_code:" &amp; IF(I219="■",1,IF(O219="■",3,IF(L219="■",2,0)))</f>
        <v>26:ninti_senmoncare_code:0</v>
      </c>
    </row>
    <row r="220" spans="1:35" ht="18.75" hidden="1" customHeight="1" x14ac:dyDescent="0.2">
      <c r="A220" s="834"/>
      <c r="B220" s="3148"/>
      <c r="C220" s="3147"/>
      <c r="D220" s="3146"/>
      <c r="E220" s="3175"/>
      <c r="F220" s="3146"/>
      <c r="G220" s="3145" t="s">
        <v>2233</v>
      </c>
      <c r="H220" s="3304" t="s">
        <v>2228</v>
      </c>
      <c r="I220" s="3303" t="s">
        <v>116</v>
      </c>
      <c r="J220" s="3302" t="s">
        <v>1287</v>
      </c>
      <c r="K220" s="3302"/>
      <c r="L220" s="3209"/>
      <c r="M220" s="3209"/>
      <c r="N220" s="3209"/>
      <c r="O220" s="3209"/>
      <c r="P220" s="3301" t="s">
        <v>116</v>
      </c>
      <c r="Q220" s="3302" t="s">
        <v>1288</v>
      </c>
      <c r="R220" s="3209"/>
      <c r="S220" s="3209"/>
      <c r="T220" s="3209"/>
      <c r="U220" s="3209"/>
      <c r="V220" s="3209"/>
      <c r="W220" s="3209"/>
      <c r="X220" s="3208"/>
      <c r="Y220" s="3293"/>
      <c r="Z220" s="1201"/>
      <c r="AA220" s="1201"/>
      <c r="AB220" s="1202"/>
      <c r="AC220" s="3509"/>
      <c r="AD220" s="3508"/>
      <c r="AE220" s="3508"/>
      <c r="AF220" s="3507"/>
      <c r="AI220" s="3120" t="str">
        <f>"26:" &amp; IF(AND(I220="□",P220="□",I221="□"),"tokusin_jyusho_code:0:tokusin_yakuzai_code:0:shuudan_comu_code:0",IF(I220="■","tokusin_jyusho_code:2","tokusin_jyusho_code:1")
&amp;IF(P220="■",":tokusin_yakuzai_code:2",":tokusin_yakuzai_code:1")
&amp;IF(I221="■",":shuudan_comu_code:2",":shuudan_comu_code:1"))</f>
        <v>26:tokusin_jyusho_code:0:tokusin_yakuzai_code:0:shuudan_comu_code:0</v>
      </c>
    </row>
    <row r="221" spans="1:35" ht="18.75" hidden="1" customHeight="1" x14ac:dyDescent="0.2">
      <c r="A221" s="834"/>
      <c r="B221" s="3148"/>
      <c r="C221" s="3147"/>
      <c r="D221" s="3146"/>
      <c r="E221" s="3175"/>
      <c r="F221" s="3158" t="s">
        <v>116</v>
      </c>
      <c r="G221" s="3145" t="s">
        <v>2246</v>
      </c>
      <c r="H221" s="3300"/>
      <c r="I221" s="3158" t="s">
        <v>116</v>
      </c>
      <c r="J221" s="3139" t="s">
        <v>1294</v>
      </c>
      <c r="K221" s="3207"/>
      <c r="L221" s="3207"/>
      <c r="M221" s="3207"/>
      <c r="N221" s="3207"/>
      <c r="O221" s="3207"/>
      <c r="P221" s="3207"/>
      <c r="Q221" s="3162"/>
      <c r="R221" s="3207"/>
      <c r="S221" s="3207"/>
      <c r="T221" s="3207"/>
      <c r="U221" s="3207"/>
      <c r="V221" s="3207"/>
      <c r="W221" s="3207"/>
      <c r="X221" s="3206"/>
      <c r="Y221" s="3293"/>
      <c r="Z221" s="1201"/>
      <c r="AA221" s="1201"/>
      <c r="AB221" s="1202"/>
      <c r="AC221" s="3509"/>
      <c r="AD221" s="3508"/>
      <c r="AE221" s="3508"/>
      <c r="AF221" s="3507"/>
    </row>
    <row r="222" spans="1:35" ht="18.75" hidden="1" customHeight="1" x14ac:dyDescent="0.2">
      <c r="A222" s="834"/>
      <c r="B222" s="3148"/>
      <c r="C222" s="3147"/>
      <c r="D222" s="3146"/>
      <c r="E222" s="3175"/>
      <c r="F222" s="3146"/>
      <c r="G222" s="3145" t="s">
        <v>2245</v>
      </c>
      <c r="H222" s="3296" t="s">
        <v>1285</v>
      </c>
      <c r="I222" s="3303" t="s">
        <v>116</v>
      </c>
      <c r="J222" s="3137" t="s">
        <v>1230</v>
      </c>
      <c r="K222" s="3137"/>
      <c r="L222" s="3154" t="s">
        <v>116</v>
      </c>
      <c r="M222" s="3137" t="s">
        <v>1231</v>
      </c>
      <c r="N222" s="3137"/>
      <c r="O222" s="3154" t="s">
        <v>116</v>
      </c>
      <c r="P222" s="3137" t="s">
        <v>1232</v>
      </c>
      <c r="Q222" s="3150"/>
      <c r="R222" s="3150"/>
      <c r="S222" s="3150"/>
      <c r="T222" s="3150"/>
      <c r="U222" s="3209"/>
      <c r="V222" s="3209"/>
      <c r="W222" s="3209"/>
      <c r="X222" s="3208"/>
      <c r="Y222" s="3293"/>
      <c r="Z222" s="1201"/>
      <c r="AA222" s="1201"/>
      <c r="AB222" s="1202"/>
      <c r="AC222" s="3509"/>
      <c r="AD222" s="3508"/>
      <c r="AE222" s="3508"/>
      <c r="AF222" s="3507"/>
      <c r="AI222" s="3120" t="str">
        <f>"26:field225:" &amp; IF(I222="■",1,IF(L222="■",2,IF(O222="■",3,0)))</f>
        <v>26:field225:0</v>
      </c>
    </row>
    <row r="223" spans="1:35" ht="18.75" hidden="1" customHeight="1" x14ac:dyDescent="0.2">
      <c r="A223" s="834"/>
      <c r="B223" s="3148"/>
      <c r="C223" s="3147"/>
      <c r="D223" s="3146"/>
      <c r="E223" s="3175"/>
      <c r="F223" s="3158" t="s">
        <v>116</v>
      </c>
      <c r="G223" s="3145" t="s">
        <v>2244</v>
      </c>
      <c r="H223" s="3304" t="s">
        <v>1300</v>
      </c>
      <c r="I223" s="3303" t="s">
        <v>116</v>
      </c>
      <c r="J223" s="3302" t="s">
        <v>1295</v>
      </c>
      <c r="K223" s="3317"/>
      <c r="L223" s="3316"/>
      <c r="M223" s="3301" t="s">
        <v>116</v>
      </c>
      <c r="N223" s="3302" t="s">
        <v>1296</v>
      </c>
      <c r="O223" s="3209"/>
      <c r="P223" s="3209"/>
      <c r="Q223" s="3301" t="s">
        <v>116</v>
      </c>
      <c r="R223" s="3302" t="s">
        <v>1297</v>
      </c>
      <c r="S223" s="3209"/>
      <c r="T223" s="3209"/>
      <c r="U223" s="3209"/>
      <c r="V223" s="3209"/>
      <c r="W223" s="3209"/>
      <c r="X223" s="3208"/>
      <c r="Y223" s="3293"/>
      <c r="Z223" s="1201"/>
      <c r="AA223" s="1201"/>
      <c r="AB223" s="1202"/>
      <c r="AC223" s="3509"/>
      <c r="AD223" s="3508"/>
      <c r="AE223" s="3508"/>
      <c r="AF223" s="3507"/>
      <c r="AI223" s="3120" t="str">
        <f>"26:"&amp;IF(AND(I223="□",M223="□",Q223="□",I224="□",Q224="□"),"koriha_rryoho1_code:0:koriha_sryoho_code:0:koriha_gengo_code:0:riha_seisin_code:0:koriha_other_code:0",IF(I223="■","koriha_rryoho1_code:2","koriha_rryoho1_code:1")
&amp;IF(M223="■",":koriha_sryoho_code:2",":koriha_sryoho_code:1")
&amp;IF(Q223="■",":koriha_gengo_code:2",":koriha_gengo_code:1")
&amp;IF(I224="■",":riha_seisin_code:2",":riha_seisin_code:1")
&amp;IF(Q224="■",":koriha_other_code:2",":koriha_other_code:1"))</f>
        <v>26:koriha_rryoho1_code:0:koriha_sryoho_code:0:koriha_gengo_code:0:riha_seisin_code:0:koriha_other_code:0</v>
      </c>
    </row>
    <row r="224" spans="1:35" ht="18.75" hidden="1" customHeight="1" x14ac:dyDescent="0.2">
      <c r="A224" s="834"/>
      <c r="B224" s="3148"/>
      <c r="C224" s="3147"/>
      <c r="D224" s="3146"/>
      <c r="E224" s="3175"/>
      <c r="F224" s="3146"/>
      <c r="G224" s="3145"/>
      <c r="H224" s="3300"/>
      <c r="I224" s="3158" t="s">
        <v>116</v>
      </c>
      <c r="J224" s="3139" t="s">
        <v>1298</v>
      </c>
      <c r="K224" s="3207"/>
      <c r="L224" s="3207"/>
      <c r="M224" s="3207"/>
      <c r="N224" s="3207"/>
      <c r="O224" s="3207"/>
      <c r="P224" s="3207"/>
      <c r="Q224" s="3140" t="s">
        <v>116</v>
      </c>
      <c r="R224" s="3139" t="s">
        <v>1299</v>
      </c>
      <c r="S224" s="3162"/>
      <c r="T224" s="3207"/>
      <c r="U224" s="3207"/>
      <c r="V224" s="3207"/>
      <c r="W224" s="3207"/>
      <c r="X224" s="3206"/>
      <c r="Y224" s="3293"/>
      <c r="Z224" s="1201"/>
      <c r="AA224" s="1201"/>
      <c r="AB224" s="1202"/>
      <c r="AC224" s="3509"/>
      <c r="AD224" s="3508"/>
      <c r="AE224" s="3508"/>
      <c r="AF224" s="3507"/>
      <c r="AI224" s="3120"/>
    </row>
    <row r="225" spans="1:36" ht="18.75" hidden="1" customHeight="1" x14ac:dyDescent="0.2">
      <c r="A225" s="834"/>
      <c r="B225" s="3148"/>
      <c r="C225" s="3147"/>
      <c r="D225" s="3146"/>
      <c r="E225" s="3175"/>
      <c r="F225" s="3146"/>
      <c r="G225" s="3145"/>
      <c r="H225" s="3151" t="s">
        <v>238</v>
      </c>
      <c r="I225" s="3303" t="s">
        <v>116</v>
      </c>
      <c r="J225" s="3137" t="s">
        <v>1230</v>
      </c>
      <c r="K225" s="3137"/>
      <c r="L225" s="3154" t="s">
        <v>116</v>
      </c>
      <c r="M225" s="3137" t="s">
        <v>1259</v>
      </c>
      <c r="N225" s="3137"/>
      <c r="O225" s="3154" t="s">
        <v>116</v>
      </c>
      <c r="P225" s="3137" t="s">
        <v>1260</v>
      </c>
      <c r="Q225" s="3153"/>
      <c r="R225" s="3154" t="s">
        <v>116</v>
      </c>
      <c r="S225" s="3137" t="s">
        <v>1261</v>
      </c>
      <c r="T225" s="3153"/>
      <c r="U225" s="3153"/>
      <c r="V225" s="3153"/>
      <c r="W225" s="3153"/>
      <c r="X225" s="3152"/>
      <c r="Y225" s="3293"/>
      <c r="Z225" s="1201"/>
      <c r="AA225" s="1201"/>
      <c r="AB225" s="1202"/>
      <c r="AC225" s="3509"/>
      <c r="AD225" s="3508"/>
      <c r="AE225" s="3508"/>
      <c r="AF225" s="3507"/>
      <c r="AI225" s="3120" t="str">
        <f>"26:serteikyo_kyoka_code:" &amp; IF(I225="■",1,IF(L225="■",6,IF(O225="■",5,IF(R225="■",7,0))))</f>
        <v>26:serteikyo_kyoka_code:0</v>
      </c>
    </row>
    <row r="226" spans="1:36" ht="18.75" hidden="1" customHeight="1" x14ac:dyDescent="0.2">
      <c r="A226" s="834"/>
      <c r="B226" s="3148"/>
      <c r="C226" s="3147"/>
      <c r="D226" s="3146"/>
      <c r="E226" s="3175"/>
      <c r="F226" s="3146"/>
      <c r="G226" s="3145"/>
      <c r="H226" s="3170" t="s">
        <v>2058</v>
      </c>
      <c r="I226" s="3346" t="s">
        <v>116</v>
      </c>
      <c r="J226" s="3347" t="s">
        <v>1230</v>
      </c>
      <c r="K226" s="3347"/>
      <c r="L226" s="3346" t="s">
        <v>116</v>
      </c>
      <c r="M226" s="3347" t="s">
        <v>1233</v>
      </c>
      <c r="N226" s="3347"/>
      <c r="O226" s="3167"/>
      <c r="P226" s="3167"/>
      <c r="Q226" s="3167"/>
      <c r="R226" s="3167"/>
      <c r="S226" s="3167"/>
      <c r="T226" s="3167"/>
      <c r="U226" s="3167"/>
      <c r="V226" s="3167"/>
      <c r="W226" s="3167"/>
      <c r="X226" s="3166"/>
      <c r="Y226" s="3293"/>
      <c r="Z226" s="1201"/>
      <c r="AA226" s="1201"/>
      <c r="AB226" s="1202"/>
      <c r="AC226" s="3509"/>
      <c r="AD226" s="3508"/>
      <c r="AE226" s="3508"/>
      <c r="AF226" s="3507"/>
      <c r="AI226" s="3120" t="str">
        <f>"26:field221:" &amp; IF(I226="■",1,IF(L226="■",2,0))</f>
        <v>26:field221:0</v>
      </c>
    </row>
    <row r="227" spans="1:36" ht="18.75" hidden="1" customHeight="1" x14ac:dyDescent="0.2">
      <c r="A227" s="834"/>
      <c r="B227" s="3148"/>
      <c r="C227" s="3147"/>
      <c r="D227" s="3146"/>
      <c r="E227" s="3175"/>
      <c r="F227" s="3146"/>
      <c r="G227" s="3145"/>
      <c r="H227" s="3165"/>
      <c r="I227" s="3346"/>
      <c r="J227" s="3347"/>
      <c r="K227" s="3347"/>
      <c r="L227" s="3346"/>
      <c r="M227" s="3347"/>
      <c r="N227" s="3347"/>
      <c r="O227" s="3162"/>
      <c r="P227" s="3162"/>
      <c r="Q227" s="3162"/>
      <c r="R227" s="3162"/>
      <c r="S227" s="3162"/>
      <c r="T227" s="3162"/>
      <c r="U227" s="3162"/>
      <c r="V227" s="3162"/>
      <c r="W227" s="3162"/>
      <c r="X227" s="3161"/>
      <c r="Y227" s="3293"/>
      <c r="Z227" s="1201"/>
      <c r="AA227" s="1201"/>
      <c r="AB227" s="1202"/>
      <c r="AC227" s="3509"/>
      <c r="AD227" s="3508"/>
      <c r="AE227" s="3508"/>
      <c r="AF227" s="3507"/>
    </row>
    <row r="228" spans="1:36" ht="18.75" hidden="1" customHeight="1" x14ac:dyDescent="0.2">
      <c r="A228" s="835"/>
      <c r="B228" s="3135"/>
      <c r="C228" s="3134"/>
      <c r="D228" s="3133"/>
      <c r="E228" s="3132"/>
      <c r="F228" s="3131"/>
      <c r="G228" s="3189"/>
      <c r="H228" s="3289" t="s">
        <v>2129</v>
      </c>
      <c r="I228" s="3128" t="s">
        <v>116</v>
      </c>
      <c r="J228" s="3285" t="s">
        <v>1230</v>
      </c>
      <c r="K228" s="3285"/>
      <c r="L228" s="3127" t="s">
        <v>116</v>
      </c>
      <c r="M228" s="3285" t="s">
        <v>2128</v>
      </c>
      <c r="N228" s="3288"/>
      <c r="O228" s="3127" t="s">
        <v>116</v>
      </c>
      <c r="P228" s="3287" t="s">
        <v>2127</v>
      </c>
      <c r="Q228" s="3286"/>
      <c r="R228" s="3127" t="s">
        <v>116</v>
      </c>
      <c r="S228" s="3285" t="s">
        <v>2126</v>
      </c>
      <c r="T228" s="3286"/>
      <c r="U228" s="3127" t="s">
        <v>116</v>
      </c>
      <c r="V228" s="3285" t="s">
        <v>2125</v>
      </c>
      <c r="W228" s="3284"/>
      <c r="X228" s="3283"/>
      <c r="Y228" s="3282"/>
      <c r="Z228" s="3282"/>
      <c r="AA228" s="3282"/>
      <c r="AB228" s="3281"/>
      <c r="AC228" s="3506"/>
      <c r="AD228" s="3505"/>
      <c r="AE228" s="3505"/>
      <c r="AF228" s="3504"/>
      <c r="AG228" s="3120"/>
      <c r="AH228" s="3120"/>
      <c r="AI228" s="3120" t="str">
        <f>"26:shoguukaizen_code:"&amp;IF(I228="■",1,IF(L228="■",7,IF(O228="■",8,IF(R228="■",9,IF(U228="■","A",0)))))</f>
        <v>26:shoguukaizen_code:0</v>
      </c>
    </row>
    <row r="229" spans="1:36" ht="18.75" hidden="1" customHeight="1" x14ac:dyDescent="0.2">
      <c r="A229" s="3188"/>
      <c r="B229" s="3187"/>
      <c r="C229" s="3229"/>
      <c r="D229" s="3228"/>
      <c r="E229" s="3185"/>
      <c r="F229" s="3184"/>
      <c r="G229" s="3185"/>
      <c r="H229" s="3424" t="s">
        <v>1286</v>
      </c>
      <c r="I229" s="3253" t="s">
        <v>116</v>
      </c>
      <c r="J229" s="3252" t="s">
        <v>1282</v>
      </c>
      <c r="K229" s="3311"/>
      <c r="L229" s="3386"/>
      <c r="M229" s="3310" t="s">
        <v>116</v>
      </c>
      <c r="N229" s="3252" t="s">
        <v>1289</v>
      </c>
      <c r="O229" s="3309"/>
      <c r="P229" s="3309"/>
      <c r="Q229" s="3310" t="s">
        <v>116</v>
      </c>
      <c r="R229" s="3252" t="s">
        <v>1290</v>
      </c>
      <c r="S229" s="3309"/>
      <c r="T229" s="3309"/>
      <c r="U229" s="3310" t="s">
        <v>116</v>
      </c>
      <c r="V229" s="3252" t="s">
        <v>1291</v>
      </c>
      <c r="W229" s="3309"/>
      <c r="X229" s="3266"/>
      <c r="Y229" s="3310" t="s">
        <v>116</v>
      </c>
      <c r="Z229" s="3252" t="s">
        <v>1225</v>
      </c>
      <c r="AA229" s="3252"/>
      <c r="AB229" s="3308"/>
      <c r="AC229" s="3497"/>
      <c r="AD229" s="3511"/>
      <c r="AE229" s="3511"/>
      <c r="AF229" s="3510"/>
      <c r="AG229" s="3120" t="str">
        <f>"ser_code = '" &amp; IF(A240="■",26,"") &amp; "'"</f>
        <v>ser_code = ''</v>
      </c>
      <c r="AH229" s="3120" t="str">
        <f>"26:jininkbn_code:" &amp; IF(F238="■",1,IF(F240="■",2,IF(F242="■",3,0)))</f>
        <v>26:jininkbn_code:0</v>
      </c>
      <c r="AI229" s="3120" t="str">
        <f>"26:yakan_kinmu_code:" &amp; IF(I229="■",1,IF(M229="■",2,IF(Q229="■",3,IF(U229="■",7,IF(I230="■",5,IF(M230="■",6,0))))))</f>
        <v>26:yakan_kinmu_code:0</v>
      </c>
      <c r="AJ229" s="3120" t="str">
        <f>"26:field203:" &amp; IF(Y229="■",1,IF(Y230="■",2,0))</f>
        <v>26:field203:0</v>
      </c>
    </row>
    <row r="230" spans="1:36" ht="18.75" hidden="1" customHeight="1" x14ac:dyDescent="0.2">
      <c r="A230" s="834"/>
      <c r="B230" s="3148"/>
      <c r="C230" s="3147"/>
      <c r="D230" s="3146"/>
      <c r="E230" s="3145"/>
      <c r="F230" s="3144"/>
      <c r="G230" s="3145"/>
      <c r="H230" s="3423"/>
      <c r="I230" s="3158" t="s">
        <v>116</v>
      </c>
      <c r="J230" s="3139" t="s">
        <v>1292</v>
      </c>
      <c r="K230" s="3138"/>
      <c r="L230" s="3385"/>
      <c r="M230" s="3140" t="s">
        <v>116</v>
      </c>
      <c r="N230" s="3139" t="s">
        <v>1283</v>
      </c>
      <c r="O230" s="3162"/>
      <c r="P230" s="3162"/>
      <c r="Q230" s="3162"/>
      <c r="R230" s="3162"/>
      <c r="S230" s="3162"/>
      <c r="T230" s="3162"/>
      <c r="U230" s="3162"/>
      <c r="V230" s="3162"/>
      <c r="W230" s="3162"/>
      <c r="X230" s="3161"/>
      <c r="Y230" s="3258" t="s">
        <v>116</v>
      </c>
      <c r="Z230" s="1200" t="s">
        <v>1226</v>
      </c>
      <c r="AA230" s="1201"/>
      <c r="AB230" s="1202"/>
      <c r="AC230" s="3509"/>
      <c r="AD230" s="3508"/>
      <c r="AE230" s="3508"/>
      <c r="AF230" s="3507"/>
      <c r="AG230" s="3120" t="str">
        <f>"26:sisetukbn_code:" &amp; IF(D240="■",6,0)</f>
        <v>26:sisetukbn_code:0</v>
      </c>
      <c r="AH230" s="3120"/>
      <c r="AI230" s="3120"/>
      <c r="AJ230" s="3120"/>
    </row>
    <row r="231" spans="1:36" ht="18.75" hidden="1" customHeight="1" x14ac:dyDescent="0.2">
      <c r="A231" s="834"/>
      <c r="B231" s="3148"/>
      <c r="C231" s="3147"/>
      <c r="D231" s="3146"/>
      <c r="E231" s="3145"/>
      <c r="F231" s="3144"/>
      <c r="G231" s="3145"/>
      <c r="H231" s="3151" t="s">
        <v>90</v>
      </c>
      <c r="I231" s="3303" t="s">
        <v>116</v>
      </c>
      <c r="J231" s="3137" t="s">
        <v>1230</v>
      </c>
      <c r="K231" s="3137"/>
      <c r="L231" s="3173"/>
      <c r="M231" s="3154" t="s">
        <v>116</v>
      </c>
      <c r="N231" s="3137" t="s">
        <v>1262</v>
      </c>
      <c r="O231" s="3137"/>
      <c r="P231" s="3173"/>
      <c r="Q231" s="3154" t="s">
        <v>116</v>
      </c>
      <c r="R231" s="3153" t="s">
        <v>1263</v>
      </c>
      <c r="S231" s="3153"/>
      <c r="T231" s="3153"/>
      <c r="U231" s="3154" t="s">
        <v>116</v>
      </c>
      <c r="V231" s="3153" t="s">
        <v>1264</v>
      </c>
      <c r="W231" s="3150"/>
      <c r="X231" s="3149"/>
      <c r="Y231" s="3293"/>
      <c r="Z231" s="1201"/>
      <c r="AA231" s="1201"/>
      <c r="AB231" s="1202"/>
      <c r="AC231" s="3509"/>
      <c r="AD231" s="3508"/>
      <c r="AE231" s="3508"/>
      <c r="AF231" s="3507"/>
      <c r="AG231" s="3120"/>
      <c r="AH231" s="3120"/>
      <c r="AI231" s="3120" t="str">
        <f>"26:"&amp;IF(AND(I231="□",M231="□",Q231="□",U231="□"),"ketu_doctor_code:0",IF(I231="■","ketu_doctor_code:1:ketu_kangos_code:1:ketu_kshoku_code:1",
IF(M231="■","ketu_doctor_code:2","ketu_doctor_code:1")
&amp;IF(Q231="■",":ketu_kangos_code:2",":ketu_kangos_code:1")
&amp;IF(U231="■",":ketu_kshoku_code:2",":ketu_kshoku_code:1")))</f>
        <v>26:ketu_doctor_code:0</v>
      </c>
      <c r="AJ231" s="3120"/>
    </row>
    <row r="232" spans="1:36" ht="18.75" hidden="1" customHeight="1" x14ac:dyDescent="0.2">
      <c r="A232" s="834"/>
      <c r="B232" s="3148"/>
      <c r="C232" s="3147"/>
      <c r="D232" s="3146"/>
      <c r="E232" s="3145"/>
      <c r="F232" s="3144"/>
      <c r="G232" s="3145"/>
      <c r="H232" s="3151" t="s">
        <v>91</v>
      </c>
      <c r="I232" s="3303" t="s">
        <v>116</v>
      </c>
      <c r="J232" s="3137" t="s">
        <v>1240</v>
      </c>
      <c r="K232" s="3171"/>
      <c r="L232" s="3173"/>
      <c r="M232" s="3154" t="s">
        <v>116</v>
      </c>
      <c r="N232" s="3137" t="s">
        <v>1241</v>
      </c>
      <c r="O232" s="3150"/>
      <c r="P232" s="3150"/>
      <c r="Q232" s="3150"/>
      <c r="R232" s="3150"/>
      <c r="S232" s="3150"/>
      <c r="T232" s="3150"/>
      <c r="U232" s="3150"/>
      <c r="V232" s="3150"/>
      <c r="W232" s="3150"/>
      <c r="X232" s="3149"/>
      <c r="Y232" s="3293"/>
      <c r="Z232" s="1201"/>
      <c r="AA232" s="1201"/>
      <c r="AB232" s="1202"/>
      <c r="AC232" s="3509"/>
      <c r="AD232" s="3508"/>
      <c r="AE232" s="3508"/>
      <c r="AF232" s="3507"/>
      <c r="AG232" s="3120"/>
      <c r="AH232" s="3120"/>
      <c r="AI232" s="3120" t="str">
        <f>"26:unitcare_code:" &amp; IF(I232="■",1,IF(M232="■",2,0))</f>
        <v>26:unitcare_code:0</v>
      </c>
      <c r="AJ232" s="3120"/>
    </row>
    <row r="233" spans="1:36" s="3120" customFormat="1" ht="18.75" hidden="1" customHeight="1" x14ac:dyDescent="0.2">
      <c r="A233" s="834"/>
      <c r="B233" s="3148"/>
      <c r="C233" s="3295"/>
      <c r="D233" s="3294"/>
      <c r="E233" s="3145"/>
      <c r="F233" s="3144"/>
      <c r="G233" s="3175"/>
      <c r="H233" s="3381" t="s">
        <v>1325</v>
      </c>
      <c r="I233" s="3222" t="s">
        <v>116</v>
      </c>
      <c r="J233" s="3217" t="s">
        <v>1228</v>
      </c>
      <c r="K233" s="3221"/>
      <c r="L233" s="3220"/>
      <c r="M233" s="3219" t="s">
        <v>116</v>
      </c>
      <c r="N233" s="3217" t="s">
        <v>1322</v>
      </c>
      <c r="O233" s="3221"/>
      <c r="P233" s="3380"/>
      <c r="Q233" s="3380"/>
      <c r="R233" s="3380"/>
      <c r="S233" s="3380"/>
      <c r="T233" s="3380"/>
      <c r="U233" s="3380"/>
      <c r="V233" s="3380"/>
      <c r="W233" s="3380"/>
      <c r="X233" s="3379"/>
      <c r="Y233" s="3293"/>
      <c r="Z233" s="1201"/>
      <c r="AA233" s="1201"/>
      <c r="AB233" s="1202"/>
      <c r="AC233" s="3509"/>
      <c r="AD233" s="3508"/>
      <c r="AE233" s="3508"/>
      <c r="AF233" s="3507"/>
      <c r="AI233" s="3120" t="str">
        <f>"26:sintaikousoku_code:" &amp; IF(I233="■",1,IF(M233="■",2,0))</f>
        <v>26:sintaikousoku_code:0</v>
      </c>
    </row>
    <row r="234" spans="1:36" ht="19.5" hidden="1" customHeight="1" x14ac:dyDescent="0.2">
      <c r="A234" s="834"/>
      <c r="B234" s="3148"/>
      <c r="C234" s="3147"/>
      <c r="D234" s="3146"/>
      <c r="E234" s="3145"/>
      <c r="F234" s="3144"/>
      <c r="G234" s="3175"/>
      <c r="H234" s="3174" t="s">
        <v>1227</v>
      </c>
      <c r="I234" s="3303" t="s">
        <v>116</v>
      </c>
      <c r="J234" s="3137" t="s">
        <v>1228</v>
      </c>
      <c r="K234" s="3171"/>
      <c r="L234" s="3173"/>
      <c r="M234" s="3154" t="s">
        <v>116</v>
      </c>
      <c r="N234" s="3137" t="s">
        <v>1229</v>
      </c>
      <c r="O234" s="3137"/>
      <c r="P234" s="3137"/>
      <c r="Q234" s="3150"/>
      <c r="R234" s="3150"/>
      <c r="S234" s="3150"/>
      <c r="T234" s="3150"/>
      <c r="U234" s="3150"/>
      <c r="V234" s="3150"/>
      <c r="W234" s="3150"/>
      <c r="X234" s="3149"/>
      <c r="Y234" s="1201"/>
      <c r="Z234" s="1201"/>
      <c r="AA234" s="1201"/>
      <c r="AB234" s="1202"/>
      <c r="AC234" s="3509"/>
      <c r="AD234" s="3508"/>
      <c r="AE234" s="3508"/>
      <c r="AF234" s="3507"/>
      <c r="AG234" s="3120"/>
      <c r="AH234" s="3120"/>
      <c r="AI234" s="3120" t="str">
        <f>"26:field223:" &amp; IF(I234="■",1,IF(M234="■",2,0))</f>
        <v>26:field223:0</v>
      </c>
      <c r="AJ234" s="3120"/>
    </row>
    <row r="235" spans="1:36" ht="19.5" hidden="1" customHeight="1" x14ac:dyDescent="0.2">
      <c r="A235" s="834"/>
      <c r="B235" s="3148"/>
      <c r="C235" s="3147"/>
      <c r="D235" s="3146"/>
      <c r="E235" s="3145"/>
      <c r="F235" s="3144"/>
      <c r="G235" s="3175"/>
      <c r="H235" s="3174" t="s">
        <v>1253</v>
      </c>
      <c r="I235" s="3303" t="s">
        <v>116</v>
      </c>
      <c r="J235" s="3139" t="s">
        <v>1228</v>
      </c>
      <c r="K235" s="3138"/>
      <c r="L235" s="3385"/>
      <c r="M235" s="3140" t="s">
        <v>116</v>
      </c>
      <c r="N235" s="3139" t="s">
        <v>1229</v>
      </c>
      <c r="O235" s="3139"/>
      <c r="P235" s="3139"/>
      <c r="Q235" s="3207"/>
      <c r="R235" s="3207"/>
      <c r="S235" s="3207"/>
      <c r="T235" s="3207"/>
      <c r="U235" s="3207"/>
      <c r="V235" s="3207"/>
      <c r="W235" s="3207"/>
      <c r="X235" s="3206"/>
      <c r="Y235" s="1201"/>
      <c r="Z235" s="1200"/>
      <c r="AA235" s="1201"/>
      <c r="AB235" s="1202"/>
      <c r="AC235" s="3509"/>
      <c r="AD235" s="3508"/>
      <c r="AE235" s="3508"/>
      <c r="AF235" s="3507"/>
      <c r="AG235" s="3120"/>
      <c r="AH235" s="3120"/>
      <c r="AI235" s="3120" t="str">
        <f>"26:field232:" &amp; IF(I235="■",1,IF(M235="■",2,0))</f>
        <v>26:field232:0</v>
      </c>
      <c r="AJ235" s="3120"/>
    </row>
    <row r="236" spans="1:36" ht="18.75" hidden="1" customHeight="1" x14ac:dyDescent="0.2">
      <c r="A236" s="834"/>
      <c r="B236" s="3148"/>
      <c r="C236" s="3147"/>
      <c r="D236" s="3146"/>
      <c r="E236" s="3145"/>
      <c r="F236" s="3144"/>
      <c r="G236" s="3145"/>
      <c r="H236" s="3151" t="s">
        <v>2329</v>
      </c>
      <c r="I236" s="3303" t="s">
        <v>116</v>
      </c>
      <c r="J236" s="3137" t="s">
        <v>1282</v>
      </c>
      <c r="K236" s="3171"/>
      <c r="L236" s="3173"/>
      <c r="M236" s="3154" t="s">
        <v>116</v>
      </c>
      <c r="N236" s="3137" t="s">
        <v>1293</v>
      </c>
      <c r="O236" s="3153"/>
      <c r="P236" s="3153"/>
      <c r="Q236" s="3153"/>
      <c r="R236" s="3153"/>
      <c r="S236" s="3153"/>
      <c r="T236" s="3153"/>
      <c r="U236" s="3153"/>
      <c r="V236" s="3153"/>
      <c r="W236" s="3153"/>
      <c r="X236" s="3152"/>
      <c r="Y236" s="3293"/>
      <c r="Z236" s="1201"/>
      <c r="AA236" s="1201"/>
      <c r="AB236" s="1202"/>
      <c r="AC236" s="3509"/>
      <c r="AD236" s="3508"/>
      <c r="AE236" s="3508"/>
      <c r="AF236" s="3507"/>
      <c r="AG236" s="3120"/>
      <c r="AH236" s="3120"/>
      <c r="AI236" s="3120" t="str">
        <f>"26:ryokan_code:" &amp; IF(I236="■",1,IF(M236="■",2,0))</f>
        <v>26:ryokan_code:0</v>
      </c>
      <c r="AJ236" s="3120"/>
    </row>
    <row r="237" spans="1:36" ht="18.75" hidden="1" customHeight="1" x14ac:dyDescent="0.2">
      <c r="A237" s="834"/>
      <c r="B237" s="3148"/>
      <c r="C237" s="3147"/>
      <c r="D237" s="3146"/>
      <c r="E237" s="3145"/>
      <c r="F237" s="3144"/>
      <c r="G237" s="3145"/>
      <c r="H237" s="3151" t="s">
        <v>2241</v>
      </c>
      <c r="I237" s="3303" t="s">
        <v>116</v>
      </c>
      <c r="J237" s="3137" t="s">
        <v>2240</v>
      </c>
      <c r="K237" s="3171"/>
      <c r="L237" s="3173"/>
      <c r="M237" s="3154" t="s">
        <v>116</v>
      </c>
      <c r="N237" s="3137" t="s">
        <v>2239</v>
      </c>
      <c r="O237" s="3150"/>
      <c r="P237" s="3150"/>
      <c r="Q237" s="3150"/>
      <c r="R237" s="3153"/>
      <c r="S237" s="3150"/>
      <c r="T237" s="3150"/>
      <c r="U237" s="3150"/>
      <c r="V237" s="3150"/>
      <c r="W237" s="3150"/>
      <c r="X237" s="3149"/>
      <c r="Y237" s="3293"/>
      <c r="Z237" s="1201"/>
      <c r="AA237" s="1201"/>
      <c r="AB237" s="1202"/>
      <c r="AC237" s="3509"/>
      <c r="AD237" s="3508"/>
      <c r="AE237" s="3508"/>
      <c r="AF237" s="3507"/>
      <c r="AG237" s="3120"/>
      <c r="AH237" s="3120"/>
      <c r="AI237" s="3120" t="str">
        <f>"26:doctor_haiti_code:" &amp; IF(I237="■",1,IF(M237="■",2,0))</f>
        <v>26:doctor_haiti_code:0</v>
      </c>
      <c r="AJ237" s="3120"/>
    </row>
    <row r="238" spans="1:36" ht="18.75" hidden="1" customHeight="1" x14ac:dyDescent="0.2">
      <c r="A238" s="834"/>
      <c r="B238" s="3148"/>
      <c r="C238" s="3147"/>
      <c r="D238" s="3146"/>
      <c r="E238" s="3145"/>
      <c r="F238" s="3158" t="s">
        <v>116</v>
      </c>
      <c r="G238" s="3145" t="s">
        <v>2224</v>
      </c>
      <c r="H238" s="3151" t="s">
        <v>1348</v>
      </c>
      <c r="I238" s="3303" t="s">
        <v>116</v>
      </c>
      <c r="J238" s="3137" t="s">
        <v>1230</v>
      </c>
      <c r="K238" s="3171"/>
      <c r="L238" s="3154" t="s">
        <v>116</v>
      </c>
      <c r="M238" s="3137" t="s">
        <v>1233</v>
      </c>
      <c r="N238" s="3150"/>
      <c r="O238" s="3150"/>
      <c r="P238" s="3150"/>
      <c r="Q238" s="3150"/>
      <c r="R238" s="3150"/>
      <c r="S238" s="3150"/>
      <c r="T238" s="3150"/>
      <c r="U238" s="3150"/>
      <c r="V238" s="3150"/>
      <c r="W238" s="3150"/>
      <c r="X238" s="3149"/>
      <c r="Y238" s="3293"/>
      <c r="Z238" s="1201"/>
      <c r="AA238" s="1201"/>
      <c r="AB238" s="1202"/>
      <c r="AC238" s="3509"/>
      <c r="AD238" s="3508"/>
      <c r="AE238" s="3508"/>
      <c r="AF238" s="3507"/>
      <c r="AG238" s="3120"/>
      <c r="AH238" s="3120"/>
      <c r="AI238" s="3120" t="str">
        <f>"26:jyakuninti_uke_code:" &amp; IF(I238="■",1,IF(L238="■",2,0))</f>
        <v>26:jyakuninti_uke_code:0</v>
      </c>
      <c r="AJ238" s="3120"/>
    </row>
    <row r="239" spans="1:36" ht="18.75" hidden="1" customHeight="1" x14ac:dyDescent="0.2">
      <c r="A239" s="834"/>
      <c r="B239" s="3148"/>
      <c r="C239" s="3147"/>
      <c r="D239" s="3146"/>
      <c r="E239" s="3145"/>
      <c r="F239" s="3144"/>
      <c r="G239" s="3145" t="s">
        <v>2223</v>
      </c>
      <c r="H239" s="3151" t="s">
        <v>1284</v>
      </c>
      <c r="I239" s="3303" t="s">
        <v>116</v>
      </c>
      <c r="J239" s="3137" t="s">
        <v>1240</v>
      </c>
      <c r="K239" s="3171"/>
      <c r="L239" s="3173"/>
      <c r="M239" s="3154" t="s">
        <v>116</v>
      </c>
      <c r="N239" s="3137" t="s">
        <v>1241</v>
      </c>
      <c r="O239" s="3150"/>
      <c r="P239" s="3150"/>
      <c r="Q239" s="3150"/>
      <c r="R239" s="3150"/>
      <c r="S239" s="3150"/>
      <c r="T239" s="3150"/>
      <c r="U239" s="3150"/>
      <c r="V239" s="3150"/>
      <c r="W239" s="3150"/>
      <c r="X239" s="3149"/>
      <c r="Y239" s="3293"/>
      <c r="Z239" s="1201"/>
      <c r="AA239" s="1201"/>
      <c r="AB239" s="1202"/>
      <c r="AC239" s="3509"/>
      <c r="AD239" s="3508"/>
      <c r="AE239" s="3508"/>
      <c r="AF239" s="3507"/>
      <c r="AG239" s="3120"/>
      <c r="AH239" s="3120"/>
      <c r="AI239" s="3120" t="str">
        <f>"26:sougei_code:" &amp; IF(I239="■",1,IF(M239="■",2,0))</f>
        <v>26:sougei_code:0</v>
      </c>
      <c r="AJ239" s="3120"/>
    </row>
    <row r="240" spans="1:36" ht="19.5" hidden="1" customHeight="1" x14ac:dyDescent="0.2">
      <c r="A240" s="3158" t="s">
        <v>116</v>
      </c>
      <c r="B240" s="3148">
        <v>26</v>
      </c>
      <c r="C240" s="3147" t="s">
        <v>641</v>
      </c>
      <c r="D240" s="3158" t="s">
        <v>117</v>
      </c>
      <c r="E240" s="3145" t="s">
        <v>2330</v>
      </c>
      <c r="F240" s="3158" t="s">
        <v>116</v>
      </c>
      <c r="G240" s="3145" t="s">
        <v>2221</v>
      </c>
      <c r="H240" s="3174" t="s">
        <v>1236</v>
      </c>
      <c r="I240" s="3303" t="s">
        <v>116</v>
      </c>
      <c r="J240" s="3137" t="s">
        <v>1230</v>
      </c>
      <c r="K240" s="3137"/>
      <c r="L240" s="3154" t="s">
        <v>116</v>
      </c>
      <c r="M240" s="3137" t="s">
        <v>1233</v>
      </c>
      <c r="N240" s="3137"/>
      <c r="O240" s="3150"/>
      <c r="P240" s="3137"/>
      <c r="Q240" s="3150"/>
      <c r="R240" s="3150"/>
      <c r="S240" s="3150"/>
      <c r="T240" s="3150"/>
      <c r="U240" s="3150"/>
      <c r="V240" s="3150"/>
      <c r="W240" s="3150"/>
      <c r="X240" s="3149"/>
      <c r="Y240" s="1201"/>
      <c r="Z240" s="1201"/>
      <c r="AA240" s="1201"/>
      <c r="AB240" s="1202"/>
      <c r="AC240" s="3509"/>
      <c r="AD240" s="3508"/>
      <c r="AE240" s="3508"/>
      <c r="AF240" s="3507"/>
      <c r="AG240" s="3120"/>
      <c r="AH240" s="3120"/>
      <c r="AI240" s="3120" t="str">
        <f>"26:field224:" &amp; IF(I240="■",1,IF(L240="■",2,0))</f>
        <v>26:field224:0</v>
      </c>
      <c r="AJ240" s="3120"/>
    </row>
    <row r="241" spans="1:36" ht="18.75" hidden="1" customHeight="1" x14ac:dyDescent="0.2">
      <c r="A241" s="834"/>
      <c r="B241" s="3148"/>
      <c r="C241" s="3147"/>
      <c r="D241" s="3146"/>
      <c r="E241" s="3145"/>
      <c r="F241" s="3144"/>
      <c r="G241" s="3145" t="s">
        <v>2220</v>
      </c>
      <c r="H241" s="3151" t="s">
        <v>140</v>
      </c>
      <c r="I241" s="3303" t="s">
        <v>116</v>
      </c>
      <c r="J241" s="3137" t="s">
        <v>1230</v>
      </c>
      <c r="K241" s="3171"/>
      <c r="L241" s="3154" t="s">
        <v>116</v>
      </c>
      <c r="M241" s="3137" t="s">
        <v>1233</v>
      </c>
      <c r="N241" s="3150"/>
      <c r="O241" s="3150"/>
      <c r="P241" s="3150"/>
      <c r="Q241" s="3150"/>
      <c r="R241" s="3150"/>
      <c r="S241" s="3150"/>
      <c r="T241" s="3150"/>
      <c r="U241" s="3150"/>
      <c r="V241" s="3150"/>
      <c r="W241" s="3150"/>
      <c r="X241" s="3149"/>
      <c r="Y241" s="3293"/>
      <c r="Z241" s="1201"/>
      <c r="AA241" s="1201"/>
      <c r="AB241" s="1202"/>
      <c r="AC241" s="3509"/>
      <c r="AD241" s="3508"/>
      <c r="AE241" s="3508"/>
      <c r="AF241" s="3507"/>
      <c r="AG241" s="3120"/>
      <c r="AH241" s="3120"/>
      <c r="AI241" s="3120" t="str">
        <f>"26:ryouyoushoku_code:" &amp; IF(I241="■",1,IF(L241="■",2,0))</f>
        <v>26:ryouyoushoku_code:0</v>
      </c>
      <c r="AJ241" s="3120"/>
    </row>
    <row r="242" spans="1:36" ht="18.75" hidden="1" customHeight="1" x14ac:dyDescent="0.2">
      <c r="A242" s="834"/>
      <c r="B242" s="3148"/>
      <c r="C242" s="3147"/>
      <c r="D242" s="3146"/>
      <c r="E242" s="3145"/>
      <c r="F242" s="3158" t="s">
        <v>116</v>
      </c>
      <c r="G242" s="3145" t="s">
        <v>2218</v>
      </c>
      <c r="H242" s="3151" t="s">
        <v>2219</v>
      </c>
      <c r="I242" s="3303" t="s">
        <v>116</v>
      </c>
      <c r="J242" s="3137" t="s">
        <v>1230</v>
      </c>
      <c r="K242" s="3137"/>
      <c r="L242" s="3154" t="s">
        <v>116</v>
      </c>
      <c r="M242" s="3137" t="s">
        <v>1231</v>
      </c>
      <c r="N242" s="3137"/>
      <c r="O242" s="3154" t="s">
        <v>116</v>
      </c>
      <c r="P242" s="3137" t="s">
        <v>1232</v>
      </c>
      <c r="Q242" s="3150"/>
      <c r="R242" s="3150"/>
      <c r="S242" s="3150"/>
      <c r="T242" s="3150"/>
      <c r="U242" s="3150"/>
      <c r="V242" s="3150"/>
      <c r="W242" s="3150"/>
      <c r="X242" s="3149"/>
      <c r="Y242" s="3293"/>
      <c r="Z242" s="1201"/>
      <c r="AA242" s="1201"/>
      <c r="AB242" s="1202"/>
      <c r="AC242" s="3509"/>
      <c r="AD242" s="3508"/>
      <c r="AE242" s="3508"/>
      <c r="AF242" s="3507"/>
      <c r="AG242" s="3120"/>
      <c r="AH242" s="3120"/>
      <c r="AI242" s="3120" t="str">
        <f>"26:ninti_senmoncare_code:" &amp; IF(I242="■",1,IF(O242="■",3,IF(L242="■",2,0)))</f>
        <v>26:ninti_senmoncare_code:0</v>
      </c>
      <c r="AJ242" s="3120"/>
    </row>
    <row r="243" spans="1:36" ht="18.75" hidden="1" customHeight="1" x14ac:dyDescent="0.2">
      <c r="A243" s="834"/>
      <c r="B243" s="3148"/>
      <c r="C243" s="3147"/>
      <c r="D243" s="3146"/>
      <c r="E243" s="3145"/>
      <c r="F243" s="3144"/>
      <c r="G243" s="3145" t="s">
        <v>2217</v>
      </c>
      <c r="H243" s="3423" t="s">
        <v>2228</v>
      </c>
      <c r="I243" s="3303" t="s">
        <v>116</v>
      </c>
      <c r="J243" s="3302" t="s">
        <v>1287</v>
      </c>
      <c r="K243" s="3302"/>
      <c r="L243" s="3209"/>
      <c r="M243" s="3209"/>
      <c r="N243" s="3209"/>
      <c r="O243" s="3209"/>
      <c r="P243" s="3301" t="s">
        <v>116</v>
      </c>
      <c r="Q243" s="3302" t="s">
        <v>1288</v>
      </c>
      <c r="R243" s="3209"/>
      <c r="S243" s="3209"/>
      <c r="T243" s="3209"/>
      <c r="U243" s="3209"/>
      <c r="V243" s="3209"/>
      <c r="W243" s="3209"/>
      <c r="X243" s="3208"/>
      <c r="Y243" s="3293"/>
      <c r="Z243" s="1201"/>
      <c r="AA243" s="1201"/>
      <c r="AB243" s="1202"/>
      <c r="AC243" s="3509"/>
      <c r="AD243" s="3508"/>
      <c r="AE243" s="3508"/>
      <c r="AF243" s="3507"/>
      <c r="AI243" s="3120" t="str">
        <f>"26:" &amp; IF(AND(I243="□",P243="□",I244="□"),"tokusin_jyusho_code:0:tokusin_yakuzai_code:0:shuudan_comu_code:0",IF(I243="■","tokusin_jyusho_code:2","tokusin_jyusho_code:1")
&amp;IF(P243="■",":tokusin_yakuzai_code:2",":tokusin_yakuzai_code:1")
&amp;IF(I244="■",":shuudan_comu_code:2",":shuudan_comu_code:1"))</f>
        <v>26:tokusin_jyusho_code:0:tokusin_yakuzai_code:0:shuudan_comu_code:0</v>
      </c>
    </row>
    <row r="244" spans="1:36" ht="18.75" hidden="1" customHeight="1" x14ac:dyDescent="0.2">
      <c r="A244" s="834"/>
      <c r="B244" s="3148"/>
      <c r="C244" s="3147"/>
      <c r="D244" s="834"/>
      <c r="E244" s="3145"/>
      <c r="F244" s="834"/>
      <c r="G244" s="3145"/>
      <c r="H244" s="3423"/>
      <c r="I244" s="3158" t="s">
        <v>116</v>
      </c>
      <c r="J244" s="3139" t="s">
        <v>1294</v>
      </c>
      <c r="K244" s="3207"/>
      <c r="L244" s="3207"/>
      <c r="M244" s="3207"/>
      <c r="N244" s="3207"/>
      <c r="O244" s="3207"/>
      <c r="P244" s="3207"/>
      <c r="Q244" s="3162"/>
      <c r="R244" s="3207"/>
      <c r="S244" s="3207"/>
      <c r="T244" s="3207"/>
      <c r="U244" s="3207"/>
      <c r="V244" s="3207"/>
      <c r="W244" s="3207"/>
      <c r="X244" s="3206"/>
      <c r="Y244" s="3293"/>
      <c r="Z244" s="1201"/>
      <c r="AA244" s="1201"/>
      <c r="AB244" s="1202"/>
      <c r="AC244" s="3509"/>
      <c r="AD244" s="3508"/>
      <c r="AE244" s="3508"/>
      <c r="AF244" s="3507"/>
    </row>
    <row r="245" spans="1:36" ht="18.75" hidden="1" customHeight="1" x14ac:dyDescent="0.2">
      <c r="A245" s="834"/>
      <c r="B245" s="3148"/>
      <c r="C245" s="3147"/>
      <c r="D245" s="3146"/>
      <c r="E245" s="3145"/>
      <c r="F245" s="834"/>
      <c r="G245" s="3145"/>
      <c r="H245" s="3296" t="s">
        <v>1285</v>
      </c>
      <c r="I245" s="3303" t="s">
        <v>116</v>
      </c>
      <c r="J245" s="3137" t="s">
        <v>1230</v>
      </c>
      <c r="K245" s="3137"/>
      <c r="L245" s="3154" t="s">
        <v>116</v>
      </c>
      <c r="M245" s="3137" t="s">
        <v>1231</v>
      </c>
      <c r="N245" s="3137"/>
      <c r="O245" s="3154" t="s">
        <v>116</v>
      </c>
      <c r="P245" s="3137" t="s">
        <v>1232</v>
      </c>
      <c r="Q245" s="3150"/>
      <c r="R245" s="3150"/>
      <c r="S245" s="3150"/>
      <c r="T245" s="3150"/>
      <c r="U245" s="3209"/>
      <c r="V245" s="3209"/>
      <c r="W245" s="3209"/>
      <c r="X245" s="3208"/>
      <c r="Y245" s="3293"/>
      <c r="Z245" s="1201"/>
      <c r="AA245" s="1201"/>
      <c r="AB245" s="1202"/>
      <c r="AC245" s="3509"/>
      <c r="AD245" s="3508"/>
      <c r="AE245" s="3508"/>
      <c r="AF245" s="3507"/>
      <c r="AI245" s="3120" t="str">
        <f>"26:field225:" &amp; IF(I245="■",1,IF(L245="■",2,IF(O245="■",3,0)))</f>
        <v>26:field225:0</v>
      </c>
    </row>
    <row r="246" spans="1:36" ht="18.75" hidden="1" customHeight="1" x14ac:dyDescent="0.2">
      <c r="A246" s="834"/>
      <c r="B246" s="3148"/>
      <c r="C246" s="3147"/>
      <c r="D246" s="3146"/>
      <c r="E246" s="3145"/>
      <c r="F246" s="834"/>
      <c r="G246" s="3145"/>
      <c r="H246" s="3423" t="s">
        <v>1300</v>
      </c>
      <c r="I246" s="3303" t="s">
        <v>116</v>
      </c>
      <c r="J246" s="3302" t="s">
        <v>1295</v>
      </c>
      <c r="K246" s="3317"/>
      <c r="L246" s="3316"/>
      <c r="M246" s="3301" t="s">
        <v>116</v>
      </c>
      <c r="N246" s="3302" t="s">
        <v>1296</v>
      </c>
      <c r="O246" s="3209"/>
      <c r="P246" s="3209"/>
      <c r="Q246" s="3301" t="s">
        <v>116</v>
      </c>
      <c r="R246" s="3302" t="s">
        <v>1297</v>
      </c>
      <c r="S246" s="3209"/>
      <c r="T246" s="3209"/>
      <c r="U246" s="3209"/>
      <c r="V246" s="3209"/>
      <c r="W246" s="3209"/>
      <c r="X246" s="3208"/>
      <c r="Y246" s="3293"/>
      <c r="Z246" s="1201"/>
      <c r="AA246" s="1201"/>
      <c r="AB246" s="1202"/>
      <c r="AC246" s="3509"/>
      <c r="AD246" s="3508"/>
      <c r="AE246" s="3508"/>
      <c r="AF246" s="3507"/>
      <c r="AI246" s="3120" t="str">
        <f>"26:"&amp;IF(AND(I246="□",M246="□",Q246="□",I247="□",Q247="□"),"koriha_rryoho1_code:0:koriha_sryoho_code:0:koriha_gengo_code:0:riha_seisin_code:0:koriha_other_code:0",IF(I246="■","koriha_rryoho1_code:2","koriha_rryoho1_code:1")
&amp;IF(M246="■",":koriha_sryoho_code:2",":koriha_sryoho_code:1")
&amp;IF(Q246="■",":koriha_gengo_code:2",":koriha_gengo_code:1")
&amp;IF(I247="■",":riha_seisin_code:2",":riha_seisin_code:1")
&amp;IF(Q247="■",":koriha_other_code:2",":koriha_other_code:1"))</f>
        <v>26:koriha_rryoho1_code:0:koriha_sryoho_code:0:koriha_gengo_code:0:riha_seisin_code:0:koriha_other_code:0</v>
      </c>
    </row>
    <row r="247" spans="1:36" ht="18.75" hidden="1" customHeight="1" x14ac:dyDescent="0.2">
      <c r="A247" s="834"/>
      <c r="B247" s="3148"/>
      <c r="C247" s="3147"/>
      <c r="D247" s="3146"/>
      <c r="E247" s="3145"/>
      <c r="F247" s="834"/>
      <c r="G247" s="3145"/>
      <c r="H247" s="3423"/>
      <c r="I247" s="3158" t="s">
        <v>116</v>
      </c>
      <c r="J247" s="3139" t="s">
        <v>1298</v>
      </c>
      <c r="K247" s="3207"/>
      <c r="L247" s="3207"/>
      <c r="M247" s="3207"/>
      <c r="N247" s="3207"/>
      <c r="O247" s="3207"/>
      <c r="P247" s="3207"/>
      <c r="Q247" s="3140" t="s">
        <v>116</v>
      </c>
      <c r="R247" s="3139" t="s">
        <v>1299</v>
      </c>
      <c r="S247" s="3162"/>
      <c r="T247" s="3207"/>
      <c r="U247" s="3207"/>
      <c r="V247" s="3207"/>
      <c r="W247" s="3207"/>
      <c r="X247" s="3206"/>
      <c r="Y247" s="3293"/>
      <c r="Z247" s="1201"/>
      <c r="AA247" s="1201"/>
      <c r="AB247" s="1202"/>
      <c r="AC247" s="3509"/>
      <c r="AD247" s="3508"/>
      <c r="AE247" s="3508"/>
      <c r="AF247" s="3507"/>
      <c r="AI247" s="3120"/>
    </row>
    <row r="248" spans="1:36" ht="18.75" hidden="1" customHeight="1" x14ac:dyDescent="0.2">
      <c r="A248" s="834"/>
      <c r="B248" s="3148"/>
      <c r="C248" s="3147"/>
      <c r="D248" s="3146"/>
      <c r="E248" s="3145"/>
      <c r="F248" s="3144"/>
      <c r="G248" s="3145"/>
      <c r="H248" s="3151" t="s">
        <v>238</v>
      </c>
      <c r="I248" s="3303" t="s">
        <v>116</v>
      </c>
      <c r="J248" s="3137" t="s">
        <v>1230</v>
      </c>
      <c r="K248" s="3137"/>
      <c r="L248" s="3154" t="s">
        <v>116</v>
      </c>
      <c r="M248" s="3137" t="s">
        <v>1259</v>
      </c>
      <c r="N248" s="3137"/>
      <c r="O248" s="3154" t="s">
        <v>116</v>
      </c>
      <c r="P248" s="3137" t="s">
        <v>1260</v>
      </c>
      <c r="Q248" s="3153"/>
      <c r="R248" s="3154" t="s">
        <v>116</v>
      </c>
      <c r="S248" s="3137" t="s">
        <v>1261</v>
      </c>
      <c r="T248" s="3153"/>
      <c r="U248" s="3153"/>
      <c r="V248" s="3153"/>
      <c r="W248" s="3153"/>
      <c r="X248" s="3152"/>
      <c r="Y248" s="3293"/>
      <c r="Z248" s="1201"/>
      <c r="AA248" s="1201"/>
      <c r="AB248" s="1202"/>
      <c r="AC248" s="3509"/>
      <c r="AD248" s="3508"/>
      <c r="AE248" s="3508"/>
      <c r="AF248" s="3507"/>
      <c r="AI248" s="3120" t="str">
        <f>"26:serteikyo_kyoka_code:" &amp; IF(I248="■",1,IF(L248="■",6,IF(O248="■",5,IF(R248="■",7,0))))</f>
        <v>26:serteikyo_kyoka_code:0</v>
      </c>
    </row>
    <row r="249" spans="1:36" ht="18.75" hidden="1" customHeight="1" x14ac:dyDescent="0.2">
      <c r="A249" s="834"/>
      <c r="B249" s="3148"/>
      <c r="C249" s="3147"/>
      <c r="D249" s="3146"/>
      <c r="E249" s="3145"/>
      <c r="F249" s="3144"/>
      <c r="G249" s="3145"/>
      <c r="H249" s="3170" t="s">
        <v>2058</v>
      </c>
      <c r="I249" s="3346" t="s">
        <v>116</v>
      </c>
      <c r="J249" s="3347" t="s">
        <v>1230</v>
      </c>
      <c r="K249" s="3347"/>
      <c r="L249" s="3346" t="s">
        <v>116</v>
      </c>
      <c r="M249" s="3347" t="s">
        <v>1233</v>
      </c>
      <c r="N249" s="3347"/>
      <c r="O249" s="3167"/>
      <c r="P249" s="3167"/>
      <c r="Q249" s="3167"/>
      <c r="R249" s="3167"/>
      <c r="S249" s="3167"/>
      <c r="T249" s="3167"/>
      <c r="U249" s="3167"/>
      <c r="V249" s="3167"/>
      <c r="W249" s="3167"/>
      <c r="X249" s="3166"/>
      <c r="Y249" s="3293"/>
      <c r="Z249" s="1201"/>
      <c r="AA249" s="1201"/>
      <c r="AB249" s="1202"/>
      <c r="AC249" s="3509"/>
      <c r="AD249" s="3508"/>
      <c r="AE249" s="3508"/>
      <c r="AF249" s="3507"/>
      <c r="AI249" s="3120" t="str">
        <f>"26:field221:" &amp; IF(I249="■",1,IF(L249="■",2,0))</f>
        <v>26:field221:0</v>
      </c>
    </row>
    <row r="250" spans="1:36" ht="18.75" hidden="1" customHeight="1" x14ac:dyDescent="0.2">
      <c r="A250" s="834"/>
      <c r="B250" s="3148"/>
      <c r="C250" s="3147"/>
      <c r="D250" s="3146"/>
      <c r="E250" s="3145"/>
      <c r="F250" s="3144"/>
      <c r="G250" s="3145"/>
      <c r="H250" s="3165"/>
      <c r="I250" s="3346"/>
      <c r="J250" s="3347"/>
      <c r="K250" s="3347"/>
      <c r="L250" s="3346"/>
      <c r="M250" s="3347"/>
      <c r="N250" s="3347"/>
      <c r="O250" s="3162"/>
      <c r="P250" s="3162"/>
      <c r="Q250" s="3162"/>
      <c r="R250" s="3162"/>
      <c r="S250" s="3162"/>
      <c r="T250" s="3162"/>
      <c r="U250" s="3162"/>
      <c r="V250" s="3162"/>
      <c r="W250" s="3162"/>
      <c r="X250" s="3161"/>
      <c r="Y250" s="3293"/>
      <c r="Z250" s="1201"/>
      <c r="AA250" s="1201"/>
      <c r="AB250" s="1202"/>
      <c r="AC250" s="3509"/>
      <c r="AD250" s="3508"/>
      <c r="AE250" s="3508"/>
      <c r="AF250" s="3507"/>
    </row>
    <row r="251" spans="1:36" ht="18.75" hidden="1" customHeight="1" x14ac:dyDescent="0.2">
      <c r="A251" s="835"/>
      <c r="B251" s="3135"/>
      <c r="C251" s="3134"/>
      <c r="D251" s="3133"/>
      <c r="E251" s="3132"/>
      <c r="F251" s="3131"/>
      <c r="G251" s="3189"/>
      <c r="H251" s="3289" t="s">
        <v>2129</v>
      </c>
      <c r="I251" s="3128" t="s">
        <v>116</v>
      </c>
      <c r="J251" s="3285" t="s">
        <v>1230</v>
      </c>
      <c r="K251" s="3285"/>
      <c r="L251" s="3127" t="s">
        <v>116</v>
      </c>
      <c r="M251" s="3285" t="s">
        <v>2128</v>
      </c>
      <c r="N251" s="3288"/>
      <c r="O251" s="3127" t="s">
        <v>116</v>
      </c>
      <c r="P251" s="3287" t="s">
        <v>2127</v>
      </c>
      <c r="Q251" s="3286"/>
      <c r="R251" s="3127" t="s">
        <v>116</v>
      </c>
      <c r="S251" s="3285" t="s">
        <v>2126</v>
      </c>
      <c r="T251" s="3286"/>
      <c r="U251" s="3127" t="s">
        <v>116</v>
      </c>
      <c r="V251" s="3285" t="s">
        <v>2125</v>
      </c>
      <c r="W251" s="3284"/>
      <c r="X251" s="3283"/>
      <c r="Y251" s="3282"/>
      <c r="Z251" s="3282"/>
      <c r="AA251" s="3282"/>
      <c r="AB251" s="3281"/>
      <c r="AC251" s="3506"/>
      <c r="AD251" s="3505"/>
      <c r="AE251" s="3505"/>
      <c r="AF251" s="3504"/>
      <c r="AG251" s="3120"/>
      <c r="AH251" s="3120"/>
      <c r="AI251" s="3120" t="str">
        <f>"26:shoguukaizen_code:"&amp;IF(I251="■",1,IF(L251="■",7,IF(O251="■",8,IF(R251="■",9,IF(U251="■","A",0)))))</f>
        <v>26:shoguukaizen_code:0</v>
      </c>
    </row>
    <row r="252" spans="1:36" ht="18.75" hidden="1" customHeight="1" x14ac:dyDescent="0.2">
      <c r="A252" s="3188"/>
      <c r="B252" s="3187"/>
      <c r="C252" s="3229"/>
      <c r="D252" s="3228"/>
      <c r="E252" s="3185"/>
      <c r="F252" s="3184"/>
      <c r="G252" s="3185"/>
      <c r="H252" s="3265" t="s">
        <v>1286</v>
      </c>
      <c r="I252" s="3253" t="s">
        <v>116</v>
      </c>
      <c r="J252" s="3252" t="s">
        <v>1282</v>
      </c>
      <c r="K252" s="3311"/>
      <c r="L252" s="3386"/>
      <c r="M252" s="3310" t="s">
        <v>116</v>
      </c>
      <c r="N252" s="3252" t="s">
        <v>1289</v>
      </c>
      <c r="O252" s="3309"/>
      <c r="P252" s="3309"/>
      <c r="Q252" s="3310" t="s">
        <v>116</v>
      </c>
      <c r="R252" s="3252" t="s">
        <v>1290</v>
      </c>
      <c r="S252" s="3309"/>
      <c r="T252" s="3309"/>
      <c r="U252" s="3310" t="s">
        <v>116</v>
      </c>
      <c r="V252" s="3252" t="s">
        <v>1291</v>
      </c>
      <c r="W252" s="3309"/>
      <c r="X252" s="3266"/>
      <c r="Y252" s="3310" t="s">
        <v>116</v>
      </c>
      <c r="Z252" s="3252" t="s">
        <v>1225</v>
      </c>
      <c r="AA252" s="3252"/>
      <c r="AB252" s="3308"/>
      <c r="AC252" s="3497"/>
      <c r="AD252" s="3511"/>
      <c r="AE252" s="3511"/>
      <c r="AF252" s="3510"/>
      <c r="AG252" s="3120" t="str">
        <f>"ser_code = '" &amp; IF(A262="■",26,"") &amp; "'"</f>
        <v>ser_code = ''</v>
      </c>
      <c r="AH252" s="3120" t="str">
        <f>"26:jininkbn_code:" &amp; IF(F262="■",2,IF(F263="■",3,0))</f>
        <v>26:jininkbn_code:0</v>
      </c>
      <c r="AI252" s="3120" t="str">
        <f>"26:yakan_kinmu_code:" &amp; IF(I252="■",1,IF(M252="■",2,IF(Q252="■",3,IF(U252="■",7,IF(I253="■",5,IF(M253="■",6,0))))))</f>
        <v>26:yakan_kinmu_code:0</v>
      </c>
      <c r="AJ252" s="3120" t="str">
        <f>"26:field203:" &amp; IF(Y252="■",1,IF(Y253="■",2,0))</f>
        <v>26:field203:0</v>
      </c>
    </row>
    <row r="253" spans="1:36" ht="18.75" hidden="1" customHeight="1" x14ac:dyDescent="0.2">
      <c r="A253" s="834"/>
      <c r="B253" s="3148"/>
      <c r="C253" s="3147"/>
      <c r="D253" s="3146"/>
      <c r="E253" s="3145"/>
      <c r="F253" s="3144"/>
      <c r="G253" s="3145"/>
      <c r="H253" s="3300"/>
      <c r="I253" s="3158" t="s">
        <v>116</v>
      </c>
      <c r="J253" s="3139" t="s">
        <v>1292</v>
      </c>
      <c r="K253" s="3138"/>
      <c r="L253" s="3385"/>
      <c r="M253" s="3140" t="s">
        <v>116</v>
      </c>
      <c r="N253" s="3139" t="s">
        <v>1283</v>
      </c>
      <c r="O253" s="3162"/>
      <c r="P253" s="3162"/>
      <c r="Q253" s="3162"/>
      <c r="R253" s="3162"/>
      <c r="S253" s="3162"/>
      <c r="T253" s="3162"/>
      <c r="U253" s="3162"/>
      <c r="V253" s="3162"/>
      <c r="W253" s="3162"/>
      <c r="X253" s="3161"/>
      <c r="Y253" s="3258" t="s">
        <v>116</v>
      </c>
      <c r="Z253" s="1200" t="s">
        <v>1226</v>
      </c>
      <c r="AA253" s="1201"/>
      <c r="AB253" s="1202"/>
      <c r="AC253" s="3509"/>
      <c r="AD253" s="3508"/>
      <c r="AE253" s="3508"/>
      <c r="AF253" s="3507"/>
      <c r="AG253" s="3120" t="str">
        <f>"26:sisetukbn_code:"&amp;IF(D262="■","A",IF(D263="■","C",0))</f>
        <v>26:sisetukbn_code:0</v>
      </c>
      <c r="AH253" s="3120"/>
      <c r="AI253" s="3120"/>
      <c r="AJ253" s="3120"/>
    </row>
    <row r="254" spans="1:36" ht="18.75" hidden="1" customHeight="1" x14ac:dyDescent="0.2">
      <c r="A254" s="834"/>
      <c r="B254" s="3148"/>
      <c r="C254" s="3147"/>
      <c r="D254" s="3146"/>
      <c r="E254" s="3145"/>
      <c r="F254" s="3144"/>
      <c r="G254" s="3145"/>
      <c r="H254" s="3151" t="s">
        <v>90</v>
      </c>
      <c r="I254" s="3303" t="s">
        <v>116</v>
      </c>
      <c r="J254" s="3137" t="s">
        <v>1230</v>
      </c>
      <c r="K254" s="3137"/>
      <c r="L254" s="3173"/>
      <c r="M254" s="3154" t="s">
        <v>116</v>
      </c>
      <c r="N254" s="3137" t="s">
        <v>1262</v>
      </c>
      <c r="O254" s="3137"/>
      <c r="P254" s="3173"/>
      <c r="Q254" s="3154" t="s">
        <v>116</v>
      </c>
      <c r="R254" s="3153" t="s">
        <v>1263</v>
      </c>
      <c r="S254" s="3153"/>
      <c r="T254" s="3153"/>
      <c r="U254" s="3154" t="s">
        <v>116</v>
      </c>
      <c r="V254" s="3153" t="s">
        <v>1264</v>
      </c>
      <c r="W254" s="3150"/>
      <c r="X254" s="3149"/>
      <c r="Y254" s="3293"/>
      <c r="Z254" s="1201"/>
      <c r="AA254" s="1201"/>
      <c r="AB254" s="1202"/>
      <c r="AC254" s="3509"/>
      <c r="AD254" s="3508"/>
      <c r="AE254" s="3508"/>
      <c r="AF254" s="3507"/>
      <c r="AI254" s="3120" t="str">
        <f>"26:"&amp;IF(AND(I254="□",M254="□",Q254="□",U254="□"),"ketu_doctor_code:0",IF(I254="■","ketu_doctor_code:1:ketu_kangos_code:1:ketu_kshoku_code:1",
IF(M254="■","ketu_doctor_code:2","ketu_doctor_code:1")
&amp;IF(Q254="■",":ketu_kangos_code:2",":ketu_kangos_code:1")
&amp;IF(U254="■",":ketu_kshoku_code:2",":ketu_kshoku_code:1")))</f>
        <v>26:ketu_doctor_code:0</v>
      </c>
    </row>
    <row r="255" spans="1:36" ht="18.75" hidden="1" customHeight="1" x14ac:dyDescent="0.2">
      <c r="A255" s="834"/>
      <c r="B255" s="3148"/>
      <c r="C255" s="3147"/>
      <c r="D255" s="3146"/>
      <c r="E255" s="3145"/>
      <c r="F255" s="3144"/>
      <c r="G255" s="3145"/>
      <c r="H255" s="3151" t="s">
        <v>91</v>
      </c>
      <c r="I255" s="3303" t="s">
        <v>116</v>
      </c>
      <c r="J255" s="3137" t="s">
        <v>1240</v>
      </c>
      <c r="K255" s="3171"/>
      <c r="L255" s="3173"/>
      <c r="M255" s="3154" t="s">
        <v>116</v>
      </c>
      <c r="N255" s="3137" t="s">
        <v>1241</v>
      </c>
      <c r="O255" s="3150"/>
      <c r="P255" s="3150"/>
      <c r="Q255" s="3150"/>
      <c r="R255" s="3150"/>
      <c r="S255" s="3150"/>
      <c r="T255" s="3150"/>
      <c r="U255" s="3150"/>
      <c r="V255" s="3150"/>
      <c r="W255" s="3150"/>
      <c r="X255" s="3149"/>
      <c r="Y255" s="3293"/>
      <c r="Z255" s="1201"/>
      <c r="AA255" s="1201"/>
      <c r="AB255" s="1202"/>
      <c r="AC255" s="3509"/>
      <c r="AD255" s="3508"/>
      <c r="AE255" s="3508"/>
      <c r="AF255" s="3507"/>
      <c r="AI255" s="3120" t="str">
        <f>"26:unitcare_code:" &amp; IF(I255="■",1,IF(M255="■",2,0))</f>
        <v>26:unitcare_code:0</v>
      </c>
    </row>
    <row r="256" spans="1:36" s="3120" customFormat="1" ht="18.75" hidden="1" customHeight="1" x14ac:dyDescent="0.2">
      <c r="A256" s="834"/>
      <c r="B256" s="3148"/>
      <c r="C256" s="3295"/>
      <c r="D256" s="3294"/>
      <c r="E256" s="3145"/>
      <c r="F256" s="3144"/>
      <c r="G256" s="3175"/>
      <c r="H256" s="3381" t="s">
        <v>1325</v>
      </c>
      <c r="I256" s="3222" t="s">
        <v>116</v>
      </c>
      <c r="J256" s="3217" t="s">
        <v>1228</v>
      </c>
      <c r="K256" s="3221"/>
      <c r="L256" s="3220"/>
      <c r="M256" s="3219" t="s">
        <v>116</v>
      </c>
      <c r="N256" s="3217" t="s">
        <v>1322</v>
      </c>
      <c r="O256" s="3221"/>
      <c r="P256" s="3380"/>
      <c r="Q256" s="3380"/>
      <c r="R256" s="3380"/>
      <c r="S256" s="3380"/>
      <c r="T256" s="3380"/>
      <c r="U256" s="3380"/>
      <c r="V256" s="3380"/>
      <c r="W256" s="3380"/>
      <c r="X256" s="3379"/>
      <c r="Y256" s="3293"/>
      <c r="Z256" s="1201"/>
      <c r="AA256" s="1201"/>
      <c r="AB256" s="1202"/>
      <c r="AC256" s="3509"/>
      <c r="AD256" s="3508"/>
      <c r="AE256" s="3508"/>
      <c r="AF256" s="3507"/>
      <c r="AI256" s="3120" t="str">
        <f>"26:sintaikousoku_code:" &amp; IF(I256="■",1,IF(M256="■",2,0))</f>
        <v>26:sintaikousoku_code:0</v>
      </c>
    </row>
    <row r="257" spans="1:35" ht="19.5" hidden="1" customHeight="1" x14ac:dyDescent="0.2">
      <c r="A257" s="834"/>
      <c r="B257" s="3148"/>
      <c r="C257" s="3147"/>
      <c r="D257" s="3146"/>
      <c r="E257" s="3145"/>
      <c r="F257" s="3144"/>
      <c r="G257" s="3175"/>
      <c r="H257" s="3174" t="s">
        <v>1227</v>
      </c>
      <c r="I257" s="3303" t="s">
        <v>116</v>
      </c>
      <c r="J257" s="3137" t="s">
        <v>1228</v>
      </c>
      <c r="K257" s="3171"/>
      <c r="L257" s="3173"/>
      <c r="M257" s="3154" t="s">
        <v>116</v>
      </c>
      <c r="N257" s="3137" t="s">
        <v>1229</v>
      </c>
      <c r="O257" s="3137"/>
      <c r="P257" s="3137"/>
      <c r="Q257" s="3150"/>
      <c r="R257" s="3150"/>
      <c r="S257" s="3150"/>
      <c r="T257" s="3150"/>
      <c r="U257" s="3150"/>
      <c r="V257" s="3150"/>
      <c r="W257" s="3150"/>
      <c r="X257" s="3149"/>
      <c r="Y257" s="1201"/>
      <c r="Z257" s="1201"/>
      <c r="AA257" s="1201"/>
      <c r="AB257" s="1202"/>
      <c r="AC257" s="3509"/>
      <c r="AD257" s="3508"/>
      <c r="AE257" s="3508"/>
      <c r="AF257" s="3507"/>
      <c r="AI257" s="3120" t="str">
        <f>"26:field223:" &amp; IF(I257="■",1,IF(M257="■",2,0))</f>
        <v>26:field223:0</v>
      </c>
    </row>
    <row r="258" spans="1:35" ht="19.5" hidden="1" customHeight="1" x14ac:dyDescent="0.2">
      <c r="A258" s="834"/>
      <c r="B258" s="3148"/>
      <c r="C258" s="3147"/>
      <c r="D258" s="3146"/>
      <c r="E258" s="3145"/>
      <c r="F258" s="3144"/>
      <c r="G258" s="3175"/>
      <c r="H258" s="3174" t="s">
        <v>1253</v>
      </c>
      <c r="I258" s="3303" t="s">
        <v>116</v>
      </c>
      <c r="J258" s="3139" t="s">
        <v>1228</v>
      </c>
      <c r="K258" s="3138"/>
      <c r="L258" s="3385"/>
      <c r="M258" s="3140" t="s">
        <v>116</v>
      </c>
      <c r="N258" s="3139" t="s">
        <v>1229</v>
      </c>
      <c r="O258" s="3139"/>
      <c r="P258" s="3139"/>
      <c r="Q258" s="3207"/>
      <c r="R258" s="3207"/>
      <c r="S258" s="3207"/>
      <c r="T258" s="3207"/>
      <c r="U258" s="3207"/>
      <c r="V258" s="3207"/>
      <c r="W258" s="3207"/>
      <c r="X258" s="3206"/>
      <c r="Y258" s="1201"/>
      <c r="Z258" s="1200"/>
      <c r="AA258" s="1201"/>
      <c r="AB258" s="1202"/>
      <c r="AC258" s="3509"/>
      <c r="AD258" s="3508"/>
      <c r="AE258" s="3508"/>
      <c r="AF258" s="3507"/>
      <c r="AI258" s="3120" t="str">
        <f>"26:field232:" &amp; IF(I258="■",1,IF(M258="■",2,0))</f>
        <v>26:field232:0</v>
      </c>
    </row>
    <row r="259" spans="1:35" ht="18.75" hidden="1" customHeight="1" x14ac:dyDescent="0.2">
      <c r="A259" s="834"/>
      <c r="B259" s="3148"/>
      <c r="C259" s="3147"/>
      <c r="D259" s="3146"/>
      <c r="E259" s="3145"/>
      <c r="F259" s="3144"/>
      <c r="G259" s="3145"/>
      <c r="H259" s="3151" t="s">
        <v>2329</v>
      </c>
      <c r="I259" s="3303" t="s">
        <v>116</v>
      </c>
      <c r="J259" s="3137" t="s">
        <v>1282</v>
      </c>
      <c r="K259" s="3171"/>
      <c r="L259" s="3173"/>
      <c r="M259" s="3154" t="s">
        <v>116</v>
      </c>
      <c r="N259" s="3137" t="s">
        <v>1293</v>
      </c>
      <c r="O259" s="3153"/>
      <c r="P259" s="3153"/>
      <c r="Q259" s="3153"/>
      <c r="R259" s="3153"/>
      <c r="S259" s="3153"/>
      <c r="T259" s="3153"/>
      <c r="U259" s="3153"/>
      <c r="V259" s="3153"/>
      <c r="W259" s="3153"/>
      <c r="X259" s="3152"/>
      <c r="Y259" s="3293"/>
      <c r="Z259" s="1201"/>
      <c r="AA259" s="1201"/>
      <c r="AB259" s="1202"/>
      <c r="AC259" s="3509"/>
      <c r="AD259" s="3508"/>
      <c r="AE259" s="3508"/>
      <c r="AF259" s="3507"/>
      <c r="AI259" s="3120" t="str">
        <f>"26:ryokan_code:" &amp; IF(I259="■",1,IF(M259="■",2,0))</f>
        <v>26:ryokan_code:0</v>
      </c>
    </row>
    <row r="260" spans="1:35" ht="18.75" hidden="1" customHeight="1" x14ac:dyDescent="0.2">
      <c r="A260" s="834"/>
      <c r="B260" s="3148"/>
      <c r="C260" s="3147"/>
      <c r="D260" s="3146"/>
      <c r="E260" s="3145"/>
      <c r="F260" s="3144"/>
      <c r="G260" s="3145"/>
      <c r="H260" s="3151" t="s">
        <v>2241</v>
      </c>
      <c r="I260" s="3303" t="s">
        <v>116</v>
      </c>
      <c r="J260" s="3137" t="s">
        <v>2240</v>
      </c>
      <c r="K260" s="3171"/>
      <c r="L260" s="3173"/>
      <c r="M260" s="3154" t="s">
        <v>116</v>
      </c>
      <c r="N260" s="3137" t="s">
        <v>2239</v>
      </c>
      <c r="O260" s="3150"/>
      <c r="P260" s="3150"/>
      <c r="Q260" s="3150"/>
      <c r="R260" s="3153"/>
      <c r="S260" s="3150"/>
      <c r="T260" s="3150"/>
      <c r="U260" s="3150"/>
      <c r="V260" s="3150"/>
      <c r="W260" s="3150"/>
      <c r="X260" s="3149"/>
      <c r="Y260" s="3293"/>
      <c r="Z260" s="1201"/>
      <c r="AA260" s="1201"/>
      <c r="AB260" s="1202"/>
      <c r="AC260" s="3509"/>
      <c r="AD260" s="3508"/>
      <c r="AE260" s="3508"/>
      <c r="AF260" s="3507"/>
      <c r="AI260" s="3120" t="str">
        <f>"26:doctor_haiti_code:" &amp; IF(I260="■",1,IF(M260="■",2,0))</f>
        <v>26:doctor_haiti_code:0</v>
      </c>
    </row>
    <row r="261" spans="1:35" ht="18.75" hidden="1" customHeight="1" x14ac:dyDescent="0.2">
      <c r="A261" s="834"/>
      <c r="B261" s="3148"/>
      <c r="C261" s="3147"/>
      <c r="D261" s="3146"/>
      <c r="E261" s="3145"/>
      <c r="F261" s="3144"/>
      <c r="G261" s="3145"/>
      <c r="H261" s="3151" t="s">
        <v>1348</v>
      </c>
      <c r="I261" s="3303" t="s">
        <v>116</v>
      </c>
      <c r="J261" s="3137" t="s">
        <v>1230</v>
      </c>
      <c r="K261" s="3171"/>
      <c r="L261" s="3154" t="s">
        <v>116</v>
      </c>
      <c r="M261" s="3137" t="s">
        <v>1233</v>
      </c>
      <c r="N261" s="3150"/>
      <c r="O261" s="3150"/>
      <c r="P261" s="3150"/>
      <c r="Q261" s="3150"/>
      <c r="R261" s="3150"/>
      <c r="S261" s="3150"/>
      <c r="T261" s="3150"/>
      <c r="U261" s="3150"/>
      <c r="V261" s="3150"/>
      <c r="W261" s="3150"/>
      <c r="X261" s="3149"/>
      <c r="Y261" s="3293"/>
      <c r="Z261" s="1201"/>
      <c r="AA261" s="1201"/>
      <c r="AB261" s="1202"/>
      <c r="AC261" s="3509"/>
      <c r="AD261" s="3508"/>
      <c r="AE261" s="3508"/>
      <c r="AF261" s="3507"/>
      <c r="AI261" s="3120" t="str">
        <f>"26:jyakuninti_uke_code:" &amp; IF(I261="■",1,IF(L261="■",2,0))</f>
        <v>26:jyakuninti_uke_code:0</v>
      </c>
    </row>
    <row r="262" spans="1:35" ht="18.75" hidden="1" customHeight="1" x14ac:dyDescent="0.2">
      <c r="A262" s="3158" t="s">
        <v>116</v>
      </c>
      <c r="B262" s="3148">
        <v>26</v>
      </c>
      <c r="C262" s="3147" t="s">
        <v>2328</v>
      </c>
      <c r="D262" s="3158" t="s">
        <v>116</v>
      </c>
      <c r="E262" s="3145" t="s">
        <v>2238</v>
      </c>
      <c r="F262" s="3158" t="s">
        <v>116</v>
      </c>
      <c r="G262" s="3145" t="s">
        <v>2237</v>
      </c>
      <c r="H262" s="3151" t="s">
        <v>1284</v>
      </c>
      <c r="I262" s="3303" t="s">
        <v>116</v>
      </c>
      <c r="J262" s="3137" t="s">
        <v>1240</v>
      </c>
      <c r="K262" s="3171"/>
      <c r="L262" s="3173"/>
      <c r="M262" s="3154" t="s">
        <v>116</v>
      </c>
      <c r="N262" s="3137" t="s">
        <v>1241</v>
      </c>
      <c r="O262" s="3150"/>
      <c r="P262" s="3150"/>
      <c r="Q262" s="3150"/>
      <c r="R262" s="3150"/>
      <c r="S262" s="3150"/>
      <c r="T262" s="3150"/>
      <c r="U262" s="3150"/>
      <c r="V262" s="3150"/>
      <c r="W262" s="3150"/>
      <c r="X262" s="3149"/>
      <c r="Y262" s="3293"/>
      <c r="Z262" s="1201"/>
      <c r="AA262" s="1201"/>
      <c r="AB262" s="1202"/>
      <c r="AC262" s="3509"/>
      <c r="AD262" s="3508"/>
      <c r="AE262" s="3508"/>
      <c r="AF262" s="3507"/>
      <c r="AI262" s="3120" t="str">
        <f>"26:sougei_code:" &amp; IF(I262="■",1,IF(M262="■",2,0))</f>
        <v>26:sougei_code:0</v>
      </c>
    </row>
    <row r="263" spans="1:35" ht="19.5" hidden="1" customHeight="1" x14ac:dyDescent="0.2">
      <c r="A263" s="834"/>
      <c r="B263" s="3148"/>
      <c r="C263" s="3147"/>
      <c r="D263" s="3158" t="s">
        <v>116</v>
      </c>
      <c r="E263" s="3145" t="s">
        <v>2236</v>
      </c>
      <c r="F263" s="3158" t="s">
        <v>116</v>
      </c>
      <c r="G263" s="3145" t="s">
        <v>2235</v>
      </c>
      <c r="H263" s="3174" t="s">
        <v>1236</v>
      </c>
      <c r="I263" s="3303" t="s">
        <v>116</v>
      </c>
      <c r="J263" s="3137" t="s">
        <v>1230</v>
      </c>
      <c r="K263" s="3137"/>
      <c r="L263" s="3154" t="s">
        <v>116</v>
      </c>
      <c r="M263" s="3137" t="s">
        <v>1233</v>
      </c>
      <c r="N263" s="3137"/>
      <c r="O263" s="3150"/>
      <c r="P263" s="3137"/>
      <c r="Q263" s="3150"/>
      <c r="R263" s="3150"/>
      <c r="S263" s="3150"/>
      <c r="T263" s="3150"/>
      <c r="U263" s="3150"/>
      <c r="V263" s="3150"/>
      <c r="W263" s="3150"/>
      <c r="X263" s="3149"/>
      <c r="Y263" s="1201"/>
      <c r="Z263" s="1201"/>
      <c r="AA263" s="1201"/>
      <c r="AB263" s="1202"/>
      <c r="AC263" s="3509"/>
      <c r="AD263" s="3508"/>
      <c r="AE263" s="3508"/>
      <c r="AF263" s="3507"/>
      <c r="AI263" s="3120" t="str">
        <f>"26:field224:" &amp; IF(I263="■",1,IF(L263="■",2,0))</f>
        <v>26:field224:0</v>
      </c>
    </row>
    <row r="264" spans="1:35" ht="18.75" hidden="1" customHeight="1" x14ac:dyDescent="0.2">
      <c r="A264" s="834"/>
      <c r="B264" s="3148"/>
      <c r="C264" s="3147"/>
      <c r="D264" s="3146"/>
      <c r="E264" s="3145"/>
      <c r="F264" s="3144"/>
      <c r="G264" s="3145"/>
      <c r="H264" s="3151" t="s">
        <v>140</v>
      </c>
      <c r="I264" s="3303" t="s">
        <v>116</v>
      </c>
      <c r="J264" s="3137" t="s">
        <v>1230</v>
      </c>
      <c r="K264" s="3171"/>
      <c r="L264" s="3154" t="s">
        <v>116</v>
      </c>
      <c r="M264" s="3137" t="s">
        <v>1233</v>
      </c>
      <c r="N264" s="3150"/>
      <c r="O264" s="3150"/>
      <c r="P264" s="3150"/>
      <c r="Q264" s="3150"/>
      <c r="R264" s="3150"/>
      <c r="S264" s="3150"/>
      <c r="T264" s="3150"/>
      <c r="U264" s="3150"/>
      <c r="V264" s="3150"/>
      <c r="W264" s="3150"/>
      <c r="X264" s="3149"/>
      <c r="Y264" s="3293"/>
      <c r="Z264" s="1201"/>
      <c r="AA264" s="1201"/>
      <c r="AB264" s="1202"/>
      <c r="AC264" s="3509"/>
      <c r="AD264" s="3508"/>
      <c r="AE264" s="3508"/>
      <c r="AF264" s="3507"/>
      <c r="AI264" s="3120" t="str">
        <f>"26:ryouyoushoku_code:" &amp; IF(I264="■",1,IF(L264="■",2,0))</f>
        <v>26:ryouyoushoku_code:0</v>
      </c>
    </row>
    <row r="265" spans="1:35" ht="18.75" hidden="1" customHeight="1" x14ac:dyDescent="0.2">
      <c r="A265" s="834"/>
      <c r="B265" s="3148"/>
      <c r="C265" s="3147"/>
      <c r="D265" s="3146"/>
      <c r="E265" s="3145"/>
      <c r="F265" s="3144"/>
      <c r="G265" s="3145"/>
      <c r="H265" s="3151" t="s">
        <v>2219</v>
      </c>
      <c r="I265" s="3303" t="s">
        <v>116</v>
      </c>
      <c r="J265" s="3137" t="s">
        <v>1230</v>
      </c>
      <c r="K265" s="3137"/>
      <c r="L265" s="3154" t="s">
        <v>116</v>
      </c>
      <c r="M265" s="3137" t="s">
        <v>1231</v>
      </c>
      <c r="N265" s="3137"/>
      <c r="O265" s="3154" t="s">
        <v>116</v>
      </c>
      <c r="P265" s="3137" t="s">
        <v>1232</v>
      </c>
      <c r="Q265" s="3150"/>
      <c r="R265" s="3150"/>
      <c r="S265" s="3150"/>
      <c r="T265" s="3150"/>
      <c r="U265" s="3150"/>
      <c r="V265" s="3150"/>
      <c r="W265" s="3150"/>
      <c r="X265" s="3149"/>
      <c r="Y265" s="3293"/>
      <c r="Z265" s="1201"/>
      <c r="AA265" s="1201"/>
      <c r="AB265" s="1202"/>
      <c r="AC265" s="3509"/>
      <c r="AD265" s="3508"/>
      <c r="AE265" s="3508"/>
      <c r="AF265" s="3507"/>
      <c r="AI265" s="3120" t="str">
        <f>"26:ninti_senmoncare_code:" &amp; IF(I265="■",1,IF(O265="■",3,IF(L265="■",2,0)))</f>
        <v>26:ninti_senmoncare_code:0</v>
      </c>
    </row>
    <row r="266" spans="1:35" ht="18.75" hidden="1" customHeight="1" x14ac:dyDescent="0.2">
      <c r="A266" s="834"/>
      <c r="B266" s="3148"/>
      <c r="C266" s="3147"/>
      <c r="D266" s="3146"/>
      <c r="E266" s="3145"/>
      <c r="F266" s="3144"/>
      <c r="G266" s="3145"/>
      <c r="H266" s="3304" t="s">
        <v>2228</v>
      </c>
      <c r="I266" s="3303" t="s">
        <v>116</v>
      </c>
      <c r="J266" s="3302" t="s">
        <v>1287</v>
      </c>
      <c r="K266" s="3302"/>
      <c r="L266" s="3209"/>
      <c r="M266" s="3209"/>
      <c r="N266" s="3209"/>
      <c r="O266" s="3209"/>
      <c r="P266" s="3301" t="s">
        <v>116</v>
      </c>
      <c r="Q266" s="3302" t="s">
        <v>1288</v>
      </c>
      <c r="R266" s="3209"/>
      <c r="S266" s="3209"/>
      <c r="T266" s="3209"/>
      <c r="U266" s="3209"/>
      <c r="V266" s="3209"/>
      <c r="W266" s="3209"/>
      <c r="X266" s="3208"/>
      <c r="Y266" s="3293"/>
      <c r="Z266" s="1201"/>
      <c r="AA266" s="1201"/>
      <c r="AB266" s="1202"/>
      <c r="AC266" s="3509"/>
      <c r="AD266" s="3508"/>
      <c r="AE266" s="3508"/>
      <c r="AF266" s="3507"/>
      <c r="AI266" s="3120" t="str">
        <f>"26:" &amp; IF(AND(I266="□",P266="□",I267="□"),"tokusin_jyusho_code:0:tokusin_yakuzai_code:0:shuudan_comu_code:0",IF(I266="■","tokusin_jyusho_code:2","tokusin_jyusho_code:1")
&amp;IF(P266="■",":tokusin_yakuzai_code:2",":tokusin_yakuzai_code:1")
&amp;IF(I267="■",":shuudan_comu_code:2",":shuudan_comu_code:1"))</f>
        <v>26:tokusin_jyusho_code:0:tokusin_yakuzai_code:0:shuudan_comu_code:0</v>
      </c>
    </row>
    <row r="267" spans="1:35" ht="18.75" hidden="1" customHeight="1" x14ac:dyDescent="0.2">
      <c r="A267" s="834"/>
      <c r="B267" s="3148"/>
      <c r="C267" s="3147"/>
      <c r="D267" s="3146"/>
      <c r="E267" s="3145"/>
      <c r="F267" s="3144"/>
      <c r="G267" s="3145"/>
      <c r="H267" s="3300"/>
      <c r="I267" s="3158" t="s">
        <v>116</v>
      </c>
      <c r="J267" s="3139" t="s">
        <v>1294</v>
      </c>
      <c r="K267" s="3207"/>
      <c r="L267" s="3207"/>
      <c r="M267" s="3207"/>
      <c r="N267" s="3207"/>
      <c r="O267" s="3207"/>
      <c r="P267" s="3207"/>
      <c r="Q267" s="3162"/>
      <c r="R267" s="3207"/>
      <c r="S267" s="3207"/>
      <c r="T267" s="3207"/>
      <c r="U267" s="3207"/>
      <c r="V267" s="3207"/>
      <c r="W267" s="3207"/>
      <c r="X267" s="3206"/>
      <c r="Y267" s="3293"/>
      <c r="Z267" s="1201"/>
      <c r="AA267" s="1201"/>
      <c r="AB267" s="1202"/>
      <c r="AC267" s="3509"/>
      <c r="AD267" s="3508"/>
      <c r="AE267" s="3508"/>
      <c r="AF267" s="3507"/>
    </row>
    <row r="268" spans="1:35" ht="18.75" hidden="1" customHeight="1" x14ac:dyDescent="0.2">
      <c r="A268" s="834"/>
      <c r="B268" s="3148"/>
      <c r="C268" s="3147"/>
      <c r="D268" s="3146"/>
      <c r="E268" s="3145"/>
      <c r="F268" s="3144"/>
      <c r="G268" s="3145"/>
      <c r="H268" s="3296" t="s">
        <v>1285</v>
      </c>
      <c r="I268" s="3303" t="s">
        <v>116</v>
      </c>
      <c r="J268" s="3137" t="s">
        <v>1230</v>
      </c>
      <c r="K268" s="3137"/>
      <c r="L268" s="3154" t="s">
        <v>116</v>
      </c>
      <c r="M268" s="3137" t="s">
        <v>1231</v>
      </c>
      <c r="N268" s="3137"/>
      <c r="O268" s="3154" t="s">
        <v>116</v>
      </c>
      <c r="P268" s="3137" t="s">
        <v>1232</v>
      </c>
      <c r="Q268" s="3150"/>
      <c r="R268" s="3150"/>
      <c r="S268" s="3150"/>
      <c r="T268" s="3150"/>
      <c r="U268" s="3209"/>
      <c r="V268" s="3209"/>
      <c r="W268" s="3209"/>
      <c r="X268" s="3208"/>
      <c r="Y268" s="3293"/>
      <c r="Z268" s="1201"/>
      <c r="AA268" s="1201"/>
      <c r="AB268" s="1202"/>
      <c r="AC268" s="3509"/>
      <c r="AD268" s="3508"/>
      <c r="AE268" s="3508"/>
      <c r="AF268" s="3507"/>
      <c r="AI268" s="3120" t="str">
        <f>"26:field225:" &amp; IF(I268="■",1,IF(L268="■",2,IF(O268="■",3,0)))</f>
        <v>26:field225:0</v>
      </c>
    </row>
    <row r="269" spans="1:35" ht="18.75" hidden="1" customHeight="1" x14ac:dyDescent="0.2">
      <c r="A269" s="834"/>
      <c r="B269" s="3148"/>
      <c r="C269" s="3147"/>
      <c r="D269" s="3146"/>
      <c r="E269" s="3145"/>
      <c r="F269" s="3144"/>
      <c r="G269" s="3145"/>
      <c r="H269" s="3304" t="s">
        <v>1300</v>
      </c>
      <c r="I269" s="3303" t="s">
        <v>116</v>
      </c>
      <c r="J269" s="3302" t="s">
        <v>1295</v>
      </c>
      <c r="K269" s="3317"/>
      <c r="L269" s="3316"/>
      <c r="M269" s="3301" t="s">
        <v>116</v>
      </c>
      <c r="N269" s="3302" t="s">
        <v>1296</v>
      </c>
      <c r="O269" s="3209"/>
      <c r="P269" s="3209"/>
      <c r="Q269" s="3301" t="s">
        <v>116</v>
      </c>
      <c r="R269" s="3302" t="s">
        <v>1297</v>
      </c>
      <c r="S269" s="3209"/>
      <c r="T269" s="3209"/>
      <c r="U269" s="3209"/>
      <c r="V269" s="3209"/>
      <c r="W269" s="3209"/>
      <c r="X269" s="3208"/>
      <c r="Y269" s="3293"/>
      <c r="Z269" s="1201"/>
      <c r="AA269" s="1201"/>
      <c r="AB269" s="1202"/>
      <c r="AC269" s="3509"/>
      <c r="AD269" s="3508"/>
      <c r="AE269" s="3508"/>
      <c r="AF269" s="3507"/>
      <c r="AI269" s="3120" t="str">
        <f>"26:"&amp;IF(AND(I269="□",M269="□",Q269="□",I270="□",Q270="□"),"koriha_rryoho1_code:0:koriha_sryoho_code:0:koriha_gengo_code:0:riha_seisin_code:0:koriha_other_code:0",IF(I269="■","koriha_rryoho1_code:2","koriha_rryoho1_code:1")
&amp;IF(M269="■",":koriha_sryoho_code:2",":koriha_sryoho_code:1")
&amp;IF(Q269="■",":koriha_gengo_code:2",":koriha_gengo_code:1")
&amp;IF(I270="■",":riha_seisin_code:2",":riha_seisin_code:1")
&amp;IF(Q270="■",":koriha_other_code:2",":koriha_other_code:1"))</f>
        <v>26:koriha_rryoho1_code:0:koriha_sryoho_code:0:koriha_gengo_code:0:riha_seisin_code:0:koriha_other_code:0</v>
      </c>
    </row>
    <row r="270" spans="1:35" ht="18.75" hidden="1" customHeight="1" x14ac:dyDescent="0.2">
      <c r="A270" s="834"/>
      <c r="B270" s="3148"/>
      <c r="C270" s="3147"/>
      <c r="D270" s="3146"/>
      <c r="E270" s="3145"/>
      <c r="F270" s="3144"/>
      <c r="G270" s="3145"/>
      <c r="H270" s="3300"/>
      <c r="I270" s="3158" t="s">
        <v>116</v>
      </c>
      <c r="J270" s="3139" t="s">
        <v>1298</v>
      </c>
      <c r="K270" s="3207"/>
      <c r="L270" s="3207"/>
      <c r="M270" s="3207"/>
      <c r="N270" s="3207"/>
      <c r="O270" s="3207"/>
      <c r="P270" s="3207"/>
      <c r="Q270" s="3140" t="s">
        <v>116</v>
      </c>
      <c r="R270" s="3139" t="s">
        <v>1299</v>
      </c>
      <c r="S270" s="3162"/>
      <c r="T270" s="3207"/>
      <c r="U270" s="3207"/>
      <c r="V270" s="3207"/>
      <c r="W270" s="3207"/>
      <c r="X270" s="3206"/>
      <c r="Y270" s="3293"/>
      <c r="Z270" s="1201"/>
      <c r="AA270" s="1201"/>
      <c r="AB270" s="1202"/>
      <c r="AC270" s="3509"/>
      <c r="AD270" s="3508"/>
      <c r="AE270" s="3508"/>
      <c r="AF270" s="3507"/>
      <c r="AI270" s="3120"/>
    </row>
    <row r="271" spans="1:35" ht="18.75" hidden="1" customHeight="1" x14ac:dyDescent="0.2">
      <c r="A271" s="834"/>
      <c r="B271" s="3148"/>
      <c r="C271" s="3147"/>
      <c r="D271" s="3146"/>
      <c r="E271" s="3145"/>
      <c r="F271" s="3144"/>
      <c r="G271" s="3145"/>
      <c r="H271" s="3151" t="s">
        <v>238</v>
      </c>
      <c r="I271" s="3303" t="s">
        <v>116</v>
      </c>
      <c r="J271" s="3137" t="s">
        <v>1230</v>
      </c>
      <c r="K271" s="3137"/>
      <c r="L271" s="3154" t="s">
        <v>116</v>
      </c>
      <c r="M271" s="3137" t="s">
        <v>1259</v>
      </c>
      <c r="N271" s="3137"/>
      <c r="O271" s="3154" t="s">
        <v>116</v>
      </c>
      <c r="P271" s="3137" t="s">
        <v>1260</v>
      </c>
      <c r="Q271" s="3153"/>
      <c r="R271" s="3154" t="s">
        <v>116</v>
      </c>
      <c r="S271" s="3137" t="s">
        <v>1261</v>
      </c>
      <c r="T271" s="3153"/>
      <c r="U271" s="3153"/>
      <c r="V271" s="3153"/>
      <c r="W271" s="3153"/>
      <c r="X271" s="3152"/>
      <c r="Y271" s="3293"/>
      <c r="Z271" s="1201"/>
      <c r="AA271" s="1201"/>
      <c r="AB271" s="1202"/>
      <c r="AC271" s="3509"/>
      <c r="AD271" s="3508"/>
      <c r="AE271" s="3508"/>
      <c r="AF271" s="3507"/>
      <c r="AI271" s="3120" t="str">
        <f>"26:serteikyo_kyoka_code:" &amp; IF(I271="■",1,IF(L271="■",6,IF(O271="■",5,IF(R271="■",7,0))))</f>
        <v>26:serteikyo_kyoka_code:0</v>
      </c>
    </row>
    <row r="272" spans="1:35" ht="18.75" hidden="1" customHeight="1" x14ac:dyDescent="0.2">
      <c r="A272" s="834"/>
      <c r="B272" s="3148"/>
      <c r="C272" s="3147"/>
      <c r="D272" s="3146"/>
      <c r="E272" s="3145"/>
      <c r="F272" s="3144"/>
      <c r="G272" s="3145"/>
      <c r="H272" s="3170" t="s">
        <v>2058</v>
      </c>
      <c r="I272" s="3346" t="s">
        <v>116</v>
      </c>
      <c r="J272" s="3347" t="s">
        <v>1230</v>
      </c>
      <c r="K272" s="3347"/>
      <c r="L272" s="3346" t="s">
        <v>116</v>
      </c>
      <c r="M272" s="3347" t="s">
        <v>1233</v>
      </c>
      <c r="N272" s="3347"/>
      <c r="O272" s="3167"/>
      <c r="P272" s="3167"/>
      <c r="Q272" s="3167"/>
      <c r="R272" s="3167"/>
      <c r="S272" s="3167"/>
      <c r="T272" s="3167"/>
      <c r="U272" s="3167"/>
      <c r="V272" s="3167"/>
      <c r="W272" s="3167"/>
      <c r="X272" s="3166"/>
      <c r="Y272" s="3293"/>
      <c r="Z272" s="1201"/>
      <c r="AA272" s="1201"/>
      <c r="AB272" s="1202"/>
      <c r="AC272" s="3509"/>
      <c r="AD272" s="3508"/>
      <c r="AE272" s="3508"/>
      <c r="AF272" s="3507"/>
      <c r="AI272" s="3120" t="str">
        <f>"26:field221:" &amp; IF(I272="■",1,IF(L272="■",2,0))</f>
        <v>26:field221:0</v>
      </c>
    </row>
    <row r="273" spans="1:36" ht="18.75" hidden="1" customHeight="1" x14ac:dyDescent="0.2">
      <c r="A273" s="834"/>
      <c r="B273" s="3148"/>
      <c r="C273" s="3147"/>
      <c r="D273" s="3146"/>
      <c r="E273" s="3145"/>
      <c r="F273" s="3144"/>
      <c r="G273" s="3145"/>
      <c r="H273" s="3165"/>
      <c r="I273" s="3346"/>
      <c r="J273" s="3347"/>
      <c r="K273" s="3347"/>
      <c r="L273" s="3346"/>
      <c r="M273" s="3347"/>
      <c r="N273" s="3347"/>
      <c r="O273" s="3162"/>
      <c r="P273" s="3162"/>
      <c r="Q273" s="3162"/>
      <c r="R273" s="3162"/>
      <c r="S273" s="3162"/>
      <c r="T273" s="3162"/>
      <c r="U273" s="3162"/>
      <c r="V273" s="3162"/>
      <c r="W273" s="3162"/>
      <c r="X273" s="3161"/>
      <c r="Y273" s="3293"/>
      <c r="Z273" s="1201"/>
      <c r="AA273" s="1201"/>
      <c r="AB273" s="1202"/>
      <c r="AC273" s="3509"/>
      <c r="AD273" s="3508"/>
      <c r="AE273" s="3508"/>
      <c r="AF273" s="3507"/>
    </row>
    <row r="274" spans="1:36" ht="18.75" hidden="1" customHeight="1" x14ac:dyDescent="0.2">
      <c r="A274" s="835"/>
      <c r="B274" s="3135"/>
      <c r="C274" s="3134"/>
      <c r="D274" s="3133"/>
      <c r="E274" s="3132"/>
      <c r="F274" s="3131"/>
      <c r="G274" s="3189"/>
      <c r="H274" s="3289" t="s">
        <v>2129</v>
      </c>
      <c r="I274" s="3128" t="s">
        <v>116</v>
      </c>
      <c r="J274" s="3285" t="s">
        <v>1230</v>
      </c>
      <c r="K274" s="3285"/>
      <c r="L274" s="3127" t="s">
        <v>116</v>
      </c>
      <c r="M274" s="3285" t="s">
        <v>2128</v>
      </c>
      <c r="N274" s="3288"/>
      <c r="O274" s="3127" t="s">
        <v>116</v>
      </c>
      <c r="P274" s="3287" t="s">
        <v>2127</v>
      </c>
      <c r="Q274" s="3286"/>
      <c r="R274" s="3127" t="s">
        <v>116</v>
      </c>
      <c r="S274" s="3285" t="s">
        <v>2126</v>
      </c>
      <c r="T274" s="3286"/>
      <c r="U274" s="3127" t="s">
        <v>116</v>
      </c>
      <c r="V274" s="3285" t="s">
        <v>2125</v>
      </c>
      <c r="W274" s="3284"/>
      <c r="X274" s="3283"/>
      <c r="Y274" s="3282"/>
      <c r="Z274" s="3282"/>
      <c r="AA274" s="3282"/>
      <c r="AB274" s="3281"/>
      <c r="AC274" s="3506"/>
      <c r="AD274" s="3505"/>
      <c r="AE274" s="3505"/>
      <c r="AF274" s="3504"/>
      <c r="AG274" s="3120"/>
      <c r="AH274" s="3120"/>
      <c r="AI274" s="3120" t="str">
        <f>"26:shoguukaizen_code:"&amp;IF(I274="■",1,IF(L274="■",7,IF(O274="■",8,IF(R274="■",9,IF(U274="■","A",0)))))</f>
        <v>26:shoguukaizen_code:0</v>
      </c>
    </row>
    <row r="275" spans="1:36" s="3120" customFormat="1" ht="18.75" hidden="1" customHeight="1" x14ac:dyDescent="0.2">
      <c r="A275" s="3188"/>
      <c r="B275" s="3187"/>
      <c r="C275" s="3313"/>
      <c r="D275" s="3312"/>
      <c r="E275" s="3185"/>
      <c r="F275" s="3184"/>
      <c r="G275" s="3183"/>
      <c r="H275" s="3406" t="s">
        <v>1325</v>
      </c>
      <c r="I275" s="3405" t="s">
        <v>116</v>
      </c>
      <c r="J275" s="3402" t="s">
        <v>1228</v>
      </c>
      <c r="K275" s="3401"/>
      <c r="L275" s="3404"/>
      <c r="M275" s="3403" t="s">
        <v>116</v>
      </c>
      <c r="N275" s="3402" t="s">
        <v>1322</v>
      </c>
      <c r="O275" s="3401"/>
      <c r="P275" s="3400"/>
      <c r="Q275" s="3400"/>
      <c r="R275" s="3400"/>
      <c r="S275" s="3400"/>
      <c r="T275" s="3400"/>
      <c r="U275" s="3400"/>
      <c r="V275" s="3400"/>
      <c r="W275" s="3400"/>
      <c r="X275" s="3399"/>
      <c r="Y275" s="3310" t="s">
        <v>116</v>
      </c>
      <c r="Z275" s="3252" t="s">
        <v>1225</v>
      </c>
      <c r="AA275" s="3252"/>
      <c r="AB275" s="3308"/>
      <c r="AC275" s="3307"/>
      <c r="AD275" s="3397"/>
      <c r="AE275" s="3397"/>
      <c r="AF275" s="3396"/>
      <c r="AG275" s="3120" t="str">
        <f>"ser_code = '" &amp; IF(A283="■",26,"") &amp; "'"</f>
        <v>ser_code = ''</v>
      </c>
      <c r="AH275" s="3120" t="str">
        <f>"26:jininkbn_code:"&amp;IF(F281="■",1,IF(F283="■",3,IF(F285="■",4,IF(F287="■",2,0))))</f>
        <v>26:jininkbn_code:0</v>
      </c>
      <c r="AI275" s="3120" t="str">
        <f>"26:sintaikousoku_code:" &amp; IF(I275="■",1,IF(M275="■",2,0))</f>
        <v>26:sintaikousoku_code:0</v>
      </c>
      <c r="AJ275" s="3120" t="str">
        <f>"26:field203:" &amp; IF(Y275="■",1,IF(Y276="■",2,0))</f>
        <v>26:field203:0</v>
      </c>
    </row>
    <row r="276" spans="1:36" ht="19.5" hidden="1" customHeight="1" x14ac:dyDescent="0.2">
      <c r="A276" s="834"/>
      <c r="B276" s="3148"/>
      <c r="C276" s="3147"/>
      <c r="D276" s="3146"/>
      <c r="E276" s="3145"/>
      <c r="F276" s="3144"/>
      <c r="G276" s="3175"/>
      <c r="H276" s="3395" t="s">
        <v>1227</v>
      </c>
      <c r="I276" s="3303" t="s">
        <v>116</v>
      </c>
      <c r="J276" s="3139" t="s">
        <v>1228</v>
      </c>
      <c r="K276" s="3138"/>
      <c r="L276" s="3385"/>
      <c r="M276" s="3140" t="s">
        <v>116</v>
      </c>
      <c r="N276" s="3139" t="s">
        <v>1229</v>
      </c>
      <c r="O276" s="3207"/>
      <c r="P276" s="3139"/>
      <c r="Q276" s="3207"/>
      <c r="R276" s="3207"/>
      <c r="S276" s="3207"/>
      <c r="T276" s="3207"/>
      <c r="U276" s="3207"/>
      <c r="V276" s="3207"/>
      <c r="W276" s="3207"/>
      <c r="X276" s="3206"/>
      <c r="Y276" s="3258" t="s">
        <v>116</v>
      </c>
      <c r="Z276" s="1200" t="s">
        <v>1226</v>
      </c>
      <c r="AA276" s="1201"/>
      <c r="AB276" s="1202"/>
      <c r="AC276" s="3394"/>
      <c r="AD276" s="3393"/>
      <c r="AE276" s="3393"/>
      <c r="AF276" s="3392"/>
      <c r="AG276" s="3120" t="str">
        <f>"26:sisetukbn_code:"&amp;IF(D283="■","2",0)</f>
        <v>26:sisetukbn_code:0</v>
      </c>
      <c r="AH276" s="3120"/>
      <c r="AI276" s="3120" t="str">
        <f>"26:field223:" &amp; IF(I276="■",1,IF(M276="■",2,0))</f>
        <v>26:field223:0</v>
      </c>
      <c r="AJ276" s="3120"/>
    </row>
    <row r="277" spans="1:36" ht="19.5" hidden="1" customHeight="1" x14ac:dyDescent="0.2">
      <c r="A277" s="834"/>
      <c r="B277" s="3148"/>
      <c r="C277" s="3147"/>
      <c r="D277" s="3146"/>
      <c r="E277" s="3145"/>
      <c r="F277" s="3144"/>
      <c r="G277" s="3175"/>
      <c r="H277" s="3174" t="s">
        <v>1253</v>
      </c>
      <c r="I277" s="3303" t="s">
        <v>116</v>
      </c>
      <c r="J277" s="3139" t="s">
        <v>1228</v>
      </c>
      <c r="K277" s="3138"/>
      <c r="L277" s="3385"/>
      <c r="M277" s="3140" t="s">
        <v>116</v>
      </c>
      <c r="N277" s="3139" t="s">
        <v>1229</v>
      </c>
      <c r="O277" s="3207"/>
      <c r="P277" s="3139"/>
      <c r="Q277" s="3207"/>
      <c r="R277" s="3207"/>
      <c r="S277" s="3207"/>
      <c r="T277" s="3207"/>
      <c r="U277" s="3207"/>
      <c r="V277" s="3207"/>
      <c r="W277" s="3207"/>
      <c r="X277" s="3206"/>
      <c r="Y277" s="3293"/>
      <c r="Z277" s="1200"/>
      <c r="AA277" s="1201"/>
      <c r="AB277" s="1202"/>
      <c r="AC277" s="3394"/>
      <c r="AD277" s="3393"/>
      <c r="AE277" s="3393"/>
      <c r="AF277" s="3392"/>
      <c r="AG277" s="3120"/>
      <c r="AH277" s="3120"/>
      <c r="AI277" s="3120" t="str">
        <f>"26:field232:" &amp; IF(I277="■",1,IF(M277="■",2,0))</f>
        <v>26:field232:0</v>
      </c>
      <c r="AJ277" s="3120"/>
    </row>
    <row r="278" spans="1:36" ht="18.75" hidden="1" customHeight="1" x14ac:dyDescent="0.2">
      <c r="A278" s="834"/>
      <c r="B278" s="3148"/>
      <c r="C278" s="3147"/>
      <c r="D278" s="3146"/>
      <c r="E278" s="3175"/>
      <c r="F278" s="3146"/>
      <c r="G278" s="3145"/>
      <c r="H278" s="3213" t="s">
        <v>2226</v>
      </c>
      <c r="I278" s="3303" t="s">
        <v>116</v>
      </c>
      <c r="J278" s="3139" t="s">
        <v>1282</v>
      </c>
      <c r="K278" s="3138"/>
      <c r="L278" s="3385"/>
      <c r="M278" s="3140" t="s">
        <v>116</v>
      </c>
      <c r="N278" s="3139" t="s">
        <v>1293</v>
      </c>
      <c r="O278" s="3162"/>
      <c r="P278" s="3138"/>
      <c r="Q278" s="3138"/>
      <c r="R278" s="3138"/>
      <c r="S278" s="3138"/>
      <c r="T278" s="3138"/>
      <c r="U278" s="3138"/>
      <c r="V278" s="3138"/>
      <c r="W278" s="3138"/>
      <c r="X278" s="3212"/>
      <c r="Y278" s="3293"/>
      <c r="Z278" s="1200"/>
      <c r="AA278" s="1201"/>
      <c r="AB278" s="1202"/>
      <c r="AC278" s="3394"/>
      <c r="AD278" s="3393"/>
      <c r="AE278" s="3393"/>
      <c r="AF278" s="3392"/>
      <c r="AI278" s="3120" t="str">
        <f>"26:setubi_kijyun_code:" &amp; IF(I278="■",1,IF(M278="■",2,0))</f>
        <v>26:setubi_kijyun_code:0</v>
      </c>
    </row>
    <row r="279" spans="1:36" ht="18.75" hidden="1" customHeight="1" x14ac:dyDescent="0.2">
      <c r="A279" s="834"/>
      <c r="B279" s="3148"/>
      <c r="C279" s="3147"/>
      <c r="D279" s="3146"/>
      <c r="E279" s="3175"/>
      <c r="F279" s="3146"/>
      <c r="G279" s="3145"/>
      <c r="H279" s="3151" t="s">
        <v>2225</v>
      </c>
      <c r="I279" s="3303" t="s">
        <v>116</v>
      </c>
      <c r="J279" s="3137" t="s">
        <v>1282</v>
      </c>
      <c r="K279" s="3171"/>
      <c r="L279" s="3173"/>
      <c r="M279" s="3154" t="s">
        <v>116</v>
      </c>
      <c r="N279" s="3137" t="s">
        <v>1293</v>
      </c>
      <c r="O279" s="3153"/>
      <c r="P279" s="3171"/>
      <c r="Q279" s="3171"/>
      <c r="R279" s="3171"/>
      <c r="S279" s="3171"/>
      <c r="T279" s="3171"/>
      <c r="U279" s="3171"/>
      <c r="V279" s="3171"/>
      <c r="W279" s="3171"/>
      <c r="X279" s="3297"/>
      <c r="Y279" s="3293"/>
      <c r="Z279" s="1201"/>
      <c r="AA279" s="1201"/>
      <c r="AB279" s="1202"/>
      <c r="AC279" s="3394"/>
      <c r="AD279" s="3393"/>
      <c r="AE279" s="3393"/>
      <c r="AF279" s="3392"/>
      <c r="AI279" s="3120" t="str">
        <f>"26:field163:" &amp; IF(I279="■",1,IF(M279="■",2,0))</f>
        <v>26:field163:0</v>
      </c>
    </row>
    <row r="280" spans="1:36" ht="18.75" hidden="1" customHeight="1" x14ac:dyDescent="0.2">
      <c r="A280" s="834"/>
      <c r="B280" s="3148"/>
      <c r="C280" s="3147"/>
      <c r="D280" s="3146"/>
      <c r="E280" s="3175"/>
      <c r="F280" s="3146"/>
      <c r="G280" s="3145"/>
      <c r="H280" s="3151" t="s">
        <v>1348</v>
      </c>
      <c r="I280" s="3303" t="s">
        <v>116</v>
      </c>
      <c r="J280" s="3137" t="s">
        <v>1230</v>
      </c>
      <c r="K280" s="3171"/>
      <c r="L280" s="3154" t="s">
        <v>116</v>
      </c>
      <c r="M280" s="3137" t="s">
        <v>1233</v>
      </c>
      <c r="N280" s="3150"/>
      <c r="O280" s="3150"/>
      <c r="P280" s="3150"/>
      <c r="Q280" s="3171"/>
      <c r="R280" s="3171"/>
      <c r="S280" s="3171"/>
      <c r="T280" s="3171"/>
      <c r="U280" s="3171"/>
      <c r="V280" s="3171"/>
      <c r="W280" s="3171"/>
      <c r="X280" s="3297"/>
      <c r="Y280" s="3293"/>
      <c r="Z280" s="1201"/>
      <c r="AA280" s="1201"/>
      <c r="AB280" s="1202"/>
      <c r="AC280" s="3394"/>
      <c r="AD280" s="3393"/>
      <c r="AE280" s="3393"/>
      <c r="AF280" s="3392"/>
      <c r="AI280" s="3120" t="str">
        <f>"26:jyakuninti_uke_code:" &amp; IF(I280="■",1,IF(L280="■",2,0))</f>
        <v>26:jyakuninti_uke_code:0</v>
      </c>
    </row>
    <row r="281" spans="1:36" ht="18.75" hidden="1" customHeight="1" x14ac:dyDescent="0.2">
      <c r="A281" s="834"/>
      <c r="B281" s="3148"/>
      <c r="C281" s="3147"/>
      <c r="D281" s="3146"/>
      <c r="E281" s="3175"/>
      <c r="F281" s="3158" t="s">
        <v>116</v>
      </c>
      <c r="G281" s="3145" t="s">
        <v>2234</v>
      </c>
      <c r="H281" s="3151" t="s">
        <v>1284</v>
      </c>
      <c r="I281" s="3303" t="s">
        <v>116</v>
      </c>
      <c r="J281" s="3137" t="s">
        <v>1240</v>
      </c>
      <c r="K281" s="3171"/>
      <c r="L281" s="3173"/>
      <c r="M281" s="3154" t="s">
        <v>116</v>
      </c>
      <c r="N281" s="3137" t="s">
        <v>1241</v>
      </c>
      <c r="O281" s="3150"/>
      <c r="P281" s="3150"/>
      <c r="Q281" s="3171"/>
      <c r="R281" s="3171"/>
      <c r="S281" s="3171"/>
      <c r="T281" s="3171"/>
      <c r="U281" s="3171"/>
      <c r="V281" s="3171"/>
      <c r="W281" s="3171"/>
      <c r="X281" s="3297"/>
      <c r="Y281" s="3293"/>
      <c r="Z281" s="1201"/>
      <c r="AA281" s="1201"/>
      <c r="AB281" s="1202"/>
      <c r="AC281" s="3394"/>
      <c r="AD281" s="3393"/>
      <c r="AE281" s="3393"/>
      <c r="AF281" s="3392"/>
      <c r="AI281" s="3120" t="str">
        <f>"26:sougei_code:" &amp; IF(I281="■",1,IF(M281="■",2,0))</f>
        <v>26:sougei_code:0</v>
      </c>
    </row>
    <row r="282" spans="1:36" ht="19.5" hidden="1" customHeight="1" x14ac:dyDescent="0.2">
      <c r="A282" s="834"/>
      <c r="B282" s="3148"/>
      <c r="C282" s="3147"/>
      <c r="D282" s="3146"/>
      <c r="E282" s="3175"/>
      <c r="F282" s="3146"/>
      <c r="G282" s="3145" t="s">
        <v>2233</v>
      </c>
      <c r="H282" s="3174" t="s">
        <v>1236</v>
      </c>
      <c r="I282" s="3303" t="s">
        <v>116</v>
      </c>
      <c r="J282" s="3137" t="s">
        <v>1230</v>
      </c>
      <c r="K282" s="3137"/>
      <c r="L282" s="3154" t="s">
        <v>116</v>
      </c>
      <c r="M282" s="3137" t="s">
        <v>1233</v>
      </c>
      <c r="N282" s="3137"/>
      <c r="O282" s="3150"/>
      <c r="P282" s="3137"/>
      <c r="Q282" s="3150"/>
      <c r="R282" s="3150"/>
      <c r="S282" s="3150"/>
      <c r="T282" s="3150"/>
      <c r="U282" s="3150"/>
      <c r="V282" s="3150"/>
      <c r="W282" s="3150"/>
      <c r="X282" s="3149"/>
      <c r="Y282" s="1201"/>
      <c r="Z282" s="1201"/>
      <c r="AA282" s="1201"/>
      <c r="AB282" s="1202"/>
      <c r="AC282" s="3394"/>
      <c r="AD282" s="3393"/>
      <c r="AE282" s="3393"/>
      <c r="AF282" s="3392"/>
      <c r="AI282" s="3120" t="str">
        <f>"26:field224:" &amp; IF(I282="■",1,IF(L282="■",2,0))</f>
        <v>26:field224:0</v>
      </c>
    </row>
    <row r="283" spans="1:36" ht="18.75" hidden="1" customHeight="1" x14ac:dyDescent="0.2">
      <c r="A283" s="3158" t="s">
        <v>116</v>
      </c>
      <c r="B283" s="3148">
        <v>26</v>
      </c>
      <c r="C283" s="3147" t="s">
        <v>2328</v>
      </c>
      <c r="D283" s="3158" t="s">
        <v>116</v>
      </c>
      <c r="E283" s="3175" t="s">
        <v>2327</v>
      </c>
      <c r="F283" s="3158" t="s">
        <v>116</v>
      </c>
      <c r="G283" s="3145" t="s">
        <v>2232</v>
      </c>
      <c r="H283" s="3151" t="s">
        <v>140</v>
      </c>
      <c r="I283" s="3303" t="s">
        <v>116</v>
      </c>
      <c r="J283" s="3137" t="s">
        <v>1230</v>
      </c>
      <c r="K283" s="3171"/>
      <c r="L283" s="3154" t="s">
        <v>116</v>
      </c>
      <c r="M283" s="3137" t="s">
        <v>1233</v>
      </c>
      <c r="N283" s="3150"/>
      <c r="O283" s="3150"/>
      <c r="P283" s="3150"/>
      <c r="Q283" s="3171"/>
      <c r="R283" s="3171"/>
      <c r="S283" s="3171"/>
      <c r="T283" s="3171"/>
      <c r="U283" s="3171"/>
      <c r="V283" s="3171"/>
      <c r="W283" s="3171"/>
      <c r="X283" s="3297"/>
      <c r="Y283" s="3293"/>
      <c r="Z283" s="1201"/>
      <c r="AA283" s="1201"/>
      <c r="AB283" s="1202"/>
      <c r="AC283" s="3394"/>
      <c r="AD283" s="3393"/>
      <c r="AE283" s="3393"/>
      <c r="AF283" s="3392"/>
      <c r="AI283" s="3120" t="str">
        <f>"26:ryouyoushoku_code:" &amp; IF(I283="■",1,IF(L283="■",2,0))</f>
        <v>26:ryouyoushoku_code:0</v>
      </c>
    </row>
    <row r="284" spans="1:36" ht="18.75" hidden="1" customHeight="1" x14ac:dyDescent="0.2">
      <c r="A284" s="834"/>
      <c r="B284" s="3148"/>
      <c r="C284" s="3147"/>
      <c r="D284" s="3146"/>
      <c r="E284" s="3175"/>
      <c r="F284" s="3146"/>
      <c r="G284" s="3145" t="s">
        <v>2250</v>
      </c>
      <c r="H284" s="3151" t="s">
        <v>2219</v>
      </c>
      <c r="I284" s="3303" t="s">
        <v>116</v>
      </c>
      <c r="J284" s="3137" t="s">
        <v>1230</v>
      </c>
      <c r="K284" s="3137"/>
      <c r="L284" s="3154" t="s">
        <v>116</v>
      </c>
      <c r="M284" s="3137" t="s">
        <v>1231</v>
      </c>
      <c r="N284" s="3137"/>
      <c r="O284" s="3154" t="s">
        <v>116</v>
      </c>
      <c r="P284" s="3137" t="s">
        <v>1232</v>
      </c>
      <c r="Q284" s="3150"/>
      <c r="R284" s="3171"/>
      <c r="S284" s="3171"/>
      <c r="T284" s="3171"/>
      <c r="U284" s="3171"/>
      <c r="V284" s="3171"/>
      <c r="W284" s="3171"/>
      <c r="X284" s="3297"/>
      <c r="Y284" s="3293"/>
      <c r="Z284" s="1201"/>
      <c r="AA284" s="1201"/>
      <c r="AB284" s="1202"/>
      <c r="AC284" s="3394"/>
      <c r="AD284" s="3393"/>
      <c r="AE284" s="3393"/>
      <c r="AF284" s="3392"/>
      <c r="AI284" s="3120" t="str">
        <f>"26:ninti_senmoncare_code:" &amp; IF(I284="■",1,IF(O284="■",3,IF(L284="■",2,0)))</f>
        <v>26:ninti_senmoncare_code:0</v>
      </c>
    </row>
    <row r="285" spans="1:36" ht="18.75" hidden="1" customHeight="1" x14ac:dyDescent="0.2">
      <c r="A285" s="834"/>
      <c r="B285" s="3148"/>
      <c r="C285" s="3147"/>
      <c r="D285" s="3146"/>
      <c r="E285" s="3175"/>
      <c r="F285" s="3158" t="s">
        <v>116</v>
      </c>
      <c r="G285" s="3145" t="s">
        <v>2229</v>
      </c>
      <c r="H285" s="3304" t="s">
        <v>2228</v>
      </c>
      <c r="I285" s="3303" t="s">
        <v>116</v>
      </c>
      <c r="J285" s="3302" t="s">
        <v>1287</v>
      </c>
      <c r="K285" s="3302"/>
      <c r="L285" s="3209"/>
      <c r="M285" s="3209"/>
      <c r="N285" s="3209"/>
      <c r="O285" s="3209"/>
      <c r="P285" s="3301" t="s">
        <v>116</v>
      </c>
      <c r="Q285" s="3302" t="s">
        <v>1288</v>
      </c>
      <c r="R285" s="3209"/>
      <c r="S285" s="3209"/>
      <c r="T285" s="3209"/>
      <c r="U285" s="3209"/>
      <c r="V285" s="3209"/>
      <c r="W285" s="3209"/>
      <c r="X285" s="3208"/>
      <c r="Y285" s="3293"/>
      <c r="Z285" s="1201"/>
      <c r="AA285" s="1201"/>
      <c r="AB285" s="1202"/>
      <c r="AC285" s="3394"/>
      <c r="AD285" s="3393"/>
      <c r="AE285" s="3393"/>
      <c r="AF285" s="3392"/>
      <c r="AI285" s="3120" t="str">
        <f>"26:" &amp; IF(AND(I285="□",P285="□",I286="□"),"tokusin_jyusho_code:0:tokusin_yakuzai_code:0:shuudan_comu_code:0",IF(I285="■","tokusin_jyusho_code:2","tokusin_jyusho_code:1")
&amp;IF(P285="■",":tokusin_yakuzai_code:2",":tokusin_yakuzai_code:1")
&amp;IF(I286="■",":shuudan_comu_code:2",":shuudan_comu_code:1"))</f>
        <v>26:tokusin_jyusho_code:0:tokusin_yakuzai_code:0:shuudan_comu_code:0</v>
      </c>
    </row>
    <row r="286" spans="1:36" ht="18.75" hidden="1" customHeight="1" x14ac:dyDescent="0.2">
      <c r="A286" s="834"/>
      <c r="B286" s="3148"/>
      <c r="C286" s="3147"/>
      <c r="D286" s="3146"/>
      <c r="E286" s="3175"/>
      <c r="F286" s="3146"/>
      <c r="G286" s="3145" t="s">
        <v>2227</v>
      </c>
      <c r="H286" s="3300"/>
      <c r="I286" s="3158" t="s">
        <v>116</v>
      </c>
      <c r="J286" s="3139" t="s">
        <v>1294</v>
      </c>
      <c r="K286" s="3207"/>
      <c r="L286" s="3207"/>
      <c r="M286" s="3207"/>
      <c r="N286" s="3207"/>
      <c r="O286" s="3207"/>
      <c r="P286" s="3207"/>
      <c r="Q286" s="3162"/>
      <c r="R286" s="3207"/>
      <c r="S286" s="3207"/>
      <c r="T286" s="3207"/>
      <c r="U286" s="3207"/>
      <c r="V286" s="3207"/>
      <c r="W286" s="3207"/>
      <c r="X286" s="3206"/>
      <c r="Y286" s="3293"/>
      <c r="Z286" s="1201"/>
      <c r="AA286" s="1201"/>
      <c r="AB286" s="1202"/>
      <c r="AC286" s="3394"/>
      <c r="AD286" s="3393"/>
      <c r="AE286" s="3393"/>
      <c r="AF286" s="3392"/>
      <c r="AI286" s="3120"/>
    </row>
    <row r="287" spans="1:36" ht="18.75" hidden="1" customHeight="1" x14ac:dyDescent="0.2">
      <c r="A287" s="834"/>
      <c r="B287" s="3148"/>
      <c r="C287" s="3147"/>
      <c r="D287" s="3146"/>
      <c r="E287" s="3175"/>
      <c r="F287" s="3158" t="s">
        <v>116</v>
      </c>
      <c r="G287" s="3145" t="s">
        <v>1301</v>
      </c>
      <c r="H287" s="3296" t="s">
        <v>1285</v>
      </c>
      <c r="I287" s="3303" t="s">
        <v>116</v>
      </c>
      <c r="J287" s="3137" t="s">
        <v>1230</v>
      </c>
      <c r="K287" s="3137"/>
      <c r="L287" s="3154" t="s">
        <v>116</v>
      </c>
      <c r="M287" s="3137" t="s">
        <v>1231</v>
      </c>
      <c r="N287" s="3137"/>
      <c r="O287" s="3154" t="s">
        <v>116</v>
      </c>
      <c r="P287" s="3137" t="s">
        <v>1232</v>
      </c>
      <c r="Q287" s="3150"/>
      <c r="R287" s="3150"/>
      <c r="S287" s="3150"/>
      <c r="T287" s="3150"/>
      <c r="U287" s="3209"/>
      <c r="V287" s="3209"/>
      <c r="W287" s="3209"/>
      <c r="X287" s="3208"/>
      <c r="Y287" s="3293"/>
      <c r="Z287" s="1201"/>
      <c r="AA287" s="1201"/>
      <c r="AB287" s="1202"/>
      <c r="AC287" s="3394"/>
      <c r="AD287" s="3393"/>
      <c r="AE287" s="3393"/>
      <c r="AF287" s="3392"/>
      <c r="AI287" s="3120" t="str">
        <f>"26:field225:" &amp; IF(I287="■",1,IF(L287="■",2,IF(O287="■",3,0)))</f>
        <v>26:field225:0</v>
      </c>
    </row>
    <row r="288" spans="1:36" ht="18.75" hidden="1" customHeight="1" x14ac:dyDescent="0.2">
      <c r="A288" s="834"/>
      <c r="B288" s="3148"/>
      <c r="C288" s="3147"/>
      <c r="D288" s="3146"/>
      <c r="E288" s="3175"/>
      <c r="F288" s="3146"/>
      <c r="G288" s="3145"/>
      <c r="H288" s="3304" t="s">
        <v>1300</v>
      </c>
      <c r="I288" s="3303" t="s">
        <v>116</v>
      </c>
      <c r="J288" s="3302" t="s">
        <v>1295</v>
      </c>
      <c r="K288" s="3317"/>
      <c r="L288" s="3316"/>
      <c r="M288" s="3301" t="s">
        <v>116</v>
      </c>
      <c r="N288" s="3302" t="s">
        <v>1296</v>
      </c>
      <c r="O288" s="3209"/>
      <c r="P288" s="3209"/>
      <c r="Q288" s="3301" t="s">
        <v>116</v>
      </c>
      <c r="R288" s="3302" t="s">
        <v>1297</v>
      </c>
      <c r="S288" s="3209"/>
      <c r="T288" s="3209"/>
      <c r="U288" s="3209"/>
      <c r="V288" s="3209"/>
      <c r="W288" s="3209"/>
      <c r="X288" s="3208"/>
      <c r="Y288" s="3293"/>
      <c r="Z288" s="1201"/>
      <c r="AA288" s="1201"/>
      <c r="AB288" s="1202"/>
      <c r="AC288" s="3394"/>
      <c r="AD288" s="3393"/>
      <c r="AE288" s="3393"/>
      <c r="AF288" s="3392"/>
      <c r="AI288" s="3120" t="str">
        <f>"26:"&amp;IF(AND(I288="□",M288="□",Q288="□",I289="□",Q289="□"),"koriha_rryoho1_code:0:koriha_sryoho_code:0:koriha_gengo_code:0:riha_seisin_code:0:koriha_other_code:0",IF(I288="■","koriha_rryoho1_code:2","koriha_rryoho1_code:1")
&amp;IF(M288="■",":koriha_sryoho_code:2",":koriha_sryoho_code:1")
&amp;IF(Q288="■",":koriha_gengo_code:2",":koriha_gengo_code:1")
&amp;IF(I289="■",":riha_seisin_code:2",":riha_seisin_code:1")
&amp;IF(Q289="■",":koriha_other_code:2",":koriha_other_code:1"))</f>
        <v>26:koriha_rryoho1_code:0:koriha_sryoho_code:0:koriha_gengo_code:0:riha_seisin_code:0:koriha_other_code:0</v>
      </c>
    </row>
    <row r="289" spans="1:36" ht="18.75" hidden="1" customHeight="1" x14ac:dyDescent="0.2">
      <c r="A289" s="834"/>
      <c r="B289" s="3148"/>
      <c r="C289" s="3147"/>
      <c r="D289" s="3146"/>
      <c r="E289" s="3175"/>
      <c r="F289" s="3146"/>
      <c r="G289" s="3145"/>
      <c r="H289" s="3300"/>
      <c r="I289" s="3158" t="s">
        <v>116</v>
      </c>
      <c r="J289" s="3139" t="s">
        <v>1298</v>
      </c>
      <c r="K289" s="3207"/>
      <c r="L289" s="3207"/>
      <c r="M289" s="3207"/>
      <c r="N289" s="3207"/>
      <c r="O289" s="3207"/>
      <c r="P289" s="3207"/>
      <c r="Q289" s="3140" t="s">
        <v>116</v>
      </c>
      <c r="R289" s="3139" t="s">
        <v>1299</v>
      </c>
      <c r="S289" s="3162"/>
      <c r="T289" s="3207"/>
      <c r="U289" s="3207"/>
      <c r="V289" s="3207"/>
      <c r="W289" s="3207"/>
      <c r="X289" s="3206"/>
      <c r="Y289" s="3293"/>
      <c r="Z289" s="1201"/>
      <c r="AA289" s="1201"/>
      <c r="AB289" s="1202"/>
      <c r="AC289" s="3394"/>
      <c r="AD289" s="3393"/>
      <c r="AE289" s="3393"/>
      <c r="AF289" s="3392"/>
      <c r="AI289" s="3120"/>
    </row>
    <row r="290" spans="1:36" ht="18.75" hidden="1" customHeight="1" x14ac:dyDescent="0.2">
      <c r="A290" s="834"/>
      <c r="B290" s="3148"/>
      <c r="C290" s="3147"/>
      <c r="D290" s="3146"/>
      <c r="E290" s="3175"/>
      <c r="F290" s="3146"/>
      <c r="G290" s="3145"/>
      <c r="H290" s="3151" t="s">
        <v>238</v>
      </c>
      <c r="I290" s="3303" t="s">
        <v>116</v>
      </c>
      <c r="J290" s="3137" t="s">
        <v>1230</v>
      </c>
      <c r="K290" s="3137"/>
      <c r="L290" s="3154" t="s">
        <v>116</v>
      </c>
      <c r="M290" s="3137" t="s">
        <v>1259</v>
      </c>
      <c r="N290" s="3137"/>
      <c r="O290" s="3154" t="s">
        <v>116</v>
      </c>
      <c r="P290" s="3137" t="s">
        <v>1260</v>
      </c>
      <c r="Q290" s="3153"/>
      <c r="R290" s="3154" t="s">
        <v>116</v>
      </c>
      <c r="S290" s="3137" t="s">
        <v>1261</v>
      </c>
      <c r="T290" s="3153"/>
      <c r="U290" s="3153"/>
      <c r="V290" s="3153"/>
      <c r="W290" s="3153"/>
      <c r="X290" s="3152"/>
      <c r="Y290" s="3293"/>
      <c r="Z290" s="1201"/>
      <c r="AA290" s="1201"/>
      <c r="AB290" s="1202"/>
      <c r="AC290" s="3394"/>
      <c r="AD290" s="3393"/>
      <c r="AE290" s="3393"/>
      <c r="AF290" s="3392"/>
      <c r="AI290" s="3120" t="str">
        <f>"26:serteikyo_kyoka_code:" &amp; IF(I290="■",1,IF(L290="■",6,IF(O290="■",5,IF(R290="■",7,0))))</f>
        <v>26:serteikyo_kyoka_code:0</v>
      </c>
    </row>
    <row r="291" spans="1:36" ht="18.75" hidden="1" customHeight="1" x14ac:dyDescent="0.2">
      <c r="A291" s="834"/>
      <c r="B291" s="3148"/>
      <c r="C291" s="3147"/>
      <c r="D291" s="3146"/>
      <c r="E291" s="3175"/>
      <c r="F291" s="3146"/>
      <c r="G291" s="3145"/>
      <c r="H291" s="3170" t="s">
        <v>2058</v>
      </c>
      <c r="I291" s="3346" t="s">
        <v>116</v>
      </c>
      <c r="J291" s="3347" t="s">
        <v>1230</v>
      </c>
      <c r="K291" s="3347"/>
      <c r="L291" s="3346" t="s">
        <v>116</v>
      </c>
      <c r="M291" s="3347" t="s">
        <v>1233</v>
      </c>
      <c r="N291" s="3347"/>
      <c r="O291" s="3167"/>
      <c r="P291" s="3167"/>
      <c r="Q291" s="3167"/>
      <c r="R291" s="3167"/>
      <c r="S291" s="3167"/>
      <c r="T291" s="3167"/>
      <c r="U291" s="3167"/>
      <c r="V291" s="3167"/>
      <c r="W291" s="3167"/>
      <c r="X291" s="3166"/>
      <c r="Y291" s="3293"/>
      <c r="Z291" s="1201"/>
      <c r="AA291" s="1201"/>
      <c r="AB291" s="1202"/>
      <c r="AC291" s="3394"/>
      <c r="AD291" s="3393"/>
      <c r="AE291" s="3393"/>
      <c r="AF291" s="3392"/>
      <c r="AI291" s="3120" t="str">
        <f>"26:field221:" &amp; IF(I291="■",1,IF(L291="■",2,0))</f>
        <v>26:field221:0</v>
      </c>
    </row>
    <row r="292" spans="1:36" ht="18.75" hidden="1" customHeight="1" x14ac:dyDescent="0.2">
      <c r="A292" s="834"/>
      <c r="B292" s="3148"/>
      <c r="C292" s="3147"/>
      <c r="D292" s="3146"/>
      <c r="E292" s="3175"/>
      <c r="H292" s="3165"/>
      <c r="I292" s="3346"/>
      <c r="J292" s="3347"/>
      <c r="K292" s="3347"/>
      <c r="L292" s="3346"/>
      <c r="M292" s="3347"/>
      <c r="N292" s="3347"/>
      <c r="O292" s="3162"/>
      <c r="P292" s="3162"/>
      <c r="Q292" s="3162"/>
      <c r="R292" s="3162"/>
      <c r="S292" s="3162"/>
      <c r="T292" s="3162"/>
      <c r="U292" s="3162"/>
      <c r="V292" s="3162"/>
      <c r="W292" s="3162"/>
      <c r="X292" s="3161"/>
      <c r="Y292" s="3293"/>
      <c r="Z292" s="1201"/>
      <c r="AA292" s="1201"/>
      <c r="AB292" s="1202"/>
      <c r="AC292" s="3394"/>
      <c r="AD292" s="3393"/>
      <c r="AE292" s="3393"/>
      <c r="AF292" s="3392"/>
    </row>
    <row r="293" spans="1:36" ht="18.75" hidden="1" customHeight="1" x14ac:dyDescent="0.2">
      <c r="A293" s="835"/>
      <c r="B293" s="3135"/>
      <c r="C293" s="3134"/>
      <c r="D293" s="3133"/>
      <c r="E293" s="3132"/>
      <c r="F293" s="3131"/>
      <c r="G293" s="3189"/>
      <c r="H293" s="3289" t="s">
        <v>2129</v>
      </c>
      <c r="I293" s="3128" t="s">
        <v>116</v>
      </c>
      <c r="J293" s="3285" t="s">
        <v>1230</v>
      </c>
      <c r="K293" s="3285"/>
      <c r="L293" s="3127" t="s">
        <v>116</v>
      </c>
      <c r="M293" s="3285" t="s">
        <v>2128</v>
      </c>
      <c r="N293" s="3288"/>
      <c r="O293" s="3127" t="s">
        <v>116</v>
      </c>
      <c r="P293" s="3287" t="s">
        <v>2127</v>
      </c>
      <c r="Q293" s="3286"/>
      <c r="R293" s="3127" t="s">
        <v>116</v>
      </c>
      <c r="S293" s="3285" t="s">
        <v>2126</v>
      </c>
      <c r="T293" s="3286"/>
      <c r="U293" s="3127" t="s">
        <v>116</v>
      </c>
      <c r="V293" s="3285" t="s">
        <v>2125</v>
      </c>
      <c r="W293" s="3284"/>
      <c r="X293" s="3283"/>
      <c r="Y293" s="3282"/>
      <c r="Z293" s="3282"/>
      <c r="AA293" s="3282"/>
      <c r="AB293" s="3281"/>
      <c r="AC293" s="3391"/>
      <c r="AD293" s="3390"/>
      <c r="AE293" s="3390"/>
      <c r="AF293" s="3389"/>
      <c r="AG293" s="3120"/>
      <c r="AH293" s="3120"/>
      <c r="AI293" s="3120" t="str">
        <f>"26:shoguukaizen_code:"&amp;IF(I293="■",1,IF(L293="■",7,IF(O293="■",8,IF(R293="■",9,IF(U293="■","A",0)))))</f>
        <v>26:shoguukaizen_code:0</v>
      </c>
    </row>
    <row r="294" spans="1:36" s="3120" customFormat="1" ht="18.75" hidden="1" customHeight="1" x14ac:dyDescent="0.2">
      <c r="A294" s="3188"/>
      <c r="B294" s="3187"/>
      <c r="C294" s="3313"/>
      <c r="D294" s="3312"/>
      <c r="E294" s="3185"/>
      <c r="F294" s="3184"/>
      <c r="G294" s="3183"/>
      <c r="H294" s="3406" t="s">
        <v>1325</v>
      </c>
      <c r="I294" s="3405" t="s">
        <v>116</v>
      </c>
      <c r="J294" s="3402" t="s">
        <v>1228</v>
      </c>
      <c r="K294" s="3401"/>
      <c r="L294" s="3404"/>
      <c r="M294" s="3403" t="s">
        <v>116</v>
      </c>
      <c r="N294" s="3402" t="s">
        <v>1322</v>
      </c>
      <c r="O294" s="3401"/>
      <c r="P294" s="3400"/>
      <c r="Q294" s="3400"/>
      <c r="R294" s="3400"/>
      <c r="S294" s="3400"/>
      <c r="T294" s="3400"/>
      <c r="U294" s="3400"/>
      <c r="V294" s="3400"/>
      <c r="W294" s="3400"/>
      <c r="X294" s="3399"/>
      <c r="Y294" s="3253" t="s">
        <v>116</v>
      </c>
      <c r="Z294" s="3252" t="s">
        <v>1225</v>
      </c>
      <c r="AA294" s="3398"/>
      <c r="AB294" s="3308"/>
      <c r="AC294" s="3503"/>
      <c r="AD294" s="3397"/>
      <c r="AE294" s="3397"/>
      <c r="AF294" s="3396"/>
      <c r="AG294" s="3120" t="str">
        <f>"ser_code = '" &amp; IF(A304="■",26,"") &amp; "'"</f>
        <v>ser_code = ''</v>
      </c>
      <c r="AH294" s="3120" t="str">
        <f>"26:jininkbn_code:"&amp;IF(F302="■",1,IF(F304="■",2,IF(F306="■",3,0)))</f>
        <v>26:jininkbn_code:0</v>
      </c>
      <c r="AI294" s="3120" t="str">
        <f>"26:sintaikousoku_code:" &amp; IF(I294="■",1,IF(M294="■",2,0))</f>
        <v>26:sintaikousoku_code:0</v>
      </c>
      <c r="AJ294" s="3120" t="str">
        <f>"26:field203:" &amp; IF(Y294="■",1,IF(Y295="■",2,0))</f>
        <v>26:field203:0</v>
      </c>
    </row>
    <row r="295" spans="1:36" ht="19.5" hidden="1" customHeight="1" x14ac:dyDescent="0.2">
      <c r="A295" s="834"/>
      <c r="B295" s="3148"/>
      <c r="C295" s="3147"/>
      <c r="D295" s="3146"/>
      <c r="E295" s="3145"/>
      <c r="F295" s="3144"/>
      <c r="G295" s="3175"/>
      <c r="H295" s="3395" t="s">
        <v>1227</v>
      </c>
      <c r="I295" s="3303" t="s">
        <v>116</v>
      </c>
      <c r="J295" s="3139" t="s">
        <v>1228</v>
      </c>
      <c r="K295" s="3138"/>
      <c r="L295" s="3385"/>
      <c r="M295" s="3140" t="s">
        <v>116</v>
      </c>
      <c r="N295" s="3139" t="s">
        <v>1229</v>
      </c>
      <c r="O295" s="3207"/>
      <c r="P295" s="3139"/>
      <c r="Q295" s="3207"/>
      <c r="R295" s="3207"/>
      <c r="S295" s="3207"/>
      <c r="T295" s="3207"/>
      <c r="U295" s="3207"/>
      <c r="V295" s="3207"/>
      <c r="W295" s="3207"/>
      <c r="X295" s="3206"/>
      <c r="Y295" s="3258" t="s">
        <v>116</v>
      </c>
      <c r="Z295" s="1200" t="s">
        <v>1226</v>
      </c>
      <c r="AA295" s="1200"/>
      <c r="AB295" s="1202"/>
      <c r="AC295" s="3394"/>
      <c r="AD295" s="3393"/>
      <c r="AE295" s="3393"/>
      <c r="AF295" s="3392"/>
      <c r="AG295" s="3120" t="str">
        <f>"26:sisetukbn_code:"&amp;IF(D304="■","7",0)</f>
        <v>26:sisetukbn_code:0</v>
      </c>
      <c r="AH295" s="3120"/>
      <c r="AI295" s="3120" t="str">
        <f>"26:field223:" &amp; IF(I295="■",1,IF(M295="■",2,0))</f>
        <v>26:field223:0</v>
      </c>
      <c r="AJ295" s="3120"/>
    </row>
    <row r="296" spans="1:36" ht="19.5" hidden="1" customHeight="1" x14ac:dyDescent="0.2">
      <c r="A296" s="834"/>
      <c r="B296" s="3148"/>
      <c r="C296" s="3147"/>
      <c r="D296" s="3146"/>
      <c r="E296" s="3145"/>
      <c r="F296" s="3144"/>
      <c r="G296" s="3175"/>
      <c r="H296" s="3174" t="s">
        <v>1253</v>
      </c>
      <c r="I296" s="3303" t="s">
        <v>116</v>
      </c>
      <c r="J296" s="3139" t="s">
        <v>1228</v>
      </c>
      <c r="K296" s="3138"/>
      <c r="L296" s="3385"/>
      <c r="M296" s="3140" t="s">
        <v>116</v>
      </c>
      <c r="N296" s="3139" t="s">
        <v>1229</v>
      </c>
      <c r="O296" s="3207"/>
      <c r="P296" s="3139"/>
      <c r="Q296" s="3207"/>
      <c r="R296" s="3207"/>
      <c r="S296" s="3207"/>
      <c r="T296" s="3207"/>
      <c r="U296" s="3207"/>
      <c r="V296" s="3207"/>
      <c r="W296" s="3207"/>
      <c r="X296" s="3206"/>
      <c r="Y296" s="3293"/>
      <c r="Z296" s="1200"/>
      <c r="AA296" s="1201"/>
      <c r="AB296" s="1202"/>
      <c r="AC296" s="3394"/>
      <c r="AD296" s="3393"/>
      <c r="AE296" s="3393"/>
      <c r="AF296" s="3392"/>
      <c r="AG296" s="3120"/>
      <c r="AH296" s="3120"/>
      <c r="AI296" s="3120" t="str">
        <f>"26:field232:" &amp; IF(I296="■",1,IF(M296="■",2,0))</f>
        <v>26:field232:0</v>
      </c>
      <c r="AJ296" s="3120"/>
    </row>
    <row r="297" spans="1:36" ht="18.75" hidden="1" customHeight="1" x14ac:dyDescent="0.2">
      <c r="A297" s="834"/>
      <c r="B297" s="3148"/>
      <c r="C297" s="3147"/>
      <c r="D297" s="3146"/>
      <c r="E297" s="3145"/>
      <c r="F297" s="3144"/>
      <c r="G297" s="3145"/>
      <c r="H297" s="3213" t="s">
        <v>91</v>
      </c>
      <c r="I297" s="3303" t="s">
        <v>116</v>
      </c>
      <c r="J297" s="3139" t="s">
        <v>1240</v>
      </c>
      <c r="K297" s="3138"/>
      <c r="L297" s="3385"/>
      <c r="M297" s="3140" t="s">
        <v>116</v>
      </c>
      <c r="N297" s="3139" t="s">
        <v>1241</v>
      </c>
      <c r="O297" s="3207"/>
      <c r="P297" s="3207"/>
      <c r="Q297" s="3207"/>
      <c r="R297" s="3207"/>
      <c r="S297" s="3207"/>
      <c r="T297" s="3207"/>
      <c r="U297" s="3207"/>
      <c r="V297" s="3207"/>
      <c r="W297" s="3207"/>
      <c r="X297" s="3206"/>
      <c r="Y297" s="3293"/>
      <c r="Z297" s="1200"/>
      <c r="AA297" s="1201"/>
      <c r="AB297" s="1202"/>
      <c r="AC297" s="3394"/>
      <c r="AD297" s="3393"/>
      <c r="AE297" s="3393"/>
      <c r="AF297" s="3392"/>
      <c r="AG297" s="3120"/>
      <c r="AH297" s="3120"/>
      <c r="AI297" s="3120" t="str">
        <f>"26:unitcare_code:" &amp; IF(I297="■",1,IF(M297="■",2,0))</f>
        <v>26:unitcare_code:0</v>
      </c>
      <c r="AJ297" s="3120"/>
    </row>
    <row r="298" spans="1:36" ht="18.75" hidden="1" customHeight="1" x14ac:dyDescent="0.2">
      <c r="A298" s="834"/>
      <c r="B298" s="3148"/>
      <c r="C298" s="3147"/>
      <c r="D298" s="3146"/>
      <c r="E298" s="3145"/>
      <c r="F298" s="3144"/>
      <c r="G298" s="3145"/>
      <c r="H298" s="3151" t="s">
        <v>2226</v>
      </c>
      <c r="I298" s="3303" t="s">
        <v>116</v>
      </c>
      <c r="J298" s="3137" t="s">
        <v>1282</v>
      </c>
      <c r="K298" s="3171"/>
      <c r="L298" s="3173"/>
      <c r="M298" s="3154" t="s">
        <v>116</v>
      </c>
      <c r="N298" s="3137" t="s">
        <v>1293</v>
      </c>
      <c r="O298" s="3150"/>
      <c r="P298" s="3150"/>
      <c r="Q298" s="3150"/>
      <c r="R298" s="3150"/>
      <c r="S298" s="3150"/>
      <c r="T298" s="3150"/>
      <c r="U298" s="3150"/>
      <c r="V298" s="3150"/>
      <c r="W298" s="3150"/>
      <c r="X298" s="3149"/>
      <c r="Y298" s="3293"/>
      <c r="Z298" s="1201"/>
      <c r="AA298" s="1201"/>
      <c r="AB298" s="1202"/>
      <c r="AC298" s="3394"/>
      <c r="AD298" s="3393"/>
      <c r="AE298" s="3393"/>
      <c r="AF298" s="3392"/>
      <c r="AG298" s="3120"/>
      <c r="AH298" s="3120"/>
      <c r="AI298" s="3120" t="str">
        <f>"26:setubi_kijyun_code:" &amp; IF(I298="■",1,IF(M298="■",2,0))</f>
        <v>26:setubi_kijyun_code:0</v>
      </c>
      <c r="AJ298" s="3120"/>
    </row>
    <row r="299" spans="1:36" ht="18.75" hidden="1" customHeight="1" x14ac:dyDescent="0.2">
      <c r="A299" s="834"/>
      <c r="B299" s="3148"/>
      <c r="C299" s="3147"/>
      <c r="D299" s="3146"/>
      <c r="E299" s="3145"/>
      <c r="F299" s="3144"/>
      <c r="G299" s="3145"/>
      <c r="H299" s="3151" t="s">
        <v>2225</v>
      </c>
      <c r="I299" s="3303" t="s">
        <v>116</v>
      </c>
      <c r="J299" s="3137" t="s">
        <v>1282</v>
      </c>
      <c r="K299" s="3171"/>
      <c r="L299" s="3173"/>
      <c r="M299" s="3154" t="s">
        <v>116</v>
      </c>
      <c r="N299" s="3137" t="s">
        <v>1293</v>
      </c>
      <c r="O299" s="3150"/>
      <c r="P299" s="3150"/>
      <c r="Q299" s="3150"/>
      <c r="R299" s="3150"/>
      <c r="S299" s="3150"/>
      <c r="T299" s="3150"/>
      <c r="U299" s="3150"/>
      <c r="V299" s="3150"/>
      <c r="W299" s="3150"/>
      <c r="X299" s="3149"/>
      <c r="Y299" s="3293"/>
      <c r="Z299" s="1201"/>
      <c r="AA299" s="1201"/>
      <c r="AB299" s="1202"/>
      <c r="AC299" s="3394"/>
      <c r="AD299" s="3393"/>
      <c r="AE299" s="3393"/>
      <c r="AF299" s="3392"/>
      <c r="AG299" s="3120"/>
      <c r="AH299" s="3120"/>
      <c r="AI299" s="3120" t="str">
        <f>"26:field163:" &amp; IF(I299="■",1,IF(M299="■",2,0))</f>
        <v>26:field163:0</v>
      </c>
      <c r="AJ299" s="3120"/>
    </row>
    <row r="300" spans="1:36" ht="18.75" hidden="1" customHeight="1" x14ac:dyDescent="0.2">
      <c r="A300" s="834"/>
      <c r="B300" s="3148"/>
      <c r="C300" s="3147"/>
      <c r="D300" s="3146"/>
      <c r="E300" s="3145"/>
      <c r="F300" s="3144"/>
      <c r="G300" s="3145"/>
      <c r="H300" s="3151" t="s">
        <v>1348</v>
      </c>
      <c r="I300" s="3303" t="s">
        <v>116</v>
      </c>
      <c r="J300" s="3137" t="s">
        <v>1230</v>
      </c>
      <c r="K300" s="3171"/>
      <c r="L300" s="3154" t="s">
        <v>116</v>
      </c>
      <c r="M300" s="3137" t="s">
        <v>1233</v>
      </c>
      <c r="N300" s="3150"/>
      <c r="O300" s="3150"/>
      <c r="P300" s="3150"/>
      <c r="Q300" s="3171"/>
      <c r="R300" s="3150"/>
      <c r="S300" s="3150"/>
      <c r="T300" s="3150"/>
      <c r="U300" s="3150"/>
      <c r="V300" s="3150"/>
      <c r="W300" s="3150"/>
      <c r="X300" s="3149"/>
      <c r="Y300" s="3293"/>
      <c r="Z300" s="1201"/>
      <c r="AA300" s="1201"/>
      <c r="AB300" s="1202"/>
      <c r="AC300" s="3394"/>
      <c r="AD300" s="3393"/>
      <c r="AE300" s="3393"/>
      <c r="AF300" s="3392"/>
      <c r="AG300" s="3120"/>
      <c r="AH300" s="3120"/>
      <c r="AI300" s="3120" t="str">
        <f>"26:jyakuninti_uke_code:" &amp; IF(I300="■",1,IF(L300="■",2,0))</f>
        <v>26:jyakuninti_uke_code:0</v>
      </c>
      <c r="AJ300" s="3120"/>
    </row>
    <row r="301" spans="1:36" ht="18.75" hidden="1" customHeight="1" x14ac:dyDescent="0.2">
      <c r="A301" s="834"/>
      <c r="B301" s="3148"/>
      <c r="C301" s="3147"/>
      <c r="D301" s="3146"/>
      <c r="E301" s="3145"/>
      <c r="F301" s="3144"/>
      <c r="G301" s="3145"/>
      <c r="H301" s="3151" t="s">
        <v>1284</v>
      </c>
      <c r="I301" s="3303" t="s">
        <v>116</v>
      </c>
      <c r="J301" s="3137" t="s">
        <v>1240</v>
      </c>
      <c r="K301" s="3171"/>
      <c r="L301" s="3173"/>
      <c r="M301" s="3154" t="s">
        <v>116</v>
      </c>
      <c r="N301" s="3137" t="s">
        <v>1241</v>
      </c>
      <c r="O301" s="3150"/>
      <c r="P301" s="3150"/>
      <c r="Q301" s="3171"/>
      <c r="R301" s="3150"/>
      <c r="S301" s="3150"/>
      <c r="T301" s="3150"/>
      <c r="U301" s="3150"/>
      <c r="V301" s="3150"/>
      <c r="W301" s="3150"/>
      <c r="X301" s="3149"/>
      <c r="Y301" s="3293"/>
      <c r="Z301" s="1201"/>
      <c r="AA301" s="1201"/>
      <c r="AB301" s="1202"/>
      <c r="AC301" s="3394"/>
      <c r="AD301" s="3393"/>
      <c r="AE301" s="3393"/>
      <c r="AF301" s="3392"/>
      <c r="AG301" s="3120"/>
      <c r="AH301" s="3120"/>
      <c r="AI301" s="3120" t="str">
        <f>"26:sougei_code:" &amp; IF(I301="■",1,IF(M301="■",2,0))</f>
        <v>26:sougei_code:0</v>
      </c>
      <c r="AJ301" s="3120"/>
    </row>
    <row r="302" spans="1:36" ht="19.5" hidden="1" customHeight="1" x14ac:dyDescent="0.2">
      <c r="A302" s="834"/>
      <c r="B302" s="3148"/>
      <c r="C302" s="3147"/>
      <c r="D302" s="3146"/>
      <c r="E302" s="3145"/>
      <c r="F302" s="3158" t="s">
        <v>116</v>
      </c>
      <c r="G302" s="3145" t="s">
        <v>2224</v>
      </c>
      <c r="H302" s="3174" t="s">
        <v>1236</v>
      </c>
      <c r="I302" s="3303" t="s">
        <v>116</v>
      </c>
      <c r="J302" s="3137" t="s">
        <v>1230</v>
      </c>
      <c r="K302" s="3137"/>
      <c r="L302" s="3154" t="s">
        <v>116</v>
      </c>
      <c r="M302" s="3137" t="s">
        <v>1233</v>
      </c>
      <c r="N302" s="3137"/>
      <c r="O302" s="3150"/>
      <c r="P302" s="3137"/>
      <c r="Q302" s="3150"/>
      <c r="R302" s="3150"/>
      <c r="S302" s="3150"/>
      <c r="T302" s="3150"/>
      <c r="U302" s="3150"/>
      <c r="V302" s="3150"/>
      <c r="W302" s="3150"/>
      <c r="X302" s="3149"/>
      <c r="Y302" s="1201"/>
      <c r="Z302" s="1201"/>
      <c r="AA302" s="1201"/>
      <c r="AB302" s="1202"/>
      <c r="AC302" s="3394"/>
      <c r="AD302" s="3393"/>
      <c r="AE302" s="3393"/>
      <c r="AF302" s="3392"/>
      <c r="AG302" s="3120"/>
      <c r="AH302" s="3120"/>
      <c r="AI302" s="3120" t="str">
        <f>"26:field224:" &amp; IF(I302="■",1,IF(L302="■",2,0))</f>
        <v>26:field224:0</v>
      </c>
      <c r="AJ302" s="3120"/>
    </row>
    <row r="303" spans="1:36" ht="18.75" hidden="1" customHeight="1" x14ac:dyDescent="0.2">
      <c r="A303" s="834"/>
      <c r="B303" s="3148"/>
      <c r="C303" s="3147"/>
      <c r="D303" s="3146"/>
      <c r="E303" s="3145"/>
      <c r="F303" s="3144"/>
      <c r="G303" s="3145" t="s">
        <v>2223</v>
      </c>
      <c r="H303" s="3151" t="s">
        <v>140</v>
      </c>
      <c r="I303" s="3303" t="s">
        <v>116</v>
      </c>
      <c r="J303" s="3137" t="s">
        <v>1230</v>
      </c>
      <c r="K303" s="3171"/>
      <c r="L303" s="3154" t="s">
        <v>116</v>
      </c>
      <c r="M303" s="3137" t="s">
        <v>1233</v>
      </c>
      <c r="N303" s="3150"/>
      <c r="O303" s="3150"/>
      <c r="P303" s="3150"/>
      <c r="Q303" s="3171"/>
      <c r="R303" s="3150"/>
      <c r="S303" s="3150"/>
      <c r="T303" s="3150"/>
      <c r="U303" s="3150"/>
      <c r="V303" s="3150"/>
      <c r="W303" s="3150"/>
      <c r="X303" s="3149"/>
      <c r="Y303" s="3293"/>
      <c r="Z303" s="1201"/>
      <c r="AA303" s="1201"/>
      <c r="AB303" s="1202"/>
      <c r="AC303" s="3394"/>
      <c r="AD303" s="3393"/>
      <c r="AE303" s="3393"/>
      <c r="AF303" s="3392"/>
      <c r="AG303" s="3120"/>
      <c r="AH303" s="3120"/>
      <c r="AI303" s="3120" t="str">
        <f>"26:ryouyoushoku_code:" &amp; IF(I303="■",1,IF(L303="■",2,0))</f>
        <v>26:ryouyoushoku_code:0</v>
      </c>
      <c r="AJ303" s="3120"/>
    </row>
    <row r="304" spans="1:36" ht="18.75" hidden="1" customHeight="1" x14ac:dyDescent="0.2">
      <c r="A304" s="3158" t="s">
        <v>116</v>
      </c>
      <c r="B304" s="3148">
        <v>26</v>
      </c>
      <c r="C304" s="3147" t="s">
        <v>2326</v>
      </c>
      <c r="D304" s="3158" t="s">
        <v>116</v>
      </c>
      <c r="E304" s="3145" t="s">
        <v>2222</v>
      </c>
      <c r="F304" s="3158" t="s">
        <v>116</v>
      </c>
      <c r="G304" s="3145" t="s">
        <v>2221</v>
      </c>
      <c r="H304" s="3151" t="s">
        <v>2219</v>
      </c>
      <c r="I304" s="3303" t="s">
        <v>116</v>
      </c>
      <c r="J304" s="3137" t="s">
        <v>1230</v>
      </c>
      <c r="K304" s="3137"/>
      <c r="L304" s="3154" t="s">
        <v>116</v>
      </c>
      <c r="M304" s="3137" t="s">
        <v>1231</v>
      </c>
      <c r="N304" s="3137"/>
      <c r="O304" s="3154" t="s">
        <v>116</v>
      </c>
      <c r="P304" s="3137" t="s">
        <v>1232</v>
      </c>
      <c r="Q304" s="3150"/>
      <c r="R304" s="3150"/>
      <c r="S304" s="3150"/>
      <c r="T304" s="3150"/>
      <c r="U304" s="3150"/>
      <c r="V304" s="3150"/>
      <c r="W304" s="3150"/>
      <c r="X304" s="3149"/>
      <c r="Y304" s="3293"/>
      <c r="Z304" s="1201"/>
      <c r="AA304" s="1201"/>
      <c r="AB304" s="1202"/>
      <c r="AC304" s="3394"/>
      <c r="AD304" s="3393"/>
      <c r="AE304" s="3393"/>
      <c r="AF304" s="3392"/>
      <c r="AG304" s="3120"/>
      <c r="AH304" s="3120"/>
      <c r="AI304" s="3120" t="str">
        <f>"26:ninti_senmoncare_code:" &amp; IF(I304="■",1,IF(O304="■",3,IF(L304="■",2,0)))</f>
        <v>26:ninti_senmoncare_code:0</v>
      </c>
      <c r="AJ304" s="3120"/>
    </row>
    <row r="305" spans="1:36" ht="18.75" hidden="1" customHeight="1" x14ac:dyDescent="0.2">
      <c r="A305" s="834"/>
      <c r="B305" s="3148"/>
      <c r="C305" s="3147"/>
      <c r="D305" s="3146"/>
      <c r="E305" s="3145"/>
      <c r="F305" s="3144"/>
      <c r="G305" s="3145" t="s">
        <v>2220</v>
      </c>
      <c r="H305" s="3304" t="s">
        <v>2228</v>
      </c>
      <c r="I305" s="3303" t="s">
        <v>116</v>
      </c>
      <c r="J305" s="3302" t="s">
        <v>1287</v>
      </c>
      <c r="K305" s="3302"/>
      <c r="L305" s="3209"/>
      <c r="M305" s="3209"/>
      <c r="N305" s="3209"/>
      <c r="O305" s="3209"/>
      <c r="P305" s="3301" t="s">
        <v>116</v>
      </c>
      <c r="Q305" s="3302" t="s">
        <v>1288</v>
      </c>
      <c r="R305" s="3209"/>
      <c r="S305" s="3209"/>
      <c r="T305" s="3209"/>
      <c r="U305" s="3209"/>
      <c r="V305" s="3209"/>
      <c r="W305" s="3209"/>
      <c r="X305" s="3208"/>
      <c r="Y305" s="3293"/>
      <c r="Z305" s="1201"/>
      <c r="AA305" s="1201"/>
      <c r="AB305" s="1202"/>
      <c r="AC305" s="3394"/>
      <c r="AD305" s="3393"/>
      <c r="AE305" s="3393"/>
      <c r="AF305" s="3392"/>
      <c r="AG305" s="3120"/>
      <c r="AH305" s="3120"/>
      <c r="AI305" s="3120" t="str">
        <f>"26:" &amp; IF(AND(I305="□",P305="□",I306="□"),"tokusin_jyusho_code:0:tokusin_yakuzai_code:0:shuudan_comu_code:0",IF(I305="■","tokusin_jyusho_code:2","tokusin_jyusho_code:1")
&amp;IF(P305="■",":tokusin_yakuzai_code:2",":tokusin_yakuzai_code:1")
&amp;IF(I306="■",":shuudan_comu_code:2",":shuudan_comu_code:1"))</f>
        <v>26:tokusin_jyusho_code:0:tokusin_yakuzai_code:0:shuudan_comu_code:0</v>
      </c>
      <c r="AJ305" s="3120"/>
    </row>
    <row r="306" spans="1:36" ht="18.75" hidden="1" customHeight="1" x14ac:dyDescent="0.2">
      <c r="A306" s="834"/>
      <c r="B306" s="3148"/>
      <c r="C306" s="3147"/>
      <c r="D306" s="3146"/>
      <c r="E306" s="3145"/>
      <c r="F306" s="3158" t="s">
        <v>116</v>
      </c>
      <c r="G306" s="3145" t="s">
        <v>2218</v>
      </c>
      <c r="H306" s="3300"/>
      <c r="I306" s="3158" t="s">
        <v>116</v>
      </c>
      <c r="J306" s="3139" t="s">
        <v>1294</v>
      </c>
      <c r="K306" s="3207"/>
      <c r="L306" s="3207"/>
      <c r="M306" s="3207"/>
      <c r="N306" s="3207"/>
      <c r="O306" s="3207"/>
      <c r="P306" s="3207"/>
      <c r="Q306" s="3162"/>
      <c r="R306" s="3207"/>
      <c r="S306" s="3207"/>
      <c r="T306" s="3207"/>
      <c r="U306" s="3207"/>
      <c r="V306" s="3207"/>
      <c r="W306" s="3207"/>
      <c r="X306" s="3206"/>
      <c r="Y306" s="3293"/>
      <c r="Z306" s="1201"/>
      <c r="AA306" s="1201"/>
      <c r="AB306" s="1202"/>
      <c r="AC306" s="3394"/>
      <c r="AD306" s="3393"/>
      <c r="AE306" s="3393"/>
      <c r="AF306" s="3392"/>
      <c r="AG306" s="3120"/>
      <c r="AH306" s="3120"/>
      <c r="AI306" s="3120"/>
      <c r="AJ306" s="3120"/>
    </row>
    <row r="307" spans="1:36" ht="18.75" hidden="1" customHeight="1" x14ac:dyDescent="0.2">
      <c r="A307" s="834"/>
      <c r="B307" s="3148"/>
      <c r="C307" s="3147"/>
      <c r="D307" s="3146"/>
      <c r="E307" s="3145"/>
      <c r="F307" s="3144"/>
      <c r="G307" s="3145" t="s">
        <v>2217</v>
      </c>
      <c r="H307" s="3296" t="s">
        <v>1285</v>
      </c>
      <c r="I307" s="3303" t="s">
        <v>116</v>
      </c>
      <c r="J307" s="3137" t="s">
        <v>1230</v>
      </c>
      <c r="K307" s="3137"/>
      <c r="L307" s="3154" t="s">
        <v>116</v>
      </c>
      <c r="M307" s="3137" t="s">
        <v>1231</v>
      </c>
      <c r="N307" s="3137"/>
      <c r="O307" s="3154" t="s">
        <v>116</v>
      </c>
      <c r="P307" s="3137" t="s">
        <v>1232</v>
      </c>
      <c r="Q307" s="3150"/>
      <c r="R307" s="3150"/>
      <c r="S307" s="3150"/>
      <c r="T307" s="3150"/>
      <c r="U307" s="3209"/>
      <c r="V307" s="3209"/>
      <c r="W307" s="3209"/>
      <c r="X307" s="3208"/>
      <c r="Y307" s="3293"/>
      <c r="Z307" s="1201"/>
      <c r="AA307" s="1201"/>
      <c r="AB307" s="1202"/>
      <c r="AC307" s="3394"/>
      <c r="AD307" s="3393"/>
      <c r="AE307" s="3393"/>
      <c r="AF307" s="3392"/>
      <c r="AG307" s="3120"/>
      <c r="AH307" s="3120"/>
      <c r="AI307" s="3120" t="str">
        <f>"26:field225:" &amp; IF(I307="■",1,IF(L307="■",2,IF(O307="■",3,0)))</f>
        <v>26:field225:0</v>
      </c>
      <c r="AJ307" s="3120"/>
    </row>
    <row r="308" spans="1:36" ht="18.75" hidden="1" customHeight="1" x14ac:dyDescent="0.2">
      <c r="A308" s="3146"/>
      <c r="B308" s="3148"/>
      <c r="C308" s="3147"/>
      <c r="D308" s="3146"/>
      <c r="E308" s="3145"/>
      <c r="F308" s="3144"/>
      <c r="G308" s="3145"/>
      <c r="H308" s="3304" t="s">
        <v>1300</v>
      </c>
      <c r="I308" s="3303" t="s">
        <v>116</v>
      </c>
      <c r="J308" s="3302" t="s">
        <v>1295</v>
      </c>
      <c r="K308" s="3317"/>
      <c r="L308" s="3316"/>
      <c r="M308" s="3301" t="s">
        <v>116</v>
      </c>
      <c r="N308" s="3302" t="s">
        <v>1296</v>
      </c>
      <c r="O308" s="3209"/>
      <c r="P308" s="3209"/>
      <c r="Q308" s="3301" t="s">
        <v>116</v>
      </c>
      <c r="R308" s="3302" t="s">
        <v>1297</v>
      </c>
      <c r="S308" s="3209"/>
      <c r="T308" s="3209"/>
      <c r="U308" s="3209"/>
      <c r="V308" s="3209"/>
      <c r="W308" s="3209"/>
      <c r="X308" s="3208"/>
      <c r="Y308" s="3293"/>
      <c r="Z308" s="1201"/>
      <c r="AA308" s="1201"/>
      <c r="AB308" s="1202"/>
      <c r="AC308" s="3394"/>
      <c r="AD308" s="3393"/>
      <c r="AE308" s="3393"/>
      <c r="AF308" s="3392"/>
      <c r="AG308" s="3120"/>
      <c r="AH308" s="3120"/>
      <c r="AI308" s="3120" t="str">
        <f>"26:"&amp;IF(AND(I308="□",M308="□",Q308="□",I309="□",Q309="□"),"koriha_rryoho1_code:0:koriha_sryoho_code:0:koriha_gengo_code:0:riha_seisin_code:0:koriha_other_code:0",IF(I308="■","koriha_rryoho1_code:2","koriha_rryoho1_code:1")
&amp;IF(M308="■",":koriha_sryoho_code:2",":koriha_sryoho_code:1")
&amp;IF(Q308="■",":koriha_gengo_code:2",":koriha_gengo_code:1")
&amp;IF(I309="■",":riha_seisin_code:2",":riha_seisin_code:1")
&amp;IF(Q309="■",":koriha_other_code:2",":koriha_other_code:1"))</f>
        <v>26:koriha_rryoho1_code:0:koriha_sryoho_code:0:koriha_gengo_code:0:riha_seisin_code:0:koriha_other_code:0</v>
      </c>
      <c r="AJ308" s="3120"/>
    </row>
    <row r="309" spans="1:36" ht="18.75" hidden="1" customHeight="1" x14ac:dyDescent="0.2">
      <c r="A309" s="834"/>
      <c r="B309" s="3148"/>
      <c r="C309" s="3147"/>
      <c r="D309" s="3146"/>
      <c r="E309" s="3145"/>
      <c r="F309" s="3144"/>
      <c r="G309" s="3145"/>
      <c r="H309" s="3300"/>
      <c r="I309" s="3158" t="s">
        <v>116</v>
      </c>
      <c r="J309" s="3139" t="s">
        <v>1298</v>
      </c>
      <c r="K309" s="3207"/>
      <c r="L309" s="3207"/>
      <c r="M309" s="3207"/>
      <c r="N309" s="3207"/>
      <c r="O309" s="3207"/>
      <c r="P309" s="3207"/>
      <c r="Q309" s="3140" t="s">
        <v>116</v>
      </c>
      <c r="R309" s="3139" t="s">
        <v>1299</v>
      </c>
      <c r="S309" s="3162"/>
      <c r="T309" s="3207"/>
      <c r="U309" s="3207"/>
      <c r="V309" s="3207"/>
      <c r="W309" s="3207"/>
      <c r="X309" s="3206"/>
      <c r="Y309" s="3293"/>
      <c r="Z309" s="1201"/>
      <c r="AA309" s="1201"/>
      <c r="AB309" s="1202"/>
      <c r="AC309" s="3394"/>
      <c r="AD309" s="3393"/>
      <c r="AE309" s="3393"/>
      <c r="AF309" s="3392"/>
      <c r="AG309" s="3120"/>
      <c r="AH309" s="3120"/>
      <c r="AI309" s="3120"/>
      <c r="AJ309" s="3120"/>
    </row>
    <row r="310" spans="1:36" ht="18.75" hidden="1" customHeight="1" x14ac:dyDescent="0.2">
      <c r="A310" s="834"/>
      <c r="B310" s="3148"/>
      <c r="C310" s="3147"/>
      <c r="D310" s="3146"/>
      <c r="E310" s="3145"/>
      <c r="F310" s="3144"/>
      <c r="G310" s="3145"/>
      <c r="H310" s="3151" t="s">
        <v>238</v>
      </c>
      <c r="I310" s="3303" t="s">
        <v>116</v>
      </c>
      <c r="J310" s="3137" t="s">
        <v>1230</v>
      </c>
      <c r="K310" s="3137"/>
      <c r="L310" s="3154" t="s">
        <v>116</v>
      </c>
      <c r="M310" s="3137" t="s">
        <v>1259</v>
      </c>
      <c r="N310" s="3137"/>
      <c r="O310" s="3154" t="s">
        <v>116</v>
      </c>
      <c r="P310" s="3137" t="s">
        <v>1260</v>
      </c>
      <c r="Q310" s="3153"/>
      <c r="R310" s="3154" t="s">
        <v>116</v>
      </c>
      <c r="S310" s="3137" t="s">
        <v>1261</v>
      </c>
      <c r="T310" s="3153"/>
      <c r="U310" s="3153"/>
      <c r="V310" s="3153"/>
      <c r="W310" s="3153"/>
      <c r="X310" s="3152"/>
      <c r="Y310" s="3293"/>
      <c r="Z310" s="1201"/>
      <c r="AA310" s="1201"/>
      <c r="AB310" s="1202"/>
      <c r="AC310" s="3394"/>
      <c r="AD310" s="3393"/>
      <c r="AE310" s="3393"/>
      <c r="AF310" s="3392"/>
      <c r="AG310" s="3120"/>
      <c r="AH310" s="3120"/>
      <c r="AI310" s="3120" t="str">
        <f>"26:serteikyo_kyoka_code:" &amp; IF(I310="■",1,IF(L310="■",6,IF(O310="■",5,IF(R310="■",7,0))))</f>
        <v>26:serteikyo_kyoka_code:0</v>
      </c>
      <c r="AJ310" s="3120"/>
    </row>
    <row r="311" spans="1:36" ht="18.75" hidden="1" customHeight="1" x14ac:dyDescent="0.2">
      <c r="A311" s="3146"/>
      <c r="B311" s="3148"/>
      <c r="C311" s="3147"/>
      <c r="D311" s="3146"/>
      <c r="E311" s="3145"/>
      <c r="F311" s="3144"/>
      <c r="G311" s="3145"/>
      <c r="H311" s="3170" t="s">
        <v>2058</v>
      </c>
      <c r="I311" s="3346" t="s">
        <v>116</v>
      </c>
      <c r="J311" s="3347" t="s">
        <v>1230</v>
      </c>
      <c r="K311" s="3347"/>
      <c r="L311" s="3346" t="s">
        <v>116</v>
      </c>
      <c r="M311" s="3347" t="s">
        <v>1233</v>
      </c>
      <c r="N311" s="3347"/>
      <c r="O311" s="3167"/>
      <c r="P311" s="3167"/>
      <c r="Q311" s="3167"/>
      <c r="R311" s="3167"/>
      <c r="S311" s="3167"/>
      <c r="T311" s="3167"/>
      <c r="U311" s="3167"/>
      <c r="V311" s="3167"/>
      <c r="W311" s="3167"/>
      <c r="X311" s="3166"/>
      <c r="Y311" s="3293"/>
      <c r="Z311" s="1201"/>
      <c r="AA311" s="1201"/>
      <c r="AB311" s="1202"/>
      <c r="AC311" s="3394"/>
      <c r="AD311" s="3393"/>
      <c r="AE311" s="3393"/>
      <c r="AF311" s="3392"/>
      <c r="AG311" s="3120"/>
      <c r="AH311" s="3120"/>
      <c r="AI311" s="3120" t="str">
        <f>"26:field221:" &amp; IF(I311="■",1,IF(L311="■",2,0))</f>
        <v>26:field221:0</v>
      </c>
      <c r="AJ311" s="3120"/>
    </row>
    <row r="312" spans="1:36" ht="18.75" hidden="1" customHeight="1" x14ac:dyDescent="0.2">
      <c r="A312" s="834"/>
      <c r="B312" s="3148"/>
      <c r="C312" s="3147"/>
      <c r="D312" s="3146"/>
      <c r="E312" s="3145"/>
      <c r="F312" s="3144"/>
      <c r="G312" s="3145"/>
      <c r="H312" s="3165"/>
      <c r="I312" s="3346"/>
      <c r="J312" s="3347"/>
      <c r="K312" s="3347"/>
      <c r="L312" s="3346"/>
      <c r="M312" s="3347"/>
      <c r="N312" s="3347"/>
      <c r="O312" s="3162"/>
      <c r="P312" s="3162"/>
      <c r="Q312" s="3162"/>
      <c r="R312" s="3162"/>
      <c r="S312" s="3162"/>
      <c r="T312" s="3162"/>
      <c r="U312" s="3162"/>
      <c r="V312" s="3162"/>
      <c r="W312" s="3162"/>
      <c r="X312" s="3161"/>
      <c r="Y312" s="3293"/>
      <c r="Z312" s="1201"/>
      <c r="AA312" s="1201"/>
      <c r="AB312" s="1202"/>
      <c r="AC312" s="3394"/>
      <c r="AD312" s="3393"/>
      <c r="AE312" s="3393"/>
      <c r="AF312" s="3392"/>
    </row>
    <row r="313" spans="1:36" ht="18.75" hidden="1" customHeight="1" x14ac:dyDescent="0.2">
      <c r="A313" s="835"/>
      <c r="B313" s="3135"/>
      <c r="C313" s="3134"/>
      <c r="D313" s="3133"/>
      <c r="E313" s="3132"/>
      <c r="F313" s="3131"/>
      <c r="G313" s="3189"/>
      <c r="H313" s="3289" t="s">
        <v>2129</v>
      </c>
      <c r="I313" s="3128" t="s">
        <v>116</v>
      </c>
      <c r="J313" s="3285" t="s">
        <v>1230</v>
      </c>
      <c r="K313" s="3285"/>
      <c r="L313" s="3127" t="s">
        <v>116</v>
      </c>
      <c r="M313" s="3285" t="s">
        <v>2128</v>
      </c>
      <c r="N313" s="3288"/>
      <c r="O313" s="3127" t="s">
        <v>116</v>
      </c>
      <c r="P313" s="3287" t="s">
        <v>2127</v>
      </c>
      <c r="Q313" s="3286"/>
      <c r="R313" s="3127" t="s">
        <v>116</v>
      </c>
      <c r="S313" s="3285" t="s">
        <v>2126</v>
      </c>
      <c r="T313" s="3286"/>
      <c r="U313" s="3127" t="s">
        <v>116</v>
      </c>
      <c r="V313" s="3285" t="s">
        <v>2125</v>
      </c>
      <c r="W313" s="3284"/>
      <c r="X313" s="3283"/>
      <c r="Y313" s="3282"/>
      <c r="Z313" s="3282"/>
      <c r="AA313" s="3282"/>
      <c r="AB313" s="3281"/>
      <c r="AC313" s="3391"/>
      <c r="AD313" s="3390"/>
      <c r="AE313" s="3390"/>
      <c r="AF313" s="3389"/>
      <c r="AG313" s="3120"/>
      <c r="AH313" s="3120"/>
      <c r="AI313" s="3120" t="str">
        <f>"26:shoguukaizen_code:"&amp;IF(I313="■",1,IF(L313="■",7,IF(O313="■",8,IF(R313="■",9,IF(U313="■","A",0)))))</f>
        <v>26:shoguukaizen_code:0</v>
      </c>
    </row>
    <row r="314" spans="1:36" ht="18.75" customHeight="1" x14ac:dyDescent="0.2">
      <c r="A314" s="3188"/>
      <c r="B314" s="3187"/>
      <c r="C314" s="3229"/>
      <c r="D314" s="3228"/>
      <c r="E314" s="3183"/>
      <c r="F314" s="3228"/>
      <c r="G314" s="3185"/>
      <c r="H314" s="3265" t="s">
        <v>1281</v>
      </c>
      <c r="I314" s="3253" t="s">
        <v>116</v>
      </c>
      <c r="J314" s="3252" t="s">
        <v>1282</v>
      </c>
      <c r="K314" s="3311"/>
      <c r="L314" s="3386"/>
      <c r="M314" s="3310" t="s">
        <v>116</v>
      </c>
      <c r="N314" s="3252" t="s">
        <v>1289</v>
      </c>
      <c r="O314" s="3309"/>
      <c r="P314" s="3309"/>
      <c r="Q314" s="3310" t="s">
        <v>116</v>
      </c>
      <c r="R314" s="3252" t="s">
        <v>1290</v>
      </c>
      <c r="S314" s="3309"/>
      <c r="T314" s="3309"/>
      <c r="U314" s="3310" t="s">
        <v>116</v>
      </c>
      <c r="V314" s="3252" t="s">
        <v>1291</v>
      </c>
      <c r="W314" s="3309"/>
      <c r="X314" s="3266"/>
      <c r="Y314" s="3253" t="s">
        <v>116</v>
      </c>
      <c r="Z314" s="3252" t="s">
        <v>1225</v>
      </c>
      <c r="AA314" s="3252"/>
      <c r="AB314" s="3308"/>
      <c r="AC314" s="3307"/>
      <c r="AD314" s="3306"/>
      <c r="AE314" s="3306"/>
      <c r="AF314" s="3305"/>
      <c r="AG314" s="3120" t="str">
        <f>"ser_code = '" &amp; IF(A325="■","2B","") &amp; "'"</f>
        <v>ser_code = ''</v>
      </c>
      <c r="AH314" s="3120" t="str">
        <f>"2B:jininkbn_code:"&amp;IF(F324="■",1,IF(F325="■",2,IF(F326="■",3,0)))</f>
        <v>2B:jininkbn_code:0</v>
      </c>
      <c r="AI314" s="3120" t="str">
        <f>"2B:yakan_kinmu_code:" &amp; IF(I314="■",1,IF(M314="■",2,IF(Q314="■",3,IF(U314="■",7,IF(I315="■",5,IF(M315="■",6,0))))))</f>
        <v>2B:yakan_kinmu_code:0</v>
      </c>
      <c r="AJ314" s="3120" t="str">
        <f>"2B:field203:" &amp; IF(Y314="■",1,IF(Y315="■",2,0))</f>
        <v>2B:field203:0</v>
      </c>
    </row>
    <row r="315" spans="1:36" ht="18.75" customHeight="1" x14ac:dyDescent="0.2">
      <c r="A315" s="834"/>
      <c r="B315" s="3148"/>
      <c r="C315" s="3147"/>
      <c r="D315" s="3146"/>
      <c r="E315" s="3175"/>
      <c r="F315" s="3146"/>
      <c r="G315" s="3145"/>
      <c r="H315" s="3300"/>
      <c r="I315" s="3158" t="s">
        <v>116</v>
      </c>
      <c r="J315" s="3139" t="s">
        <v>1292</v>
      </c>
      <c r="K315" s="3138"/>
      <c r="L315" s="3385"/>
      <c r="M315" s="3140" t="s">
        <v>116</v>
      </c>
      <c r="N315" s="3139" t="s">
        <v>1283</v>
      </c>
      <c r="O315" s="3162"/>
      <c r="P315" s="3162"/>
      <c r="Q315" s="3162"/>
      <c r="R315" s="3162"/>
      <c r="S315" s="3162"/>
      <c r="T315" s="3162"/>
      <c r="U315" s="3162"/>
      <c r="V315" s="3162"/>
      <c r="W315" s="3162"/>
      <c r="X315" s="3161"/>
      <c r="Y315" s="3258" t="s">
        <v>116</v>
      </c>
      <c r="Z315" s="1200" t="s">
        <v>1226</v>
      </c>
      <c r="AA315" s="1201"/>
      <c r="AB315" s="1202"/>
      <c r="AC315" s="3292"/>
      <c r="AD315" s="3291"/>
      <c r="AE315" s="3291"/>
      <c r="AF315" s="3290"/>
      <c r="AG315" s="3120" t="str">
        <f>"2B:sisetukbn_code:"&amp;IF(D325="■","1",0)</f>
        <v>2B:sisetukbn_code:0</v>
      </c>
      <c r="AH315" s="3120"/>
      <c r="AI315" s="3120"/>
      <c r="AJ315" s="3120"/>
    </row>
    <row r="316" spans="1:36" ht="18.75" customHeight="1" x14ac:dyDescent="0.2">
      <c r="A316" s="834"/>
      <c r="B316" s="3148"/>
      <c r="C316" s="3147"/>
      <c r="D316" s="3146"/>
      <c r="E316" s="3175"/>
      <c r="F316" s="3146"/>
      <c r="G316" s="3145"/>
      <c r="H316" s="3304" t="s">
        <v>90</v>
      </c>
      <c r="I316" s="3303" t="s">
        <v>116</v>
      </c>
      <c r="J316" s="3302" t="s">
        <v>1230</v>
      </c>
      <c r="K316" s="3302"/>
      <c r="L316" s="3316"/>
      <c r="M316" s="3301" t="s">
        <v>116</v>
      </c>
      <c r="N316" s="3302" t="s">
        <v>1262</v>
      </c>
      <c r="O316" s="3302"/>
      <c r="P316" s="3316"/>
      <c r="Q316" s="3301" t="s">
        <v>116</v>
      </c>
      <c r="R316" s="3167" t="s">
        <v>1302</v>
      </c>
      <c r="S316" s="3167"/>
      <c r="T316" s="3167"/>
      <c r="U316" s="3209"/>
      <c r="V316" s="3316"/>
      <c r="W316" s="3167"/>
      <c r="X316" s="3208"/>
      <c r="Y316" s="3293"/>
      <c r="Z316" s="1201"/>
      <c r="AA316" s="1201"/>
      <c r="AB316" s="1202"/>
      <c r="AC316" s="3292"/>
      <c r="AD316" s="3291"/>
      <c r="AE316" s="3291"/>
      <c r="AF316" s="3290"/>
      <c r="AG316" s="3120"/>
      <c r="AH316" s="3120"/>
      <c r="AI316" s="3120" t="str">
        <f>"2B:"&amp;IF(AND(I316="□",M316="□",Q316="□",I317="□",M317="□"),"ketu_doctor_code:0",IF(I316="■","ketu_doctor_code:1:field197:1:ketu_kangos_code:1:ketu_kshoku_code:1",IF(M316="■","ketu_doctor_code:2","ketu_doctor_code:1")
&amp;IF(Q316="■",":field197:2",":field197:1")
&amp;IF(I317="■",":ketu_kangos_code:2",":ketu_kangos_code:1")
&amp;IF(M317="■",":ketu_kshoku_code:2",":ketu_kshoku_code:1")))</f>
        <v>2B:ketu_doctor_code:0</v>
      </c>
      <c r="AJ316" s="3120"/>
    </row>
    <row r="317" spans="1:36" ht="18.75" customHeight="1" x14ac:dyDescent="0.2">
      <c r="A317" s="834"/>
      <c r="B317" s="3148"/>
      <c r="C317" s="3147"/>
      <c r="D317" s="3146"/>
      <c r="E317" s="3175"/>
      <c r="F317" s="3146"/>
      <c r="G317" s="3145"/>
      <c r="H317" s="3300"/>
      <c r="I317" s="3158" t="s">
        <v>116</v>
      </c>
      <c r="J317" s="3162" t="s">
        <v>1303</v>
      </c>
      <c r="K317" s="3162"/>
      <c r="L317" s="3162"/>
      <c r="M317" s="3140" t="s">
        <v>116</v>
      </c>
      <c r="N317" s="3162" t="s">
        <v>1304</v>
      </c>
      <c r="O317" s="3385"/>
      <c r="P317" s="3162"/>
      <c r="Q317" s="3162"/>
      <c r="R317" s="3385"/>
      <c r="S317" s="3162"/>
      <c r="T317" s="3162"/>
      <c r="U317" s="3207"/>
      <c r="V317" s="3385"/>
      <c r="W317" s="3162"/>
      <c r="X317" s="3206"/>
      <c r="Y317" s="3293"/>
      <c r="Z317" s="1201"/>
      <c r="AA317" s="1201"/>
      <c r="AB317" s="1202"/>
      <c r="AC317" s="3292"/>
      <c r="AD317" s="3291"/>
      <c r="AE317" s="3291"/>
      <c r="AF317" s="3290"/>
    </row>
    <row r="318" spans="1:36" s="3120" customFormat="1" ht="18.75" customHeight="1" x14ac:dyDescent="0.2">
      <c r="A318" s="834"/>
      <c r="B318" s="3148"/>
      <c r="C318" s="3295"/>
      <c r="D318" s="3294"/>
      <c r="E318" s="3145"/>
      <c r="F318" s="3144"/>
      <c r="G318" s="3175"/>
      <c r="H318" s="3381" t="s">
        <v>1325</v>
      </c>
      <c r="I318" s="3222" t="s">
        <v>116</v>
      </c>
      <c r="J318" s="3217" t="s">
        <v>1228</v>
      </c>
      <c r="K318" s="3221"/>
      <c r="L318" s="3220"/>
      <c r="M318" s="3219" t="s">
        <v>116</v>
      </c>
      <c r="N318" s="3217" t="s">
        <v>1322</v>
      </c>
      <c r="O318" s="3221"/>
      <c r="P318" s="3380"/>
      <c r="Q318" s="3380"/>
      <c r="R318" s="3380"/>
      <c r="S318" s="3380"/>
      <c r="T318" s="3380"/>
      <c r="U318" s="3380"/>
      <c r="V318" s="3380"/>
      <c r="W318" s="3380"/>
      <c r="X318" s="3379"/>
      <c r="Y318" s="3293"/>
      <c r="Z318" s="1201"/>
      <c r="AA318" s="1201"/>
      <c r="AB318" s="1202"/>
      <c r="AC318" s="3292"/>
      <c r="AD318" s="3291"/>
      <c r="AE318" s="3291"/>
      <c r="AF318" s="3290"/>
      <c r="AI318" s="3120" t="str">
        <f>"2B:sintaikousoku_code:" &amp; IF(I318="■",1,IF(M318="■",2,0))</f>
        <v>2B:sintaikousoku_code:0</v>
      </c>
    </row>
    <row r="319" spans="1:36" ht="19.5" customHeight="1" x14ac:dyDescent="0.2">
      <c r="A319" s="834"/>
      <c r="B319" s="3148"/>
      <c r="C319" s="3147"/>
      <c r="D319" s="3146"/>
      <c r="E319" s="3145"/>
      <c r="F319" s="3144"/>
      <c r="G319" s="3175"/>
      <c r="H319" s="3174" t="s">
        <v>1227</v>
      </c>
      <c r="I319" s="3303" t="s">
        <v>116</v>
      </c>
      <c r="J319" s="3137" t="s">
        <v>1228</v>
      </c>
      <c r="K319" s="3171"/>
      <c r="L319" s="3173"/>
      <c r="M319" s="3154" t="s">
        <v>116</v>
      </c>
      <c r="N319" s="3137" t="s">
        <v>1229</v>
      </c>
      <c r="O319" s="3137"/>
      <c r="P319" s="3137"/>
      <c r="Q319" s="3150"/>
      <c r="R319" s="3150"/>
      <c r="S319" s="3150"/>
      <c r="T319" s="3150"/>
      <c r="U319" s="3150"/>
      <c r="V319" s="3150"/>
      <c r="W319" s="3150"/>
      <c r="X319" s="3149"/>
      <c r="Y319" s="1201"/>
      <c r="Z319" s="1201"/>
      <c r="AA319" s="1201"/>
      <c r="AB319" s="1202"/>
      <c r="AC319" s="3292"/>
      <c r="AD319" s="3291"/>
      <c r="AE319" s="3291"/>
      <c r="AF319" s="3290"/>
      <c r="AI319" s="3120" t="str">
        <f>"2B:field223:" &amp; IF(I319="■",1,IF(M319="■",2,0))</f>
        <v>2B:field223:0</v>
      </c>
    </row>
    <row r="320" spans="1:36" ht="19.5" customHeight="1" x14ac:dyDescent="0.2">
      <c r="A320" s="834"/>
      <c r="B320" s="3148"/>
      <c r="C320" s="3147"/>
      <c r="D320" s="3146"/>
      <c r="E320" s="3145"/>
      <c r="F320" s="3144"/>
      <c r="G320" s="3175"/>
      <c r="H320" s="3174" t="s">
        <v>1253</v>
      </c>
      <c r="I320" s="3303" t="s">
        <v>116</v>
      </c>
      <c r="J320" s="3137" t="s">
        <v>1228</v>
      </c>
      <c r="K320" s="3171"/>
      <c r="L320" s="3173"/>
      <c r="M320" s="3154" t="s">
        <v>116</v>
      </c>
      <c r="N320" s="3137" t="s">
        <v>1229</v>
      </c>
      <c r="O320" s="3137"/>
      <c r="P320" s="3137"/>
      <c r="Q320" s="3150"/>
      <c r="R320" s="3150"/>
      <c r="S320" s="3150"/>
      <c r="T320" s="3150"/>
      <c r="U320" s="3150"/>
      <c r="V320" s="3150"/>
      <c r="W320" s="3150"/>
      <c r="X320" s="3149"/>
      <c r="Y320" s="1201"/>
      <c r="Z320" s="1201"/>
      <c r="AA320" s="1201"/>
      <c r="AB320" s="1202"/>
      <c r="AC320" s="3292"/>
      <c r="AD320" s="3291"/>
      <c r="AE320" s="3291"/>
      <c r="AF320" s="3290"/>
      <c r="AI320" s="3120" t="str">
        <f>"2B:field232:" &amp; IF(I320="■",1,IF(M320="■",2,0))</f>
        <v>2B:field232:0</v>
      </c>
    </row>
    <row r="321" spans="1:35" ht="18.75" customHeight="1" x14ac:dyDescent="0.2">
      <c r="A321" s="834"/>
      <c r="B321" s="3148"/>
      <c r="C321" s="3147"/>
      <c r="D321" s="3146"/>
      <c r="E321" s="3175"/>
      <c r="F321" s="3146"/>
      <c r="G321" s="3145"/>
      <c r="H321" s="3151" t="s">
        <v>236</v>
      </c>
      <c r="I321" s="3303" t="s">
        <v>116</v>
      </c>
      <c r="J321" s="3137" t="s">
        <v>1282</v>
      </c>
      <c r="K321" s="3171"/>
      <c r="L321" s="3173"/>
      <c r="M321" s="3154" t="s">
        <v>116</v>
      </c>
      <c r="N321" s="3137" t="s">
        <v>1293</v>
      </c>
      <c r="O321" s="3150"/>
      <c r="P321" s="3150"/>
      <c r="Q321" s="3150"/>
      <c r="R321" s="3150"/>
      <c r="S321" s="3150"/>
      <c r="T321" s="3150"/>
      <c r="U321" s="3150"/>
      <c r="V321" s="3150"/>
      <c r="W321" s="3150"/>
      <c r="X321" s="3149"/>
      <c r="Y321" s="3293"/>
      <c r="Z321" s="1201"/>
      <c r="AA321" s="1201"/>
      <c r="AB321" s="1202"/>
      <c r="AC321" s="3292"/>
      <c r="AD321" s="3291"/>
      <c r="AE321" s="3291"/>
      <c r="AF321" s="3290"/>
      <c r="AI321" s="3120" t="str">
        <f>"2B:field190:" &amp; IF(I321="■",1,IF(M321="■",2,0))</f>
        <v>2B:field190:0</v>
      </c>
    </row>
    <row r="322" spans="1:35" ht="18.75" customHeight="1" x14ac:dyDescent="0.2">
      <c r="A322" s="834"/>
      <c r="B322" s="3148"/>
      <c r="C322" s="3147"/>
      <c r="D322" s="3146"/>
      <c r="E322" s="3175"/>
      <c r="F322" s="3146"/>
      <c r="G322" s="3145"/>
      <c r="H322" s="3151" t="s">
        <v>1305</v>
      </c>
      <c r="I322" s="3303" t="s">
        <v>116</v>
      </c>
      <c r="J322" s="3137" t="s">
        <v>1282</v>
      </c>
      <c r="K322" s="3171"/>
      <c r="L322" s="3173"/>
      <c r="M322" s="3154" t="s">
        <v>116</v>
      </c>
      <c r="N322" s="3137" t="s">
        <v>1293</v>
      </c>
      <c r="O322" s="3150"/>
      <c r="P322" s="3150"/>
      <c r="Q322" s="3150"/>
      <c r="R322" s="3150"/>
      <c r="S322" s="3150"/>
      <c r="T322" s="3150"/>
      <c r="U322" s="3150"/>
      <c r="V322" s="3150"/>
      <c r="W322" s="3150"/>
      <c r="X322" s="3149"/>
      <c r="Y322" s="3293"/>
      <c r="Z322" s="1201"/>
      <c r="AA322" s="1201"/>
      <c r="AB322" s="1202"/>
      <c r="AC322" s="3292"/>
      <c r="AD322" s="3291"/>
      <c r="AE322" s="3291"/>
      <c r="AF322" s="3290"/>
      <c r="AI322" s="3120" t="str">
        <f>"2B:field191:" &amp; IF(I322="■",1,IF(M322="■",2,0))</f>
        <v>2B:field191:0</v>
      </c>
    </row>
    <row r="323" spans="1:35" ht="18.75" customHeight="1" x14ac:dyDescent="0.2">
      <c r="A323" s="834"/>
      <c r="B323" s="3148"/>
      <c r="C323" s="3147"/>
      <c r="D323" s="3146"/>
      <c r="E323" s="3175"/>
      <c r="F323" s="3146"/>
      <c r="G323" s="3145"/>
      <c r="H323" s="3151" t="s">
        <v>1348</v>
      </c>
      <c r="I323" s="3303" t="s">
        <v>116</v>
      </c>
      <c r="J323" s="3137" t="s">
        <v>1230</v>
      </c>
      <c r="K323" s="3171"/>
      <c r="L323" s="3154" t="s">
        <v>116</v>
      </c>
      <c r="M323" s="3137" t="s">
        <v>1233</v>
      </c>
      <c r="N323" s="3150"/>
      <c r="O323" s="3150"/>
      <c r="P323" s="3150"/>
      <c r="Q323" s="3171"/>
      <c r="R323" s="3150"/>
      <c r="S323" s="3150"/>
      <c r="T323" s="3150"/>
      <c r="U323" s="3150"/>
      <c r="V323" s="3150"/>
      <c r="W323" s="3150"/>
      <c r="X323" s="3149"/>
      <c r="Y323" s="3293"/>
      <c r="Z323" s="1201"/>
      <c r="AA323" s="1201"/>
      <c r="AB323" s="1202"/>
      <c r="AC323" s="3292"/>
      <c r="AD323" s="3291"/>
      <c r="AE323" s="3291"/>
      <c r="AF323" s="3290"/>
      <c r="AI323" s="3120" t="str">
        <f>"2B:jyakuninti_uke_code:" &amp; IF(I323="■",1,IF(L323="■",2,0))</f>
        <v>2B:jyakuninti_uke_code:0</v>
      </c>
    </row>
    <row r="324" spans="1:35" ht="18.75" customHeight="1" x14ac:dyDescent="0.2">
      <c r="A324" s="834"/>
      <c r="B324" s="3148"/>
      <c r="C324" s="3147"/>
      <c r="D324" s="3146"/>
      <c r="E324" s="3175"/>
      <c r="F324" s="3158" t="s">
        <v>116</v>
      </c>
      <c r="G324" s="3145" t="s">
        <v>1351</v>
      </c>
      <c r="H324" s="3151" t="s">
        <v>1284</v>
      </c>
      <c r="I324" s="3303" t="s">
        <v>116</v>
      </c>
      <c r="J324" s="3137" t="s">
        <v>1240</v>
      </c>
      <c r="K324" s="3171"/>
      <c r="L324" s="3173"/>
      <c r="M324" s="3154" t="s">
        <v>116</v>
      </c>
      <c r="N324" s="3137" t="s">
        <v>1241</v>
      </c>
      <c r="O324" s="3150"/>
      <c r="P324" s="3150"/>
      <c r="Q324" s="3171"/>
      <c r="R324" s="3150"/>
      <c r="S324" s="3150"/>
      <c r="T324" s="3150"/>
      <c r="U324" s="3150"/>
      <c r="V324" s="3150"/>
      <c r="W324" s="3150"/>
      <c r="X324" s="3149"/>
      <c r="Y324" s="3293"/>
      <c r="Z324" s="1201"/>
      <c r="AA324" s="1201"/>
      <c r="AB324" s="1202"/>
      <c r="AC324" s="3292"/>
      <c r="AD324" s="3291"/>
      <c r="AE324" s="3291"/>
      <c r="AF324" s="3290"/>
      <c r="AI324" s="3120" t="str">
        <f>"2B:sougei_code:" &amp; IF(I324="■",1,IF(M324="■",2,0))</f>
        <v>2B:sougei_code:0</v>
      </c>
    </row>
    <row r="325" spans="1:35" ht="19.5" customHeight="1" x14ac:dyDescent="0.2">
      <c r="A325" s="3158" t="s">
        <v>116</v>
      </c>
      <c r="B325" s="3148" t="s">
        <v>572</v>
      </c>
      <c r="C325" s="3147" t="s">
        <v>641</v>
      </c>
      <c r="D325" s="3158" t="s">
        <v>116</v>
      </c>
      <c r="E325" s="3175" t="s">
        <v>1352</v>
      </c>
      <c r="F325" s="3158" t="s">
        <v>116</v>
      </c>
      <c r="G325" s="3145" t="s">
        <v>1309</v>
      </c>
      <c r="H325" s="3174" t="s">
        <v>1236</v>
      </c>
      <c r="I325" s="3303" t="s">
        <v>116</v>
      </c>
      <c r="J325" s="3137" t="s">
        <v>1230</v>
      </c>
      <c r="K325" s="3137"/>
      <c r="L325" s="3154" t="s">
        <v>116</v>
      </c>
      <c r="M325" s="3137" t="s">
        <v>1233</v>
      </c>
      <c r="N325" s="3137"/>
      <c r="O325" s="3150"/>
      <c r="P325" s="3137"/>
      <c r="Q325" s="3150"/>
      <c r="R325" s="3150"/>
      <c r="S325" s="3150"/>
      <c r="T325" s="3150"/>
      <c r="U325" s="3150"/>
      <c r="V325" s="3150"/>
      <c r="W325" s="3150"/>
      <c r="X325" s="3149"/>
      <c r="Y325" s="1201"/>
      <c r="Z325" s="1201"/>
      <c r="AA325" s="1201"/>
      <c r="AB325" s="1202"/>
      <c r="AC325" s="3292"/>
      <c r="AD325" s="3291"/>
      <c r="AE325" s="3291"/>
      <c r="AF325" s="3290"/>
      <c r="AI325" s="3120" t="str">
        <f>"2B:field224:" &amp; IF(I325="■",1,IF(L325="■",2,0))</f>
        <v>2B:field224:0</v>
      </c>
    </row>
    <row r="326" spans="1:35" ht="18.75" customHeight="1" x14ac:dyDescent="0.2">
      <c r="A326" s="834"/>
      <c r="B326" s="3148"/>
      <c r="C326" s="3147"/>
      <c r="D326" s="3146"/>
      <c r="E326" s="3175"/>
      <c r="F326" s="3158" t="s">
        <v>116</v>
      </c>
      <c r="G326" s="3145" t="s">
        <v>1311</v>
      </c>
      <c r="H326" s="3151" t="s">
        <v>140</v>
      </c>
      <c r="I326" s="3303" t="s">
        <v>116</v>
      </c>
      <c r="J326" s="3137" t="s">
        <v>1230</v>
      </c>
      <c r="K326" s="3171"/>
      <c r="L326" s="3154" t="s">
        <v>116</v>
      </c>
      <c r="M326" s="3137" t="s">
        <v>1233</v>
      </c>
      <c r="N326" s="3150"/>
      <c r="O326" s="3150"/>
      <c r="P326" s="3150"/>
      <c r="Q326" s="3171"/>
      <c r="R326" s="3150"/>
      <c r="S326" s="3150"/>
      <c r="T326" s="3150"/>
      <c r="U326" s="3150"/>
      <c r="V326" s="3150"/>
      <c r="W326" s="3150"/>
      <c r="X326" s="3149"/>
      <c r="Y326" s="3293"/>
      <c r="Z326" s="1201"/>
      <c r="AA326" s="1201"/>
      <c r="AB326" s="1202"/>
      <c r="AC326" s="3292"/>
      <c r="AD326" s="3291"/>
      <c r="AE326" s="3291"/>
      <c r="AF326" s="3290"/>
      <c r="AI326" s="3120" t="str">
        <f>"2B:ryouyoushoku_code:" &amp; IF(I326="■",1,IF(L326="■",2,0))</f>
        <v>2B:ryouyoushoku_code:0</v>
      </c>
    </row>
    <row r="327" spans="1:35" ht="18.75" customHeight="1" x14ac:dyDescent="0.2">
      <c r="A327" s="834"/>
      <c r="B327" s="3148"/>
      <c r="C327" s="3147"/>
      <c r="D327" s="3146"/>
      <c r="E327" s="3175"/>
      <c r="F327" s="3146"/>
      <c r="G327" s="3145"/>
      <c r="H327" s="3151" t="s">
        <v>1237</v>
      </c>
      <c r="I327" s="3303" t="s">
        <v>116</v>
      </c>
      <c r="J327" s="3137" t="s">
        <v>1230</v>
      </c>
      <c r="K327" s="3137"/>
      <c r="L327" s="3154" t="s">
        <v>116</v>
      </c>
      <c r="M327" s="3137" t="s">
        <v>1231</v>
      </c>
      <c r="N327" s="3137"/>
      <c r="O327" s="3154" t="s">
        <v>116</v>
      </c>
      <c r="P327" s="3137" t="s">
        <v>1232</v>
      </c>
      <c r="Q327" s="3150"/>
      <c r="R327" s="3150"/>
      <c r="S327" s="3150"/>
      <c r="T327" s="3150"/>
      <c r="U327" s="3150"/>
      <c r="V327" s="3150"/>
      <c r="W327" s="3150"/>
      <c r="X327" s="3149"/>
      <c r="Y327" s="3293"/>
      <c r="Z327" s="1201"/>
      <c r="AA327" s="1201"/>
      <c r="AB327" s="1202"/>
      <c r="AC327" s="3292"/>
      <c r="AD327" s="3291"/>
      <c r="AE327" s="3291"/>
      <c r="AF327" s="3290"/>
      <c r="AI327" s="3120" t="str">
        <f>"2B:ninti_senmoncare_code:" &amp; IF(I327="■",1,IF(O327="■",3,IF(L327="■",2,0)))</f>
        <v>2B:ninti_senmoncare_code:0</v>
      </c>
    </row>
    <row r="328" spans="1:35" ht="18.75" customHeight="1" x14ac:dyDescent="0.2">
      <c r="A328" s="834"/>
      <c r="B328" s="3148"/>
      <c r="C328" s="3147"/>
      <c r="D328" s="3146"/>
      <c r="E328" s="3175"/>
      <c r="F328" s="3146"/>
      <c r="G328" s="3145"/>
      <c r="H328" s="3304" t="s">
        <v>1310</v>
      </c>
      <c r="I328" s="3303" t="s">
        <v>116</v>
      </c>
      <c r="J328" s="3302" t="s">
        <v>1287</v>
      </c>
      <c r="K328" s="3302"/>
      <c r="L328" s="3209"/>
      <c r="M328" s="3209"/>
      <c r="N328" s="3209"/>
      <c r="O328" s="3209"/>
      <c r="P328" s="3301" t="s">
        <v>116</v>
      </c>
      <c r="Q328" s="3302" t="s">
        <v>1288</v>
      </c>
      <c r="R328" s="3209"/>
      <c r="S328" s="3209"/>
      <c r="T328" s="3209"/>
      <c r="U328" s="3209"/>
      <c r="V328" s="3209"/>
      <c r="W328" s="3209"/>
      <c r="X328" s="3208"/>
      <c r="Y328" s="3293"/>
      <c r="Z328" s="1201"/>
      <c r="AA328" s="1201"/>
      <c r="AB328" s="1202"/>
      <c r="AC328" s="3292"/>
      <c r="AD328" s="3291"/>
      <c r="AE328" s="3291"/>
      <c r="AF328" s="3290"/>
      <c r="AI328" s="3120" t="str">
        <f>"2B:" &amp; IF(AND(I328="□",P328="□",I329="□"),"tokusin_jyusho_code:0:tokusin_yakuzai_code:0:shuudan_comu_code:0",IF(I328="■","tokusin_jyusho_code:2","tokusin_jyusho_code:1")
&amp;IF(P328="■",":tokusin_yakuzai_code:2",":tokusin_yakuzai_code:1")
&amp;IF(I329="■",":shuudan_comu_code:2",":shuudan_comu_code:1"))</f>
        <v>2B:tokusin_jyusho_code:0:tokusin_yakuzai_code:0:shuudan_comu_code:0</v>
      </c>
    </row>
    <row r="329" spans="1:35" ht="18.75" customHeight="1" x14ac:dyDescent="0.2">
      <c r="A329" s="834"/>
      <c r="B329" s="3148"/>
      <c r="C329" s="3147"/>
      <c r="D329" s="3146"/>
      <c r="E329" s="3175"/>
      <c r="F329" s="3146"/>
      <c r="G329" s="3145"/>
      <c r="H329" s="3300"/>
      <c r="I329" s="3158" t="s">
        <v>116</v>
      </c>
      <c r="J329" s="3139" t="s">
        <v>1294</v>
      </c>
      <c r="K329" s="3207"/>
      <c r="L329" s="3207"/>
      <c r="M329" s="3207"/>
      <c r="N329" s="3207"/>
      <c r="O329" s="3207"/>
      <c r="P329" s="3207"/>
      <c r="Q329" s="3162"/>
      <c r="R329" s="3207"/>
      <c r="S329" s="3207"/>
      <c r="T329" s="3207"/>
      <c r="U329" s="3207"/>
      <c r="V329" s="3207"/>
      <c r="W329" s="3207"/>
      <c r="X329" s="3206"/>
      <c r="Y329" s="3293"/>
      <c r="Z329" s="1201"/>
      <c r="AA329" s="1201"/>
      <c r="AB329" s="1202"/>
      <c r="AC329" s="3292"/>
      <c r="AD329" s="3291"/>
      <c r="AE329" s="3291"/>
      <c r="AF329" s="3290"/>
      <c r="AI329" s="3120"/>
    </row>
    <row r="330" spans="1:35" ht="18.75" customHeight="1" x14ac:dyDescent="0.2">
      <c r="A330" s="834"/>
      <c r="B330" s="3148"/>
      <c r="C330" s="3147"/>
      <c r="D330" s="3146"/>
      <c r="E330" s="3175"/>
      <c r="F330" s="3146"/>
      <c r="G330" s="3145"/>
      <c r="H330" s="3304" t="s">
        <v>1300</v>
      </c>
      <c r="I330" s="3303" t="s">
        <v>116</v>
      </c>
      <c r="J330" s="3302" t="s">
        <v>1295</v>
      </c>
      <c r="K330" s="3317"/>
      <c r="L330" s="3316"/>
      <c r="M330" s="3301" t="s">
        <v>116</v>
      </c>
      <c r="N330" s="3302" t="s">
        <v>1296</v>
      </c>
      <c r="O330" s="3209"/>
      <c r="P330" s="3209"/>
      <c r="Q330" s="3301" t="s">
        <v>116</v>
      </c>
      <c r="R330" s="3302" t="s">
        <v>1297</v>
      </c>
      <c r="S330" s="3209"/>
      <c r="T330" s="3209"/>
      <c r="U330" s="3209"/>
      <c r="V330" s="3209"/>
      <c r="W330" s="3209"/>
      <c r="X330" s="3208"/>
      <c r="Y330" s="3293"/>
      <c r="Z330" s="1201"/>
      <c r="AA330" s="1201"/>
      <c r="AB330" s="1202"/>
      <c r="AC330" s="3292"/>
      <c r="AD330" s="3291"/>
      <c r="AE330" s="3291"/>
      <c r="AF330" s="3290"/>
      <c r="AI330" s="3120" t="str">
        <f>"2B:"&amp;IF(AND(I330="□",M330="□",Q330="□",I331="□",Q331="□"),"koriha_rryoho1_code:0:koriha_sryoho_code:0:koriha_gengo_code:0:riha_seisin_code:0:koriha_other_code:0",IF(I330="■","koriha_rryoho1_code:2","koriha_rryoho1_code:1")
&amp;IF(M330="■",":koriha_sryoho_code:2",":koriha_sryoho_code:1")
&amp;IF(Q330="■",":koriha_gengo_code:2",":koriha_gengo_code:1")
&amp;IF(I331="■",":riha_seisin_code:2",":riha_seisin_code:1")
&amp;IF(Q331="■",":koriha_other_code:2",":koriha_other_code:1"))</f>
        <v>2B:koriha_rryoho1_code:0:koriha_sryoho_code:0:koriha_gengo_code:0:riha_seisin_code:0:koriha_other_code:0</v>
      </c>
    </row>
    <row r="331" spans="1:35" ht="18.75" customHeight="1" x14ac:dyDescent="0.2">
      <c r="A331" s="834"/>
      <c r="B331" s="3148"/>
      <c r="C331" s="3147"/>
      <c r="D331" s="3146"/>
      <c r="E331" s="3175"/>
      <c r="F331" s="3146"/>
      <c r="G331" s="3145"/>
      <c r="H331" s="3300"/>
      <c r="I331" s="3158" t="s">
        <v>116</v>
      </c>
      <c r="J331" s="3139" t="s">
        <v>1298</v>
      </c>
      <c r="K331" s="3207"/>
      <c r="L331" s="3207"/>
      <c r="M331" s="3207"/>
      <c r="N331" s="3207"/>
      <c r="O331" s="3207"/>
      <c r="P331" s="3207"/>
      <c r="Q331" s="3140" t="s">
        <v>116</v>
      </c>
      <c r="R331" s="3139" t="s">
        <v>1299</v>
      </c>
      <c r="S331" s="3162"/>
      <c r="T331" s="3207"/>
      <c r="U331" s="3207"/>
      <c r="V331" s="3207"/>
      <c r="W331" s="3207"/>
      <c r="X331" s="3206"/>
      <c r="Y331" s="3293"/>
      <c r="Z331" s="1201"/>
      <c r="AA331" s="1201"/>
      <c r="AB331" s="1202"/>
      <c r="AC331" s="3292"/>
      <c r="AD331" s="3291"/>
      <c r="AE331" s="3291"/>
      <c r="AF331" s="3290"/>
      <c r="AI331" s="3120"/>
    </row>
    <row r="332" spans="1:35" ht="18.75" customHeight="1" x14ac:dyDescent="0.2">
      <c r="A332" s="834"/>
      <c r="B332" s="3148"/>
      <c r="C332" s="3147"/>
      <c r="D332" s="3146"/>
      <c r="E332" s="3175"/>
      <c r="F332" s="3146"/>
      <c r="G332" s="3145"/>
      <c r="H332" s="3296" t="s">
        <v>1285</v>
      </c>
      <c r="I332" s="3303" t="s">
        <v>116</v>
      </c>
      <c r="J332" s="3137" t="s">
        <v>1230</v>
      </c>
      <c r="K332" s="3137"/>
      <c r="L332" s="3154" t="s">
        <v>116</v>
      </c>
      <c r="M332" s="3137" t="s">
        <v>1231</v>
      </c>
      <c r="N332" s="3137"/>
      <c r="O332" s="3154" t="s">
        <v>116</v>
      </c>
      <c r="P332" s="3137" t="s">
        <v>1232</v>
      </c>
      <c r="Q332" s="3150"/>
      <c r="R332" s="3150"/>
      <c r="S332" s="3150"/>
      <c r="T332" s="3150"/>
      <c r="U332" s="3209"/>
      <c r="V332" s="3209"/>
      <c r="W332" s="3209"/>
      <c r="X332" s="3208"/>
      <c r="Y332" s="3293"/>
      <c r="Z332" s="1201"/>
      <c r="AA332" s="1201"/>
      <c r="AB332" s="1202"/>
      <c r="AC332" s="3292"/>
      <c r="AD332" s="3291"/>
      <c r="AE332" s="3291"/>
      <c r="AF332" s="3290"/>
      <c r="AI332" s="3120" t="str">
        <f>"2B:field225:" &amp; IF(I332="■",1,IF(L332="■",2,IF(O332="■",3,0)))</f>
        <v>2B:field225:0</v>
      </c>
    </row>
    <row r="333" spans="1:35" ht="18.75" customHeight="1" x14ac:dyDescent="0.2">
      <c r="A333" s="834"/>
      <c r="B333" s="3148"/>
      <c r="C333" s="3147"/>
      <c r="D333" s="3146"/>
      <c r="E333" s="3175"/>
      <c r="F333" s="3146"/>
      <c r="G333" s="3145"/>
      <c r="H333" s="3151" t="s">
        <v>238</v>
      </c>
      <c r="I333" s="3303" t="s">
        <v>116</v>
      </c>
      <c r="J333" s="3137" t="s">
        <v>1230</v>
      </c>
      <c r="K333" s="3137"/>
      <c r="L333" s="3154" t="s">
        <v>116</v>
      </c>
      <c r="M333" s="3137" t="s">
        <v>1259</v>
      </c>
      <c r="N333" s="3137"/>
      <c r="O333" s="3154" t="s">
        <v>116</v>
      </c>
      <c r="P333" s="3137" t="s">
        <v>1260</v>
      </c>
      <c r="Q333" s="3153"/>
      <c r="R333" s="3154" t="s">
        <v>116</v>
      </c>
      <c r="S333" s="3137" t="s">
        <v>1261</v>
      </c>
      <c r="T333" s="3153"/>
      <c r="U333" s="3153"/>
      <c r="V333" s="3153"/>
      <c r="W333" s="3153"/>
      <c r="X333" s="3152"/>
      <c r="Y333" s="3293"/>
      <c r="Z333" s="1201"/>
      <c r="AA333" s="1201"/>
      <c r="AB333" s="1202"/>
      <c r="AC333" s="3292"/>
      <c r="AD333" s="3291"/>
      <c r="AE333" s="3291"/>
      <c r="AF333" s="3290"/>
      <c r="AI333" s="3120" t="str">
        <f>"2B:serteikyo_kyoka_code:" &amp; IF(I333="■",1,IF(L333="■",6,IF(O333="■",5,IF(R333="■",7,0))))</f>
        <v>2B:serteikyo_kyoka_code:0</v>
      </c>
    </row>
    <row r="334" spans="1:35" ht="18.75" customHeight="1" x14ac:dyDescent="0.2">
      <c r="A334" s="834"/>
      <c r="B334" s="3148"/>
      <c r="C334" s="3147"/>
      <c r="D334" s="3146"/>
      <c r="E334" s="3175"/>
      <c r="F334" s="3146"/>
      <c r="G334" s="3145"/>
      <c r="H334" s="3170" t="s">
        <v>2058</v>
      </c>
      <c r="I334" s="3346" t="s">
        <v>116</v>
      </c>
      <c r="J334" s="3347" t="s">
        <v>1230</v>
      </c>
      <c r="K334" s="3347"/>
      <c r="L334" s="3346" t="s">
        <v>116</v>
      </c>
      <c r="M334" s="3347" t="s">
        <v>1233</v>
      </c>
      <c r="N334" s="3347"/>
      <c r="O334" s="3167"/>
      <c r="P334" s="3167"/>
      <c r="Q334" s="3167"/>
      <c r="R334" s="3167"/>
      <c r="S334" s="3167"/>
      <c r="T334" s="3167"/>
      <c r="U334" s="3167"/>
      <c r="V334" s="3167"/>
      <c r="W334" s="3167"/>
      <c r="X334" s="3166"/>
      <c r="Y334" s="3293"/>
      <c r="Z334" s="1201"/>
      <c r="AA334" s="1201"/>
      <c r="AB334" s="1202"/>
      <c r="AC334" s="3292"/>
      <c r="AD334" s="3291"/>
      <c r="AE334" s="3291"/>
      <c r="AF334" s="3290"/>
      <c r="AI334" s="3120" t="str">
        <f>"2B:field221:" &amp; IF(I334="■",1,IF(L334="■",2,0))</f>
        <v>2B:field221:0</v>
      </c>
    </row>
    <row r="335" spans="1:35" ht="18.75" customHeight="1" x14ac:dyDescent="0.2">
      <c r="A335" s="834"/>
      <c r="B335" s="3148"/>
      <c r="C335" s="3147"/>
      <c r="D335" s="3146"/>
      <c r="E335" s="3175"/>
      <c r="F335" s="3146"/>
      <c r="G335" s="3145"/>
      <c r="H335" s="3165"/>
      <c r="I335" s="3346"/>
      <c r="J335" s="3347"/>
      <c r="K335" s="3347"/>
      <c r="L335" s="3346"/>
      <c r="M335" s="3347"/>
      <c r="N335" s="3347"/>
      <c r="O335" s="3162"/>
      <c r="P335" s="3162"/>
      <c r="Q335" s="3162"/>
      <c r="R335" s="3162"/>
      <c r="S335" s="3162"/>
      <c r="T335" s="3162"/>
      <c r="U335" s="3162"/>
      <c r="V335" s="3162"/>
      <c r="W335" s="3162"/>
      <c r="X335" s="3161"/>
      <c r="Y335" s="3293"/>
      <c r="Z335" s="1201"/>
      <c r="AA335" s="1201"/>
      <c r="AB335" s="1202"/>
      <c r="AC335" s="3292"/>
      <c r="AD335" s="3291"/>
      <c r="AE335" s="3291"/>
      <c r="AF335" s="3290"/>
    </row>
    <row r="336" spans="1:35" ht="18.75" customHeight="1" x14ac:dyDescent="0.2">
      <c r="A336" s="835"/>
      <c r="B336" s="3148"/>
      <c r="C336" s="3134"/>
      <c r="D336" s="3133"/>
      <c r="E336" s="3132"/>
      <c r="F336" s="3131"/>
      <c r="G336" s="3189"/>
      <c r="H336" s="3289" t="s">
        <v>2129</v>
      </c>
      <c r="I336" s="3303" t="s">
        <v>116</v>
      </c>
      <c r="J336" s="3285" t="s">
        <v>1230</v>
      </c>
      <c r="K336" s="3285"/>
      <c r="L336" s="3127" t="s">
        <v>116</v>
      </c>
      <c r="M336" s="3285" t="s">
        <v>2128</v>
      </c>
      <c r="N336" s="3288"/>
      <c r="O336" s="3127" t="s">
        <v>116</v>
      </c>
      <c r="P336" s="3287" t="s">
        <v>2127</v>
      </c>
      <c r="Q336" s="3286"/>
      <c r="R336" s="3127" t="s">
        <v>116</v>
      </c>
      <c r="S336" s="3285" t="s">
        <v>2126</v>
      </c>
      <c r="T336" s="3286"/>
      <c r="U336" s="3127" t="s">
        <v>116</v>
      </c>
      <c r="V336" s="3285" t="s">
        <v>2125</v>
      </c>
      <c r="W336" s="3284"/>
      <c r="X336" s="3283"/>
      <c r="Y336" s="3282"/>
      <c r="Z336" s="3282"/>
      <c r="AA336" s="3282"/>
      <c r="AB336" s="3281"/>
      <c r="AC336" s="3292"/>
      <c r="AD336" s="3291"/>
      <c r="AE336" s="3291"/>
      <c r="AF336" s="3290"/>
      <c r="AG336" s="3120"/>
      <c r="AH336" s="3120"/>
      <c r="AI336" s="3120" t="str">
        <f>"2B:shoguukaizen_code:"&amp;IF(I336="■",1,IF(L336="■",7,IF(O336="■",8,IF(R336="■",9,IF(U336="■","A",0)))))</f>
        <v>2B:shoguukaizen_code:0</v>
      </c>
    </row>
    <row r="337" spans="1:36" ht="18.75" customHeight="1" x14ac:dyDescent="0.2">
      <c r="A337" s="3188"/>
      <c r="B337" s="3187"/>
      <c r="C337" s="3229"/>
      <c r="D337" s="3228"/>
      <c r="E337" s="3183"/>
      <c r="F337" s="3228"/>
      <c r="G337" s="3185"/>
      <c r="H337" s="3265" t="s">
        <v>1286</v>
      </c>
      <c r="I337" s="3303" t="s">
        <v>116</v>
      </c>
      <c r="J337" s="3252" t="s">
        <v>1282</v>
      </c>
      <c r="K337" s="3311"/>
      <c r="L337" s="3386"/>
      <c r="M337" s="3310" t="s">
        <v>116</v>
      </c>
      <c r="N337" s="3252" t="s">
        <v>1289</v>
      </c>
      <c r="O337" s="3309"/>
      <c r="P337" s="3309"/>
      <c r="Q337" s="3310" t="s">
        <v>116</v>
      </c>
      <c r="R337" s="3252" t="s">
        <v>1290</v>
      </c>
      <c r="S337" s="3309"/>
      <c r="T337" s="3309"/>
      <c r="U337" s="3310" t="s">
        <v>116</v>
      </c>
      <c r="V337" s="3252" t="s">
        <v>1291</v>
      </c>
      <c r="W337" s="3309"/>
      <c r="X337" s="3266"/>
      <c r="Y337" s="3310" t="s">
        <v>116</v>
      </c>
      <c r="Z337" s="3252" t="s">
        <v>1225</v>
      </c>
      <c r="AA337" s="3252"/>
      <c r="AB337" s="3308"/>
      <c r="AC337" s="3307"/>
      <c r="AD337" s="3306"/>
      <c r="AE337" s="3306"/>
      <c r="AF337" s="3305"/>
      <c r="AG337" s="3120" t="str">
        <f>"ser_code = '" &amp; IF(A348="■","2B","") &amp; "'"</f>
        <v>ser_code = ''</v>
      </c>
      <c r="AH337" s="3120" t="str">
        <f>"2B:jininkbn_code:"&amp;IF(F347="■",1,IF(F348="■",2,IF(F349="■",3,0)))</f>
        <v>2B:jininkbn_code:0</v>
      </c>
      <c r="AI337" s="3120" t="str">
        <f>"2B:yakan_kinmu_code:" &amp; IF(I337="■",1,IF(M337="■",2,IF(Q337="■",3,IF(U337="■",7,IF(I338="■",5,IF(M338="■",6,0))))))</f>
        <v>2B:yakan_kinmu_code:0</v>
      </c>
      <c r="AJ337" s="3120" t="str">
        <f>"2B:field203:" &amp; IF(Y337="■",1,IF(Y338="■",2,0))</f>
        <v>2B:field203:0</v>
      </c>
    </row>
    <row r="338" spans="1:36" ht="18.75" customHeight="1" x14ac:dyDescent="0.2">
      <c r="A338" s="834"/>
      <c r="B338" s="3148"/>
      <c r="C338" s="3147"/>
      <c r="D338" s="3146"/>
      <c r="E338" s="3175"/>
      <c r="F338" s="3146"/>
      <c r="G338" s="3145"/>
      <c r="H338" s="3300"/>
      <c r="I338" s="3158" t="s">
        <v>116</v>
      </c>
      <c r="J338" s="3139" t="s">
        <v>1292</v>
      </c>
      <c r="K338" s="3138"/>
      <c r="L338" s="3385"/>
      <c r="M338" s="3140" t="s">
        <v>116</v>
      </c>
      <c r="N338" s="3139" t="s">
        <v>1283</v>
      </c>
      <c r="O338" s="3162"/>
      <c r="P338" s="3162"/>
      <c r="Q338" s="3502"/>
      <c r="R338" s="3162"/>
      <c r="S338" s="3162"/>
      <c r="T338" s="3162"/>
      <c r="U338" s="3162"/>
      <c r="V338" s="3162"/>
      <c r="W338" s="3162"/>
      <c r="X338" s="3161"/>
      <c r="Y338" s="3258" t="s">
        <v>116</v>
      </c>
      <c r="Z338" s="1200" t="s">
        <v>1226</v>
      </c>
      <c r="AA338" s="1201"/>
      <c r="AB338" s="1202"/>
      <c r="AC338" s="3292"/>
      <c r="AD338" s="3291"/>
      <c r="AE338" s="3291"/>
      <c r="AF338" s="3290"/>
      <c r="AG338" s="3120" t="str">
        <f>"2B:sisetukbn_code:"&amp;IF(D348="■","2",0)</f>
        <v>2B:sisetukbn_code:0</v>
      </c>
      <c r="AH338" s="3120"/>
      <c r="AI338" s="3120"/>
      <c r="AJ338" s="3120"/>
    </row>
    <row r="339" spans="1:36" ht="18.75" customHeight="1" x14ac:dyDescent="0.2">
      <c r="A339" s="834"/>
      <c r="B339" s="3148"/>
      <c r="C339" s="3147"/>
      <c r="D339" s="3146"/>
      <c r="E339" s="3175"/>
      <c r="F339" s="3146"/>
      <c r="G339" s="3145"/>
      <c r="H339" s="3304" t="s">
        <v>90</v>
      </c>
      <c r="I339" s="3303" t="s">
        <v>116</v>
      </c>
      <c r="J339" s="3302" t="s">
        <v>1230</v>
      </c>
      <c r="K339" s="3302"/>
      <c r="L339" s="3316"/>
      <c r="M339" s="3301" t="s">
        <v>116</v>
      </c>
      <c r="N339" s="3302" t="s">
        <v>1262</v>
      </c>
      <c r="O339" s="3302"/>
      <c r="P339" s="3316"/>
      <c r="Q339" s="3301" t="s">
        <v>116</v>
      </c>
      <c r="R339" s="3167" t="s">
        <v>1302</v>
      </c>
      <c r="S339" s="3167"/>
      <c r="T339" s="3167"/>
      <c r="U339" s="3209"/>
      <c r="V339" s="3316"/>
      <c r="W339" s="3167"/>
      <c r="X339" s="3208"/>
      <c r="Y339" s="3293"/>
      <c r="Z339" s="1201"/>
      <c r="AA339" s="1201"/>
      <c r="AB339" s="1202"/>
      <c r="AC339" s="3292"/>
      <c r="AD339" s="3291"/>
      <c r="AE339" s="3291"/>
      <c r="AF339" s="3290"/>
      <c r="AG339" s="3120"/>
      <c r="AH339" s="3120"/>
      <c r="AI339" s="3120" t="str">
        <f>"2B:"&amp;IF(AND(I339="□",M339="□",Q339="□",I340="□",M340="□"),"ketu_doctor_code:0",IF(I339="■","ketu_doctor_code:1:field197:1:ketu_kangos_code:1:ketu_kshoku_code:1",IF(M339="■","ketu_doctor_code:2","ketu_doctor_code:1")
&amp;IF(Q339="■",":field197:2",":field197:1")
&amp;IF(I340="■",":ketu_kangos_code:2",":ketu_kangos_code:1")
&amp;IF(M340="■",":ketu_kshoku_code:2",":ketu_kshoku_code:1")))</f>
        <v>2B:ketu_doctor_code:0</v>
      </c>
      <c r="AJ339" s="3120"/>
    </row>
    <row r="340" spans="1:36" ht="18.75" customHeight="1" x14ac:dyDescent="0.2">
      <c r="A340" s="834"/>
      <c r="B340" s="3148"/>
      <c r="C340" s="3147"/>
      <c r="D340" s="3146"/>
      <c r="E340" s="3175"/>
      <c r="F340" s="3146"/>
      <c r="G340" s="3145"/>
      <c r="H340" s="3300"/>
      <c r="I340" s="3158" t="s">
        <v>116</v>
      </c>
      <c r="J340" s="3162" t="s">
        <v>1303</v>
      </c>
      <c r="K340" s="3162"/>
      <c r="L340" s="3162"/>
      <c r="M340" s="3140" t="s">
        <v>116</v>
      </c>
      <c r="N340" s="3162" t="s">
        <v>1304</v>
      </c>
      <c r="O340" s="3385"/>
      <c r="P340" s="3162"/>
      <c r="Q340" s="3162"/>
      <c r="R340" s="3385"/>
      <c r="S340" s="3162"/>
      <c r="T340" s="3162"/>
      <c r="U340" s="3207"/>
      <c r="V340" s="3385"/>
      <c r="W340" s="3162"/>
      <c r="X340" s="3206"/>
      <c r="Y340" s="3293"/>
      <c r="Z340" s="1201"/>
      <c r="AA340" s="1201"/>
      <c r="AB340" s="1202"/>
      <c r="AC340" s="3292"/>
      <c r="AD340" s="3291"/>
      <c r="AE340" s="3291"/>
      <c r="AF340" s="3290"/>
      <c r="AG340" s="3120"/>
      <c r="AH340" s="3120"/>
      <c r="AI340" s="3120"/>
      <c r="AJ340" s="3120"/>
    </row>
    <row r="341" spans="1:36" s="3120" customFormat="1" ht="18.75" customHeight="1" x14ac:dyDescent="0.2">
      <c r="A341" s="834"/>
      <c r="B341" s="3148"/>
      <c r="C341" s="3295"/>
      <c r="D341" s="3294"/>
      <c r="E341" s="3145"/>
      <c r="F341" s="3144"/>
      <c r="G341" s="3175"/>
      <c r="H341" s="3381" t="s">
        <v>1325</v>
      </c>
      <c r="I341" s="3222" t="s">
        <v>116</v>
      </c>
      <c r="J341" s="3217" t="s">
        <v>1228</v>
      </c>
      <c r="K341" s="3221"/>
      <c r="L341" s="3220"/>
      <c r="M341" s="3219" t="s">
        <v>116</v>
      </c>
      <c r="N341" s="3217" t="s">
        <v>1322</v>
      </c>
      <c r="O341" s="3221"/>
      <c r="P341" s="3380"/>
      <c r="Q341" s="3380"/>
      <c r="R341" s="3380"/>
      <c r="S341" s="3380"/>
      <c r="T341" s="3380"/>
      <c r="U341" s="3380"/>
      <c r="V341" s="3380"/>
      <c r="W341" s="3380"/>
      <c r="X341" s="3379"/>
      <c r="Y341" s="3293"/>
      <c r="Z341" s="1201"/>
      <c r="AA341" s="1201"/>
      <c r="AB341" s="1202"/>
      <c r="AC341" s="3292"/>
      <c r="AD341" s="3291"/>
      <c r="AE341" s="3291"/>
      <c r="AF341" s="3290"/>
      <c r="AI341" s="3120" t="str">
        <f>"2B:sintaikousoku_code:" &amp; IF(I341="■",1,IF(M341="■",2,0))</f>
        <v>2B:sintaikousoku_code:0</v>
      </c>
    </row>
    <row r="342" spans="1:36" ht="19.5" customHeight="1" x14ac:dyDescent="0.2">
      <c r="A342" s="834"/>
      <c r="B342" s="3148"/>
      <c r="C342" s="3147"/>
      <c r="D342" s="3146"/>
      <c r="E342" s="3145"/>
      <c r="F342" s="3144"/>
      <c r="G342" s="3175"/>
      <c r="H342" s="3174" t="s">
        <v>1227</v>
      </c>
      <c r="I342" s="3303" t="s">
        <v>116</v>
      </c>
      <c r="J342" s="3137" t="s">
        <v>1228</v>
      </c>
      <c r="K342" s="3171"/>
      <c r="L342" s="3173"/>
      <c r="M342" s="3154" t="s">
        <v>116</v>
      </c>
      <c r="N342" s="3137" t="s">
        <v>1229</v>
      </c>
      <c r="O342" s="3137"/>
      <c r="P342" s="3137"/>
      <c r="Q342" s="3150"/>
      <c r="R342" s="3150"/>
      <c r="S342" s="3150"/>
      <c r="T342" s="3150"/>
      <c r="U342" s="3150"/>
      <c r="V342" s="3150"/>
      <c r="W342" s="3150"/>
      <c r="X342" s="3149"/>
      <c r="Y342" s="1201"/>
      <c r="Z342" s="1201"/>
      <c r="AA342" s="1201"/>
      <c r="AB342" s="1202"/>
      <c r="AC342" s="3292"/>
      <c r="AD342" s="3291"/>
      <c r="AE342" s="3291"/>
      <c r="AF342" s="3290"/>
      <c r="AI342" s="3120" t="str">
        <f>"2B:field223:" &amp; IF(I342="■",1,IF(M342="■",2,0))</f>
        <v>2B:field223:0</v>
      </c>
    </row>
    <row r="343" spans="1:36" ht="19.5" customHeight="1" x14ac:dyDescent="0.2">
      <c r="A343" s="834"/>
      <c r="B343" s="3148"/>
      <c r="C343" s="3147"/>
      <c r="D343" s="3146"/>
      <c r="E343" s="3145"/>
      <c r="F343" s="3144"/>
      <c r="G343" s="3175"/>
      <c r="H343" s="3174" t="s">
        <v>1253</v>
      </c>
      <c r="I343" s="3303" t="s">
        <v>116</v>
      </c>
      <c r="J343" s="3137" t="s">
        <v>1228</v>
      </c>
      <c r="K343" s="3171"/>
      <c r="L343" s="3173"/>
      <c r="M343" s="3154" t="s">
        <v>116</v>
      </c>
      <c r="N343" s="3137" t="s">
        <v>1229</v>
      </c>
      <c r="O343" s="3137"/>
      <c r="P343" s="3137"/>
      <c r="Q343" s="3150"/>
      <c r="R343" s="3150"/>
      <c r="S343" s="3150"/>
      <c r="T343" s="3150"/>
      <c r="U343" s="3150"/>
      <c r="V343" s="3150"/>
      <c r="W343" s="3150"/>
      <c r="X343" s="3149"/>
      <c r="Y343" s="1201"/>
      <c r="Z343" s="1201"/>
      <c r="AA343" s="1201"/>
      <c r="AB343" s="1202"/>
      <c r="AC343" s="3292"/>
      <c r="AD343" s="3291"/>
      <c r="AE343" s="3291"/>
      <c r="AF343" s="3290"/>
      <c r="AI343" s="3120" t="str">
        <f>"2B:field232:" &amp; IF(I343="■",1,IF(M343="■",2,0))</f>
        <v>2B:field232:0</v>
      </c>
    </row>
    <row r="344" spans="1:36" ht="18.75" customHeight="1" x14ac:dyDescent="0.2">
      <c r="A344" s="834"/>
      <c r="B344" s="3148"/>
      <c r="C344" s="3147"/>
      <c r="D344" s="3146"/>
      <c r="E344" s="3175"/>
      <c r="F344" s="3146"/>
      <c r="G344" s="3145"/>
      <c r="H344" s="3151" t="s">
        <v>236</v>
      </c>
      <c r="I344" s="3303" t="s">
        <v>116</v>
      </c>
      <c r="J344" s="3137" t="s">
        <v>1282</v>
      </c>
      <c r="K344" s="3171"/>
      <c r="L344" s="3173"/>
      <c r="M344" s="3154" t="s">
        <v>116</v>
      </c>
      <c r="N344" s="3137" t="s">
        <v>1293</v>
      </c>
      <c r="O344" s="3150"/>
      <c r="P344" s="3150"/>
      <c r="Q344" s="3150"/>
      <c r="R344" s="3150"/>
      <c r="S344" s="3150"/>
      <c r="T344" s="3150"/>
      <c r="U344" s="3150"/>
      <c r="V344" s="3150"/>
      <c r="W344" s="3150"/>
      <c r="X344" s="3149"/>
      <c r="Y344" s="3293"/>
      <c r="Z344" s="1201"/>
      <c r="AA344" s="1201"/>
      <c r="AB344" s="1202"/>
      <c r="AC344" s="3292"/>
      <c r="AD344" s="3291"/>
      <c r="AE344" s="3291"/>
      <c r="AF344" s="3290"/>
      <c r="AI344" s="3120" t="str">
        <f>"2B:field190:" &amp; IF(I344="■",1,IF(M344="■",2,0))</f>
        <v>2B:field190:0</v>
      </c>
    </row>
    <row r="345" spans="1:36" ht="18.75" customHeight="1" x14ac:dyDescent="0.2">
      <c r="A345" s="834"/>
      <c r="B345" s="3148"/>
      <c r="C345" s="3147"/>
      <c r="D345" s="3146"/>
      <c r="E345" s="3175"/>
      <c r="F345" s="3146"/>
      <c r="G345" s="3145"/>
      <c r="H345" s="3151" t="s">
        <v>1305</v>
      </c>
      <c r="I345" s="3303" t="s">
        <v>116</v>
      </c>
      <c r="J345" s="3137" t="s">
        <v>1282</v>
      </c>
      <c r="K345" s="3171"/>
      <c r="L345" s="3173"/>
      <c r="M345" s="3154" t="s">
        <v>116</v>
      </c>
      <c r="N345" s="3137" t="s">
        <v>1293</v>
      </c>
      <c r="O345" s="3150"/>
      <c r="P345" s="3150"/>
      <c r="Q345" s="3150"/>
      <c r="R345" s="3150"/>
      <c r="S345" s="3150"/>
      <c r="T345" s="3150"/>
      <c r="U345" s="3150"/>
      <c r="V345" s="3150"/>
      <c r="W345" s="3150"/>
      <c r="X345" s="3149"/>
      <c r="Y345" s="3293"/>
      <c r="Z345" s="1201"/>
      <c r="AA345" s="1201"/>
      <c r="AB345" s="1202"/>
      <c r="AC345" s="3292"/>
      <c r="AD345" s="3291"/>
      <c r="AE345" s="3291"/>
      <c r="AF345" s="3290"/>
      <c r="AI345" s="3120" t="str">
        <f>"2B:field191:" &amp; IF(I345="■",1,IF(M345="■",2,0))</f>
        <v>2B:field191:0</v>
      </c>
    </row>
    <row r="346" spans="1:36" s="1247" customFormat="1" ht="19.5" customHeight="1" x14ac:dyDescent="0.2">
      <c r="A346" s="579"/>
      <c r="B346" s="1250"/>
      <c r="C346" s="581"/>
      <c r="D346" s="1251"/>
      <c r="E346" s="1253"/>
      <c r="F346" s="1249"/>
      <c r="G346" s="583"/>
      <c r="H346" s="3324" t="s">
        <v>2133</v>
      </c>
      <c r="I346" s="3501" t="s">
        <v>116</v>
      </c>
      <c r="J346" s="3320" t="s">
        <v>2131</v>
      </c>
      <c r="K346" s="3323"/>
      <c r="L346" s="3322"/>
      <c r="M346" s="3500" t="s">
        <v>116</v>
      </c>
      <c r="N346" s="3320" t="s">
        <v>2130</v>
      </c>
      <c r="O346" s="3321"/>
      <c r="P346" s="3320"/>
      <c r="Q346" s="3319"/>
      <c r="R346" s="3319"/>
      <c r="S346" s="3319"/>
      <c r="T346" s="3319"/>
      <c r="U346" s="3319"/>
      <c r="V346" s="3319"/>
      <c r="W346" s="3319"/>
      <c r="X346" s="3318"/>
      <c r="Y346" s="1248"/>
      <c r="Z346" s="2"/>
      <c r="AA346" s="584"/>
      <c r="AB346" s="585"/>
      <c r="AC346" s="3292"/>
      <c r="AD346" s="3291"/>
      <c r="AE346" s="3291"/>
      <c r="AF346" s="3290"/>
      <c r="AI346" s="3120" t="str">
        <f>"2B:field242:" &amp; IF(I346="■",1,IF(M346="■",2,0))</f>
        <v>2B:field242:0</v>
      </c>
    </row>
    <row r="347" spans="1:36" ht="18.75" customHeight="1" x14ac:dyDescent="0.2">
      <c r="A347" s="834"/>
      <c r="B347" s="3148"/>
      <c r="C347" s="3147"/>
      <c r="D347" s="3146"/>
      <c r="E347" s="3175"/>
      <c r="F347" s="3158" t="s">
        <v>116</v>
      </c>
      <c r="G347" s="3145" t="s">
        <v>1353</v>
      </c>
      <c r="H347" s="3151" t="s">
        <v>1348</v>
      </c>
      <c r="I347" s="3303" t="s">
        <v>116</v>
      </c>
      <c r="J347" s="3137" t="s">
        <v>1230</v>
      </c>
      <c r="K347" s="3171"/>
      <c r="L347" s="3154" t="s">
        <v>116</v>
      </c>
      <c r="M347" s="3137" t="s">
        <v>1233</v>
      </c>
      <c r="N347" s="3150"/>
      <c r="O347" s="3150"/>
      <c r="P347" s="3150"/>
      <c r="Q347" s="3150"/>
      <c r="R347" s="3150"/>
      <c r="S347" s="3150"/>
      <c r="T347" s="3150"/>
      <c r="U347" s="3150"/>
      <c r="V347" s="3150"/>
      <c r="W347" s="3150"/>
      <c r="X347" s="3149"/>
      <c r="Y347" s="3293"/>
      <c r="Z347" s="1201"/>
      <c r="AA347" s="1201"/>
      <c r="AB347" s="1202"/>
      <c r="AC347" s="3292"/>
      <c r="AD347" s="3291"/>
      <c r="AE347" s="3291"/>
      <c r="AF347" s="3290"/>
      <c r="AI347" s="3120" t="str">
        <f>"2B:jyakuninti_uke_code:" &amp; IF(I347="■",1,IF(L347="■",2,0))</f>
        <v>2B:jyakuninti_uke_code:0</v>
      </c>
    </row>
    <row r="348" spans="1:36" ht="18.75" customHeight="1" x14ac:dyDescent="0.2">
      <c r="A348" s="3158" t="s">
        <v>116</v>
      </c>
      <c r="B348" s="3148" t="s">
        <v>572</v>
      </c>
      <c r="C348" s="3147" t="s">
        <v>641</v>
      </c>
      <c r="D348" s="3158" t="s">
        <v>116</v>
      </c>
      <c r="E348" s="3175" t="s">
        <v>1354</v>
      </c>
      <c r="F348" s="3158" t="s">
        <v>116</v>
      </c>
      <c r="G348" s="3145" t="s">
        <v>1314</v>
      </c>
      <c r="H348" s="3151" t="s">
        <v>1284</v>
      </c>
      <c r="I348" s="3303" t="s">
        <v>116</v>
      </c>
      <c r="J348" s="3137" t="s">
        <v>1240</v>
      </c>
      <c r="K348" s="3171"/>
      <c r="L348" s="3173"/>
      <c r="M348" s="3154" t="s">
        <v>116</v>
      </c>
      <c r="N348" s="3137" t="s">
        <v>1241</v>
      </c>
      <c r="O348" s="3150"/>
      <c r="P348" s="3150"/>
      <c r="Q348" s="3150"/>
      <c r="R348" s="3150"/>
      <c r="S348" s="3150"/>
      <c r="T348" s="3150"/>
      <c r="U348" s="3150"/>
      <c r="V348" s="3150"/>
      <c r="W348" s="3150"/>
      <c r="X348" s="3149"/>
      <c r="Y348" s="3293"/>
      <c r="Z348" s="1201"/>
      <c r="AA348" s="1201"/>
      <c r="AB348" s="1202"/>
      <c r="AC348" s="3292"/>
      <c r="AD348" s="3291"/>
      <c r="AE348" s="3291"/>
      <c r="AF348" s="3290"/>
      <c r="AI348" s="3120" t="str">
        <f>"2B:sougei_code:" &amp; IF(I348="■",1,IF(M348="■",2,0))</f>
        <v>2B:sougei_code:0</v>
      </c>
    </row>
    <row r="349" spans="1:36" ht="19.5" customHeight="1" x14ac:dyDescent="0.2">
      <c r="A349" s="834"/>
      <c r="B349" s="3148"/>
      <c r="C349" s="3147"/>
      <c r="D349" s="3146"/>
      <c r="E349" s="3175"/>
      <c r="F349" s="3158" t="s">
        <v>116</v>
      </c>
      <c r="G349" s="3145" t="s">
        <v>1316</v>
      </c>
      <c r="H349" s="3174" t="s">
        <v>1236</v>
      </c>
      <c r="I349" s="3303" t="s">
        <v>116</v>
      </c>
      <c r="J349" s="3137" t="s">
        <v>1230</v>
      </c>
      <c r="K349" s="3137"/>
      <c r="L349" s="3154" t="s">
        <v>116</v>
      </c>
      <c r="M349" s="3137" t="s">
        <v>1233</v>
      </c>
      <c r="N349" s="3137"/>
      <c r="O349" s="3150"/>
      <c r="P349" s="3137"/>
      <c r="Q349" s="3150"/>
      <c r="R349" s="3150"/>
      <c r="S349" s="3150"/>
      <c r="T349" s="3150"/>
      <c r="U349" s="3150"/>
      <c r="V349" s="3150"/>
      <c r="W349" s="3150"/>
      <c r="X349" s="3149"/>
      <c r="Y349" s="1201"/>
      <c r="Z349" s="1201"/>
      <c r="AA349" s="1201"/>
      <c r="AB349" s="1202"/>
      <c r="AC349" s="3292"/>
      <c r="AD349" s="3291"/>
      <c r="AE349" s="3291"/>
      <c r="AF349" s="3290"/>
      <c r="AI349" s="3120" t="str">
        <f>"2B:field224:" &amp; IF(I349="■",1,IF(L349="■",2,0))</f>
        <v>2B:field224:0</v>
      </c>
    </row>
    <row r="350" spans="1:36" ht="18.75" customHeight="1" x14ac:dyDescent="0.2">
      <c r="A350" s="834"/>
      <c r="B350" s="3148"/>
      <c r="C350" s="3147"/>
      <c r="D350" s="3146"/>
      <c r="E350" s="3175"/>
      <c r="F350" s="3146"/>
      <c r="G350" s="3145"/>
      <c r="H350" s="3151" t="s">
        <v>140</v>
      </c>
      <c r="I350" s="3303" t="s">
        <v>116</v>
      </c>
      <c r="J350" s="3137" t="s">
        <v>1230</v>
      </c>
      <c r="K350" s="3171"/>
      <c r="L350" s="3154" t="s">
        <v>116</v>
      </c>
      <c r="M350" s="3137" t="s">
        <v>1233</v>
      </c>
      <c r="N350" s="3150"/>
      <c r="O350" s="3150"/>
      <c r="P350" s="3150"/>
      <c r="Q350" s="3150"/>
      <c r="R350" s="3150"/>
      <c r="S350" s="3150"/>
      <c r="T350" s="3150"/>
      <c r="U350" s="3150"/>
      <c r="V350" s="3150"/>
      <c r="W350" s="3150"/>
      <c r="X350" s="3149"/>
      <c r="Y350" s="3293"/>
      <c r="Z350" s="1201"/>
      <c r="AA350" s="1201"/>
      <c r="AB350" s="1202"/>
      <c r="AC350" s="3292"/>
      <c r="AD350" s="3291"/>
      <c r="AE350" s="3291"/>
      <c r="AF350" s="3290"/>
      <c r="AI350" s="3120" t="str">
        <f>"2B:ryouyoushoku_code:" &amp; IF(I350="■",1,IF(L350="■",2,0))</f>
        <v>2B:ryouyoushoku_code:0</v>
      </c>
    </row>
    <row r="351" spans="1:36" ht="18.75" customHeight="1" x14ac:dyDescent="0.2">
      <c r="A351" s="834"/>
      <c r="B351" s="3148"/>
      <c r="C351" s="3147"/>
      <c r="D351" s="3146"/>
      <c r="E351" s="3175"/>
      <c r="F351" s="3146"/>
      <c r="G351" s="3145"/>
      <c r="H351" s="3151" t="s">
        <v>1237</v>
      </c>
      <c r="I351" s="3303" t="s">
        <v>116</v>
      </c>
      <c r="J351" s="3137" t="s">
        <v>1230</v>
      </c>
      <c r="K351" s="3137"/>
      <c r="L351" s="3154" t="s">
        <v>116</v>
      </c>
      <c r="M351" s="3137" t="s">
        <v>1231</v>
      </c>
      <c r="N351" s="3137"/>
      <c r="O351" s="3154" t="s">
        <v>116</v>
      </c>
      <c r="P351" s="3137" t="s">
        <v>1232</v>
      </c>
      <c r="Q351" s="3150"/>
      <c r="R351" s="3150"/>
      <c r="S351" s="3150"/>
      <c r="T351" s="3150"/>
      <c r="U351" s="3150"/>
      <c r="V351" s="3150"/>
      <c r="W351" s="3150"/>
      <c r="X351" s="3149"/>
      <c r="Y351" s="3293"/>
      <c r="Z351" s="1201"/>
      <c r="AA351" s="1201"/>
      <c r="AB351" s="1202"/>
      <c r="AC351" s="3292"/>
      <c r="AD351" s="3291"/>
      <c r="AE351" s="3291"/>
      <c r="AF351" s="3290"/>
      <c r="AI351" s="3120" t="str">
        <f>"2B:ninti_senmoncare_code:" &amp; IF(I351="■",1,IF(O351="■",3,IF(L351="■",2,0)))</f>
        <v>2B:ninti_senmoncare_code:0</v>
      </c>
    </row>
    <row r="352" spans="1:36" ht="18.75" customHeight="1" x14ac:dyDescent="0.2">
      <c r="A352" s="834"/>
      <c r="B352" s="3148"/>
      <c r="C352" s="3147"/>
      <c r="D352" s="3146"/>
      <c r="E352" s="3175"/>
      <c r="F352" s="3146"/>
      <c r="G352" s="3145"/>
      <c r="H352" s="3304" t="s">
        <v>1310</v>
      </c>
      <c r="I352" s="3303" t="s">
        <v>116</v>
      </c>
      <c r="J352" s="3302" t="s">
        <v>1287</v>
      </c>
      <c r="K352" s="3302"/>
      <c r="L352" s="3209"/>
      <c r="M352" s="3209"/>
      <c r="N352" s="3209"/>
      <c r="O352" s="3209"/>
      <c r="P352" s="3301" t="s">
        <v>116</v>
      </c>
      <c r="Q352" s="3302" t="s">
        <v>1288</v>
      </c>
      <c r="R352" s="3209"/>
      <c r="S352" s="3209"/>
      <c r="T352" s="3209"/>
      <c r="U352" s="3209"/>
      <c r="V352" s="3209"/>
      <c r="W352" s="3209"/>
      <c r="X352" s="3208"/>
      <c r="Y352" s="3293"/>
      <c r="Z352" s="1201"/>
      <c r="AA352" s="1201"/>
      <c r="AB352" s="1202"/>
      <c r="AC352" s="3292"/>
      <c r="AD352" s="3291"/>
      <c r="AE352" s="3291"/>
      <c r="AF352" s="3290"/>
      <c r="AI352" s="3120" t="str">
        <f>"2B:" &amp; IF(AND(I352="□",P352="□",I353="□"),"tokusin_jyusho_code:0:tokusin_yakuzai_code:0:shuudan_comu_code:0",IF(I352="■","tokusin_jyusho_code:2","tokusin_jyusho_code:1")
&amp;IF(P352="■",":tokusin_yakuzai_code:2",":tokusin_yakuzai_code:1")
&amp;IF(I353="■",":shuudan_comu_code:2",":shuudan_comu_code:1"))</f>
        <v>2B:tokusin_jyusho_code:0:tokusin_yakuzai_code:0:shuudan_comu_code:0</v>
      </c>
    </row>
    <row r="353" spans="1:36" ht="18.75" customHeight="1" x14ac:dyDescent="0.2">
      <c r="A353" s="834"/>
      <c r="B353" s="3148"/>
      <c r="C353" s="3147"/>
      <c r="D353" s="3146"/>
      <c r="E353" s="3175"/>
      <c r="F353" s="3146"/>
      <c r="G353" s="3145"/>
      <c r="H353" s="3300"/>
      <c r="I353" s="3158" t="s">
        <v>116</v>
      </c>
      <c r="J353" s="3139" t="s">
        <v>1294</v>
      </c>
      <c r="K353" s="3207"/>
      <c r="L353" s="3207"/>
      <c r="M353" s="3207"/>
      <c r="N353" s="3207"/>
      <c r="O353" s="3207"/>
      <c r="P353" s="3207"/>
      <c r="Q353" s="3162"/>
      <c r="R353" s="3207"/>
      <c r="S353" s="3207"/>
      <c r="T353" s="3207"/>
      <c r="U353" s="3207"/>
      <c r="V353" s="3207"/>
      <c r="W353" s="3207"/>
      <c r="X353" s="3206"/>
      <c r="Y353" s="3293"/>
      <c r="Z353" s="1201"/>
      <c r="AA353" s="1201"/>
      <c r="AB353" s="1202"/>
      <c r="AC353" s="3292"/>
      <c r="AD353" s="3291"/>
      <c r="AE353" s="3291"/>
      <c r="AF353" s="3290"/>
      <c r="AI353" s="3120"/>
    </row>
    <row r="354" spans="1:36" ht="18.75" customHeight="1" x14ac:dyDescent="0.2">
      <c r="A354" s="834"/>
      <c r="B354" s="3148"/>
      <c r="C354" s="3147"/>
      <c r="D354" s="3146"/>
      <c r="E354" s="3175"/>
      <c r="F354" s="3146"/>
      <c r="G354" s="3145"/>
      <c r="H354" s="3304" t="s">
        <v>1300</v>
      </c>
      <c r="I354" s="3303" t="s">
        <v>116</v>
      </c>
      <c r="J354" s="3302" t="s">
        <v>1295</v>
      </c>
      <c r="K354" s="3317"/>
      <c r="L354" s="3316"/>
      <c r="M354" s="3301" t="s">
        <v>116</v>
      </c>
      <c r="N354" s="3302" t="s">
        <v>1296</v>
      </c>
      <c r="O354" s="3209"/>
      <c r="P354" s="3209"/>
      <c r="Q354" s="3301" t="s">
        <v>116</v>
      </c>
      <c r="R354" s="3302" t="s">
        <v>1297</v>
      </c>
      <c r="S354" s="3209"/>
      <c r="T354" s="3209"/>
      <c r="U354" s="3209"/>
      <c r="V354" s="3209"/>
      <c r="W354" s="3209"/>
      <c r="X354" s="3208"/>
      <c r="Y354" s="3293"/>
      <c r="Z354" s="1201"/>
      <c r="AA354" s="1201"/>
      <c r="AB354" s="1202"/>
      <c r="AC354" s="3292"/>
      <c r="AD354" s="3291"/>
      <c r="AE354" s="3291"/>
      <c r="AF354" s="3290"/>
      <c r="AI354" s="3120" t="str">
        <f>"2B:"&amp;IF(AND(I354="□",M354="□",Q354="□",I355="□",Q355="□"),"koriha_rryoho1_code:0:koriha_sryoho_code:0:koriha_gengo_code:0:riha_seisin_code:0:koriha_other_code:0",IF(I354="■","koriha_rryoho1_code:2","koriha_rryoho1_code:1")
&amp;IF(M354="■",":koriha_sryoho_code:2",":koriha_sryoho_code:1")
&amp;IF(Q354="■",":koriha_gengo_code:2",":koriha_gengo_code:1")
&amp;IF(I355="■",":riha_seisin_code:2",":riha_seisin_code:1")
&amp;IF(Q355="■",":koriha_other_code:2",":koriha_other_code:1"))</f>
        <v>2B:koriha_rryoho1_code:0:koriha_sryoho_code:0:koriha_gengo_code:0:riha_seisin_code:0:koriha_other_code:0</v>
      </c>
    </row>
    <row r="355" spans="1:36" ht="18.75" customHeight="1" x14ac:dyDescent="0.2">
      <c r="A355" s="834"/>
      <c r="B355" s="3148"/>
      <c r="C355" s="3147"/>
      <c r="D355" s="3146"/>
      <c r="E355" s="3175"/>
      <c r="F355" s="3146"/>
      <c r="G355" s="3145"/>
      <c r="H355" s="3300"/>
      <c r="I355" s="3158" t="s">
        <v>116</v>
      </c>
      <c r="J355" s="3139" t="s">
        <v>1298</v>
      </c>
      <c r="K355" s="3207"/>
      <c r="L355" s="3207"/>
      <c r="M355" s="3207"/>
      <c r="N355" s="3207"/>
      <c r="O355" s="3207"/>
      <c r="P355" s="3207"/>
      <c r="Q355" s="3140" t="s">
        <v>116</v>
      </c>
      <c r="R355" s="3139" t="s">
        <v>1299</v>
      </c>
      <c r="S355" s="3162"/>
      <c r="T355" s="3207"/>
      <c r="U355" s="3207"/>
      <c r="V355" s="3207"/>
      <c r="W355" s="3207"/>
      <c r="X355" s="3206"/>
      <c r="Y355" s="3293"/>
      <c r="Z355" s="1201"/>
      <c r="AA355" s="1201"/>
      <c r="AB355" s="1202"/>
      <c r="AC355" s="3292"/>
      <c r="AD355" s="3291"/>
      <c r="AE355" s="3291"/>
      <c r="AF355" s="3290"/>
      <c r="AI355" s="3120"/>
    </row>
    <row r="356" spans="1:36" ht="18.75" customHeight="1" x14ac:dyDescent="0.2">
      <c r="A356" s="834"/>
      <c r="B356" s="3148"/>
      <c r="C356" s="3147"/>
      <c r="D356" s="3146"/>
      <c r="E356" s="3175"/>
      <c r="F356" s="3146"/>
      <c r="G356" s="3145"/>
      <c r="H356" s="3296" t="s">
        <v>1285</v>
      </c>
      <c r="I356" s="3303" t="s">
        <v>116</v>
      </c>
      <c r="J356" s="3137" t="s">
        <v>1230</v>
      </c>
      <c r="K356" s="3137"/>
      <c r="L356" s="3154" t="s">
        <v>116</v>
      </c>
      <c r="M356" s="3137" t="s">
        <v>1231</v>
      </c>
      <c r="N356" s="3137"/>
      <c r="O356" s="3154" t="s">
        <v>116</v>
      </c>
      <c r="P356" s="3137" t="s">
        <v>1232</v>
      </c>
      <c r="Q356" s="3150"/>
      <c r="R356" s="3150"/>
      <c r="S356" s="3150"/>
      <c r="T356" s="3150"/>
      <c r="U356" s="3209"/>
      <c r="V356" s="3209"/>
      <c r="W356" s="3209"/>
      <c r="X356" s="3208"/>
      <c r="Y356" s="3293"/>
      <c r="Z356" s="1201"/>
      <c r="AA356" s="1201"/>
      <c r="AB356" s="1202"/>
      <c r="AC356" s="3292"/>
      <c r="AD356" s="3291"/>
      <c r="AE356" s="3291"/>
      <c r="AF356" s="3290"/>
      <c r="AI356" s="3120" t="str">
        <f>"2B:field225:" &amp; IF(I356="■",1,IF(L356="■",2,IF(O356="■",3,0)))</f>
        <v>2B:field225:0</v>
      </c>
    </row>
    <row r="357" spans="1:36" ht="18.75" customHeight="1" x14ac:dyDescent="0.2">
      <c r="A357" s="834"/>
      <c r="B357" s="3148"/>
      <c r="C357" s="3147"/>
      <c r="D357" s="3146"/>
      <c r="E357" s="3175"/>
      <c r="F357" s="3146"/>
      <c r="G357" s="3145"/>
      <c r="H357" s="3151" t="s">
        <v>238</v>
      </c>
      <c r="I357" s="3303" t="s">
        <v>116</v>
      </c>
      <c r="J357" s="3137" t="s">
        <v>1230</v>
      </c>
      <c r="K357" s="3137"/>
      <c r="L357" s="3154" t="s">
        <v>116</v>
      </c>
      <c r="M357" s="3137" t="s">
        <v>1259</v>
      </c>
      <c r="N357" s="3137"/>
      <c r="O357" s="3154" t="s">
        <v>116</v>
      </c>
      <c r="P357" s="3137" t="s">
        <v>1260</v>
      </c>
      <c r="Q357" s="3153"/>
      <c r="R357" s="3154" t="s">
        <v>116</v>
      </c>
      <c r="S357" s="3137" t="s">
        <v>1261</v>
      </c>
      <c r="T357" s="3153"/>
      <c r="U357" s="3153"/>
      <c r="V357" s="3153"/>
      <c r="W357" s="3153"/>
      <c r="X357" s="3152"/>
      <c r="Y357" s="3293"/>
      <c r="Z357" s="1201"/>
      <c r="AA357" s="1201"/>
      <c r="AB357" s="1202"/>
      <c r="AC357" s="3292"/>
      <c r="AD357" s="3291"/>
      <c r="AE357" s="3291"/>
      <c r="AF357" s="3290"/>
      <c r="AI357" s="3120" t="str">
        <f>"2B:serteikyo_kyoka_code:" &amp; IF(I357="■",1,IF(L357="■",6,IF(O357="■",5,IF(R357="■",7,0))))</f>
        <v>2B:serteikyo_kyoka_code:0</v>
      </c>
    </row>
    <row r="358" spans="1:36" ht="18.75" customHeight="1" x14ac:dyDescent="0.2">
      <c r="A358" s="834"/>
      <c r="B358" s="3148"/>
      <c r="C358" s="3147"/>
      <c r="D358" s="3146"/>
      <c r="E358" s="3175"/>
      <c r="F358" s="3146"/>
      <c r="G358" s="3145"/>
      <c r="H358" s="3170" t="s">
        <v>2058</v>
      </c>
      <c r="I358" s="3346" t="s">
        <v>116</v>
      </c>
      <c r="J358" s="3347" t="s">
        <v>1230</v>
      </c>
      <c r="K358" s="3347"/>
      <c r="L358" s="3346" t="s">
        <v>116</v>
      </c>
      <c r="M358" s="3347" t="s">
        <v>1233</v>
      </c>
      <c r="N358" s="3347"/>
      <c r="O358" s="3167"/>
      <c r="P358" s="3167"/>
      <c r="Q358" s="3167"/>
      <c r="R358" s="3167"/>
      <c r="S358" s="3167"/>
      <c r="T358" s="3167"/>
      <c r="U358" s="3167"/>
      <c r="V358" s="3167"/>
      <c r="W358" s="3167"/>
      <c r="X358" s="3166"/>
      <c r="Y358" s="3293"/>
      <c r="Z358" s="1201"/>
      <c r="AA358" s="1201"/>
      <c r="AB358" s="1202"/>
      <c r="AC358" s="3292"/>
      <c r="AD358" s="3291"/>
      <c r="AE358" s="3291"/>
      <c r="AF358" s="3290"/>
      <c r="AI358" s="3120" t="str">
        <f>"2B:field221:" &amp; IF(I358="■",1,IF(L358="■",2,0))</f>
        <v>2B:field221:0</v>
      </c>
    </row>
    <row r="359" spans="1:36" ht="18.75" customHeight="1" x14ac:dyDescent="0.2">
      <c r="A359" s="834"/>
      <c r="B359" s="3148"/>
      <c r="C359" s="3147"/>
      <c r="D359" s="3146"/>
      <c r="E359" s="3175"/>
      <c r="F359" s="3146"/>
      <c r="G359" s="3145"/>
      <c r="H359" s="3165"/>
      <c r="I359" s="3346"/>
      <c r="J359" s="3347"/>
      <c r="K359" s="3347"/>
      <c r="L359" s="3346"/>
      <c r="M359" s="3347"/>
      <c r="N359" s="3347"/>
      <c r="O359" s="3162"/>
      <c r="P359" s="3162"/>
      <c r="Q359" s="3162"/>
      <c r="R359" s="3162"/>
      <c r="S359" s="3162"/>
      <c r="T359" s="3162"/>
      <c r="U359" s="3162"/>
      <c r="V359" s="3162"/>
      <c r="W359" s="3162"/>
      <c r="X359" s="3161"/>
      <c r="Y359" s="3293"/>
      <c r="Z359" s="1201"/>
      <c r="AA359" s="1201"/>
      <c r="AB359" s="1202"/>
      <c r="AC359" s="3292"/>
      <c r="AD359" s="3291"/>
      <c r="AE359" s="3291"/>
      <c r="AF359" s="3290"/>
    </row>
    <row r="360" spans="1:36" ht="18.75" customHeight="1" x14ac:dyDescent="0.2">
      <c r="A360" s="835"/>
      <c r="B360" s="3135"/>
      <c r="C360" s="3134"/>
      <c r="D360" s="3133"/>
      <c r="E360" s="3132"/>
      <c r="F360" s="3131"/>
      <c r="G360" s="3189"/>
      <c r="H360" s="3289" t="s">
        <v>2129</v>
      </c>
      <c r="I360" s="3128" t="s">
        <v>116</v>
      </c>
      <c r="J360" s="3285" t="s">
        <v>1230</v>
      </c>
      <c r="K360" s="3285"/>
      <c r="L360" s="3127" t="s">
        <v>116</v>
      </c>
      <c r="M360" s="3285" t="s">
        <v>2128</v>
      </c>
      <c r="N360" s="3288"/>
      <c r="O360" s="3127" t="s">
        <v>116</v>
      </c>
      <c r="P360" s="3287" t="s">
        <v>2127</v>
      </c>
      <c r="Q360" s="3286"/>
      <c r="R360" s="3127" t="s">
        <v>116</v>
      </c>
      <c r="S360" s="3285" t="s">
        <v>2126</v>
      </c>
      <c r="T360" s="3286"/>
      <c r="U360" s="3127" t="s">
        <v>116</v>
      </c>
      <c r="V360" s="3285" t="s">
        <v>2125</v>
      </c>
      <c r="W360" s="3284"/>
      <c r="X360" s="3283"/>
      <c r="Y360" s="3282"/>
      <c r="Z360" s="3282"/>
      <c r="AA360" s="3282"/>
      <c r="AB360" s="3281"/>
      <c r="AC360" s="3280"/>
      <c r="AD360" s="3279"/>
      <c r="AE360" s="3279"/>
      <c r="AF360" s="3278"/>
      <c r="AG360" s="3120"/>
      <c r="AH360" s="3120"/>
      <c r="AI360" s="3120" t="str">
        <f>"2B:shoguukaizen_code:"&amp;IF(I360="■",1,IF(L360="■",7,IF(O360="■",8,IF(R360="■",9,IF(U360="■","A",0)))))</f>
        <v>2B:shoguukaizen_code:0</v>
      </c>
    </row>
    <row r="361" spans="1:36" ht="18.75" customHeight="1" x14ac:dyDescent="0.2">
      <c r="A361" s="3188"/>
      <c r="B361" s="3187"/>
      <c r="C361" s="3229"/>
      <c r="D361" s="3228"/>
      <c r="E361" s="3183"/>
      <c r="F361" s="3228"/>
      <c r="G361" s="3185"/>
      <c r="H361" s="3265" t="s">
        <v>1286</v>
      </c>
      <c r="I361" s="3253" t="s">
        <v>116</v>
      </c>
      <c r="J361" s="3252" t="s">
        <v>1282</v>
      </c>
      <c r="K361" s="3311"/>
      <c r="L361" s="3386"/>
      <c r="M361" s="3310" t="s">
        <v>116</v>
      </c>
      <c r="N361" s="3252" t="s">
        <v>1289</v>
      </c>
      <c r="O361" s="3309"/>
      <c r="P361" s="3309"/>
      <c r="Q361" s="3310" t="s">
        <v>116</v>
      </c>
      <c r="R361" s="3252" t="s">
        <v>1290</v>
      </c>
      <c r="S361" s="3309"/>
      <c r="T361" s="3309"/>
      <c r="U361" s="3310" t="s">
        <v>116</v>
      </c>
      <c r="V361" s="3252" t="s">
        <v>1291</v>
      </c>
      <c r="W361" s="3309"/>
      <c r="X361" s="3266"/>
      <c r="Y361" s="3253" t="s">
        <v>116</v>
      </c>
      <c r="Z361" s="3252" t="s">
        <v>1225</v>
      </c>
      <c r="AA361" s="3252"/>
      <c r="AB361" s="3308"/>
      <c r="AC361" s="3307"/>
      <c r="AD361" s="3306"/>
      <c r="AE361" s="3306"/>
      <c r="AF361" s="3305"/>
      <c r="AG361" s="3120" t="str">
        <f>"ser_code = '" &amp; IF(A370="■","2B","") &amp; "'"</f>
        <v>ser_code = ''</v>
      </c>
      <c r="AH361" s="3120" t="str">
        <f>"2B:jininkbn_code:"&amp;IF(F370="■",1,0)</f>
        <v>2B:jininkbn_code:0</v>
      </c>
      <c r="AI361" s="3120" t="str">
        <f>"2B:yakan_kinmu_code:" &amp; IF(I361="■",1,IF(M361="■",2,IF(Q361="■",3,IF(U361="■",7,IF(I362="■",5,IF(M362="■",6,0))))))</f>
        <v>2B:yakan_kinmu_code:0</v>
      </c>
      <c r="AJ361" s="3120" t="str">
        <f>"2B:field203:" &amp; IF(Y361="■",1,IF(Y362="■",2,0))</f>
        <v>2B:field203:0</v>
      </c>
    </row>
    <row r="362" spans="1:36" ht="18.75" customHeight="1" x14ac:dyDescent="0.2">
      <c r="A362" s="834"/>
      <c r="B362" s="3148"/>
      <c r="C362" s="3147"/>
      <c r="D362" s="3146"/>
      <c r="E362" s="3175"/>
      <c r="F362" s="3146"/>
      <c r="G362" s="3145"/>
      <c r="H362" s="3300"/>
      <c r="I362" s="3158" t="s">
        <v>116</v>
      </c>
      <c r="J362" s="3139" t="s">
        <v>1292</v>
      </c>
      <c r="K362" s="3138"/>
      <c r="L362" s="3385"/>
      <c r="M362" s="3140" t="s">
        <v>116</v>
      </c>
      <c r="N362" s="3139" t="s">
        <v>1283</v>
      </c>
      <c r="O362" s="3162"/>
      <c r="P362" s="3162"/>
      <c r="Q362" s="3162"/>
      <c r="R362" s="3162"/>
      <c r="S362" s="3162"/>
      <c r="T362" s="3162"/>
      <c r="U362" s="3162"/>
      <c r="V362" s="3162"/>
      <c r="W362" s="3162"/>
      <c r="X362" s="3161"/>
      <c r="Y362" s="3258" t="s">
        <v>116</v>
      </c>
      <c r="Z362" s="1200" t="s">
        <v>1226</v>
      </c>
      <c r="AA362" s="1201"/>
      <c r="AB362" s="1202"/>
      <c r="AC362" s="3292"/>
      <c r="AD362" s="3291"/>
      <c r="AE362" s="3291"/>
      <c r="AF362" s="3290"/>
      <c r="AG362" s="3120" t="str">
        <f>"2B:sisetukbn_code:"&amp;IF(D370="■","3",0)</f>
        <v>2B:sisetukbn_code:0</v>
      </c>
      <c r="AH362" s="3120"/>
      <c r="AI362" s="3120"/>
      <c r="AJ362" s="3120"/>
    </row>
    <row r="363" spans="1:36" ht="18.75" customHeight="1" x14ac:dyDescent="0.2">
      <c r="A363" s="834"/>
      <c r="B363" s="3148"/>
      <c r="C363" s="3147"/>
      <c r="D363" s="3146"/>
      <c r="E363" s="3175"/>
      <c r="F363" s="3146"/>
      <c r="G363" s="3145"/>
      <c r="H363" s="3304" t="s">
        <v>90</v>
      </c>
      <c r="I363" s="3303" t="s">
        <v>116</v>
      </c>
      <c r="J363" s="3302" t="s">
        <v>1230</v>
      </c>
      <c r="K363" s="3302"/>
      <c r="L363" s="3316"/>
      <c r="M363" s="3301" t="s">
        <v>116</v>
      </c>
      <c r="N363" s="3302" t="s">
        <v>1262</v>
      </c>
      <c r="O363" s="3302"/>
      <c r="P363" s="3316"/>
      <c r="Q363" s="3301" t="s">
        <v>116</v>
      </c>
      <c r="R363" s="3167" t="s">
        <v>1302</v>
      </c>
      <c r="S363" s="3167"/>
      <c r="T363" s="3167"/>
      <c r="U363" s="3209"/>
      <c r="V363" s="3316"/>
      <c r="W363" s="3167"/>
      <c r="X363" s="3208"/>
      <c r="Y363" s="3293"/>
      <c r="Z363" s="1201"/>
      <c r="AA363" s="1201"/>
      <c r="AB363" s="1202"/>
      <c r="AC363" s="3292"/>
      <c r="AD363" s="3291"/>
      <c r="AE363" s="3291"/>
      <c r="AF363" s="3290"/>
      <c r="AG363" s="3120"/>
      <c r="AH363" s="3120"/>
      <c r="AI363" s="3120" t="str">
        <f>"2B:"&amp;IF(AND(I363="□",M363="□",Q363="□",I364="□",M364="□"),"ketu_doctor_code:0",IF(I363="■","ketu_doctor_code:1:field197:1:ketu_kangos_code:1:ketu_kshoku_code:1",IF(M363="■","ketu_doctor_code:2","ketu_doctor_code:1")
&amp;IF(Q363="■",":field197:2",":field197:1")
&amp;IF(I364="■",":ketu_kangos_code:2",":ketu_kangos_code:1")
&amp;IF(M364="■",":ketu_kshoku_code:2",":ketu_kshoku_code:1")))</f>
        <v>2B:ketu_doctor_code:0</v>
      </c>
      <c r="AJ363" s="3120"/>
    </row>
    <row r="364" spans="1:36" ht="18.75" customHeight="1" x14ac:dyDescent="0.2">
      <c r="A364" s="834"/>
      <c r="B364" s="3148"/>
      <c r="C364" s="3147"/>
      <c r="D364" s="3146"/>
      <c r="E364" s="3175"/>
      <c r="F364" s="3146"/>
      <c r="G364" s="3145"/>
      <c r="H364" s="3300"/>
      <c r="I364" s="3158" t="s">
        <v>116</v>
      </c>
      <c r="J364" s="3162" t="s">
        <v>1303</v>
      </c>
      <c r="K364" s="3162"/>
      <c r="L364" s="3162"/>
      <c r="M364" s="3140" t="s">
        <v>116</v>
      </c>
      <c r="N364" s="3162" t="s">
        <v>1304</v>
      </c>
      <c r="O364" s="3385"/>
      <c r="P364" s="3162"/>
      <c r="Q364" s="3162"/>
      <c r="R364" s="3385"/>
      <c r="S364" s="3162"/>
      <c r="T364" s="3162"/>
      <c r="U364" s="3207"/>
      <c r="V364" s="3385"/>
      <c r="W364" s="3162"/>
      <c r="X364" s="3206"/>
      <c r="Y364" s="3293"/>
      <c r="Z364" s="1201"/>
      <c r="AA364" s="1201"/>
      <c r="AB364" s="1202"/>
      <c r="AC364" s="3292"/>
      <c r="AD364" s="3291"/>
      <c r="AE364" s="3291"/>
      <c r="AF364" s="3290"/>
    </row>
    <row r="365" spans="1:36" s="3120" customFormat="1" ht="18.75" customHeight="1" x14ac:dyDescent="0.2">
      <c r="A365" s="834"/>
      <c r="B365" s="3148"/>
      <c r="C365" s="3295"/>
      <c r="D365" s="3294"/>
      <c r="E365" s="3145"/>
      <c r="F365" s="3144"/>
      <c r="G365" s="3175"/>
      <c r="H365" s="3381" t="s">
        <v>1325</v>
      </c>
      <c r="I365" s="3222" t="s">
        <v>116</v>
      </c>
      <c r="J365" s="3217" t="s">
        <v>1228</v>
      </c>
      <c r="K365" s="3221"/>
      <c r="L365" s="3220"/>
      <c r="M365" s="3219" t="s">
        <v>116</v>
      </c>
      <c r="N365" s="3217" t="s">
        <v>1322</v>
      </c>
      <c r="O365" s="3221"/>
      <c r="P365" s="3380"/>
      <c r="Q365" s="3380"/>
      <c r="R365" s="3380"/>
      <c r="S365" s="3380"/>
      <c r="T365" s="3380"/>
      <c r="U365" s="3380"/>
      <c r="V365" s="3380"/>
      <c r="W365" s="3380"/>
      <c r="X365" s="3379"/>
      <c r="Y365" s="3293"/>
      <c r="Z365" s="1201"/>
      <c r="AA365" s="1201"/>
      <c r="AB365" s="1202"/>
      <c r="AC365" s="3292"/>
      <c r="AD365" s="3291"/>
      <c r="AE365" s="3291"/>
      <c r="AF365" s="3290"/>
      <c r="AI365" s="3120" t="str">
        <f>"2B:sintaikousoku_code:" &amp; IF(I365="■",1,IF(M365="■",2,0))</f>
        <v>2B:sintaikousoku_code:0</v>
      </c>
    </row>
    <row r="366" spans="1:36" ht="19.5" customHeight="1" x14ac:dyDescent="0.2">
      <c r="A366" s="834"/>
      <c r="B366" s="3148"/>
      <c r="C366" s="3147"/>
      <c r="D366" s="3146"/>
      <c r="E366" s="3145"/>
      <c r="F366" s="3144"/>
      <c r="G366" s="3175"/>
      <c r="H366" s="3174" t="s">
        <v>1227</v>
      </c>
      <c r="I366" s="3303" t="s">
        <v>116</v>
      </c>
      <c r="J366" s="3137" t="s">
        <v>1228</v>
      </c>
      <c r="K366" s="3171"/>
      <c r="L366" s="3173"/>
      <c r="M366" s="3154" t="s">
        <v>116</v>
      </c>
      <c r="N366" s="3137" t="s">
        <v>1229</v>
      </c>
      <c r="O366" s="3150"/>
      <c r="P366" s="3137"/>
      <c r="Q366" s="3150"/>
      <c r="R366" s="3150"/>
      <c r="S366" s="3150"/>
      <c r="T366" s="3150"/>
      <c r="U366" s="3150"/>
      <c r="V366" s="3150"/>
      <c r="W366" s="3150"/>
      <c r="X366" s="3149"/>
      <c r="Y366" s="1201"/>
      <c r="Z366" s="1201"/>
      <c r="AA366" s="1201"/>
      <c r="AB366" s="1202"/>
      <c r="AC366" s="3292"/>
      <c r="AD366" s="3291"/>
      <c r="AE366" s="3291"/>
      <c r="AF366" s="3290"/>
      <c r="AI366" s="3120" t="str">
        <f>"2B:field223:" &amp; IF(I366="■",1,IF(M366="■",2,0))</f>
        <v>2B:field223:0</v>
      </c>
    </row>
    <row r="367" spans="1:36" ht="19.5" customHeight="1" x14ac:dyDescent="0.2">
      <c r="A367" s="834"/>
      <c r="B367" s="3148"/>
      <c r="C367" s="3147"/>
      <c r="D367" s="3146"/>
      <c r="E367" s="3145"/>
      <c r="F367" s="3144"/>
      <c r="G367" s="3175"/>
      <c r="H367" s="3174" t="s">
        <v>1253</v>
      </c>
      <c r="I367" s="3303" t="s">
        <v>116</v>
      </c>
      <c r="J367" s="3137" t="s">
        <v>1228</v>
      </c>
      <c r="K367" s="3171"/>
      <c r="L367" s="3173"/>
      <c r="M367" s="3154" t="s">
        <v>116</v>
      </c>
      <c r="N367" s="3137" t="s">
        <v>1229</v>
      </c>
      <c r="O367" s="3150"/>
      <c r="P367" s="3137"/>
      <c r="Q367" s="3150"/>
      <c r="R367" s="3150"/>
      <c r="S367" s="3150"/>
      <c r="T367" s="3150"/>
      <c r="U367" s="3150"/>
      <c r="V367" s="3150"/>
      <c r="W367" s="3150"/>
      <c r="X367" s="3149"/>
      <c r="Y367" s="1201"/>
      <c r="Z367" s="1201"/>
      <c r="AA367" s="1201"/>
      <c r="AB367" s="1202"/>
      <c r="AC367" s="3292"/>
      <c r="AD367" s="3291"/>
      <c r="AE367" s="3291"/>
      <c r="AF367" s="3290"/>
      <c r="AI367" s="3120" t="str">
        <f>"2B:field232:" &amp; IF(I367="■",1,IF(M367="■",2,0))</f>
        <v>2B:field232:0</v>
      </c>
    </row>
    <row r="368" spans="1:36" ht="18.75" customHeight="1" x14ac:dyDescent="0.2">
      <c r="A368" s="834"/>
      <c r="B368" s="3148"/>
      <c r="C368" s="3147"/>
      <c r="D368" s="3146"/>
      <c r="E368" s="3175"/>
      <c r="F368" s="3146"/>
      <c r="G368" s="3145"/>
      <c r="H368" s="3151" t="s">
        <v>236</v>
      </c>
      <c r="I368" s="3303" t="s">
        <v>116</v>
      </c>
      <c r="J368" s="3137" t="s">
        <v>1282</v>
      </c>
      <c r="K368" s="3171"/>
      <c r="L368" s="3173"/>
      <c r="M368" s="3154" t="s">
        <v>116</v>
      </c>
      <c r="N368" s="3137" t="s">
        <v>1293</v>
      </c>
      <c r="O368" s="3150"/>
      <c r="P368" s="3150"/>
      <c r="Q368" s="3150"/>
      <c r="R368" s="3150"/>
      <c r="S368" s="3150"/>
      <c r="T368" s="3150"/>
      <c r="U368" s="3150"/>
      <c r="V368" s="3150"/>
      <c r="W368" s="3150"/>
      <c r="X368" s="3149"/>
      <c r="Y368" s="3293"/>
      <c r="Z368" s="1201"/>
      <c r="AA368" s="1201"/>
      <c r="AB368" s="1202"/>
      <c r="AC368" s="3292"/>
      <c r="AD368" s="3291"/>
      <c r="AE368" s="3291"/>
      <c r="AF368" s="3290"/>
      <c r="AI368" s="3120" t="str">
        <f>"2B:field190:" &amp; IF(I368="■",1,IF(M368="■",2,0))</f>
        <v>2B:field190:0</v>
      </c>
    </row>
    <row r="369" spans="1:36" ht="18.75" customHeight="1" x14ac:dyDescent="0.2">
      <c r="A369" s="834"/>
      <c r="B369" s="3148"/>
      <c r="C369" s="3147"/>
      <c r="D369" s="3146"/>
      <c r="E369" s="3175"/>
      <c r="F369" s="3146"/>
      <c r="G369" s="3145"/>
      <c r="H369" s="3151" t="s">
        <v>1305</v>
      </c>
      <c r="I369" s="3303" t="s">
        <v>116</v>
      </c>
      <c r="J369" s="3137" t="s">
        <v>1282</v>
      </c>
      <c r="K369" s="3171"/>
      <c r="L369" s="3173"/>
      <c r="M369" s="3154" t="s">
        <v>116</v>
      </c>
      <c r="N369" s="3137" t="s">
        <v>1293</v>
      </c>
      <c r="O369" s="3150"/>
      <c r="P369" s="3150"/>
      <c r="Q369" s="3150"/>
      <c r="R369" s="3150"/>
      <c r="S369" s="3150"/>
      <c r="T369" s="3150"/>
      <c r="U369" s="3150"/>
      <c r="V369" s="3150"/>
      <c r="W369" s="3150"/>
      <c r="X369" s="3149"/>
      <c r="Y369" s="3293"/>
      <c r="Z369" s="1201"/>
      <c r="AA369" s="1201"/>
      <c r="AB369" s="1202"/>
      <c r="AC369" s="3292"/>
      <c r="AD369" s="3291"/>
      <c r="AE369" s="3291"/>
      <c r="AF369" s="3290"/>
      <c r="AI369" s="3120" t="str">
        <f>"2B:field191:" &amp; IF(I369="■",1,IF(M369="■",2,0))</f>
        <v>2B:field191:0</v>
      </c>
    </row>
    <row r="370" spans="1:36" ht="18.75" customHeight="1" x14ac:dyDescent="0.2">
      <c r="A370" s="3158" t="s">
        <v>116</v>
      </c>
      <c r="B370" s="3148" t="s">
        <v>572</v>
      </c>
      <c r="C370" s="3147" t="s">
        <v>641</v>
      </c>
      <c r="D370" s="3158" t="s">
        <v>116</v>
      </c>
      <c r="E370" s="3175" t="s">
        <v>1355</v>
      </c>
      <c r="F370" s="3158" t="s">
        <v>116</v>
      </c>
      <c r="G370" s="3145" t="s">
        <v>1318</v>
      </c>
      <c r="H370" s="3151" t="s">
        <v>1348</v>
      </c>
      <c r="I370" s="3303" t="s">
        <v>116</v>
      </c>
      <c r="J370" s="3137" t="s">
        <v>1230</v>
      </c>
      <c r="K370" s="3171"/>
      <c r="L370" s="3154" t="s">
        <v>116</v>
      </c>
      <c r="M370" s="3137" t="s">
        <v>1233</v>
      </c>
      <c r="N370" s="3150"/>
      <c r="O370" s="3150"/>
      <c r="P370" s="3150"/>
      <c r="Q370" s="3150"/>
      <c r="R370" s="3150"/>
      <c r="S370" s="3150"/>
      <c r="T370" s="3150"/>
      <c r="U370" s="3150"/>
      <c r="V370" s="3150"/>
      <c r="W370" s="3150"/>
      <c r="X370" s="3149"/>
      <c r="Y370" s="3293"/>
      <c r="Z370" s="1201"/>
      <c r="AA370" s="1201"/>
      <c r="AB370" s="1202"/>
      <c r="AC370" s="3292"/>
      <c r="AD370" s="3291"/>
      <c r="AE370" s="3291"/>
      <c r="AF370" s="3290"/>
      <c r="AI370" s="3120" t="str">
        <f>"2B:jyakuninti_uke_code:" &amp; IF(I370="■",1,IF(L370="■",2,0))</f>
        <v>2B:jyakuninti_uke_code:0</v>
      </c>
    </row>
    <row r="371" spans="1:36" ht="18.75" customHeight="1" x14ac:dyDescent="0.2">
      <c r="A371" s="3146"/>
      <c r="B371" s="3148"/>
      <c r="C371" s="3147"/>
      <c r="D371" s="3146"/>
      <c r="E371" s="3175"/>
      <c r="F371" s="3146"/>
      <c r="G371" s="3145"/>
      <c r="H371" s="3151" t="s">
        <v>1284</v>
      </c>
      <c r="I371" s="3303" t="s">
        <v>116</v>
      </c>
      <c r="J371" s="3137" t="s">
        <v>1240</v>
      </c>
      <c r="K371" s="3171"/>
      <c r="L371" s="3173"/>
      <c r="M371" s="3154" t="s">
        <v>116</v>
      </c>
      <c r="N371" s="3137" t="s">
        <v>1241</v>
      </c>
      <c r="O371" s="3150"/>
      <c r="P371" s="3150"/>
      <c r="Q371" s="3150"/>
      <c r="R371" s="3150"/>
      <c r="S371" s="3150"/>
      <c r="T371" s="3150"/>
      <c r="U371" s="3150"/>
      <c r="V371" s="3150"/>
      <c r="W371" s="3150"/>
      <c r="X371" s="3149"/>
      <c r="Y371" s="3293"/>
      <c r="Z371" s="1201"/>
      <c r="AA371" s="1201"/>
      <c r="AB371" s="1202"/>
      <c r="AC371" s="3292"/>
      <c r="AD371" s="3291"/>
      <c r="AE371" s="3291"/>
      <c r="AF371" s="3290"/>
      <c r="AI371" s="3120" t="str">
        <f>"2B:sougei_code:" &amp; IF(I371="■",1,IF(M371="■",2,0))</f>
        <v>2B:sougei_code:0</v>
      </c>
    </row>
    <row r="372" spans="1:36" ht="19.5" customHeight="1" x14ac:dyDescent="0.2">
      <c r="A372" s="834"/>
      <c r="B372" s="3148"/>
      <c r="C372" s="3147"/>
      <c r="D372" s="3146"/>
      <c r="E372" s="3175"/>
      <c r="F372" s="3146"/>
      <c r="G372" s="3145"/>
      <c r="H372" s="3174" t="s">
        <v>1236</v>
      </c>
      <c r="I372" s="3303" t="s">
        <v>116</v>
      </c>
      <c r="J372" s="3137" t="s">
        <v>1230</v>
      </c>
      <c r="K372" s="3137"/>
      <c r="L372" s="3154" t="s">
        <v>116</v>
      </c>
      <c r="M372" s="3137" t="s">
        <v>1233</v>
      </c>
      <c r="N372" s="3137"/>
      <c r="O372" s="3150"/>
      <c r="P372" s="3137"/>
      <c r="Q372" s="3150"/>
      <c r="R372" s="3150"/>
      <c r="S372" s="3150"/>
      <c r="T372" s="3150"/>
      <c r="U372" s="3150"/>
      <c r="V372" s="3150"/>
      <c r="W372" s="3150"/>
      <c r="X372" s="3149"/>
      <c r="Y372" s="1201"/>
      <c r="Z372" s="1201"/>
      <c r="AA372" s="1201"/>
      <c r="AB372" s="1202"/>
      <c r="AC372" s="3292"/>
      <c r="AD372" s="3291"/>
      <c r="AE372" s="3291"/>
      <c r="AF372" s="3290"/>
      <c r="AI372" s="3120" t="str">
        <f>"2B:field224:" &amp; IF(I372="■",1,IF(L372="■",2,0))</f>
        <v>2B:field224:0</v>
      </c>
    </row>
    <row r="373" spans="1:36" ht="18.75" customHeight="1" x14ac:dyDescent="0.2">
      <c r="A373" s="834"/>
      <c r="B373" s="3148"/>
      <c r="C373" s="3147"/>
      <c r="D373" s="3146"/>
      <c r="E373" s="3175"/>
      <c r="F373" s="3146"/>
      <c r="G373" s="3145"/>
      <c r="H373" s="3151" t="s">
        <v>140</v>
      </c>
      <c r="I373" s="3303" t="s">
        <v>116</v>
      </c>
      <c r="J373" s="3137" t="s">
        <v>1230</v>
      </c>
      <c r="K373" s="3171"/>
      <c r="L373" s="3154" t="s">
        <v>116</v>
      </c>
      <c r="M373" s="3137" t="s">
        <v>1233</v>
      </c>
      <c r="N373" s="3150"/>
      <c r="O373" s="3150"/>
      <c r="P373" s="3150"/>
      <c r="Q373" s="3150"/>
      <c r="R373" s="3150"/>
      <c r="S373" s="3150"/>
      <c r="T373" s="3150"/>
      <c r="U373" s="3150"/>
      <c r="V373" s="3150"/>
      <c r="W373" s="3150"/>
      <c r="X373" s="3149"/>
      <c r="Y373" s="3293"/>
      <c r="Z373" s="1201"/>
      <c r="AA373" s="1201"/>
      <c r="AB373" s="1202"/>
      <c r="AC373" s="3292"/>
      <c r="AD373" s="3291"/>
      <c r="AE373" s="3291"/>
      <c r="AF373" s="3290"/>
      <c r="AI373" s="3120" t="str">
        <f>"2B:ryouyoushoku_code:" &amp; IF(I373="■",1,IF(L373="■",2,0))</f>
        <v>2B:ryouyoushoku_code:0</v>
      </c>
    </row>
    <row r="374" spans="1:36" ht="18.75" customHeight="1" x14ac:dyDescent="0.2">
      <c r="A374" s="834"/>
      <c r="B374" s="3148"/>
      <c r="C374" s="3147"/>
      <c r="D374" s="3146"/>
      <c r="E374" s="3175"/>
      <c r="F374" s="3146"/>
      <c r="G374" s="3145"/>
      <c r="H374" s="3151" t="s">
        <v>1237</v>
      </c>
      <c r="I374" s="3303" t="s">
        <v>116</v>
      </c>
      <c r="J374" s="3137" t="s">
        <v>1230</v>
      </c>
      <c r="K374" s="3137"/>
      <c r="L374" s="3154" t="s">
        <v>116</v>
      </c>
      <c r="M374" s="3137" t="s">
        <v>1231</v>
      </c>
      <c r="N374" s="3137"/>
      <c r="O374" s="3154" t="s">
        <v>116</v>
      </c>
      <c r="P374" s="3137" t="s">
        <v>1232</v>
      </c>
      <c r="Q374" s="3150"/>
      <c r="R374" s="3150"/>
      <c r="S374" s="3150"/>
      <c r="T374" s="3150"/>
      <c r="U374" s="3150"/>
      <c r="V374" s="3150"/>
      <c r="W374" s="3150"/>
      <c r="X374" s="3149"/>
      <c r="Y374" s="3293"/>
      <c r="Z374" s="1201"/>
      <c r="AA374" s="1201"/>
      <c r="AB374" s="1202"/>
      <c r="AC374" s="3292"/>
      <c r="AD374" s="3291"/>
      <c r="AE374" s="3291"/>
      <c r="AF374" s="3290"/>
      <c r="AI374" s="3120" t="str">
        <f>"2B:ninti_senmoncare_code:" &amp; IF(I374="■",1,IF(O374="■",3,IF(L374="■",2,0)))</f>
        <v>2B:ninti_senmoncare_code:0</v>
      </c>
    </row>
    <row r="375" spans="1:36" ht="18.75" customHeight="1" x14ac:dyDescent="0.2">
      <c r="A375" s="3146"/>
      <c r="B375" s="3148"/>
      <c r="C375" s="3147"/>
      <c r="D375" s="3146"/>
      <c r="E375" s="3175"/>
      <c r="F375" s="3146"/>
      <c r="G375" s="3145"/>
      <c r="H375" s="3296" t="s">
        <v>1285</v>
      </c>
      <c r="I375" s="3303" t="s">
        <v>116</v>
      </c>
      <c r="J375" s="3137" t="s">
        <v>1230</v>
      </c>
      <c r="K375" s="3137"/>
      <c r="L375" s="3154" t="s">
        <v>116</v>
      </c>
      <c r="M375" s="3137" t="s">
        <v>1231</v>
      </c>
      <c r="N375" s="3137"/>
      <c r="O375" s="3154" t="s">
        <v>116</v>
      </c>
      <c r="P375" s="3137" t="s">
        <v>1232</v>
      </c>
      <c r="Q375" s="3150"/>
      <c r="R375" s="3150"/>
      <c r="S375" s="3150"/>
      <c r="T375" s="3150"/>
      <c r="U375" s="3209"/>
      <c r="V375" s="3209"/>
      <c r="W375" s="3209"/>
      <c r="X375" s="3208"/>
      <c r="Y375" s="3293"/>
      <c r="Z375" s="1201"/>
      <c r="AA375" s="1201"/>
      <c r="AB375" s="1202"/>
      <c r="AC375" s="3292"/>
      <c r="AD375" s="3291"/>
      <c r="AE375" s="3291"/>
      <c r="AF375" s="3290"/>
      <c r="AI375" s="3120" t="str">
        <f>"2B:field225:" &amp; IF(I375="■",1,IF(L375="■",2,IF(O375="■",3,0)))</f>
        <v>2B:field225:0</v>
      </c>
    </row>
    <row r="376" spans="1:36" ht="18.75" customHeight="1" x14ac:dyDescent="0.2">
      <c r="A376" s="834"/>
      <c r="B376" s="3148"/>
      <c r="C376" s="3147"/>
      <c r="D376" s="3146"/>
      <c r="E376" s="3175"/>
      <c r="F376" s="3146"/>
      <c r="G376" s="3145"/>
      <c r="H376" s="3151" t="s">
        <v>238</v>
      </c>
      <c r="I376" s="3303" t="s">
        <v>116</v>
      </c>
      <c r="J376" s="3137" t="s">
        <v>1230</v>
      </c>
      <c r="K376" s="3137"/>
      <c r="L376" s="3154" t="s">
        <v>116</v>
      </c>
      <c r="M376" s="3137" t="s">
        <v>1259</v>
      </c>
      <c r="N376" s="3137"/>
      <c r="O376" s="3154" t="s">
        <v>116</v>
      </c>
      <c r="P376" s="3137" t="s">
        <v>1260</v>
      </c>
      <c r="Q376" s="3153"/>
      <c r="R376" s="3154" t="s">
        <v>116</v>
      </c>
      <c r="S376" s="3137" t="s">
        <v>1261</v>
      </c>
      <c r="T376" s="3153"/>
      <c r="U376" s="3153"/>
      <c r="V376" s="3153"/>
      <c r="W376" s="3153"/>
      <c r="X376" s="3152"/>
      <c r="Y376" s="3293"/>
      <c r="Z376" s="1201"/>
      <c r="AA376" s="1201"/>
      <c r="AB376" s="1202"/>
      <c r="AC376" s="3292"/>
      <c r="AD376" s="3291"/>
      <c r="AE376" s="3291"/>
      <c r="AF376" s="3290"/>
      <c r="AI376" s="3120" t="str">
        <f>"2B:serteikyo_kyoka_code:" &amp; IF(I376="■",1,IF(L376="■",6,IF(O376="■",5,IF(R376="■",7,0))))</f>
        <v>2B:serteikyo_kyoka_code:0</v>
      </c>
    </row>
    <row r="377" spans="1:36" ht="18.75" customHeight="1" x14ac:dyDescent="0.2">
      <c r="A377" s="834"/>
      <c r="B377" s="3148"/>
      <c r="C377" s="3147"/>
      <c r="D377" s="3146"/>
      <c r="E377" s="3175"/>
      <c r="F377" s="3146"/>
      <c r="G377" s="3145"/>
      <c r="H377" s="3170" t="s">
        <v>2058</v>
      </c>
      <c r="I377" s="3346" t="s">
        <v>116</v>
      </c>
      <c r="J377" s="3347" t="s">
        <v>1230</v>
      </c>
      <c r="K377" s="3347"/>
      <c r="L377" s="3346" t="s">
        <v>116</v>
      </c>
      <c r="M377" s="3347" t="s">
        <v>1233</v>
      </c>
      <c r="N377" s="3347"/>
      <c r="O377" s="3167"/>
      <c r="P377" s="3167"/>
      <c r="Q377" s="3167"/>
      <c r="R377" s="3167"/>
      <c r="S377" s="3167"/>
      <c r="T377" s="3167"/>
      <c r="U377" s="3167"/>
      <c r="V377" s="3167"/>
      <c r="W377" s="3167"/>
      <c r="X377" s="3166"/>
      <c r="Y377" s="3293"/>
      <c r="Z377" s="1201"/>
      <c r="AA377" s="1201"/>
      <c r="AB377" s="1202"/>
      <c r="AC377" s="3292"/>
      <c r="AD377" s="3291"/>
      <c r="AE377" s="3291"/>
      <c r="AF377" s="3290"/>
      <c r="AI377" s="3120" t="str">
        <f>"2B:field221:" &amp; IF(I377="■",1,IF(L377="■",2,0))</f>
        <v>2B:field221:0</v>
      </c>
    </row>
    <row r="378" spans="1:36" ht="18.75" customHeight="1" x14ac:dyDescent="0.2">
      <c r="A378" s="834"/>
      <c r="B378" s="3148"/>
      <c r="C378" s="3147"/>
      <c r="D378" s="3146"/>
      <c r="E378" s="3175"/>
      <c r="F378" s="3146"/>
      <c r="G378" s="3145"/>
      <c r="H378" s="3165"/>
      <c r="I378" s="3346"/>
      <c r="J378" s="3347"/>
      <c r="K378" s="3347"/>
      <c r="L378" s="3346"/>
      <c r="M378" s="3347"/>
      <c r="N378" s="3347"/>
      <c r="O378" s="3162"/>
      <c r="P378" s="3162"/>
      <c r="Q378" s="3162"/>
      <c r="R378" s="3162"/>
      <c r="S378" s="3162"/>
      <c r="T378" s="3162"/>
      <c r="U378" s="3162"/>
      <c r="V378" s="3162"/>
      <c r="W378" s="3162"/>
      <c r="X378" s="3161"/>
      <c r="Y378" s="3293"/>
      <c r="Z378" s="1201"/>
      <c r="AA378" s="1201"/>
      <c r="AB378" s="1202"/>
      <c r="AC378" s="3292"/>
      <c r="AD378" s="3291"/>
      <c r="AE378" s="3291"/>
      <c r="AF378" s="3290"/>
    </row>
    <row r="379" spans="1:36" ht="18.75" customHeight="1" x14ac:dyDescent="0.2">
      <c r="A379" s="835"/>
      <c r="B379" s="3148"/>
      <c r="C379" s="3134"/>
      <c r="D379" s="3133"/>
      <c r="E379" s="3132"/>
      <c r="F379" s="3131"/>
      <c r="G379" s="3189"/>
      <c r="H379" s="3289" t="s">
        <v>2129</v>
      </c>
      <c r="I379" s="3303" t="s">
        <v>116</v>
      </c>
      <c r="J379" s="3285" t="s">
        <v>1230</v>
      </c>
      <c r="K379" s="3285"/>
      <c r="L379" s="3127" t="s">
        <v>116</v>
      </c>
      <c r="M379" s="3285" t="s">
        <v>2128</v>
      </c>
      <c r="N379" s="3288"/>
      <c r="O379" s="3127" t="s">
        <v>116</v>
      </c>
      <c r="P379" s="3287" t="s">
        <v>2127</v>
      </c>
      <c r="Q379" s="3286"/>
      <c r="R379" s="3127" t="s">
        <v>116</v>
      </c>
      <c r="S379" s="3285" t="s">
        <v>2126</v>
      </c>
      <c r="T379" s="3286"/>
      <c r="U379" s="3127" t="s">
        <v>116</v>
      </c>
      <c r="V379" s="3285" t="s">
        <v>2125</v>
      </c>
      <c r="W379" s="3284"/>
      <c r="X379" s="3283"/>
      <c r="Y379" s="3282"/>
      <c r="Z379" s="3282"/>
      <c r="AA379" s="3282"/>
      <c r="AB379" s="3281"/>
      <c r="AC379" s="3292"/>
      <c r="AD379" s="3291"/>
      <c r="AE379" s="3291"/>
      <c r="AF379" s="3290"/>
      <c r="AG379" s="3120"/>
      <c r="AH379" s="3120"/>
      <c r="AI379" s="3120" t="str">
        <f>"2B:shoguukaizen_code:"&amp;IF(I379="■",1,IF(L379="■",7,IF(O379="■",8,IF(R379="■",9,IF(U379="■","A",0)))))</f>
        <v>2B:shoguukaizen_code:0</v>
      </c>
    </row>
    <row r="380" spans="1:36" ht="18.75" customHeight="1" x14ac:dyDescent="0.2">
      <c r="A380" s="3188"/>
      <c r="B380" s="3187"/>
      <c r="C380" s="3229"/>
      <c r="D380" s="3228"/>
      <c r="E380" s="3183"/>
      <c r="F380" s="3228"/>
      <c r="G380" s="3185"/>
      <c r="H380" s="3265" t="s">
        <v>1286</v>
      </c>
      <c r="I380" s="3303" t="s">
        <v>116</v>
      </c>
      <c r="J380" s="3252" t="s">
        <v>1282</v>
      </c>
      <c r="K380" s="3311"/>
      <c r="L380" s="3386"/>
      <c r="M380" s="3310" t="s">
        <v>116</v>
      </c>
      <c r="N380" s="3252" t="s">
        <v>1289</v>
      </c>
      <c r="O380" s="3309"/>
      <c r="P380" s="3309"/>
      <c r="Q380" s="3310" t="s">
        <v>116</v>
      </c>
      <c r="R380" s="3252" t="s">
        <v>1290</v>
      </c>
      <c r="S380" s="3309"/>
      <c r="T380" s="3309"/>
      <c r="U380" s="3310" t="s">
        <v>116</v>
      </c>
      <c r="V380" s="3252" t="s">
        <v>1291</v>
      </c>
      <c r="W380" s="3309"/>
      <c r="X380" s="3266"/>
      <c r="Y380" s="3253" t="s">
        <v>116</v>
      </c>
      <c r="Z380" s="3252" t="s">
        <v>1225</v>
      </c>
      <c r="AA380" s="3252"/>
      <c r="AB380" s="3308"/>
      <c r="AC380" s="3307"/>
      <c r="AD380" s="3306"/>
      <c r="AE380" s="3306"/>
      <c r="AF380" s="3305"/>
      <c r="AG380" s="3120" t="str">
        <f>"ser_code = '" &amp; IF(A389="■","2B","") &amp; "'"</f>
        <v>ser_code = ''</v>
      </c>
      <c r="AH380" s="3120" t="str">
        <f>"2B:jininkbn_code:"&amp;IF(F389="■",2,0)</f>
        <v>2B:jininkbn_code:0</v>
      </c>
      <c r="AI380" s="3120" t="str">
        <f>"2B:yakan_kinmu_code:" &amp; IF(I380="■",1,IF(M380="■",2,IF(Q380="■",3,IF(U380="■",7,IF(I381="■",5,IF(M381="■",6,0))))))</f>
        <v>2B:yakan_kinmu_code:0</v>
      </c>
      <c r="AJ380" s="3120" t="str">
        <f>"2B:field203:" &amp; IF(Y380="■",1,IF(Y381="■",2,0))</f>
        <v>2B:field203:0</v>
      </c>
    </row>
    <row r="381" spans="1:36" ht="18.75" customHeight="1" x14ac:dyDescent="0.2">
      <c r="A381" s="834"/>
      <c r="B381" s="3148"/>
      <c r="C381" s="3147"/>
      <c r="D381" s="3146"/>
      <c r="E381" s="3175"/>
      <c r="F381" s="3146"/>
      <c r="G381" s="3145"/>
      <c r="H381" s="3300"/>
      <c r="I381" s="3158" t="s">
        <v>116</v>
      </c>
      <c r="J381" s="3139" t="s">
        <v>1292</v>
      </c>
      <c r="K381" s="3138"/>
      <c r="L381" s="3385"/>
      <c r="M381" s="3140" t="s">
        <v>116</v>
      </c>
      <c r="N381" s="3139" t="s">
        <v>1283</v>
      </c>
      <c r="O381" s="3162"/>
      <c r="P381" s="3162"/>
      <c r="Q381" s="3162"/>
      <c r="R381" s="3162"/>
      <c r="S381" s="3162"/>
      <c r="T381" s="3162"/>
      <c r="U381" s="3162"/>
      <c r="V381" s="3162"/>
      <c r="W381" s="3162"/>
      <c r="X381" s="3161"/>
      <c r="Y381" s="3258" t="s">
        <v>116</v>
      </c>
      <c r="Z381" s="1200" t="s">
        <v>1226</v>
      </c>
      <c r="AA381" s="1201"/>
      <c r="AB381" s="1202"/>
      <c r="AC381" s="3292"/>
      <c r="AD381" s="3291"/>
      <c r="AE381" s="3291"/>
      <c r="AF381" s="3290"/>
      <c r="AG381" s="3120" t="str">
        <f>"2B:sisetukbn_code:"&amp;IF(D389="■","3",0)</f>
        <v>2B:sisetukbn_code:0</v>
      </c>
      <c r="AH381" s="3120"/>
      <c r="AI381" s="3120"/>
      <c r="AJ381" s="3120"/>
    </row>
    <row r="382" spans="1:36" ht="18.75" customHeight="1" x14ac:dyDescent="0.2">
      <c r="A382" s="834"/>
      <c r="B382" s="3148"/>
      <c r="C382" s="3147"/>
      <c r="D382" s="3146"/>
      <c r="E382" s="3175"/>
      <c r="F382" s="3146"/>
      <c r="G382" s="3145"/>
      <c r="H382" s="3304" t="s">
        <v>90</v>
      </c>
      <c r="I382" s="3303" t="s">
        <v>116</v>
      </c>
      <c r="J382" s="3302" t="s">
        <v>1230</v>
      </c>
      <c r="K382" s="3302"/>
      <c r="L382" s="3316"/>
      <c r="M382" s="3301" t="s">
        <v>116</v>
      </c>
      <c r="N382" s="3302" t="s">
        <v>1262</v>
      </c>
      <c r="O382" s="3302"/>
      <c r="P382" s="3316"/>
      <c r="Q382" s="3301" t="s">
        <v>116</v>
      </c>
      <c r="R382" s="3167" t="s">
        <v>1302</v>
      </c>
      <c r="S382" s="3167"/>
      <c r="T382" s="3167"/>
      <c r="U382" s="3209"/>
      <c r="V382" s="3316"/>
      <c r="W382" s="3167"/>
      <c r="X382" s="3208"/>
      <c r="Y382" s="3293"/>
      <c r="Z382" s="1201"/>
      <c r="AA382" s="1201"/>
      <c r="AB382" s="1202"/>
      <c r="AC382" s="3292"/>
      <c r="AD382" s="3291"/>
      <c r="AE382" s="3291"/>
      <c r="AF382" s="3290"/>
      <c r="AG382" s="3120"/>
      <c r="AH382" s="3120"/>
      <c r="AI382" s="3120" t="str">
        <f>"2B:"&amp;IF(AND(I382="□",M382="□",Q382="□",I383="□",M383="□"),"ketu_doctor_code:0",IF(I382="■","ketu_doctor_code:1:field197:1:ketu_kangos_code:1:ketu_kshoku_code:1",IF(M382="■","ketu_doctor_code:2","ketu_doctor_code:1")
&amp;IF(Q382="■",":field197:2",":field197:1")
&amp;IF(I383="■",":ketu_kangos_code:2",":ketu_kangos_code:1")
&amp;IF(M383="■",":ketu_kshoku_code:2",":ketu_kshoku_code:1")))</f>
        <v>2B:ketu_doctor_code:0</v>
      </c>
      <c r="AJ382" s="3120"/>
    </row>
    <row r="383" spans="1:36" ht="18.75" customHeight="1" x14ac:dyDescent="0.2">
      <c r="A383" s="834"/>
      <c r="B383" s="3148"/>
      <c r="C383" s="3147"/>
      <c r="D383" s="3146"/>
      <c r="E383" s="3175"/>
      <c r="F383" s="3146"/>
      <c r="G383" s="3145"/>
      <c r="H383" s="3300"/>
      <c r="I383" s="3158" t="s">
        <v>116</v>
      </c>
      <c r="J383" s="3162" t="s">
        <v>1303</v>
      </c>
      <c r="K383" s="3162"/>
      <c r="L383" s="3162"/>
      <c r="M383" s="3140" t="s">
        <v>116</v>
      </c>
      <c r="N383" s="3162" t="s">
        <v>1304</v>
      </c>
      <c r="O383" s="3385"/>
      <c r="P383" s="3162"/>
      <c r="Q383" s="3162"/>
      <c r="R383" s="3385"/>
      <c r="S383" s="3162"/>
      <c r="T383" s="3162"/>
      <c r="U383" s="3207"/>
      <c r="V383" s="3385"/>
      <c r="W383" s="3162"/>
      <c r="X383" s="3206"/>
      <c r="Y383" s="3293"/>
      <c r="Z383" s="1201"/>
      <c r="AA383" s="1201"/>
      <c r="AB383" s="1202"/>
      <c r="AC383" s="3292"/>
      <c r="AD383" s="3291"/>
      <c r="AE383" s="3291"/>
      <c r="AF383" s="3290"/>
    </row>
    <row r="384" spans="1:36" s="3120" customFormat="1" ht="18.75" customHeight="1" x14ac:dyDescent="0.2">
      <c r="A384" s="834"/>
      <c r="B384" s="3148"/>
      <c r="C384" s="3295"/>
      <c r="D384" s="3294"/>
      <c r="E384" s="3145"/>
      <c r="F384" s="3144"/>
      <c r="G384" s="3175"/>
      <c r="H384" s="3381" t="s">
        <v>1325</v>
      </c>
      <c r="I384" s="3222" t="s">
        <v>116</v>
      </c>
      <c r="J384" s="3217" t="s">
        <v>1228</v>
      </c>
      <c r="K384" s="3221"/>
      <c r="L384" s="3220"/>
      <c r="M384" s="3219" t="s">
        <v>116</v>
      </c>
      <c r="N384" s="3217" t="s">
        <v>1322</v>
      </c>
      <c r="O384" s="3221"/>
      <c r="P384" s="3380"/>
      <c r="Q384" s="3380"/>
      <c r="R384" s="3380"/>
      <c r="S384" s="3380"/>
      <c r="T384" s="3380"/>
      <c r="U384" s="3380"/>
      <c r="V384" s="3380"/>
      <c r="W384" s="3380"/>
      <c r="X384" s="3379"/>
      <c r="Y384" s="3293"/>
      <c r="Z384" s="1201"/>
      <c r="AA384" s="1201"/>
      <c r="AB384" s="1202"/>
      <c r="AC384" s="3292"/>
      <c r="AD384" s="3291"/>
      <c r="AE384" s="3291"/>
      <c r="AF384" s="3290"/>
      <c r="AI384" s="3120" t="str">
        <f>"2B:sintaikousoku_code:" &amp; IF(I384="■",1,IF(M384="■",2,0))</f>
        <v>2B:sintaikousoku_code:0</v>
      </c>
    </row>
    <row r="385" spans="1:36" ht="19.5" customHeight="1" x14ac:dyDescent="0.2">
      <c r="A385" s="834"/>
      <c r="B385" s="3148"/>
      <c r="C385" s="3147"/>
      <c r="D385" s="3146"/>
      <c r="E385" s="3145"/>
      <c r="F385" s="3144"/>
      <c r="G385" s="3175"/>
      <c r="H385" s="3174" t="s">
        <v>1227</v>
      </c>
      <c r="I385" s="3303" t="s">
        <v>116</v>
      </c>
      <c r="J385" s="3137" t="s">
        <v>1228</v>
      </c>
      <c r="K385" s="3171"/>
      <c r="L385" s="3173"/>
      <c r="M385" s="3154" t="s">
        <v>116</v>
      </c>
      <c r="N385" s="3137" t="s">
        <v>1229</v>
      </c>
      <c r="O385" s="3150"/>
      <c r="P385" s="3137"/>
      <c r="Q385" s="3150"/>
      <c r="R385" s="3150"/>
      <c r="S385" s="3150"/>
      <c r="T385" s="3150"/>
      <c r="U385" s="3150"/>
      <c r="V385" s="3150"/>
      <c r="W385" s="3150"/>
      <c r="X385" s="3149"/>
      <c r="Y385" s="1201"/>
      <c r="Z385" s="1201"/>
      <c r="AA385" s="1201"/>
      <c r="AB385" s="1202"/>
      <c r="AC385" s="3292"/>
      <c r="AD385" s="3291"/>
      <c r="AE385" s="3291"/>
      <c r="AF385" s="3290"/>
      <c r="AI385" s="3120" t="str">
        <f>"2B:field223:" &amp; IF(I385="■",1,IF(M385="■",2,0))</f>
        <v>2B:field223:0</v>
      </c>
    </row>
    <row r="386" spans="1:36" ht="19.5" customHeight="1" x14ac:dyDescent="0.2">
      <c r="A386" s="834"/>
      <c r="B386" s="3148"/>
      <c r="C386" s="3147"/>
      <c r="D386" s="3146"/>
      <c r="E386" s="3145"/>
      <c r="F386" s="3144"/>
      <c r="G386" s="3175"/>
      <c r="H386" s="3174" t="s">
        <v>1253</v>
      </c>
      <c r="I386" s="3303" t="s">
        <v>116</v>
      </c>
      <c r="J386" s="3137" t="s">
        <v>1228</v>
      </c>
      <c r="K386" s="3171"/>
      <c r="L386" s="3173"/>
      <c r="M386" s="3154" t="s">
        <v>116</v>
      </c>
      <c r="N386" s="3137" t="s">
        <v>1229</v>
      </c>
      <c r="O386" s="3150"/>
      <c r="P386" s="3137"/>
      <c r="Q386" s="3150"/>
      <c r="R386" s="3150"/>
      <c r="S386" s="3150"/>
      <c r="T386" s="3150"/>
      <c r="U386" s="3150"/>
      <c r="V386" s="3150"/>
      <c r="W386" s="3150"/>
      <c r="X386" s="3149"/>
      <c r="Y386" s="1201"/>
      <c r="Z386" s="1201"/>
      <c r="AA386" s="1201"/>
      <c r="AB386" s="1202"/>
      <c r="AC386" s="3292"/>
      <c r="AD386" s="3291"/>
      <c r="AE386" s="3291"/>
      <c r="AF386" s="3290"/>
      <c r="AI386" s="3120" t="str">
        <f>"2B:field232:" &amp; IF(I386="■",1,IF(M386="■",2,0))</f>
        <v>2B:field232:0</v>
      </c>
    </row>
    <row r="387" spans="1:36" ht="18.75" customHeight="1" x14ac:dyDescent="0.2">
      <c r="A387" s="834"/>
      <c r="B387" s="3148"/>
      <c r="C387" s="3147"/>
      <c r="D387" s="3146"/>
      <c r="E387" s="3175"/>
      <c r="F387" s="3146"/>
      <c r="G387" s="3145"/>
      <c r="H387" s="3151" t="s">
        <v>236</v>
      </c>
      <c r="I387" s="3303" t="s">
        <v>116</v>
      </c>
      <c r="J387" s="3137" t="s">
        <v>1282</v>
      </c>
      <c r="K387" s="3171"/>
      <c r="L387" s="3173"/>
      <c r="M387" s="3154" t="s">
        <v>116</v>
      </c>
      <c r="N387" s="3137" t="s">
        <v>1293</v>
      </c>
      <c r="O387" s="3150"/>
      <c r="P387" s="3150"/>
      <c r="Q387" s="3150"/>
      <c r="R387" s="3150"/>
      <c r="S387" s="3150"/>
      <c r="T387" s="3150"/>
      <c r="U387" s="3150"/>
      <c r="V387" s="3150"/>
      <c r="W387" s="3150"/>
      <c r="X387" s="3149"/>
      <c r="Y387" s="3293"/>
      <c r="Z387" s="1201"/>
      <c r="AA387" s="1201"/>
      <c r="AB387" s="1202"/>
      <c r="AC387" s="3292"/>
      <c r="AD387" s="3291"/>
      <c r="AE387" s="3291"/>
      <c r="AF387" s="3290"/>
      <c r="AI387" s="3120" t="str">
        <f>"2B:field190:" &amp; IF(I387="■",1,IF(M387="■",2,0))</f>
        <v>2B:field190:0</v>
      </c>
    </row>
    <row r="388" spans="1:36" ht="18.75" customHeight="1" x14ac:dyDescent="0.2">
      <c r="A388" s="834"/>
      <c r="B388" s="3148"/>
      <c r="C388" s="3147"/>
      <c r="D388" s="3146"/>
      <c r="E388" s="3175"/>
      <c r="F388" s="3146"/>
      <c r="G388" s="3145"/>
      <c r="H388" s="3151" t="s">
        <v>1305</v>
      </c>
      <c r="I388" s="3303" t="s">
        <v>116</v>
      </c>
      <c r="J388" s="3137" t="s">
        <v>1282</v>
      </c>
      <c r="K388" s="3171"/>
      <c r="L388" s="3173"/>
      <c r="M388" s="3154" t="s">
        <v>116</v>
      </c>
      <c r="N388" s="3137" t="s">
        <v>1293</v>
      </c>
      <c r="O388" s="3150"/>
      <c r="P388" s="3150"/>
      <c r="Q388" s="3150"/>
      <c r="R388" s="3150"/>
      <c r="S388" s="3150"/>
      <c r="T388" s="3150"/>
      <c r="U388" s="3150"/>
      <c r="V388" s="3150"/>
      <c r="W388" s="3150"/>
      <c r="X388" s="3149"/>
      <c r="Y388" s="3293"/>
      <c r="Z388" s="1201"/>
      <c r="AA388" s="1201"/>
      <c r="AB388" s="1202"/>
      <c r="AC388" s="3292"/>
      <c r="AD388" s="3291"/>
      <c r="AE388" s="3291"/>
      <c r="AF388" s="3290"/>
      <c r="AI388" s="3120" t="str">
        <f>"2B:field191:" &amp; IF(I388="■",1,IF(M388="■",2,0))</f>
        <v>2B:field191:0</v>
      </c>
    </row>
    <row r="389" spans="1:36" s="1247" customFormat="1" ht="19.5" customHeight="1" x14ac:dyDescent="0.2">
      <c r="A389" s="3158" t="s">
        <v>116</v>
      </c>
      <c r="B389" s="3148" t="s">
        <v>572</v>
      </c>
      <c r="C389" s="3147" t="s">
        <v>641</v>
      </c>
      <c r="D389" s="3158" t="s">
        <v>116</v>
      </c>
      <c r="E389" s="3175" t="s">
        <v>1355</v>
      </c>
      <c r="F389" s="3158" t="s">
        <v>116</v>
      </c>
      <c r="G389" s="3145" t="s">
        <v>1301</v>
      </c>
      <c r="H389" s="3324" t="s">
        <v>2133</v>
      </c>
      <c r="I389" s="3501" t="s">
        <v>116</v>
      </c>
      <c r="J389" s="3320" t="s">
        <v>2131</v>
      </c>
      <c r="K389" s="3323"/>
      <c r="L389" s="3322"/>
      <c r="M389" s="3500" t="s">
        <v>116</v>
      </c>
      <c r="N389" s="3320" t="s">
        <v>2130</v>
      </c>
      <c r="O389" s="3321"/>
      <c r="P389" s="3320"/>
      <c r="Q389" s="3319"/>
      <c r="R389" s="3319"/>
      <c r="S389" s="3319"/>
      <c r="T389" s="3319"/>
      <c r="U389" s="3319"/>
      <c r="V389" s="3319"/>
      <c r="W389" s="3319"/>
      <c r="X389" s="3318"/>
      <c r="Y389" s="1248"/>
      <c r="Z389" s="2"/>
      <c r="AA389" s="584"/>
      <c r="AB389" s="585"/>
      <c r="AC389" s="3292"/>
      <c r="AD389" s="3291"/>
      <c r="AE389" s="3291"/>
      <c r="AF389" s="3290"/>
      <c r="AI389" s="3120" t="str">
        <f>"2B:field242:" &amp; IF(I389="■",1,IF(M389="■",2,0))</f>
        <v>2B:field242:0</v>
      </c>
    </row>
    <row r="390" spans="1:36" ht="18.75" customHeight="1" x14ac:dyDescent="0.2">
      <c r="A390" s="3146"/>
      <c r="B390" s="3148"/>
      <c r="C390" s="3147"/>
      <c r="D390" s="3146"/>
      <c r="E390" s="3175"/>
      <c r="F390" s="3146"/>
      <c r="G390" s="3145"/>
      <c r="H390" s="3151" t="s">
        <v>1348</v>
      </c>
      <c r="I390" s="3303" t="s">
        <v>116</v>
      </c>
      <c r="J390" s="3137" t="s">
        <v>1230</v>
      </c>
      <c r="K390" s="3171"/>
      <c r="L390" s="3154" t="s">
        <v>116</v>
      </c>
      <c r="M390" s="3137" t="s">
        <v>1233</v>
      </c>
      <c r="N390" s="3150"/>
      <c r="O390" s="3150"/>
      <c r="P390" s="3150"/>
      <c r="Q390" s="3150"/>
      <c r="R390" s="3150"/>
      <c r="S390" s="3150"/>
      <c r="T390" s="3150"/>
      <c r="U390" s="3150"/>
      <c r="V390" s="3150"/>
      <c r="W390" s="3150"/>
      <c r="X390" s="3149"/>
      <c r="Y390" s="3293"/>
      <c r="Z390" s="1201"/>
      <c r="AA390" s="1201"/>
      <c r="AB390" s="1202"/>
      <c r="AC390" s="3292"/>
      <c r="AD390" s="3291"/>
      <c r="AE390" s="3291"/>
      <c r="AF390" s="3290"/>
      <c r="AI390" s="3120" t="str">
        <f>"2B:jyakuninti_uke_code:" &amp; IF(I390="■",1,IF(L390="■",2,0))</f>
        <v>2B:jyakuninti_uke_code:0</v>
      </c>
    </row>
    <row r="391" spans="1:36" ht="18.75" customHeight="1" x14ac:dyDescent="0.2">
      <c r="A391" s="3146"/>
      <c r="B391" s="3148"/>
      <c r="C391" s="3147"/>
      <c r="D391" s="3146"/>
      <c r="E391" s="3175"/>
      <c r="F391" s="3146"/>
      <c r="G391" s="3145"/>
      <c r="H391" s="3151" t="s">
        <v>1284</v>
      </c>
      <c r="I391" s="3303" t="s">
        <v>116</v>
      </c>
      <c r="J391" s="3137" t="s">
        <v>1240</v>
      </c>
      <c r="K391" s="3171"/>
      <c r="L391" s="3173"/>
      <c r="M391" s="3154" t="s">
        <v>116</v>
      </c>
      <c r="N391" s="3137" t="s">
        <v>1241</v>
      </c>
      <c r="O391" s="3150"/>
      <c r="P391" s="3150"/>
      <c r="Q391" s="3150"/>
      <c r="R391" s="3150"/>
      <c r="S391" s="3150"/>
      <c r="T391" s="3150"/>
      <c r="U391" s="3150"/>
      <c r="V391" s="3150"/>
      <c r="W391" s="3150"/>
      <c r="X391" s="3149"/>
      <c r="Y391" s="3293"/>
      <c r="Z391" s="1201"/>
      <c r="AA391" s="1201"/>
      <c r="AB391" s="1202"/>
      <c r="AC391" s="3292"/>
      <c r="AD391" s="3291"/>
      <c r="AE391" s="3291"/>
      <c r="AF391" s="3290"/>
      <c r="AI391" s="3120" t="str">
        <f>"2B:sougei_code:" &amp; IF(I391="■",1,IF(M391="■",2,0))</f>
        <v>2B:sougei_code:0</v>
      </c>
    </row>
    <row r="392" spans="1:36" ht="19.5" customHeight="1" x14ac:dyDescent="0.2">
      <c r="A392" s="834"/>
      <c r="B392" s="3148"/>
      <c r="C392" s="3147"/>
      <c r="D392" s="3146"/>
      <c r="E392" s="3175"/>
      <c r="F392" s="3146"/>
      <c r="G392" s="3145"/>
      <c r="H392" s="3174" t="s">
        <v>1236</v>
      </c>
      <c r="I392" s="3303" t="s">
        <v>116</v>
      </c>
      <c r="J392" s="3137" t="s">
        <v>1230</v>
      </c>
      <c r="K392" s="3137"/>
      <c r="L392" s="3154" t="s">
        <v>116</v>
      </c>
      <c r="M392" s="3137" t="s">
        <v>1233</v>
      </c>
      <c r="N392" s="3137"/>
      <c r="O392" s="3150"/>
      <c r="P392" s="3137"/>
      <c r="Q392" s="3150"/>
      <c r="R392" s="3150"/>
      <c r="S392" s="3150"/>
      <c r="T392" s="3150"/>
      <c r="U392" s="3150"/>
      <c r="V392" s="3150"/>
      <c r="W392" s="3150"/>
      <c r="X392" s="3149"/>
      <c r="Y392" s="1201"/>
      <c r="Z392" s="1201"/>
      <c r="AA392" s="1201"/>
      <c r="AB392" s="1202"/>
      <c r="AC392" s="3292"/>
      <c r="AD392" s="3291"/>
      <c r="AE392" s="3291"/>
      <c r="AF392" s="3290"/>
      <c r="AI392" s="3120" t="str">
        <f>"2B:field224:" &amp; IF(I392="■",1,IF(L392="■",2,0))</f>
        <v>2B:field224:0</v>
      </c>
    </row>
    <row r="393" spans="1:36" ht="18.75" customHeight="1" x14ac:dyDescent="0.2">
      <c r="A393" s="834"/>
      <c r="B393" s="3148"/>
      <c r="C393" s="3147"/>
      <c r="D393" s="3146"/>
      <c r="E393" s="3175"/>
      <c r="F393" s="3146"/>
      <c r="G393" s="3145"/>
      <c r="H393" s="3151" t="s">
        <v>140</v>
      </c>
      <c r="I393" s="3303" t="s">
        <v>116</v>
      </c>
      <c r="J393" s="3137" t="s">
        <v>1230</v>
      </c>
      <c r="K393" s="3171"/>
      <c r="L393" s="3154" t="s">
        <v>116</v>
      </c>
      <c r="M393" s="3137" t="s">
        <v>1233</v>
      </c>
      <c r="N393" s="3150"/>
      <c r="O393" s="3150"/>
      <c r="P393" s="3150"/>
      <c r="Q393" s="3150"/>
      <c r="R393" s="3150"/>
      <c r="S393" s="3150"/>
      <c r="T393" s="3150"/>
      <c r="U393" s="3150"/>
      <c r="V393" s="3150"/>
      <c r="W393" s="3150"/>
      <c r="X393" s="3149"/>
      <c r="Y393" s="3293"/>
      <c r="Z393" s="1201"/>
      <c r="AA393" s="1201"/>
      <c r="AB393" s="1202"/>
      <c r="AC393" s="3292"/>
      <c r="AD393" s="3291"/>
      <c r="AE393" s="3291"/>
      <c r="AF393" s="3290"/>
      <c r="AI393" s="3120" t="str">
        <f>"2B:ryouyoushoku_code:" &amp; IF(I393="■",1,IF(L393="■",2,0))</f>
        <v>2B:ryouyoushoku_code:0</v>
      </c>
    </row>
    <row r="394" spans="1:36" ht="18.75" customHeight="1" x14ac:dyDescent="0.2">
      <c r="A394" s="834"/>
      <c r="B394" s="3148"/>
      <c r="C394" s="3147"/>
      <c r="D394" s="3146"/>
      <c r="E394" s="3175"/>
      <c r="F394" s="3146"/>
      <c r="G394" s="3145"/>
      <c r="H394" s="3151" t="s">
        <v>1237</v>
      </c>
      <c r="I394" s="3303" t="s">
        <v>116</v>
      </c>
      <c r="J394" s="3137" t="s">
        <v>1230</v>
      </c>
      <c r="K394" s="3137"/>
      <c r="L394" s="3154" t="s">
        <v>116</v>
      </c>
      <c r="M394" s="3137" t="s">
        <v>1231</v>
      </c>
      <c r="N394" s="3137"/>
      <c r="O394" s="3154" t="s">
        <v>116</v>
      </c>
      <c r="P394" s="3137" t="s">
        <v>1232</v>
      </c>
      <c r="Q394" s="3150"/>
      <c r="R394" s="3150"/>
      <c r="S394" s="3150"/>
      <c r="T394" s="3150"/>
      <c r="U394" s="3150"/>
      <c r="V394" s="3150"/>
      <c r="W394" s="3150"/>
      <c r="X394" s="3149"/>
      <c r="Y394" s="3293"/>
      <c r="Z394" s="1201"/>
      <c r="AA394" s="1201"/>
      <c r="AB394" s="1202"/>
      <c r="AC394" s="3292"/>
      <c r="AD394" s="3291"/>
      <c r="AE394" s="3291"/>
      <c r="AF394" s="3290"/>
      <c r="AI394" s="3120" t="str">
        <f>"2B:ninti_senmoncare_code:" &amp; IF(I394="■",1,IF(O394="■",3,IF(L394="■",2,0)))</f>
        <v>2B:ninti_senmoncare_code:0</v>
      </c>
    </row>
    <row r="395" spans="1:36" ht="18.75" customHeight="1" x14ac:dyDescent="0.2">
      <c r="A395" s="3146"/>
      <c r="B395" s="3148"/>
      <c r="C395" s="3147"/>
      <c r="D395" s="3146"/>
      <c r="E395" s="3175"/>
      <c r="F395" s="3146"/>
      <c r="G395" s="3145"/>
      <c r="H395" s="3296" t="s">
        <v>1285</v>
      </c>
      <c r="I395" s="3303" t="s">
        <v>116</v>
      </c>
      <c r="J395" s="3137" t="s">
        <v>1230</v>
      </c>
      <c r="K395" s="3137"/>
      <c r="L395" s="3154" t="s">
        <v>116</v>
      </c>
      <c r="M395" s="3137" t="s">
        <v>1231</v>
      </c>
      <c r="N395" s="3137"/>
      <c r="O395" s="3154" t="s">
        <v>116</v>
      </c>
      <c r="P395" s="3137" t="s">
        <v>1232</v>
      </c>
      <c r="Q395" s="3150"/>
      <c r="R395" s="3150"/>
      <c r="S395" s="3150"/>
      <c r="T395" s="3150"/>
      <c r="U395" s="3209"/>
      <c r="V395" s="3209"/>
      <c r="W395" s="3209"/>
      <c r="X395" s="3208"/>
      <c r="Y395" s="3293"/>
      <c r="Z395" s="1201"/>
      <c r="AA395" s="1201"/>
      <c r="AB395" s="1202"/>
      <c r="AC395" s="3292"/>
      <c r="AD395" s="3291"/>
      <c r="AE395" s="3291"/>
      <c r="AF395" s="3290"/>
      <c r="AI395" s="3120" t="str">
        <f>"2B:field225:" &amp; IF(I395="■",1,IF(L395="■",2,IF(O395="■",3,0)))</f>
        <v>2B:field225:0</v>
      </c>
    </row>
    <row r="396" spans="1:36" ht="18.75" customHeight="1" x14ac:dyDescent="0.2">
      <c r="A396" s="834"/>
      <c r="B396" s="3148"/>
      <c r="C396" s="3147"/>
      <c r="D396" s="3146"/>
      <c r="E396" s="3175"/>
      <c r="F396" s="3146"/>
      <c r="G396" s="3145"/>
      <c r="H396" s="3151" t="s">
        <v>238</v>
      </c>
      <c r="I396" s="3303" t="s">
        <v>116</v>
      </c>
      <c r="J396" s="3137" t="s">
        <v>1230</v>
      </c>
      <c r="K396" s="3137"/>
      <c r="L396" s="3154" t="s">
        <v>116</v>
      </c>
      <c r="M396" s="3137" t="s">
        <v>1259</v>
      </c>
      <c r="N396" s="3137"/>
      <c r="O396" s="3154" t="s">
        <v>116</v>
      </c>
      <c r="P396" s="3137" t="s">
        <v>1260</v>
      </c>
      <c r="Q396" s="3153"/>
      <c r="R396" s="3154" t="s">
        <v>116</v>
      </c>
      <c r="S396" s="3137" t="s">
        <v>1261</v>
      </c>
      <c r="T396" s="3153"/>
      <c r="U396" s="3153"/>
      <c r="V396" s="3153"/>
      <c r="W396" s="3153"/>
      <c r="X396" s="3152"/>
      <c r="Y396" s="3293"/>
      <c r="Z396" s="1201"/>
      <c r="AA396" s="1201"/>
      <c r="AB396" s="1202"/>
      <c r="AC396" s="3292"/>
      <c r="AD396" s="3291"/>
      <c r="AE396" s="3291"/>
      <c r="AF396" s="3290"/>
      <c r="AI396" s="3120" t="str">
        <f>"2B:serteikyo_kyoka_code:" &amp; IF(I396="■",1,IF(L396="■",6,IF(O396="■",5,IF(R396="■",7,0))))</f>
        <v>2B:serteikyo_kyoka_code:0</v>
      </c>
    </row>
    <row r="397" spans="1:36" ht="18.75" customHeight="1" x14ac:dyDescent="0.2">
      <c r="A397" s="834"/>
      <c r="B397" s="3148"/>
      <c r="C397" s="3147"/>
      <c r="D397" s="3146"/>
      <c r="E397" s="3175"/>
      <c r="F397" s="3146"/>
      <c r="G397" s="3145"/>
      <c r="H397" s="3170" t="s">
        <v>2058</v>
      </c>
      <c r="I397" s="3346" t="s">
        <v>116</v>
      </c>
      <c r="J397" s="3347" t="s">
        <v>1230</v>
      </c>
      <c r="K397" s="3347"/>
      <c r="L397" s="3346" t="s">
        <v>116</v>
      </c>
      <c r="M397" s="3347" t="s">
        <v>1233</v>
      </c>
      <c r="N397" s="3347"/>
      <c r="O397" s="3167"/>
      <c r="P397" s="3167"/>
      <c r="Q397" s="3167"/>
      <c r="R397" s="3167"/>
      <c r="S397" s="3167"/>
      <c r="T397" s="3167"/>
      <c r="U397" s="3167"/>
      <c r="V397" s="3167"/>
      <c r="W397" s="3167"/>
      <c r="X397" s="3166"/>
      <c r="Y397" s="3293"/>
      <c r="Z397" s="1201"/>
      <c r="AA397" s="1201"/>
      <c r="AB397" s="1202"/>
      <c r="AC397" s="3292"/>
      <c r="AD397" s="3291"/>
      <c r="AE397" s="3291"/>
      <c r="AF397" s="3290"/>
      <c r="AI397" s="3120" t="str">
        <f>"2B:field221:" &amp; IF(I397="■",1,IF(L397="■",2,0))</f>
        <v>2B:field221:0</v>
      </c>
    </row>
    <row r="398" spans="1:36" ht="18.75" customHeight="1" x14ac:dyDescent="0.2">
      <c r="A398" s="834"/>
      <c r="B398" s="3148"/>
      <c r="C398" s="3147"/>
      <c r="D398" s="3146"/>
      <c r="E398" s="3175"/>
      <c r="F398" s="3146"/>
      <c r="G398" s="3145"/>
      <c r="H398" s="3165"/>
      <c r="I398" s="3346"/>
      <c r="J398" s="3347"/>
      <c r="K398" s="3347"/>
      <c r="L398" s="3346"/>
      <c r="M398" s="3347"/>
      <c r="N398" s="3347"/>
      <c r="O398" s="3162"/>
      <c r="P398" s="3162"/>
      <c r="Q398" s="3162"/>
      <c r="R398" s="3162"/>
      <c r="S398" s="3162"/>
      <c r="T398" s="3162"/>
      <c r="U398" s="3162"/>
      <c r="V398" s="3162"/>
      <c r="W398" s="3162"/>
      <c r="X398" s="3161"/>
      <c r="Y398" s="3293"/>
      <c r="Z398" s="1201"/>
      <c r="AA398" s="1201"/>
      <c r="AB398" s="1202"/>
      <c r="AC398" s="3292"/>
      <c r="AD398" s="3291"/>
      <c r="AE398" s="3291"/>
      <c r="AF398" s="3290"/>
    </row>
    <row r="399" spans="1:36" ht="18.75" customHeight="1" x14ac:dyDescent="0.2">
      <c r="A399" s="835"/>
      <c r="B399" s="3135"/>
      <c r="C399" s="3134"/>
      <c r="D399" s="3133"/>
      <c r="E399" s="3132"/>
      <c r="F399" s="3131"/>
      <c r="G399" s="3189"/>
      <c r="H399" s="3289" t="s">
        <v>2129</v>
      </c>
      <c r="I399" s="3128" t="s">
        <v>116</v>
      </c>
      <c r="J399" s="3285" t="s">
        <v>1230</v>
      </c>
      <c r="K399" s="3285"/>
      <c r="L399" s="3127" t="s">
        <v>116</v>
      </c>
      <c r="M399" s="3285" t="s">
        <v>2128</v>
      </c>
      <c r="N399" s="3288"/>
      <c r="O399" s="3127" t="s">
        <v>116</v>
      </c>
      <c r="P399" s="3287" t="s">
        <v>2127</v>
      </c>
      <c r="Q399" s="3286"/>
      <c r="R399" s="3127" t="s">
        <v>116</v>
      </c>
      <c r="S399" s="3285" t="s">
        <v>2126</v>
      </c>
      <c r="T399" s="3286"/>
      <c r="U399" s="3127" t="s">
        <v>116</v>
      </c>
      <c r="V399" s="3285" t="s">
        <v>2125</v>
      </c>
      <c r="W399" s="3284"/>
      <c r="X399" s="3283"/>
      <c r="Y399" s="3282"/>
      <c r="Z399" s="3282"/>
      <c r="AA399" s="3282"/>
      <c r="AB399" s="3281"/>
      <c r="AC399" s="3280"/>
      <c r="AD399" s="3279"/>
      <c r="AE399" s="3279"/>
      <c r="AF399" s="3278"/>
      <c r="AG399" s="3120"/>
      <c r="AH399" s="3120"/>
      <c r="AI399" s="3120" t="str">
        <f>"2B:shoguukaizen_code:"&amp;IF(I399="■",1,IF(L399="■",7,IF(O399="■",8,IF(R399="■",9,IF(U399="■","A",0)))))</f>
        <v>2B:shoguukaizen_code:0</v>
      </c>
    </row>
    <row r="400" spans="1:36" ht="18.75" customHeight="1" x14ac:dyDescent="0.2">
      <c r="A400" s="3188"/>
      <c r="B400" s="3187"/>
      <c r="C400" s="3229"/>
      <c r="D400" s="3228"/>
      <c r="E400" s="3185"/>
      <c r="F400" s="3184"/>
      <c r="G400" s="3185"/>
      <c r="H400" s="3265" t="s">
        <v>1286</v>
      </c>
      <c r="I400" s="3253" t="s">
        <v>116</v>
      </c>
      <c r="J400" s="3252" t="s">
        <v>1282</v>
      </c>
      <c r="K400" s="3311"/>
      <c r="L400" s="3386"/>
      <c r="M400" s="3310" t="s">
        <v>116</v>
      </c>
      <c r="N400" s="3252" t="s">
        <v>1289</v>
      </c>
      <c r="O400" s="3309"/>
      <c r="P400" s="3309"/>
      <c r="Q400" s="3310" t="s">
        <v>116</v>
      </c>
      <c r="R400" s="3252" t="s">
        <v>1290</v>
      </c>
      <c r="S400" s="3309"/>
      <c r="T400" s="3309"/>
      <c r="U400" s="3310" t="s">
        <v>116</v>
      </c>
      <c r="V400" s="3252" t="s">
        <v>1291</v>
      </c>
      <c r="W400" s="3309"/>
      <c r="X400" s="3266"/>
      <c r="Y400" s="3310" t="s">
        <v>116</v>
      </c>
      <c r="Z400" s="3252" t="s">
        <v>1225</v>
      </c>
      <c r="AA400" s="3252"/>
      <c r="AB400" s="3308"/>
      <c r="AC400" s="3307"/>
      <c r="AD400" s="3306"/>
      <c r="AE400" s="3306"/>
      <c r="AF400" s="3305"/>
      <c r="AG400" s="3120" t="str">
        <f>"ser_code = '" &amp; IF(A411="■","2B","") &amp; "'"</f>
        <v>ser_code = ''</v>
      </c>
      <c r="AH400" s="3120" t="str">
        <f>"2B:jininkbn_code:"&amp;IF(F411="■",1,IF(F412="■",2,0))</f>
        <v>2B:jininkbn_code:0</v>
      </c>
      <c r="AI400" s="3120" t="str">
        <f>"2B:yakan_kinmu_code:" &amp; IF(I400="■",1,IF(M400="■",2,IF(Q400="■",3,IF(U400="■",7,IF(I401="■",5,IF(M401="■",6,0))))))</f>
        <v>2B:yakan_kinmu_code:0</v>
      </c>
      <c r="AJ400" s="3120" t="str">
        <f>"2B:field203:" &amp; IF(Y400="■",1,IF(Y401="■",2,0))</f>
        <v>2B:field203:0</v>
      </c>
    </row>
    <row r="401" spans="1:36" ht="18.75" customHeight="1" x14ac:dyDescent="0.2">
      <c r="A401" s="834"/>
      <c r="B401" s="3148"/>
      <c r="C401" s="3147"/>
      <c r="D401" s="3146"/>
      <c r="E401" s="3145"/>
      <c r="F401" s="3144"/>
      <c r="G401" s="3145"/>
      <c r="H401" s="3300"/>
      <c r="I401" s="3158" t="s">
        <v>116</v>
      </c>
      <c r="J401" s="3139" t="s">
        <v>1292</v>
      </c>
      <c r="K401" s="3138"/>
      <c r="L401" s="3385"/>
      <c r="M401" s="3140" t="s">
        <v>116</v>
      </c>
      <c r="N401" s="3139" t="s">
        <v>1283</v>
      </c>
      <c r="O401" s="3162"/>
      <c r="P401" s="3162"/>
      <c r="Q401" s="3162"/>
      <c r="R401" s="3162"/>
      <c r="S401" s="3162"/>
      <c r="T401" s="3162"/>
      <c r="U401" s="3162"/>
      <c r="V401" s="3162"/>
      <c r="W401" s="3162"/>
      <c r="X401" s="3161"/>
      <c r="Y401" s="3258" t="s">
        <v>116</v>
      </c>
      <c r="Z401" s="1200" t="s">
        <v>1226</v>
      </c>
      <c r="AA401" s="1201"/>
      <c r="AB401" s="1202"/>
      <c r="AC401" s="3292"/>
      <c r="AD401" s="3291"/>
      <c r="AE401" s="3291"/>
      <c r="AF401" s="3290"/>
      <c r="AG401" s="3120" t="str">
        <f>"2B:sisetukbn_code:"&amp;IF(D411="■","4",0)</f>
        <v>2B:sisetukbn_code:0</v>
      </c>
      <c r="AH401" s="3120"/>
      <c r="AI401" s="3120"/>
      <c r="AJ401" s="3120"/>
    </row>
    <row r="402" spans="1:36" ht="18.75" customHeight="1" x14ac:dyDescent="0.2">
      <c r="A402" s="834"/>
      <c r="B402" s="3148"/>
      <c r="C402" s="3147"/>
      <c r="D402" s="3146"/>
      <c r="E402" s="3145"/>
      <c r="F402" s="3144"/>
      <c r="G402" s="3145"/>
      <c r="H402" s="3304" t="s">
        <v>90</v>
      </c>
      <c r="I402" s="3303" t="s">
        <v>116</v>
      </c>
      <c r="J402" s="3302" t="s">
        <v>1230</v>
      </c>
      <c r="K402" s="3302"/>
      <c r="L402" s="3316"/>
      <c r="M402" s="3301" t="s">
        <v>116</v>
      </c>
      <c r="N402" s="3302" t="s">
        <v>1262</v>
      </c>
      <c r="O402" s="3302"/>
      <c r="P402" s="3316"/>
      <c r="Q402" s="3301" t="s">
        <v>116</v>
      </c>
      <c r="R402" s="3167" t="s">
        <v>1302</v>
      </c>
      <c r="S402" s="3167"/>
      <c r="T402" s="3167"/>
      <c r="U402" s="3209"/>
      <c r="V402" s="3316"/>
      <c r="W402" s="3167"/>
      <c r="X402" s="3208"/>
      <c r="Y402" s="3293"/>
      <c r="Z402" s="1201"/>
      <c r="AA402" s="1201"/>
      <c r="AB402" s="1202"/>
      <c r="AC402" s="3292"/>
      <c r="AD402" s="3291"/>
      <c r="AE402" s="3291"/>
      <c r="AF402" s="3290"/>
      <c r="AI402" s="3120" t="str">
        <f>"2B:"&amp;IF(AND(I402="□",M402="□",Q402="□",I403="□",M403="□"),"ketu_doctor_code:0",IF(I402="■","ketu_doctor_code:1:field197:1:ketu_kangos_code:1:ketu_kshoku_code:1",IF(M402="■","ketu_doctor_code:2","ketu_doctor_code:1")
&amp;IF(Q402="■",":field197:2",":field197:1")
&amp;IF(I403="■",":ketu_kangos_code:2",":ketu_kangos_code:1")
&amp;IF(M403="■",":ketu_kshoku_code:2",":ketu_kshoku_code:1")))</f>
        <v>2B:ketu_doctor_code:0</v>
      </c>
    </row>
    <row r="403" spans="1:36" ht="18.75" customHeight="1" x14ac:dyDescent="0.2">
      <c r="A403" s="834"/>
      <c r="B403" s="3148"/>
      <c r="C403" s="3147"/>
      <c r="D403" s="3146"/>
      <c r="E403" s="3145"/>
      <c r="F403" s="3144"/>
      <c r="G403" s="3145"/>
      <c r="H403" s="3300"/>
      <c r="I403" s="3158" t="s">
        <v>116</v>
      </c>
      <c r="J403" s="3162" t="s">
        <v>1303</v>
      </c>
      <c r="K403" s="3162"/>
      <c r="L403" s="3162"/>
      <c r="M403" s="3140" t="s">
        <v>116</v>
      </c>
      <c r="N403" s="3162" t="s">
        <v>1304</v>
      </c>
      <c r="O403" s="3385"/>
      <c r="P403" s="3162"/>
      <c r="Q403" s="3162"/>
      <c r="R403" s="3385"/>
      <c r="S403" s="3162"/>
      <c r="T403" s="3162"/>
      <c r="U403" s="3207"/>
      <c r="V403" s="3385"/>
      <c r="W403" s="3162"/>
      <c r="X403" s="3206"/>
      <c r="Y403" s="3293"/>
      <c r="Z403" s="1201"/>
      <c r="AA403" s="1201"/>
      <c r="AB403" s="1202"/>
      <c r="AC403" s="3292"/>
      <c r="AD403" s="3291"/>
      <c r="AE403" s="3291"/>
      <c r="AF403" s="3290"/>
      <c r="AI403" s="3120"/>
    </row>
    <row r="404" spans="1:36" ht="18.75" customHeight="1" x14ac:dyDescent="0.2">
      <c r="A404" s="834"/>
      <c r="B404" s="3148"/>
      <c r="C404" s="3147"/>
      <c r="D404" s="3146"/>
      <c r="E404" s="3145"/>
      <c r="F404" s="3144"/>
      <c r="G404" s="3145"/>
      <c r="H404" s="3151" t="s">
        <v>91</v>
      </c>
      <c r="I404" s="3303" t="s">
        <v>116</v>
      </c>
      <c r="J404" s="3137" t="s">
        <v>1240</v>
      </c>
      <c r="K404" s="3171"/>
      <c r="L404" s="3173"/>
      <c r="M404" s="3154" t="s">
        <v>116</v>
      </c>
      <c r="N404" s="3137" t="s">
        <v>1241</v>
      </c>
      <c r="O404" s="3150"/>
      <c r="P404" s="3150"/>
      <c r="Q404" s="3150"/>
      <c r="R404" s="3150"/>
      <c r="S404" s="3150"/>
      <c r="T404" s="3150"/>
      <c r="U404" s="3150"/>
      <c r="V404" s="3150"/>
      <c r="W404" s="3150"/>
      <c r="X404" s="3149"/>
      <c r="Y404" s="3293"/>
      <c r="Z404" s="1201"/>
      <c r="AA404" s="1201"/>
      <c r="AB404" s="1202"/>
      <c r="AC404" s="3292"/>
      <c r="AD404" s="3291"/>
      <c r="AE404" s="3291"/>
      <c r="AF404" s="3290"/>
      <c r="AI404" s="3120" t="str">
        <f>"2B:unitcare_code:" &amp; IF(I404="■",1,IF(M404="■",2,0))</f>
        <v>2B:unitcare_code:0</v>
      </c>
    </row>
    <row r="405" spans="1:36" s="3120" customFormat="1" ht="18.75" customHeight="1" x14ac:dyDescent="0.2">
      <c r="A405" s="834"/>
      <c r="B405" s="3148"/>
      <c r="C405" s="3295"/>
      <c r="D405" s="3294"/>
      <c r="E405" s="3145"/>
      <c r="F405" s="3144"/>
      <c r="G405" s="3175"/>
      <c r="H405" s="3381" t="s">
        <v>1325</v>
      </c>
      <c r="I405" s="3222" t="s">
        <v>116</v>
      </c>
      <c r="J405" s="3217" t="s">
        <v>1228</v>
      </c>
      <c r="K405" s="3221"/>
      <c r="L405" s="3220"/>
      <c r="M405" s="3219" t="s">
        <v>116</v>
      </c>
      <c r="N405" s="3217" t="s">
        <v>1322</v>
      </c>
      <c r="O405" s="3221"/>
      <c r="P405" s="3380"/>
      <c r="Q405" s="3380"/>
      <c r="R405" s="3380"/>
      <c r="S405" s="3380"/>
      <c r="T405" s="3380"/>
      <c r="U405" s="3380"/>
      <c r="V405" s="3380"/>
      <c r="W405" s="3380"/>
      <c r="X405" s="3379"/>
      <c r="Y405" s="3293"/>
      <c r="Z405" s="1201"/>
      <c r="AA405" s="1201"/>
      <c r="AB405" s="1202"/>
      <c r="AC405" s="3292"/>
      <c r="AD405" s="3291"/>
      <c r="AE405" s="3291"/>
      <c r="AF405" s="3290"/>
      <c r="AI405" s="3120" t="str">
        <f>"2B:sintaikousoku_code:" &amp; IF(I405="■",1,IF(M405="■",2,0))</f>
        <v>2B:sintaikousoku_code:0</v>
      </c>
    </row>
    <row r="406" spans="1:36" ht="19.5" customHeight="1" x14ac:dyDescent="0.2">
      <c r="A406" s="834"/>
      <c r="B406" s="3148"/>
      <c r="C406" s="3147"/>
      <c r="D406" s="3146"/>
      <c r="E406" s="3145"/>
      <c r="F406" s="3144"/>
      <c r="G406" s="3175"/>
      <c r="H406" s="3174" t="s">
        <v>1227</v>
      </c>
      <c r="I406" s="3303" t="s">
        <v>116</v>
      </c>
      <c r="J406" s="3137" t="s">
        <v>1228</v>
      </c>
      <c r="K406" s="3171"/>
      <c r="L406" s="3173"/>
      <c r="M406" s="3154" t="s">
        <v>116</v>
      </c>
      <c r="N406" s="3137" t="s">
        <v>1229</v>
      </c>
      <c r="O406" s="3150"/>
      <c r="P406" s="3137"/>
      <c r="Q406" s="3150"/>
      <c r="R406" s="3150"/>
      <c r="S406" s="3150"/>
      <c r="T406" s="3150"/>
      <c r="U406" s="3150"/>
      <c r="V406" s="3150"/>
      <c r="W406" s="3150"/>
      <c r="X406" s="3149"/>
      <c r="Y406" s="1201"/>
      <c r="Z406" s="1201"/>
      <c r="AA406" s="1201"/>
      <c r="AB406" s="1202"/>
      <c r="AC406" s="3292"/>
      <c r="AD406" s="3291"/>
      <c r="AE406" s="3291"/>
      <c r="AF406" s="3290"/>
      <c r="AI406" s="3120" t="str">
        <f>"2B:field223:" &amp; IF(I406="■",1,IF(M406="■",2,0))</f>
        <v>2B:field223:0</v>
      </c>
    </row>
    <row r="407" spans="1:36" ht="19.5" customHeight="1" x14ac:dyDescent="0.2">
      <c r="A407" s="834"/>
      <c r="B407" s="3148"/>
      <c r="C407" s="3147"/>
      <c r="D407" s="3146"/>
      <c r="E407" s="3145"/>
      <c r="F407" s="3144"/>
      <c r="G407" s="3175"/>
      <c r="H407" s="3174" t="s">
        <v>1253</v>
      </c>
      <c r="I407" s="3303" t="s">
        <v>116</v>
      </c>
      <c r="J407" s="3137" t="s">
        <v>1228</v>
      </c>
      <c r="K407" s="3171"/>
      <c r="L407" s="3173"/>
      <c r="M407" s="3154" t="s">
        <v>116</v>
      </c>
      <c r="N407" s="3137" t="s">
        <v>1229</v>
      </c>
      <c r="O407" s="3150"/>
      <c r="P407" s="3137"/>
      <c r="Q407" s="3150"/>
      <c r="R407" s="3150"/>
      <c r="S407" s="3150"/>
      <c r="T407" s="3150"/>
      <c r="U407" s="3150"/>
      <c r="V407" s="3150"/>
      <c r="W407" s="3150"/>
      <c r="X407" s="3149"/>
      <c r="Y407" s="1201"/>
      <c r="Z407" s="1201"/>
      <c r="AA407" s="1201"/>
      <c r="AB407" s="1202"/>
      <c r="AC407" s="3292"/>
      <c r="AD407" s="3291"/>
      <c r="AE407" s="3291"/>
      <c r="AF407" s="3290"/>
      <c r="AI407" s="3120" t="str">
        <f>"2B:field232:" &amp; IF(I407="■",1,IF(M407="■",2,0))</f>
        <v>2B:field232:0</v>
      </c>
    </row>
    <row r="408" spans="1:36" ht="18.75" customHeight="1" x14ac:dyDescent="0.2">
      <c r="A408" s="834"/>
      <c r="B408" s="3148"/>
      <c r="C408" s="3147"/>
      <c r="D408" s="3146"/>
      <c r="E408" s="3145"/>
      <c r="F408" s="3144"/>
      <c r="G408" s="3145"/>
      <c r="H408" s="3151" t="s">
        <v>236</v>
      </c>
      <c r="I408" s="3303" t="s">
        <v>116</v>
      </c>
      <c r="J408" s="3137" t="s">
        <v>1282</v>
      </c>
      <c r="K408" s="3171"/>
      <c r="L408" s="3173"/>
      <c r="M408" s="3154" t="s">
        <v>116</v>
      </c>
      <c r="N408" s="3137" t="s">
        <v>1293</v>
      </c>
      <c r="O408" s="3150"/>
      <c r="P408" s="3150"/>
      <c r="Q408" s="3150"/>
      <c r="R408" s="3150"/>
      <c r="S408" s="3150"/>
      <c r="T408" s="3150"/>
      <c r="U408" s="3150"/>
      <c r="V408" s="3150"/>
      <c r="W408" s="3150"/>
      <c r="X408" s="3149"/>
      <c r="Y408" s="3293"/>
      <c r="Z408" s="1201"/>
      <c r="AA408" s="1201"/>
      <c r="AB408" s="1202"/>
      <c r="AC408" s="3292"/>
      <c r="AD408" s="3291"/>
      <c r="AE408" s="3291"/>
      <c r="AF408" s="3290"/>
      <c r="AI408" s="3120" t="str">
        <f>"2B:field190:" &amp; IF(I408="■",1,IF(M408="■",2,0))</f>
        <v>2B:field190:0</v>
      </c>
    </row>
    <row r="409" spans="1:36" ht="18.75" customHeight="1" x14ac:dyDescent="0.2">
      <c r="A409" s="834"/>
      <c r="B409" s="3148"/>
      <c r="C409" s="3147"/>
      <c r="D409" s="3146"/>
      <c r="E409" s="3145"/>
      <c r="F409" s="3144"/>
      <c r="G409" s="3145"/>
      <c r="H409" s="3151" t="s">
        <v>1305</v>
      </c>
      <c r="I409" s="3303" t="s">
        <v>116</v>
      </c>
      <c r="J409" s="3137" t="s">
        <v>1282</v>
      </c>
      <c r="K409" s="3171"/>
      <c r="L409" s="3173"/>
      <c r="M409" s="3154" t="s">
        <v>116</v>
      </c>
      <c r="N409" s="3137" t="s">
        <v>1293</v>
      </c>
      <c r="O409" s="3150"/>
      <c r="P409" s="3150"/>
      <c r="Q409" s="3150"/>
      <c r="R409" s="3150"/>
      <c r="S409" s="3150"/>
      <c r="T409" s="3150"/>
      <c r="U409" s="3150"/>
      <c r="V409" s="3150"/>
      <c r="W409" s="3150"/>
      <c r="X409" s="3149"/>
      <c r="Y409" s="3293"/>
      <c r="Z409" s="1201"/>
      <c r="AA409" s="1201"/>
      <c r="AB409" s="1202"/>
      <c r="AC409" s="3292"/>
      <c r="AD409" s="3291"/>
      <c r="AE409" s="3291"/>
      <c r="AF409" s="3290"/>
      <c r="AI409" s="3120" t="str">
        <f>"2B:field191:" &amp; IF(I409="■",1,IF(M409="■",2,0))</f>
        <v>2B:field191:0</v>
      </c>
    </row>
    <row r="410" spans="1:36" ht="18.75" customHeight="1" x14ac:dyDescent="0.2">
      <c r="A410" s="834"/>
      <c r="B410" s="3148"/>
      <c r="C410" s="3147"/>
      <c r="D410" s="3146"/>
      <c r="E410" s="3145"/>
      <c r="F410" s="3144"/>
      <c r="G410" s="3145"/>
      <c r="H410" s="3151" t="s">
        <v>1348</v>
      </c>
      <c r="I410" s="3303" t="s">
        <v>116</v>
      </c>
      <c r="J410" s="3137" t="s">
        <v>1230</v>
      </c>
      <c r="K410" s="3171"/>
      <c r="L410" s="3154" t="s">
        <v>116</v>
      </c>
      <c r="M410" s="3137" t="s">
        <v>1233</v>
      </c>
      <c r="N410" s="3150"/>
      <c r="O410" s="3150"/>
      <c r="P410" s="3150"/>
      <c r="Q410" s="3150"/>
      <c r="R410" s="3150"/>
      <c r="S410" s="3150"/>
      <c r="T410" s="3150"/>
      <c r="U410" s="3150"/>
      <c r="V410" s="3150"/>
      <c r="W410" s="3150"/>
      <c r="X410" s="3149"/>
      <c r="Y410" s="3293"/>
      <c r="Z410" s="1201"/>
      <c r="AA410" s="1201"/>
      <c r="AB410" s="1202"/>
      <c r="AC410" s="3292"/>
      <c r="AD410" s="3291"/>
      <c r="AE410" s="3291"/>
      <c r="AF410" s="3290"/>
      <c r="AI410" s="3120" t="str">
        <f>"2B:jyakuninti_uke_code:" &amp; IF(I410="■",1,IF(L410="■",2,0))</f>
        <v>2B:jyakuninti_uke_code:0</v>
      </c>
    </row>
    <row r="411" spans="1:36" ht="18.75" customHeight="1" x14ac:dyDescent="0.2">
      <c r="A411" s="3158" t="s">
        <v>116</v>
      </c>
      <c r="B411" s="3148" t="s">
        <v>572</v>
      </c>
      <c r="C411" s="3147" t="s">
        <v>641</v>
      </c>
      <c r="D411" s="3158" t="s">
        <v>116</v>
      </c>
      <c r="E411" s="3145" t="s">
        <v>1356</v>
      </c>
      <c r="F411" s="3158" t="s">
        <v>116</v>
      </c>
      <c r="G411" s="3145" t="s">
        <v>1307</v>
      </c>
      <c r="H411" s="3151" t="s">
        <v>1284</v>
      </c>
      <c r="I411" s="3303" t="s">
        <v>116</v>
      </c>
      <c r="J411" s="3137" t="s">
        <v>1240</v>
      </c>
      <c r="K411" s="3171"/>
      <c r="L411" s="3173"/>
      <c r="M411" s="3154" t="s">
        <v>116</v>
      </c>
      <c r="N411" s="3137" t="s">
        <v>1241</v>
      </c>
      <c r="O411" s="3150"/>
      <c r="P411" s="3150"/>
      <c r="Q411" s="3150"/>
      <c r="R411" s="3150"/>
      <c r="S411" s="3150"/>
      <c r="T411" s="3150"/>
      <c r="U411" s="3150"/>
      <c r="V411" s="3150"/>
      <c r="W411" s="3150"/>
      <c r="X411" s="3149"/>
      <c r="Y411" s="3293"/>
      <c r="Z411" s="1201"/>
      <c r="AA411" s="1201"/>
      <c r="AB411" s="1202"/>
      <c r="AC411" s="3292"/>
      <c r="AD411" s="3291"/>
      <c r="AE411" s="3291"/>
      <c r="AF411" s="3290"/>
      <c r="AI411" s="3120" t="str">
        <f>"2B:sougei_code:" &amp; IF(I411="■",1,IF(M411="■",2,0))</f>
        <v>2B:sougei_code:0</v>
      </c>
    </row>
    <row r="412" spans="1:36" ht="19.5" customHeight="1" x14ac:dyDescent="0.2">
      <c r="A412" s="834"/>
      <c r="B412" s="3148"/>
      <c r="C412" s="3147"/>
      <c r="D412" s="3146"/>
      <c r="E412" s="3145"/>
      <c r="F412" s="3158" t="s">
        <v>116</v>
      </c>
      <c r="G412" s="3145" t="s">
        <v>1309</v>
      </c>
      <c r="H412" s="3174" t="s">
        <v>1236</v>
      </c>
      <c r="I412" s="3303" t="s">
        <v>116</v>
      </c>
      <c r="J412" s="3137" t="s">
        <v>1230</v>
      </c>
      <c r="K412" s="3137"/>
      <c r="L412" s="3154" t="s">
        <v>116</v>
      </c>
      <c r="M412" s="3137" t="s">
        <v>1233</v>
      </c>
      <c r="N412" s="3137"/>
      <c r="O412" s="3150"/>
      <c r="P412" s="3137"/>
      <c r="Q412" s="3150"/>
      <c r="R412" s="3150"/>
      <c r="S412" s="3150"/>
      <c r="T412" s="3150"/>
      <c r="U412" s="3150"/>
      <c r="V412" s="3150"/>
      <c r="W412" s="3150"/>
      <c r="X412" s="3149"/>
      <c r="Y412" s="1201"/>
      <c r="Z412" s="1201"/>
      <c r="AA412" s="1201"/>
      <c r="AB412" s="1202"/>
      <c r="AC412" s="3292"/>
      <c r="AD412" s="3291"/>
      <c r="AE412" s="3291"/>
      <c r="AF412" s="3290"/>
      <c r="AI412" s="3120" t="str">
        <f>"2B:field224:" &amp; IF(I412="■",1,IF(L412="■",2,0))</f>
        <v>2B:field224:0</v>
      </c>
    </row>
    <row r="413" spans="1:36" ht="18.75" customHeight="1" x14ac:dyDescent="0.2">
      <c r="A413" s="834"/>
      <c r="B413" s="3148"/>
      <c r="C413" s="3147"/>
      <c r="D413" s="3146"/>
      <c r="E413" s="3145"/>
      <c r="F413" s="3144"/>
      <c r="G413" s="3145"/>
      <c r="H413" s="3151" t="s">
        <v>140</v>
      </c>
      <c r="I413" s="3303" t="s">
        <v>116</v>
      </c>
      <c r="J413" s="3137" t="s">
        <v>1230</v>
      </c>
      <c r="K413" s="3171"/>
      <c r="L413" s="3154" t="s">
        <v>116</v>
      </c>
      <c r="M413" s="3137" t="s">
        <v>1233</v>
      </c>
      <c r="N413" s="3150"/>
      <c r="O413" s="3150"/>
      <c r="P413" s="3150"/>
      <c r="Q413" s="3150"/>
      <c r="R413" s="3150"/>
      <c r="S413" s="3150"/>
      <c r="T413" s="3150"/>
      <c r="U413" s="3150"/>
      <c r="V413" s="3150"/>
      <c r="W413" s="3150"/>
      <c r="X413" s="3149"/>
      <c r="Y413" s="3293"/>
      <c r="Z413" s="1201"/>
      <c r="AA413" s="1201"/>
      <c r="AB413" s="1202"/>
      <c r="AC413" s="3292"/>
      <c r="AD413" s="3291"/>
      <c r="AE413" s="3291"/>
      <c r="AF413" s="3290"/>
      <c r="AI413" s="3120" t="str">
        <f>"2B:ryouyoushoku_code:" &amp; IF(I413="■",1,IF(L413="■",2,0))</f>
        <v>2B:ryouyoushoku_code:0</v>
      </c>
    </row>
    <row r="414" spans="1:36" ht="18.75" customHeight="1" x14ac:dyDescent="0.2">
      <c r="A414" s="834"/>
      <c r="B414" s="3148"/>
      <c r="C414" s="3147"/>
      <c r="D414" s="3146"/>
      <c r="E414" s="3145"/>
      <c r="F414" s="3144"/>
      <c r="G414" s="3145"/>
      <c r="H414" s="3151" t="s">
        <v>1237</v>
      </c>
      <c r="I414" s="3303" t="s">
        <v>116</v>
      </c>
      <c r="J414" s="3137" t="s">
        <v>1230</v>
      </c>
      <c r="K414" s="3137"/>
      <c r="L414" s="3154" t="s">
        <v>116</v>
      </c>
      <c r="M414" s="3137" t="s">
        <v>1231</v>
      </c>
      <c r="N414" s="3137"/>
      <c r="O414" s="3154" t="s">
        <v>116</v>
      </c>
      <c r="P414" s="3137" t="s">
        <v>1232</v>
      </c>
      <c r="Q414" s="3150"/>
      <c r="R414" s="3150"/>
      <c r="S414" s="3150"/>
      <c r="T414" s="3150"/>
      <c r="U414" s="3150"/>
      <c r="V414" s="3150"/>
      <c r="W414" s="3150"/>
      <c r="X414" s="3149"/>
      <c r="Y414" s="3293"/>
      <c r="Z414" s="1201"/>
      <c r="AA414" s="1201"/>
      <c r="AB414" s="1202"/>
      <c r="AC414" s="3292"/>
      <c r="AD414" s="3291"/>
      <c r="AE414" s="3291"/>
      <c r="AF414" s="3290"/>
      <c r="AI414" s="3120" t="str">
        <f>"2B:ninti_senmoncare_code:" &amp; IF(I414="■",1,IF(O414="■",3,IF(L414="■",2,0)))</f>
        <v>2B:ninti_senmoncare_code:0</v>
      </c>
    </row>
    <row r="415" spans="1:36" ht="18.75" customHeight="1" x14ac:dyDescent="0.2">
      <c r="A415" s="834"/>
      <c r="B415" s="3148"/>
      <c r="C415" s="3147"/>
      <c r="D415" s="3146"/>
      <c r="E415" s="3145"/>
      <c r="F415" s="3144"/>
      <c r="G415" s="3145"/>
      <c r="H415" s="3304" t="s">
        <v>1310</v>
      </c>
      <c r="I415" s="3303" t="s">
        <v>116</v>
      </c>
      <c r="J415" s="3302" t="s">
        <v>1287</v>
      </c>
      <c r="K415" s="3302"/>
      <c r="L415" s="3209"/>
      <c r="M415" s="3209"/>
      <c r="N415" s="3209"/>
      <c r="O415" s="3209"/>
      <c r="P415" s="3301" t="s">
        <v>116</v>
      </c>
      <c r="Q415" s="3302" t="s">
        <v>1288</v>
      </c>
      <c r="R415" s="3209"/>
      <c r="S415" s="3209"/>
      <c r="T415" s="3209"/>
      <c r="U415" s="3209"/>
      <c r="V415" s="3209"/>
      <c r="W415" s="3209"/>
      <c r="X415" s="3208"/>
      <c r="Y415" s="3293"/>
      <c r="Z415" s="1201"/>
      <c r="AA415" s="1201"/>
      <c r="AB415" s="1202"/>
      <c r="AC415" s="3292"/>
      <c r="AD415" s="3291"/>
      <c r="AE415" s="3291"/>
      <c r="AF415" s="3290"/>
      <c r="AI415" s="3120" t="str">
        <f>"2B:" &amp; IF(AND(I415="□",P415="□",I416="□"),"tokusin_jyusho_code:0:tokusin_yakuzai_code:0:shuudan_comu_code:0",IF(I415="■","tokusin_jyusho_code:2","tokusin_jyusho_code:1")
&amp;IF(P415="■",":tokusin_yakuzai_code:2",":tokusin_yakuzai_code:1")
&amp;IF(I416="■",":shuudan_comu_code:2",":shuudan_comu_code:1"))</f>
        <v>2B:tokusin_jyusho_code:0:tokusin_yakuzai_code:0:shuudan_comu_code:0</v>
      </c>
    </row>
    <row r="416" spans="1:36" ht="18.75" customHeight="1" x14ac:dyDescent="0.2">
      <c r="A416" s="834"/>
      <c r="B416" s="3148"/>
      <c r="C416" s="3147"/>
      <c r="D416" s="3146"/>
      <c r="E416" s="3145"/>
      <c r="F416" s="3144"/>
      <c r="G416" s="3145"/>
      <c r="H416" s="3300"/>
      <c r="I416" s="3158" t="s">
        <v>116</v>
      </c>
      <c r="J416" s="3139" t="s">
        <v>1294</v>
      </c>
      <c r="K416" s="3207"/>
      <c r="L416" s="3207"/>
      <c r="M416" s="3207"/>
      <c r="N416" s="3207"/>
      <c r="O416" s="3207"/>
      <c r="P416" s="3207"/>
      <c r="Q416" s="3162"/>
      <c r="R416" s="3207"/>
      <c r="S416" s="3207"/>
      <c r="T416" s="3207"/>
      <c r="U416" s="3207"/>
      <c r="V416" s="3207"/>
      <c r="W416" s="3207"/>
      <c r="X416" s="3206"/>
      <c r="Y416" s="3293"/>
      <c r="Z416" s="1201"/>
      <c r="AA416" s="1201"/>
      <c r="AB416" s="1202"/>
      <c r="AC416" s="3292"/>
      <c r="AD416" s="3291"/>
      <c r="AE416" s="3291"/>
      <c r="AF416" s="3290"/>
      <c r="AI416" s="3120"/>
    </row>
    <row r="417" spans="1:36" ht="18.75" customHeight="1" x14ac:dyDescent="0.2">
      <c r="A417" s="834"/>
      <c r="B417" s="3148"/>
      <c r="C417" s="3147"/>
      <c r="D417" s="3146"/>
      <c r="E417" s="3145"/>
      <c r="F417" s="3144"/>
      <c r="G417" s="3145"/>
      <c r="H417" s="3304" t="s">
        <v>1300</v>
      </c>
      <c r="I417" s="3303" t="s">
        <v>116</v>
      </c>
      <c r="J417" s="3302" t="s">
        <v>1295</v>
      </c>
      <c r="K417" s="3317"/>
      <c r="L417" s="3316"/>
      <c r="M417" s="3301" t="s">
        <v>116</v>
      </c>
      <c r="N417" s="3302" t="s">
        <v>1296</v>
      </c>
      <c r="O417" s="3209"/>
      <c r="P417" s="3209"/>
      <c r="Q417" s="3301" t="s">
        <v>116</v>
      </c>
      <c r="R417" s="3302" t="s">
        <v>1297</v>
      </c>
      <c r="S417" s="3209"/>
      <c r="T417" s="3209"/>
      <c r="U417" s="3209"/>
      <c r="V417" s="3209"/>
      <c r="W417" s="3209"/>
      <c r="X417" s="3208"/>
      <c r="Y417" s="3293"/>
      <c r="Z417" s="1201"/>
      <c r="AA417" s="1201"/>
      <c r="AB417" s="1202"/>
      <c r="AC417" s="3292"/>
      <c r="AD417" s="3291"/>
      <c r="AE417" s="3291"/>
      <c r="AF417" s="3290"/>
      <c r="AI417" s="3120" t="str">
        <f>"2B:"&amp;IF(AND(I417="□",M417="□",Q417="□",I418="□",Q418="□"),"koriha_rryoho1_code:0:koriha_sryoho_code:0:koriha_gengo_code:0:riha_seisin_code:0:koriha_other_code:0",IF(I417="■","koriha_rryoho1_code:2","koriha_rryoho1_code:1")
&amp;IF(M417="■",":koriha_sryoho_code:2",":koriha_sryoho_code:1")
&amp;IF(Q417="■",":koriha_gengo_code:2",":koriha_gengo_code:1")
&amp;IF(I418="■",":riha_seisin_code:2",":riha_seisin_code:1")
&amp;IF(Q418="■",":koriha_other_code:2",":koriha_other_code:1"))</f>
        <v>2B:koriha_rryoho1_code:0:koriha_sryoho_code:0:koriha_gengo_code:0:riha_seisin_code:0:koriha_other_code:0</v>
      </c>
    </row>
    <row r="418" spans="1:36" ht="18.75" customHeight="1" x14ac:dyDescent="0.2">
      <c r="A418" s="834"/>
      <c r="B418" s="3148"/>
      <c r="C418" s="3147"/>
      <c r="D418" s="3146"/>
      <c r="E418" s="3145"/>
      <c r="F418" s="3144"/>
      <c r="G418" s="3145"/>
      <c r="H418" s="3300"/>
      <c r="I418" s="3158" t="s">
        <v>116</v>
      </c>
      <c r="J418" s="3139" t="s">
        <v>1298</v>
      </c>
      <c r="K418" s="3207"/>
      <c r="L418" s="3207"/>
      <c r="M418" s="3207"/>
      <c r="N418" s="3207"/>
      <c r="O418" s="3207"/>
      <c r="P418" s="3207"/>
      <c r="Q418" s="3140" t="s">
        <v>116</v>
      </c>
      <c r="R418" s="3139" t="s">
        <v>1299</v>
      </c>
      <c r="S418" s="3162"/>
      <c r="T418" s="3207"/>
      <c r="U418" s="3207"/>
      <c r="V418" s="3207"/>
      <c r="W418" s="3207"/>
      <c r="X418" s="3206"/>
      <c r="Y418" s="3293"/>
      <c r="Z418" s="1201"/>
      <c r="AA418" s="1201"/>
      <c r="AB418" s="1202"/>
      <c r="AC418" s="3292"/>
      <c r="AD418" s="3291"/>
      <c r="AE418" s="3291"/>
      <c r="AF418" s="3290"/>
      <c r="AI418" s="3120"/>
    </row>
    <row r="419" spans="1:36" ht="18.75" customHeight="1" x14ac:dyDescent="0.2">
      <c r="A419" s="834"/>
      <c r="B419" s="3148"/>
      <c r="C419" s="3147"/>
      <c r="D419" s="3146"/>
      <c r="E419" s="3145"/>
      <c r="F419" s="3144"/>
      <c r="G419" s="3145"/>
      <c r="H419" s="3296" t="s">
        <v>1285</v>
      </c>
      <c r="I419" s="3303" t="s">
        <v>116</v>
      </c>
      <c r="J419" s="3137" t="s">
        <v>1230</v>
      </c>
      <c r="K419" s="3137"/>
      <c r="L419" s="3154" t="s">
        <v>116</v>
      </c>
      <c r="M419" s="3137" t="s">
        <v>1231</v>
      </c>
      <c r="N419" s="3137"/>
      <c r="O419" s="3154" t="s">
        <v>116</v>
      </c>
      <c r="P419" s="3137" t="s">
        <v>1232</v>
      </c>
      <c r="Q419" s="3150"/>
      <c r="R419" s="3150"/>
      <c r="S419" s="3150"/>
      <c r="T419" s="3150"/>
      <c r="U419" s="3209"/>
      <c r="V419" s="3209"/>
      <c r="W419" s="3209"/>
      <c r="X419" s="3208"/>
      <c r="Y419" s="3293"/>
      <c r="Z419" s="1201"/>
      <c r="AA419" s="1201"/>
      <c r="AB419" s="1202"/>
      <c r="AC419" s="3292"/>
      <c r="AD419" s="3291"/>
      <c r="AE419" s="3291"/>
      <c r="AF419" s="3290"/>
      <c r="AI419" s="3120" t="str">
        <f>"2B:field225:" &amp; IF(I419="■",1,IF(L419="■",2,IF(O419="■",3,0)))</f>
        <v>2B:field225:0</v>
      </c>
    </row>
    <row r="420" spans="1:36" ht="18.75" customHeight="1" x14ac:dyDescent="0.2">
      <c r="A420" s="834"/>
      <c r="B420" s="3148"/>
      <c r="C420" s="3147"/>
      <c r="D420" s="3146"/>
      <c r="E420" s="3145"/>
      <c r="F420" s="3144"/>
      <c r="G420" s="3145"/>
      <c r="H420" s="3151" t="s">
        <v>238</v>
      </c>
      <c r="I420" s="3303" t="s">
        <v>116</v>
      </c>
      <c r="J420" s="3137" t="s">
        <v>1230</v>
      </c>
      <c r="K420" s="3137"/>
      <c r="L420" s="3154" t="s">
        <v>116</v>
      </c>
      <c r="M420" s="3137" t="s">
        <v>1259</v>
      </c>
      <c r="N420" s="3137"/>
      <c r="O420" s="3154" t="s">
        <v>116</v>
      </c>
      <c r="P420" s="3137" t="s">
        <v>1260</v>
      </c>
      <c r="Q420" s="3153"/>
      <c r="R420" s="3154" t="s">
        <v>116</v>
      </c>
      <c r="S420" s="3137" t="s">
        <v>1261</v>
      </c>
      <c r="T420" s="3153"/>
      <c r="U420" s="3153"/>
      <c r="V420" s="3153"/>
      <c r="W420" s="3153"/>
      <c r="X420" s="3152"/>
      <c r="Y420" s="3293"/>
      <c r="Z420" s="1201"/>
      <c r="AA420" s="1201"/>
      <c r="AB420" s="1202"/>
      <c r="AC420" s="3292"/>
      <c r="AD420" s="3291"/>
      <c r="AE420" s="3291"/>
      <c r="AF420" s="3290"/>
      <c r="AI420" s="3120" t="str">
        <f>"2B:serteikyo_kyoka_code:" &amp; IF(I420="■",1,IF(L420="■",6,IF(O420="■",5,IF(R420="■",7,0))))</f>
        <v>2B:serteikyo_kyoka_code:0</v>
      </c>
    </row>
    <row r="421" spans="1:36" ht="18.75" customHeight="1" x14ac:dyDescent="0.2">
      <c r="A421" s="834"/>
      <c r="B421" s="3148"/>
      <c r="C421" s="3147"/>
      <c r="D421" s="3146"/>
      <c r="E421" s="3145"/>
      <c r="F421" s="3144"/>
      <c r="G421" s="3145"/>
      <c r="H421" s="3170" t="s">
        <v>2058</v>
      </c>
      <c r="I421" s="3346" t="s">
        <v>116</v>
      </c>
      <c r="J421" s="3347" t="s">
        <v>1230</v>
      </c>
      <c r="K421" s="3347"/>
      <c r="L421" s="3346" t="s">
        <v>116</v>
      </c>
      <c r="M421" s="3347" t="s">
        <v>1233</v>
      </c>
      <c r="N421" s="3347"/>
      <c r="O421" s="3167"/>
      <c r="P421" s="3167"/>
      <c r="Q421" s="3167"/>
      <c r="R421" s="3167"/>
      <c r="S421" s="3167"/>
      <c r="T421" s="3167"/>
      <c r="U421" s="3167"/>
      <c r="V421" s="3167"/>
      <c r="W421" s="3167"/>
      <c r="X421" s="3166"/>
      <c r="Y421" s="3293"/>
      <c r="Z421" s="1201"/>
      <c r="AA421" s="1201"/>
      <c r="AB421" s="1202"/>
      <c r="AC421" s="3292"/>
      <c r="AD421" s="3291"/>
      <c r="AE421" s="3291"/>
      <c r="AF421" s="3290"/>
      <c r="AI421" s="3120" t="str">
        <f>"2B:field221:" &amp; IF(I421="■",1,IF(L421="■",2,0))</f>
        <v>2B:field221:0</v>
      </c>
    </row>
    <row r="422" spans="1:36" ht="18.75" customHeight="1" x14ac:dyDescent="0.2">
      <c r="A422" s="834"/>
      <c r="B422" s="3148"/>
      <c r="C422" s="3147"/>
      <c r="D422" s="3146"/>
      <c r="E422" s="3145"/>
      <c r="F422" s="3144"/>
      <c r="G422" s="3145"/>
      <c r="H422" s="3165"/>
      <c r="I422" s="3346"/>
      <c r="J422" s="3347"/>
      <c r="K422" s="3347"/>
      <c r="L422" s="3346"/>
      <c r="M422" s="3347"/>
      <c r="N422" s="3347"/>
      <c r="O422" s="3162"/>
      <c r="P422" s="3162"/>
      <c r="Q422" s="3162"/>
      <c r="R422" s="3162"/>
      <c r="S422" s="3162"/>
      <c r="T422" s="3162"/>
      <c r="U422" s="3162"/>
      <c r="V422" s="3162"/>
      <c r="W422" s="3162"/>
      <c r="X422" s="3161"/>
      <c r="Y422" s="3293"/>
      <c r="Z422" s="1201"/>
      <c r="AA422" s="1201"/>
      <c r="AB422" s="1202"/>
      <c r="AC422" s="3292"/>
      <c r="AD422" s="3291"/>
      <c r="AE422" s="3291"/>
      <c r="AF422" s="3290"/>
    </row>
    <row r="423" spans="1:36" ht="18.75" customHeight="1" x14ac:dyDescent="0.2">
      <c r="A423" s="835"/>
      <c r="B423" s="3148"/>
      <c r="C423" s="3134"/>
      <c r="D423" s="3133"/>
      <c r="E423" s="3132"/>
      <c r="F423" s="3131"/>
      <c r="G423" s="3189"/>
      <c r="H423" s="3289" t="s">
        <v>2129</v>
      </c>
      <c r="I423" s="3303" t="s">
        <v>116</v>
      </c>
      <c r="J423" s="3285" t="s">
        <v>1230</v>
      </c>
      <c r="K423" s="3285"/>
      <c r="L423" s="3127" t="s">
        <v>116</v>
      </c>
      <c r="M423" s="3285" t="s">
        <v>2128</v>
      </c>
      <c r="N423" s="3288"/>
      <c r="O423" s="3127" t="s">
        <v>116</v>
      </c>
      <c r="P423" s="3287" t="s">
        <v>2127</v>
      </c>
      <c r="Q423" s="3286"/>
      <c r="R423" s="3127" t="s">
        <v>116</v>
      </c>
      <c r="S423" s="3285" t="s">
        <v>2126</v>
      </c>
      <c r="T423" s="3286"/>
      <c r="U423" s="3127" t="s">
        <v>116</v>
      </c>
      <c r="V423" s="3285" t="s">
        <v>2125</v>
      </c>
      <c r="W423" s="3284"/>
      <c r="X423" s="3283"/>
      <c r="Y423" s="3282"/>
      <c r="Z423" s="3282"/>
      <c r="AA423" s="3282"/>
      <c r="AB423" s="3281"/>
      <c r="AC423" s="3292"/>
      <c r="AD423" s="3291"/>
      <c r="AE423" s="3291"/>
      <c r="AF423" s="3290"/>
      <c r="AG423" s="3120"/>
      <c r="AH423" s="3120"/>
      <c r="AI423" s="3120" t="str">
        <f>"2B:shoguukaizen_code:"&amp;IF(I423="■",1,IF(L423="■",7,IF(O423="■",8,IF(R423="■",9,IF(U423="■","A",0)))))</f>
        <v>2B:shoguukaizen_code:0</v>
      </c>
    </row>
    <row r="424" spans="1:36" ht="18.75" customHeight="1" x14ac:dyDescent="0.2">
      <c r="A424" s="3188"/>
      <c r="B424" s="3187"/>
      <c r="C424" s="3229"/>
      <c r="D424" s="3228"/>
      <c r="E424" s="3185"/>
      <c r="F424" s="3184"/>
      <c r="G424" s="3185"/>
      <c r="H424" s="3265" t="s">
        <v>1286</v>
      </c>
      <c r="I424" s="3303" t="s">
        <v>116</v>
      </c>
      <c r="J424" s="3252" t="s">
        <v>1282</v>
      </c>
      <c r="K424" s="3311"/>
      <c r="L424" s="3386"/>
      <c r="M424" s="3310" t="s">
        <v>116</v>
      </c>
      <c r="N424" s="3252" t="s">
        <v>1289</v>
      </c>
      <c r="O424" s="3309"/>
      <c r="P424" s="3309"/>
      <c r="Q424" s="3310" t="s">
        <v>116</v>
      </c>
      <c r="R424" s="3252" t="s">
        <v>1290</v>
      </c>
      <c r="S424" s="3309"/>
      <c r="T424" s="3309"/>
      <c r="U424" s="3310" t="s">
        <v>116</v>
      </c>
      <c r="V424" s="3252" t="s">
        <v>1291</v>
      </c>
      <c r="W424" s="3309"/>
      <c r="X424" s="3266"/>
      <c r="Y424" s="3253" t="s">
        <v>116</v>
      </c>
      <c r="Z424" s="3252" t="s">
        <v>1225</v>
      </c>
      <c r="AA424" s="3252"/>
      <c r="AB424" s="3308"/>
      <c r="AC424" s="3307"/>
      <c r="AD424" s="3306"/>
      <c r="AE424" s="3306"/>
      <c r="AF424" s="3305"/>
      <c r="AG424" s="3120" t="str">
        <f>"ser_code = '" &amp; IF(A435="■","2B","") &amp; "'"</f>
        <v>ser_code = ''</v>
      </c>
      <c r="AH424" s="3120"/>
      <c r="AI424" s="3120" t="str">
        <f>"2B:yakan_kinmu_code:" &amp; IF(I424="■",1,IF(M424="■",2,IF(Q424="■",3,IF(U424="■",7,IF(I425="■",5,IF(M425="■",6,0))))))</f>
        <v>2B:yakan_kinmu_code:0</v>
      </c>
      <c r="AJ424" s="3120" t="str">
        <f>"2B:field203:" &amp; IF(Y424="■",1,IF(Y425="■",2,0))</f>
        <v>2B:field203:0</v>
      </c>
    </row>
    <row r="425" spans="1:36" ht="18.75" customHeight="1" x14ac:dyDescent="0.2">
      <c r="A425" s="834"/>
      <c r="B425" s="3148"/>
      <c r="C425" s="3147"/>
      <c r="D425" s="3146"/>
      <c r="E425" s="3145"/>
      <c r="F425" s="3144"/>
      <c r="G425" s="3145"/>
      <c r="H425" s="3300"/>
      <c r="I425" s="3158" t="s">
        <v>116</v>
      </c>
      <c r="J425" s="3139" t="s">
        <v>1292</v>
      </c>
      <c r="K425" s="3138"/>
      <c r="L425" s="3385"/>
      <c r="M425" s="3140" t="s">
        <v>116</v>
      </c>
      <c r="N425" s="3139" t="s">
        <v>1283</v>
      </c>
      <c r="O425" s="3162"/>
      <c r="P425" s="3162"/>
      <c r="Q425" s="3162"/>
      <c r="R425" s="3162"/>
      <c r="S425" s="3162"/>
      <c r="T425" s="3162"/>
      <c r="U425" s="3162"/>
      <c r="V425" s="3162"/>
      <c r="W425" s="3162"/>
      <c r="X425" s="3161"/>
      <c r="Y425" s="3258" t="s">
        <v>116</v>
      </c>
      <c r="Z425" s="1200" t="s">
        <v>1226</v>
      </c>
      <c r="AA425" s="1201"/>
      <c r="AB425" s="1202"/>
      <c r="AC425" s="3292"/>
      <c r="AD425" s="3291"/>
      <c r="AE425" s="3291"/>
      <c r="AF425" s="3290"/>
      <c r="AG425" s="3120" t="str">
        <f>"2B:sisetukbn_code:"&amp;IF(D435="■","5",0)</f>
        <v>2B:sisetukbn_code:0</v>
      </c>
      <c r="AH425" s="3120"/>
      <c r="AI425" s="3120"/>
      <c r="AJ425" s="3120"/>
    </row>
    <row r="426" spans="1:36" ht="18.75" customHeight="1" x14ac:dyDescent="0.2">
      <c r="A426" s="834"/>
      <c r="B426" s="3148"/>
      <c r="C426" s="3147"/>
      <c r="D426" s="3146"/>
      <c r="E426" s="3145"/>
      <c r="F426" s="3144"/>
      <c r="G426" s="3145"/>
      <c r="H426" s="3304" t="s">
        <v>235</v>
      </c>
      <c r="I426" s="3303" t="s">
        <v>116</v>
      </c>
      <c r="J426" s="3302" t="s">
        <v>1230</v>
      </c>
      <c r="K426" s="3302"/>
      <c r="L426" s="3316"/>
      <c r="M426" s="3301" t="s">
        <v>116</v>
      </c>
      <c r="N426" s="3302" t="s">
        <v>1262</v>
      </c>
      <c r="O426" s="3302"/>
      <c r="P426" s="3316"/>
      <c r="Q426" s="3301" t="s">
        <v>116</v>
      </c>
      <c r="R426" s="3167" t="s">
        <v>1302</v>
      </c>
      <c r="S426" s="3167"/>
      <c r="T426" s="3167"/>
      <c r="U426" s="3209"/>
      <c r="V426" s="3316"/>
      <c r="W426" s="3167"/>
      <c r="X426" s="3208"/>
      <c r="Y426" s="3293"/>
      <c r="Z426" s="1201"/>
      <c r="AA426" s="1201"/>
      <c r="AB426" s="1202"/>
      <c r="AC426" s="3292"/>
      <c r="AD426" s="3291"/>
      <c r="AE426" s="3291"/>
      <c r="AF426" s="3290"/>
      <c r="AG426" s="3120"/>
      <c r="AH426" s="3120"/>
      <c r="AI426" s="3120" t="str">
        <f>"2B:"&amp;IF(AND(I426="□",M426="□",Q426="□",I427="□",M427="□"),"ketu_doctor_code:0",IF(I426="■","ketu_doctor_code:1:field197:1:ketu_kangos_code:1:ketu_kshoku_code:1",IF(M426="■","ketu_doctor_code:2","ketu_doctor_code:1")
&amp;IF(Q426="■",":field197:2",":field197:1")
&amp;IF(I427="■",":ketu_kangos_code:2",":ketu_kangos_code:1")
&amp;IF(M427="■",":ketu_kshoku_code:2",":ketu_kshoku_code:1")))</f>
        <v>2B:ketu_doctor_code:0</v>
      </c>
      <c r="AJ426" s="3120"/>
    </row>
    <row r="427" spans="1:36" ht="18.75" customHeight="1" x14ac:dyDescent="0.2">
      <c r="A427" s="834"/>
      <c r="B427" s="3148"/>
      <c r="C427" s="3147"/>
      <c r="D427" s="3146"/>
      <c r="E427" s="3145"/>
      <c r="F427" s="3144"/>
      <c r="G427" s="3145"/>
      <c r="H427" s="3300"/>
      <c r="I427" s="3158" t="s">
        <v>116</v>
      </c>
      <c r="J427" s="3162" t="s">
        <v>1303</v>
      </c>
      <c r="K427" s="3162"/>
      <c r="L427" s="3162"/>
      <c r="M427" s="3140" t="s">
        <v>116</v>
      </c>
      <c r="N427" s="3162" t="s">
        <v>1304</v>
      </c>
      <c r="O427" s="3385"/>
      <c r="P427" s="3162"/>
      <c r="Q427" s="3162"/>
      <c r="R427" s="3385"/>
      <c r="S427" s="3162"/>
      <c r="T427" s="3162"/>
      <c r="U427" s="3207"/>
      <c r="V427" s="3385"/>
      <c r="W427" s="3162"/>
      <c r="X427" s="3206"/>
      <c r="Y427" s="3293"/>
      <c r="Z427" s="1201"/>
      <c r="AA427" s="1201"/>
      <c r="AB427" s="1202"/>
      <c r="AC427" s="3292"/>
      <c r="AD427" s="3291"/>
      <c r="AE427" s="3291"/>
      <c r="AF427" s="3290"/>
      <c r="AI427" s="3120"/>
    </row>
    <row r="428" spans="1:36" ht="18.75" customHeight="1" x14ac:dyDescent="0.2">
      <c r="A428" s="834"/>
      <c r="B428" s="3148"/>
      <c r="C428" s="3147"/>
      <c r="D428" s="3146"/>
      <c r="E428" s="3145"/>
      <c r="F428" s="3144"/>
      <c r="G428" s="3145"/>
      <c r="H428" s="3151" t="s">
        <v>91</v>
      </c>
      <c r="I428" s="3303" t="s">
        <v>116</v>
      </c>
      <c r="J428" s="3137" t="s">
        <v>1240</v>
      </c>
      <c r="K428" s="3171"/>
      <c r="L428" s="3173"/>
      <c r="M428" s="3154" t="s">
        <v>116</v>
      </c>
      <c r="N428" s="3137" t="s">
        <v>1241</v>
      </c>
      <c r="O428" s="3150"/>
      <c r="P428" s="3150"/>
      <c r="Q428" s="3150"/>
      <c r="R428" s="3150"/>
      <c r="S428" s="3150"/>
      <c r="T428" s="3150"/>
      <c r="U428" s="3150"/>
      <c r="V428" s="3150"/>
      <c r="W428" s="3150"/>
      <c r="X428" s="3149"/>
      <c r="Y428" s="3293"/>
      <c r="Z428" s="1201"/>
      <c r="AA428" s="1201"/>
      <c r="AB428" s="1202"/>
      <c r="AC428" s="3292"/>
      <c r="AD428" s="3291"/>
      <c r="AE428" s="3291"/>
      <c r="AF428" s="3290"/>
      <c r="AI428" s="3120" t="str">
        <f>"2B:unitcare_code:" &amp; IF(I428="■",1,IF(M428="■",2,0))</f>
        <v>2B:unitcare_code:0</v>
      </c>
    </row>
    <row r="429" spans="1:36" s="3120" customFormat="1" ht="18.75" customHeight="1" x14ac:dyDescent="0.2">
      <c r="A429" s="834"/>
      <c r="B429" s="3148"/>
      <c r="C429" s="3295"/>
      <c r="D429" s="3294"/>
      <c r="E429" s="3145"/>
      <c r="F429" s="3144"/>
      <c r="G429" s="3175"/>
      <c r="H429" s="3381" t="s">
        <v>1325</v>
      </c>
      <c r="I429" s="3222" t="s">
        <v>116</v>
      </c>
      <c r="J429" s="3217" t="s">
        <v>1228</v>
      </c>
      <c r="K429" s="3221"/>
      <c r="L429" s="3220"/>
      <c r="M429" s="3219" t="s">
        <v>116</v>
      </c>
      <c r="N429" s="3217" t="s">
        <v>1322</v>
      </c>
      <c r="O429" s="3221"/>
      <c r="P429" s="3380"/>
      <c r="Q429" s="3380"/>
      <c r="R429" s="3380"/>
      <c r="S429" s="3380"/>
      <c r="T429" s="3380"/>
      <c r="U429" s="3380"/>
      <c r="V429" s="3380"/>
      <c r="W429" s="3380"/>
      <c r="X429" s="3379"/>
      <c r="Y429" s="3293"/>
      <c r="Z429" s="1201"/>
      <c r="AA429" s="1201"/>
      <c r="AB429" s="1202"/>
      <c r="AC429" s="3292"/>
      <c r="AD429" s="3291"/>
      <c r="AE429" s="3291"/>
      <c r="AF429" s="3290"/>
      <c r="AI429" s="3120" t="str">
        <f>"2B:sintaikousoku_code:" &amp; IF(I429="■",1,IF(M429="■",2,0))</f>
        <v>2B:sintaikousoku_code:0</v>
      </c>
    </row>
    <row r="430" spans="1:36" ht="19.5" customHeight="1" x14ac:dyDescent="0.2">
      <c r="A430" s="834"/>
      <c r="B430" s="3148"/>
      <c r="C430" s="3147"/>
      <c r="D430" s="3146"/>
      <c r="E430" s="3145"/>
      <c r="F430" s="3144"/>
      <c r="G430" s="3175"/>
      <c r="H430" s="3174" t="s">
        <v>1227</v>
      </c>
      <c r="I430" s="3303" t="s">
        <v>116</v>
      </c>
      <c r="J430" s="3137" t="s">
        <v>1228</v>
      </c>
      <c r="K430" s="3171"/>
      <c r="L430" s="3173"/>
      <c r="M430" s="3154" t="s">
        <v>116</v>
      </c>
      <c r="N430" s="3137" t="s">
        <v>1229</v>
      </c>
      <c r="O430" s="3150"/>
      <c r="P430" s="3137"/>
      <c r="Q430" s="3150"/>
      <c r="R430" s="3150"/>
      <c r="S430" s="3150"/>
      <c r="T430" s="3150"/>
      <c r="U430" s="3150"/>
      <c r="V430" s="3150"/>
      <c r="W430" s="3150"/>
      <c r="X430" s="3149"/>
      <c r="Y430" s="1201"/>
      <c r="Z430" s="1201"/>
      <c r="AA430" s="1201"/>
      <c r="AB430" s="1202"/>
      <c r="AC430" s="3292"/>
      <c r="AD430" s="3291"/>
      <c r="AE430" s="3291"/>
      <c r="AF430" s="3290"/>
      <c r="AI430" s="3120" t="str">
        <f>"2B:field223:" &amp; IF(I430="■",1,IF(M430="■",2,0))</f>
        <v>2B:field223:0</v>
      </c>
    </row>
    <row r="431" spans="1:36" ht="19.5" customHeight="1" x14ac:dyDescent="0.2">
      <c r="A431" s="834"/>
      <c r="B431" s="3148"/>
      <c r="C431" s="3147"/>
      <c r="D431" s="3146"/>
      <c r="E431" s="3145"/>
      <c r="F431" s="3144"/>
      <c r="G431" s="3175"/>
      <c r="H431" s="3174" t="s">
        <v>1253</v>
      </c>
      <c r="I431" s="3303" t="s">
        <v>116</v>
      </c>
      <c r="J431" s="3137" t="s">
        <v>1228</v>
      </c>
      <c r="K431" s="3171"/>
      <c r="L431" s="3173"/>
      <c r="M431" s="3154" t="s">
        <v>116</v>
      </c>
      <c r="N431" s="3137" t="s">
        <v>1229</v>
      </c>
      <c r="O431" s="3150"/>
      <c r="P431" s="3137"/>
      <c r="Q431" s="3150"/>
      <c r="R431" s="3150"/>
      <c r="S431" s="3150"/>
      <c r="T431" s="3150"/>
      <c r="U431" s="3150"/>
      <c r="V431" s="3150"/>
      <c r="W431" s="3150"/>
      <c r="X431" s="3149"/>
      <c r="Y431" s="1201"/>
      <c r="Z431" s="1201"/>
      <c r="AA431" s="1201"/>
      <c r="AB431" s="1202"/>
      <c r="AC431" s="3292"/>
      <c r="AD431" s="3291"/>
      <c r="AE431" s="3291"/>
      <c r="AF431" s="3290"/>
      <c r="AI431" s="3120" t="str">
        <f>"2B:field232:" &amp; IF(I431="■",1,IF(M431="■",2,0))</f>
        <v>2B:field232:0</v>
      </c>
    </row>
    <row r="432" spans="1:36" ht="18.75" customHeight="1" x14ac:dyDescent="0.2">
      <c r="A432" s="834"/>
      <c r="B432" s="3148"/>
      <c r="C432" s="3147"/>
      <c r="D432" s="3146"/>
      <c r="E432" s="3145"/>
      <c r="F432" s="3144"/>
      <c r="G432" s="3145"/>
      <c r="H432" s="3151" t="s">
        <v>236</v>
      </c>
      <c r="I432" s="3303" t="s">
        <v>116</v>
      </c>
      <c r="J432" s="3137" t="s">
        <v>1282</v>
      </c>
      <c r="K432" s="3171"/>
      <c r="L432" s="3173"/>
      <c r="M432" s="3154" t="s">
        <v>116</v>
      </c>
      <c r="N432" s="3137" t="s">
        <v>1293</v>
      </c>
      <c r="O432" s="3150"/>
      <c r="P432" s="3150"/>
      <c r="Q432" s="3150"/>
      <c r="R432" s="3150"/>
      <c r="S432" s="3150"/>
      <c r="T432" s="3150"/>
      <c r="U432" s="3150"/>
      <c r="V432" s="3150"/>
      <c r="W432" s="3150"/>
      <c r="X432" s="3149"/>
      <c r="Y432" s="3293"/>
      <c r="Z432" s="1201"/>
      <c r="AA432" s="1201"/>
      <c r="AB432" s="1202"/>
      <c r="AC432" s="3292"/>
      <c r="AD432" s="3291"/>
      <c r="AE432" s="3291"/>
      <c r="AF432" s="3290"/>
      <c r="AI432" s="3120" t="str">
        <f>"2B:field190:" &amp; IF(I432="■",1,IF(M432="■",2,0))</f>
        <v>2B:field190:0</v>
      </c>
    </row>
    <row r="433" spans="1:36" ht="18.75" customHeight="1" x14ac:dyDescent="0.2">
      <c r="A433" s="834"/>
      <c r="B433" s="3148"/>
      <c r="C433" s="3147"/>
      <c r="D433" s="3146"/>
      <c r="E433" s="3145"/>
      <c r="F433" s="3144"/>
      <c r="G433" s="3145"/>
      <c r="H433" s="3151" t="s">
        <v>1305</v>
      </c>
      <c r="I433" s="3303" t="s">
        <v>116</v>
      </c>
      <c r="J433" s="3137" t="s">
        <v>1282</v>
      </c>
      <c r="K433" s="3171"/>
      <c r="L433" s="3173"/>
      <c r="M433" s="3154" t="s">
        <v>116</v>
      </c>
      <c r="N433" s="3137" t="s">
        <v>1293</v>
      </c>
      <c r="O433" s="3150"/>
      <c r="P433" s="3150"/>
      <c r="Q433" s="3150"/>
      <c r="R433" s="3150"/>
      <c r="S433" s="3150"/>
      <c r="T433" s="3150"/>
      <c r="U433" s="3150"/>
      <c r="V433" s="3150"/>
      <c r="W433" s="3150"/>
      <c r="X433" s="3149"/>
      <c r="Y433" s="3293"/>
      <c r="Z433" s="1201"/>
      <c r="AA433" s="1201"/>
      <c r="AB433" s="1202"/>
      <c r="AC433" s="3292"/>
      <c r="AD433" s="3291"/>
      <c r="AE433" s="3291"/>
      <c r="AF433" s="3290"/>
      <c r="AI433" s="3120" t="str">
        <f>"2B:field191:" &amp; IF(I433="■",1,IF(M433="■",2,0))</f>
        <v>2B:field191:0</v>
      </c>
    </row>
    <row r="434" spans="1:36" ht="18.75" customHeight="1" x14ac:dyDescent="0.2">
      <c r="A434" s="834"/>
      <c r="B434" s="3148"/>
      <c r="C434" s="3147"/>
      <c r="D434" s="3146"/>
      <c r="E434" s="3145"/>
      <c r="F434" s="3144"/>
      <c r="G434" s="3145"/>
      <c r="H434" s="3151" t="s">
        <v>1348</v>
      </c>
      <c r="I434" s="3303" t="s">
        <v>116</v>
      </c>
      <c r="J434" s="3137" t="s">
        <v>1230</v>
      </c>
      <c r="K434" s="3171"/>
      <c r="L434" s="3154" t="s">
        <v>116</v>
      </c>
      <c r="M434" s="3137" t="s">
        <v>1233</v>
      </c>
      <c r="N434" s="3150"/>
      <c r="O434" s="3150"/>
      <c r="P434" s="3150"/>
      <c r="Q434" s="3150"/>
      <c r="R434" s="3150"/>
      <c r="S434" s="3150"/>
      <c r="T434" s="3150"/>
      <c r="U434" s="3150"/>
      <c r="V434" s="3150"/>
      <c r="W434" s="3150"/>
      <c r="X434" s="3149"/>
      <c r="Y434" s="3293"/>
      <c r="Z434" s="1201"/>
      <c r="AA434" s="1201"/>
      <c r="AB434" s="1202"/>
      <c r="AC434" s="3292"/>
      <c r="AD434" s="3291"/>
      <c r="AE434" s="3291"/>
      <c r="AF434" s="3290"/>
      <c r="AI434" s="3120" t="str">
        <f>"2B:jyakuninti_uke_code:" &amp; IF(I434="■",1,IF(L434="■",2,0))</f>
        <v>2B:jyakuninti_uke_code:0</v>
      </c>
    </row>
    <row r="435" spans="1:36" ht="18.75" customHeight="1" x14ac:dyDescent="0.2">
      <c r="A435" s="3158" t="s">
        <v>116</v>
      </c>
      <c r="B435" s="3148" t="s">
        <v>572</v>
      </c>
      <c r="C435" s="3147" t="s">
        <v>641</v>
      </c>
      <c r="D435" s="3158" t="s">
        <v>116</v>
      </c>
      <c r="E435" s="3145" t="s">
        <v>1357</v>
      </c>
      <c r="F435" s="3144"/>
      <c r="G435" s="3145"/>
      <c r="H435" s="3151" t="s">
        <v>1284</v>
      </c>
      <c r="I435" s="3303" t="s">
        <v>116</v>
      </c>
      <c r="J435" s="3137" t="s">
        <v>1240</v>
      </c>
      <c r="K435" s="3171"/>
      <c r="L435" s="3173"/>
      <c r="M435" s="3154" t="s">
        <v>116</v>
      </c>
      <c r="N435" s="3137" t="s">
        <v>1241</v>
      </c>
      <c r="O435" s="3150"/>
      <c r="P435" s="3150"/>
      <c r="Q435" s="3150"/>
      <c r="R435" s="3150"/>
      <c r="S435" s="3150"/>
      <c r="T435" s="3150"/>
      <c r="U435" s="3150"/>
      <c r="V435" s="3150"/>
      <c r="W435" s="3150"/>
      <c r="X435" s="3149"/>
      <c r="Y435" s="3293"/>
      <c r="Z435" s="1201"/>
      <c r="AA435" s="1201"/>
      <c r="AB435" s="1202"/>
      <c r="AC435" s="3292"/>
      <c r="AD435" s="3291"/>
      <c r="AE435" s="3291"/>
      <c r="AF435" s="3290"/>
      <c r="AI435" s="3120" t="str">
        <f>"2B:sougei_code:" &amp; IF(I435="■",1,IF(M435="■",2,0))</f>
        <v>2B:sougei_code:0</v>
      </c>
    </row>
    <row r="436" spans="1:36" ht="19.5" customHeight="1" x14ac:dyDescent="0.2">
      <c r="A436" s="834"/>
      <c r="B436" s="3148"/>
      <c r="C436" s="3147"/>
      <c r="D436" s="3146"/>
      <c r="E436" s="3145"/>
      <c r="F436" s="3144"/>
      <c r="G436" s="3145"/>
      <c r="H436" s="3174" t="s">
        <v>1236</v>
      </c>
      <c r="I436" s="3303" t="s">
        <v>116</v>
      </c>
      <c r="J436" s="3137" t="s">
        <v>1230</v>
      </c>
      <c r="K436" s="3137"/>
      <c r="L436" s="3154" t="s">
        <v>116</v>
      </c>
      <c r="M436" s="3137" t="s">
        <v>1233</v>
      </c>
      <c r="N436" s="3137"/>
      <c r="O436" s="3150"/>
      <c r="P436" s="3137"/>
      <c r="Q436" s="3150"/>
      <c r="R436" s="3150"/>
      <c r="S436" s="3150"/>
      <c r="T436" s="3150"/>
      <c r="U436" s="3150"/>
      <c r="V436" s="3150"/>
      <c r="W436" s="3150"/>
      <c r="X436" s="3149"/>
      <c r="Y436" s="1201"/>
      <c r="Z436" s="1201"/>
      <c r="AA436" s="1201"/>
      <c r="AB436" s="1202"/>
      <c r="AC436" s="3292"/>
      <c r="AD436" s="3291"/>
      <c r="AE436" s="3291"/>
      <c r="AF436" s="3290"/>
      <c r="AI436" s="3120" t="str">
        <f>"2B:field224:" &amp; IF(I436="■",1,IF(L436="■",2,0))</f>
        <v>2B:field224:0</v>
      </c>
    </row>
    <row r="437" spans="1:36" ht="18.75" customHeight="1" x14ac:dyDescent="0.2">
      <c r="A437" s="834"/>
      <c r="B437" s="3148"/>
      <c r="C437" s="3147"/>
      <c r="D437" s="3146"/>
      <c r="E437" s="3145"/>
      <c r="F437" s="3144"/>
      <c r="G437" s="3145"/>
      <c r="H437" s="3151" t="s">
        <v>140</v>
      </c>
      <c r="I437" s="3303" t="s">
        <v>116</v>
      </c>
      <c r="J437" s="3137" t="s">
        <v>1230</v>
      </c>
      <c r="K437" s="3171"/>
      <c r="L437" s="3154" t="s">
        <v>116</v>
      </c>
      <c r="M437" s="3137" t="s">
        <v>1233</v>
      </c>
      <c r="N437" s="3150"/>
      <c r="O437" s="3150"/>
      <c r="P437" s="3150"/>
      <c r="Q437" s="3150"/>
      <c r="R437" s="3150"/>
      <c r="S437" s="3150"/>
      <c r="T437" s="3150"/>
      <c r="U437" s="3150"/>
      <c r="V437" s="3150"/>
      <c r="W437" s="3150"/>
      <c r="X437" s="3149"/>
      <c r="Y437" s="3293"/>
      <c r="Z437" s="1201"/>
      <c r="AA437" s="1201"/>
      <c r="AB437" s="1202"/>
      <c r="AC437" s="3292"/>
      <c r="AD437" s="3291"/>
      <c r="AE437" s="3291"/>
      <c r="AF437" s="3290"/>
      <c r="AI437" s="3120" t="str">
        <f>"2B:ryouyoushoku_code:" &amp; IF(I437="■",1,IF(L437="■",2,0))</f>
        <v>2B:ryouyoushoku_code:0</v>
      </c>
    </row>
    <row r="438" spans="1:36" ht="18.75" customHeight="1" x14ac:dyDescent="0.2">
      <c r="A438" s="834"/>
      <c r="B438" s="3148"/>
      <c r="C438" s="3147"/>
      <c r="D438" s="3146"/>
      <c r="E438" s="3145"/>
      <c r="F438" s="3144"/>
      <c r="G438" s="3145"/>
      <c r="H438" s="3151" t="s">
        <v>1237</v>
      </c>
      <c r="I438" s="3303" t="s">
        <v>116</v>
      </c>
      <c r="J438" s="3137" t="s">
        <v>1230</v>
      </c>
      <c r="K438" s="3137"/>
      <c r="L438" s="3154" t="s">
        <v>116</v>
      </c>
      <c r="M438" s="3137" t="s">
        <v>1231</v>
      </c>
      <c r="N438" s="3137"/>
      <c r="O438" s="3154" t="s">
        <v>116</v>
      </c>
      <c r="P438" s="3137" t="s">
        <v>1232</v>
      </c>
      <c r="Q438" s="3150"/>
      <c r="R438" s="3150"/>
      <c r="S438" s="3150"/>
      <c r="T438" s="3150"/>
      <c r="U438" s="3150"/>
      <c r="V438" s="3150"/>
      <c r="W438" s="3150"/>
      <c r="X438" s="3149"/>
      <c r="Y438" s="3293"/>
      <c r="Z438" s="1201"/>
      <c r="AA438" s="1201"/>
      <c r="AB438" s="1202"/>
      <c r="AC438" s="3292"/>
      <c r="AD438" s="3291"/>
      <c r="AE438" s="3291"/>
      <c r="AF438" s="3290"/>
      <c r="AI438" s="3120" t="str">
        <f>"2B:ninti_senmoncare_code:" &amp; IF(I438="■",1,IF(O438="■",3,IF(L438="■",2,0)))</f>
        <v>2B:ninti_senmoncare_code:0</v>
      </c>
    </row>
    <row r="439" spans="1:36" ht="18.75" customHeight="1" x14ac:dyDescent="0.2">
      <c r="A439" s="834"/>
      <c r="B439" s="3148"/>
      <c r="C439" s="3147"/>
      <c r="D439" s="3146"/>
      <c r="E439" s="3145"/>
      <c r="F439" s="3144"/>
      <c r="G439" s="3145"/>
      <c r="H439" s="3304" t="s">
        <v>1310</v>
      </c>
      <c r="I439" s="3303" t="s">
        <v>116</v>
      </c>
      <c r="J439" s="3302" t="s">
        <v>1287</v>
      </c>
      <c r="K439" s="3302"/>
      <c r="L439" s="3209"/>
      <c r="M439" s="3209"/>
      <c r="N439" s="3209"/>
      <c r="O439" s="3209"/>
      <c r="P439" s="3301" t="s">
        <v>116</v>
      </c>
      <c r="Q439" s="3302" t="s">
        <v>1288</v>
      </c>
      <c r="R439" s="3209"/>
      <c r="S439" s="3209"/>
      <c r="T439" s="3209"/>
      <c r="U439" s="3209"/>
      <c r="V439" s="3209"/>
      <c r="W439" s="3209"/>
      <c r="X439" s="3208"/>
      <c r="Y439" s="3293"/>
      <c r="Z439" s="1201"/>
      <c r="AA439" s="1201"/>
      <c r="AB439" s="1202"/>
      <c r="AC439" s="3292"/>
      <c r="AD439" s="3291"/>
      <c r="AE439" s="3291"/>
      <c r="AF439" s="3290"/>
      <c r="AI439" s="3120" t="str">
        <f>"2B:" &amp; IF(AND(I439="□",P439="□",I440="□"),"tokusin_jyusho_code:0:tokusin_yakuzai_code:0:shuudan_comu_code:0",IF(I439="■","tokusin_jyusho_code:2","tokusin_jyusho_code:1")
&amp;IF(P439="■",":tokusin_yakuzai_code:2",":tokusin_yakuzai_code:1")
&amp;IF(I440="■",":shuudan_comu_code:2",":shuudan_comu_code:1"))</f>
        <v>2B:tokusin_jyusho_code:0:tokusin_yakuzai_code:0:shuudan_comu_code:0</v>
      </c>
    </row>
    <row r="440" spans="1:36" ht="18.75" customHeight="1" x14ac:dyDescent="0.2">
      <c r="A440" s="834"/>
      <c r="B440" s="3148"/>
      <c r="C440" s="3147"/>
      <c r="D440" s="3146"/>
      <c r="E440" s="3145"/>
      <c r="F440" s="3144"/>
      <c r="G440" s="3145"/>
      <c r="H440" s="3300"/>
      <c r="I440" s="3158" t="s">
        <v>116</v>
      </c>
      <c r="J440" s="3139" t="s">
        <v>1294</v>
      </c>
      <c r="K440" s="3207"/>
      <c r="L440" s="3207"/>
      <c r="M440" s="3207"/>
      <c r="N440" s="3207"/>
      <c r="O440" s="3207"/>
      <c r="P440" s="3207"/>
      <c r="Q440" s="3162"/>
      <c r="R440" s="3207"/>
      <c r="S440" s="3207"/>
      <c r="T440" s="3207"/>
      <c r="U440" s="3207"/>
      <c r="V440" s="3207"/>
      <c r="W440" s="3207"/>
      <c r="X440" s="3206"/>
      <c r="Y440" s="3293"/>
      <c r="Z440" s="1201"/>
      <c r="AA440" s="1201"/>
      <c r="AB440" s="1202"/>
      <c r="AC440" s="3292"/>
      <c r="AD440" s="3291"/>
      <c r="AE440" s="3291"/>
      <c r="AF440" s="3290"/>
      <c r="AI440" s="3120"/>
    </row>
    <row r="441" spans="1:36" ht="18.75" customHeight="1" x14ac:dyDescent="0.2">
      <c r="A441" s="834"/>
      <c r="B441" s="3148"/>
      <c r="C441" s="3147"/>
      <c r="D441" s="3146"/>
      <c r="E441" s="3145"/>
      <c r="F441" s="3144"/>
      <c r="G441" s="3145"/>
      <c r="H441" s="3304" t="s">
        <v>1300</v>
      </c>
      <c r="I441" s="3303" t="s">
        <v>116</v>
      </c>
      <c r="J441" s="3302" t="s">
        <v>1295</v>
      </c>
      <c r="K441" s="3317"/>
      <c r="L441" s="3316"/>
      <c r="M441" s="3301" t="s">
        <v>116</v>
      </c>
      <c r="N441" s="3302" t="s">
        <v>1296</v>
      </c>
      <c r="O441" s="3209"/>
      <c r="P441" s="3209"/>
      <c r="Q441" s="3301" t="s">
        <v>116</v>
      </c>
      <c r="R441" s="3302" t="s">
        <v>1297</v>
      </c>
      <c r="S441" s="3209"/>
      <c r="T441" s="3209"/>
      <c r="U441" s="3209"/>
      <c r="V441" s="3209"/>
      <c r="W441" s="3209"/>
      <c r="X441" s="3208"/>
      <c r="Y441" s="3293"/>
      <c r="Z441" s="1201"/>
      <c r="AA441" s="1201"/>
      <c r="AB441" s="1202"/>
      <c r="AC441" s="3292"/>
      <c r="AD441" s="3291"/>
      <c r="AE441" s="3291"/>
      <c r="AF441" s="3290"/>
      <c r="AI441" s="3120" t="str">
        <f>"2B:"&amp;IF(AND(I441="□",M441="□",Q441="□",I442="□",Q442="□"),"koriha_rryoho1_code:0:koriha_sryoho_code:0:koriha_gengo_code:0:riha_seisin_code:0:koriha_other_code:0",IF(I441="■","koriha_rryoho1_code:2","koriha_rryoho1_code:1")
&amp;IF(M441="■",":koriha_sryoho_code:2",":koriha_sryoho_code:1")
&amp;IF(Q441="■",":koriha_gengo_code:2",":koriha_gengo_code:1")
&amp;IF(I442="■",":riha_seisin_code:2",":riha_seisin_code:1")
&amp;IF(Q442="■",":koriha_other_code:2",":koriha_other_code:1"))</f>
        <v>2B:koriha_rryoho1_code:0:koriha_sryoho_code:0:koriha_gengo_code:0:riha_seisin_code:0:koriha_other_code:0</v>
      </c>
    </row>
    <row r="442" spans="1:36" ht="18.75" customHeight="1" x14ac:dyDescent="0.2">
      <c r="A442" s="834"/>
      <c r="B442" s="3148"/>
      <c r="C442" s="3147"/>
      <c r="D442" s="3146"/>
      <c r="E442" s="3145"/>
      <c r="F442" s="3144"/>
      <c r="G442" s="3145"/>
      <c r="H442" s="3300"/>
      <c r="I442" s="3158" t="s">
        <v>116</v>
      </c>
      <c r="J442" s="3139" t="s">
        <v>1298</v>
      </c>
      <c r="K442" s="3207"/>
      <c r="L442" s="3207"/>
      <c r="M442" s="3207"/>
      <c r="N442" s="3207"/>
      <c r="O442" s="3207"/>
      <c r="P442" s="3207"/>
      <c r="Q442" s="3140" t="s">
        <v>116</v>
      </c>
      <c r="R442" s="3139" t="s">
        <v>1299</v>
      </c>
      <c r="S442" s="3162"/>
      <c r="T442" s="3207"/>
      <c r="U442" s="3207"/>
      <c r="V442" s="3207"/>
      <c r="W442" s="3207"/>
      <c r="X442" s="3206"/>
      <c r="Y442" s="3293"/>
      <c r="Z442" s="1201"/>
      <c r="AA442" s="1201"/>
      <c r="AB442" s="1202"/>
      <c r="AC442" s="3292"/>
      <c r="AD442" s="3291"/>
      <c r="AE442" s="3291"/>
      <c r="AF442" s="3290"/>
      <c r="AI442" s="3120"/>
    </row>
    <row r="443" spans="1:36" ht="18.75" customHeight="1" x14ac:dyDescent="0.2">
      <c r="A443" s="834"/>
      <c r="B443" s="3148"/>
      <c r="C443" s="3147"/>
      <c r="D443" s="3146"/>
      <c r="E443" s="3145"/>
      <c r="F443" s="3144"/>
      <c r="G443" s="3145"/>
      <c r="H443" s="3296" t="s">
        <v>1285</v>
      </c>
      <c r="I443" s="3303" t="s">
        <v>116</v>
      </c>
      <c r="J443" s="3137" t="s">
        <v>1230</v>
      </c>
      <c r="K443" s="3137"/>
      <c r="L443" s="3154" t="s">
        <v>116</v>
      </c>
      <c r="M443" s="3137" t="s">
        <v>1231</v>
      </c>
      <c r="N443" s="3137"/>
      <c r="O443" s="3154" t="s">
        <v>116</v>
      </c>
      <c r="P443" s="3137" t="s">
        <v>1232</v>
      </c>
      <c r="Q443" s="3150"/>
      <c r="R443" s="3150"/>
      <c r="S443" s="3150"/>
      <c r="T443" s="3150"/>
      <c r="U443" s="3209"/>
      <c r="V443" s="3209"/>
      <c r="W443" s="3209"/>
      <c r="X443" s="3208"/>
      <c r="Y443" s="3293"/>
      <c r="Z443" s="1201"/>
      <c r="AA443" s="1201"/>
      <c r="AB443" s="1202"/>
      <c r="AC443" s="3292"/>
      <c r="AD443" s="3291"/>
      <c r="AE443" s="3291"/>
      <c r="AF443" s="3290"/>
      <c r="AI443" s="3120" t="str">
        <f>"2B:field225:" &amp; IF(I443="■",1,IF(L443="■",2,IF(O443="■",3,0)))</f>
        <v>2B:field225:0</v>
      </c>
    </row>
    <row r="444" spans="1:36" ht="18.75" customHeight="1" x14ac:dyDescent="0.2">
      <c r="A444" s="834"/>
      <c r="B444" s="3148"/>
      <c r="C444" s="3147"/>
      <c r="D444" s="3146"/>
      <c r="E444" s="3145"/>
      <c r="F444" s="3144"/>
      <c r="G444" s="3145"/>
      <c r="H444" s="3151" t="s">
        <v>238</v>
      </c>
      <c r="I444" s="3303" t="s">
        <v>116</v>
      </c>
      <c r="J444" s="3137" t="s">
        <v>1230</v>
      </c>
      <c r="K444" s="3137"/>
      <c r="L444" s="3154" t="s">
        <v>116</v>
      </c>
      <c r="M444" s="3137" t="s">
        <v>1259</v>
      </c>
      <c r="N444" s="3137"/>
      <c r="O444" s="3154" t="s">
        <v>116</v>
      </c>
      <c r="P444" s="3137" t="s">
        <v>1260</v>
      </c>
      <c r="Q444" s="3153"/>
      <c r="R444" s="3154" t="s">
        <v>116</v>
      </c>
      <c r="S444" s="3137" t="s">
        <v>1261</v>
      </c>
      <c r="T444" s="3153"/>
      <c r="U444" s="3153"/>
      <c r="V444" s="3153"/>
      <c r="W444" s="3153"/>
      <c r="X444" s="3152"/>
      <c r="Y444" s="3293"/>
      <c r="Z444" s="1201"/>
      <c r="AA444" s="1201"/>
      <c r="AB444" s="1202"/>
      <c r="AC444" s="3292"/>
      <c r="AD444" s="3291"/>
      <c r="AE444" s="3291"/>
      <c r="AF444" s="3290"/>
      <c r="AI444" s="3120" t="str">
        <f>"2B:serteikyo_kyoka_code:" &amp; IF(I444="■",1,IF(L444="■",6,IF(O444="■",5,IF(R444="■",7,0))))</f>
        <v>2B:serteikyo_kyoka_code:0</v>
      </c>
    </row>
    <row r="445" spans="1:36" ht="18.75" customHeight="1" x14ac:dyDescent="0.2">
      <c r="A445" s="834"/>
      <c r="B445" s="3148"/>
      <c r="C445" s="3147"/>
      <c r="D445" s="3146"/>
      <c r="E445" s="3145"/>
      <c r="F445" s="3144"/>
      <c r="G445" s="3145"/>
      <c r="H445" s="3170" t="s">
        <v>2058</v>
      </c>
      <c r="I445" s="3346" t="s">
        <v>116</v>
      </c>
      <c r="J445" s="3347" t="s">
        <v>1230</v>
      </c>
      <c r="K445" s="3347"/>
      <c r="L445" s="3346" t="s">
        <v>116</v>
      </c>
      <c r="M445" s="3347" t="s">
        <v>1233</v>
      </c>
      <c r="N445" s="3347"/>
      <c r="O445" s="3167"/>
      <c r="P445" s="3167"/>
      <c r="Q445" s="3167"/>
      <c r="R445" s="3167"/>
      <c r="S445" s="3167"/>
      <c r="T445" s="3167"/>
      <c r="U445" s="3167"/>
      <c r="V445" s="3167"/>
      <c r="W445" s="3167"/>
      <c r="X445" s="3166"/>
      <c r="Y445" s="3293"/>
      <c r="Z445" s="1201"/>
      <c r="AA445" s="1201"/>
      <c r="AB445" s="1202"/>
      <c r="AC445" s="3292"/>
      <c r="AD445" s="3291"/>
      <c r="AE445" s="3291"/>
      <c r="AF445" s="3290"/>
      <c r="AI445" s="3120" t="str">
        <f>"2B:field221:" &amp; IF(I445="■",1,IF(L445="■",2,0))</f>
        <v>2B:field221:0</v>
      </c>
    </row>
    <row r="446" spans="1:36" ht="18.75" customHeight="1" x14ac:dyDescent="0.2">
      <c r="A446" s="834"/>
      <c r="B446" s="3148"/>
      <c r="C446" s="3147"/>
      <c r="D446" s="3146"/>
      <c r="E446" s="3145"/>
      <c r="F446" s="3144"/>
      <c r="G446" s="3145"/>
      <c r="H446" s="3165"/>
      <c r="I446" s="3346"/>
      <c r="J446" s="3347"/>
      <c r="K446" s="3347"/>
      <c r="L446" s="3346"/>
      <c r="M446" s="3347"/>
      <c r="N446" s="3347"/>
      <c r="O446" s="3162"/>
      <c r="P446" s="3162"/>
      <c r="Q446" s="3162"/>
      <c r="R446" s="3162"/>
      <c r="S446" s="3162"/>
      <c r="T446" s="3162"/>
      <c r="U446" s="3162"/>
      <c r="V446" s="3162"/>
      <c r="W446" s="3162"/>
      <c r="X446" s="3161"/>
      <c r="Y446" s="3293"/>
      <c r="Z446" s="1201"/>
      <c r="AA446" s="1201"/>
      <c r="AB446" s="1202"/>
      <c r="AC446" s="3292"/>
      <c r="AD446" s="3291"/>
      <c r="AE446" s="3291"/>
      <c r="AF446" s="3290"/>
    </row>
    <row r="447" spans="1:36" ht="18.75" customHeight="1" x14ac:dyDescent="0.2">
      <c r="A447" s="835"/>
      <c r="B447" s="3135"/>
      <c r="C447" s="3134"/>
      <c r="D447" s="3133"/>
      <c r="E447" s="3132"/>
      <c r="F447" s="3131"/>
      <c r="G447" s="3189"/>
      <c r="H447" s="3289" t="s">
        <v>2129</v>
      </c>
      <c r="I447" s="3128" t="s">
        <v>116</v>
      </c>
      <c r="J447" s="3285" t="s">
        <v>1230</v>
      </c>
      <c r="K447" s="3285"/>
      <c r="L447" s="3127" t="s">
        <v>116</v>
      </c>
      <c r="M447" s="3285" t="s">
        <v>2128</v>
      </c>
      <c r="N447" s="3288"/>
      <c r="O447" s="3127" t="s">
        <v>116</v>
      </c>
      <c r="P447" s="3287" t="s">
        <v>2127</v>
      </c>
      <c r="Q447" s="3286"/>
      <c r="R447" s="3127" t="s">
        <v>116</v>
      </c>
      <c r="S447" s="3285" t="s">
        <v>2126</v>
      </c>
      <c r="T447" s="3286"/>
      <c r="U447" s="3127" t="s">
        <v>116</v>
      </c>
      <c r="V447" s="3285" t="s">
        <v>2125</v>
      </c>
      <c r="W447" s="3284"/>
      <c r="X447" s="3283"/>
      <c r="Y447" s="3282"/>
      <c r="Z447" s="3282"/>
      <c r="AA447" s="3282"/>
      <c r="AB447" s="3281"/>
      <c r="AC447" s="3280"/>
      <c r="AD447" s="3279"/>
      <c r="AE447" s="3279"/>
      <c r="AF447" s="3278"/>
      <c r="AG447" s="3120"/>
      <c r="AH447" s="3120"/>
      <c r="AI447" s="3120" t="str">
        <f>"2B:shoguukaizen_code:"&amp;IF(I447="■",1,IF(L447="■",7,IF(O447="■",8,IF(R447="■",9,IF(U447="■","A",0)))))</f>
        <v>2B:shoguukaizen_code:0</v>
      </c>
    </row>
    <row r="448" spans="1:36" ht="18.75" customHeight="1" x14ac:dyDescent="0.2">
      <c r="A448" s="3188"/>
      <c r="B448" s="3187"/>
      <c r="C448" s="3229"/>
      <c r="D448" s="3228"/>
      <c r="E448" s="3185"/>
      <c r="F448" s="3184"/>
      <c r="G448" s="3185"/>
      <c r="H448" s="3265" t="s">
        <v>1286</v>
      </c>
      <c r="I448" s="3253" t="s">
        <v>116</v>
      </c>
      <c r="J448" s="3252" t="s">
        <v>1282</v>
      </c>
      <c r="K448" s="3311"/>
      <c r="L448" s="3386"/>
      <c r="M448" s="3310" t="s">
        <v>116</v>
      </c>
      <c r="N448" s="3252" t="s">
        <v>1289</v>
      </c>
      <c r="O448" s="3309"/>
      <c r="P448" s="3309"/>
      <c r="Q448" s="3310" t="s">
        <v>116</v>
      </c>
      <c r="R448" s="3252" t="s">
        <v>1290</v>
      </c>
      <c r="S448" s="3309"/>
      <c r="T448" s="3309"/>
      <c r="U448" s="3310" t="s">
        <v>116</v>
      </c>
      <c r="V448" s="3252" t="s">
        <v>1291</v>
      </c>
      <c r="W448" s="3309"/>
      <c r="X448" s="3266"/>
      <c r="Y448" s="3310" t="s">
        <v>116</v>
      </c>
      <c r="Z448" s="3252" t="s">
        <v>1225</v>
      </c>
      <c r="AA448" s="3252"/>
      <c r="AB448" s="3308"/>
      <c r="AC448" s="3307"/>
      <c r="AD448" s="3306"/>
      <c r="AE448" s="3306"/>
      <c r="AF448" s="3305"/>
      <c r="AG448" s="3120" t="str">
        <f>"ser_code = '" &amp; IF(A458="■","2B","") &amp; "'"</f>
        <v>ser_code = ''</v>
      </c>
      <c r="AH448" s="3120" t="str">
        <f>"2B:jininkbn_code:"&amp;IF(F458="■",1,IF(F459="■",2,0))</f>
        <v>2B:jininkbn_code:0</v>
      </c>
      <c r="AI448" s="3120" t="str">
        <f>"2B:yakan_kinmu_code:" &amp; IF(I448="■",1,IF(M448="■",2,IF(Q448="■",3,IF(U448="■",7,IF(I449="■",5,IF(M449="■",6,0))))))</f>
        <v>2B:yakan_kinmu_code:0</v>
      </c>
      <c r="AJ448" s="3120" t="str">
        <f>"2B:field203:" &amp; IF(Y448="■",1,IF(Y449="■",2,0))</f>
        <v>2B:field203:0</v>
      </c>
    </row>
    <row r="449" spans="1:36" ht="18.75" customHeight="1" x14ac:dyDescent="0.2">
      <c r="A449" s="834"/>
      <c r="B449" s="3148"/>
      <c r="C449" s="3147"/>
      <c r="D449" s="3146"/>
      <c r="E449" s="3145"/>
      <c r="F449" s="3144"/>
      <c r="G449" s="3145"/>
      <c r="H449" s="3300"/>
      <c r="I449" s="3158" t="s">
        <v>116</v>
      </c>
      <c r="J449" s="3139" t="s">
        <v>1292</v>
      </c>
      <c r="K449" s="3138"/>
      <c r="L449" s="3385"/>
      <c r="M449" s="3140" t="s">
        <v>116</v>
      </c>
      <c r="N449" s="3139" t="s">
        <v>1283</v>
      </c>
      <c r="O449" s="3162"/>
      <c r="P449" s="3162"/>
      <c r="Q449" s="3162"/>
      <c r="R449" s="3162"/>
      <c r="S449" s="3162"/>
      <c r="T449" s="3162"/>
      <c r="U449" s="3162"/>
      <c r="V449" s="3162"/>
      <c r="W449" s="3162"/>
      <c r="X449" s="3161"/>
      <c r="Y449" s="3258" t="s">
        <v>116</v>
      </c>
      <c r="Z449" s="1200" t="s">
        <v>1226</v>
      </c>
      <c r="AA449" s="1201"/>
      <c r="AB449" s="1202"/>
      <c r="AC449" s="3292"/>
      <c r="AD449" s="3291"/>
      <c r="AE449" s="3291"/>
      <c r="AF449" s="3290"/>
      <c r="AG449" s="3120" t="str">
        <f>"2B:sisetukbn_code:"&amp;IF(D458="■","6",0)</f>
        <v>2B:sisetukbn_code:0</v>
      </c>
      <c r="AH449" s="3120"/>
      <c r="AI449" s="3120"/>
      <c r="AJ449" s="3120"/>
    </row>
    <row r="450" spans="1:36" ht="18.75" customHeight="1" x14ac:dyDescent="0.2">
      <c r="A450" s="834"/>
      <c r="B450" s="3148"/>
      <c r="C450" s="3147"/>
      <c r="D450" s="3146"/>
      <c r="E450" s="3145"/>
      <c r="F450" s="3144"/>
      <c r="G450" s="3145"/>
      <c r="H450" s="3304" t="s">
        <v>90</v>
      </c>
      <c r="I450" s="3303" t="s">
        <v>116</v>
      </c>
      <c r="J450" s="3302" t="s">
        <v>1230</v>
      </c>
      <c r="K450" s="3302"/>
      <c r="L450" s="3316"/>
      <c r="M450" s="3301" t="s">
        <v>116</v>
      </c>
      <c r="N450" s="3302" t="s">
        <v>1262</v>
      </c>
      <c r="O450" s="3302"/>
      <c r="P450" s="3316"/>
      <c r="Q450" s="3301" t="s">
        <v>116</v>
      </c>
      <c r="R450" s="3167" t="s">
        <v>1302</v>
      </c>
      <c r="S450" s="3167"/>
      <c r="T450" s="3167"/>
      <c r="U450" s="3209"/>
      <c r="V450" s="3316"/>
      <c r="W450" s="3167"/>
      <c r="X450" s="3208"/>
      <c r="Y450" s="3293"/>
      <c r="Z450" s="1201"/>
      <c r="AA450" s="1201"/>
      <c r="AB450" s="1202"/>
      <c r="AC450" s="3292"/>
      <c r="AD450" s="3291"/>
      <c r="AE450" s="3291"/>
      <c r="AF450" s="3290"/>
      <c r="AI450" s="3120" t="str">
        <f>"2B:"&amp;IF(AND(I450="□",M450="□",Q450="□",I451="□",M451="□"),"ketu_doctor_code:0",IF(I450="■","ketu_doctor_code:1:field197:1:ketu_kangos_code:1:ketu_kshoku_code:1",IF(M450="■","ketu_doctor_code:2","ketu_doctor_code:1")
&amp;IF(Q450="■",":field197:2",":field197:1")
&amp;IF(I451="■",":ketu_kangos_code:2",":ketu_kangos_code:1")
&amp;IF(M451="■",":ketu_kshoku_code:2",":ketu_kshoku_code:1")))</f>
        <v>2B:ketu_doctor_code:0</v>
      </c>
    </row>
    <row r="451" spans="1:36" ht="18.75" customHeight="1" x14ac:dyDescent="0.2">
      <c r="A451" s="834"/>
      <c r="B451" s="3148"/>
      <c r="C451" s="3147"/>
      <c r="D451" s="3146"/>
      <c r="E451" s="3145"/>
      <c r="F451" s="3144"/>
      <c r="G451" s="3145"/>
      <c r="H451" s="3300"/>
      <c r="I451" s="3158" t="s">
        <v>116</v>
      </c>
      <c r="J451" s="3162" t="s">
        <v>1303</v>
      </c>
      <c r="K451" s="3162"/>
      <c r="L451" s="3162"/>
      <c r="M451" s="3140" t="s">
        <v>116</v>
      </c>
      <c r="N451" s="3162" t="s">
        <v>1304</v>
      </c>
      <c r="O451" s="3385"/>
      <c r="P451" s="3162"/>
      <c r="Q451" s="3162"/>
      <c r="R451" s="3385"/>
      <c r="S451" s="3162"/>
      <c r="T451" s="3162"/>
      <c r="U451" s="3207"/>
      <c r="V451" s="3385"/>
      <c r="W451" s="3162"/>
      <c r="X451" s="3206"/>
      <c r="Y451" s="3293"/>
      <c r="Z451" s="1201"/>
      <c r="AA451" s="1201"/>
      <c r="AB451" s="1202"/>
      <c r="AC451" s="3292"/>
      <c r="AD451" s="3291"/>
      <c r="AE451" s="3291"/>
      <c r="AF451" s="3290"/>
      <c r="AI451" s="3120"/>
    </row>
    <row r="452" spans="1:36" ht="18.75" customHeight="1" x14ac:dyDescent="0.2">
      <c r="A452" s="834"/>
      <c r="B452" s="3148"/>
      <c r="C452" s="3147"/>
      <c r="D452" s="3146"/>
      <c r="E452" s="3145"/>
      <c r="F452" s="3144"/>
      <c r="G452" s="3145"/>
      <c r="H452" s="3151" t="s">
        <v>91</v>
      </c>
      <c r="I452" s="3303" t="s">
        <v>116</v>
      </c>
      <c r="J452" s="3137" t="s">
        <v>1240</v>
      </c>
      <c r="K452" s="3171"/>
      <c r="L452" s="3173"/>
      <c r="M452" s="3154" t="s">
        <v>116</v>
      </c>
      <c r="N452" s="3137" t="s">
        <v>1241</v>
      </c>
      <c r="O452" s="3150"/>
      <c r="P452" s="3150"/>
      <c r="Q452" s="3150"/>
      <c r="R452" s="3150"/>
      <c r="S452" s="3150"/>
      <c r="T452" s="3150"/>
      <c r="U452" s="3150"/>
      <c r="V452" s="3150"/>
      <c r="W452" s="3150"/>
      <c r="X452" s="3149"/>
      <c r="Y452" s="3293"/>
      <c r="Z452" s="1201"/>
      <c r="AA452" s="1201"/>
      <c r="AB452" s="1202"/>
      <c r="AC452" s="3292"/>
      <c r="AD452" s="3291"/>
      <c r="AE452" s="3291"/>
      <c r="AF452" s="3290"/>
      <c r="AI452" s="3120" t="str">
        <f>"2B:unitcare_code:" &amp; IF(I452="■",1,IF(M452="■",2,0))</f>
        <v>2B:unitcare_code:0</v>
      </c>
    </row>
    <row r="453" spans="1:36" s="3120" customFormat="1" ht="18.75" customHeight="1" x14ac:dyDescent="0.2">
      <c r="A453" s="834"/>
      <c r="B453" s="3148"/>
      <c r="C453" s="3295"/>
      <c r="D453" s="3294"/>
      <c r="E453" s="3145"/>
      <c r="F453" s="3144"/>
      <c r="G453" s="3175"/>
      <c r="H453" s="3381" t="s">
        <v>1325</v>
      </c>
      <c r="I453" s="3222" t="s">
        <v>116</v>
      </c>
      <c r="J453" s="3217" t="s">
        <v>1228</v>
      </c>
      <c r="K453" s="3221"/>
      <c r="L453" s="3220"/>
      <c r="M453" s="3219" t="s">
        <v>116</v>
      </c>
      <c r="N453" s="3217" t="s">
        <v>1322</v>
      </c>
      <c r="O453" s="3221"/>
      <c r="P453" s="3380"/>
      <c r="Q453" s="3380"/>
      <c r="R453" s="3380"/>
      <c r="S453" s="3380"/>
      <c r="T453" s="3380"/>
      <c r="U453" s="3380"/>
      <c r="V453" s="3380"/>
      <c r="W453" s="3380"/>
      <c r="X453" s="3379"/>
      <c r="Y453" s="3293"/>
      <c r="Z453" s="1201"/>
      <c r="AA453" s="1201"/>
      <c r="AB453" s="1202"/>
      <c r="AC453" s="3292"/>
      <c r="AD453" s="3291"/>
      <c r="AE453" s="3291"/>
      <c r="AF453" s="3290"/>
      <c r="AI453" s="3120" t="str">
        <f>"2B:sintaikousoku_code:" &amp; IF(I453="■",1,IF(M453="■",2,0))</f>
        <v>2B:sintaikousoku_code:0</v>
      </c>
    </row>
    <row r="454" spans="1:36" ht="19.5" customHeight="1" x14ac:dyDescent="0.2">
      <c r="A454" s="834"/>
      <c r="B454" s="3148"/>
      <c r="C454" s="3147"/>
      <c r="D454" s="3146"/>
      <c r="E454" s="3145"/>
      <c r="F454" s="3144"/>
      <c r="G454" s="3175"/>
      <c r="H454" s="3174" t="s">
        <v>1227</v>
      </c>
      <c r="I454" s="3303" t="s">
        <v>116</v>
      </c>
      <c r="J454" s="3137" t="s">
        <v>1228</v>
      </c>
      <c r="K454" s="3171"/>
      <c r="L454" s="3173"/>
      <c r="M454" s="3154" t="s">
        <v>116</v>
      </c>
      <c r="N454" s="3137" t="s">
        <v>1229</v>
      </c>
      <c r="O454" s="3137"/>
      <c r="P454" s="3137"/>
      <c r="Q454" s="3150"/>
      <c r="R454" s="3150"/>
      <c r="S454" s="3150"/>
      <c r="T454" s="3150"/>
      <c r="U454" s="3150"/>
      <c r="V454" s="3150"/>
      <c r="W454" s="3150"/>
      <c r="X454" s="3149"/>
      <c r="Y454" s="1201"/>
      <c r="Z454" s="1201"/>
      <c r="AA454" s="1201"/>
      <c r="AB454" s="1202"/>
      <c r="AC454" s="3292"/>
      <c r="AD454" s="3291"/>
      <c r="AE454" s="3291"/>
      <c r="AF454" s="3290"/>
      <c r="AI454" s="3120" t="str">
        <f>"2B:field223:" &amp; IF(I454="■",1,IF(M454="■",2,0))</f>
        <v>2B:field223:0</v>
      </c>
    </row>
    <row r="455" spans="1:36" ht="19.5" customHeight="1" x14ac:dyDescent="0.2">
      <c r="A455" s="834"/>
      <c r="B455" s="3148"/>
      <c r="C455" s="3147"/>
      <c r="D455" s="3146"/>
      <c r="E455" s="3145"/>
      <c r="F455" s="3144"/>
      <c r="G455" s="3175"/>
      <c r="H455" s="3174" t="s">
        <v>1253</v>
      </c>
      <c r="I455" s="3303" t="s">
        <v>116</v>
      </c>
      <c r="J455" s="3137" t="s">
        <v>1228</v>
      </c>
      <c r="K455" s="3171"/>
      <c r="L455" s="3173"/>
      <c r="M455" s="3154" t="s">
        <v>116</v>
      </c>
      <c r="N455" s="3137" t="s">
        <v>1229</v>
      </c>
      <c r="O455" s="3137"/>
      <c r="P455" s="3137"/>
      <c r="Q455" s="3150"/>
      <c r="R455" s="3150"/>
      <c r="S455" s="3150"/>
      <c r="T455" s="3150"/>
      <c r="U455" s="3150"/>
      <c r="V455" s="3150"/>
      <c r="W455" s="3150"/>
      <c r="X455" s="3149"/>
      <c r="Y455" s="1201"/>
      <c r="Z455" s="1201"/>
      <c r="AA455" s="1201"/>
      <c r="AB455" s="1202"/>
      <c r="AC455" s="3292"/>
      <c r="AD455" s="3291"/>
      <c r="AE455" s="3291"/>
      <c r="AF455" s="3290"/>
      <c r="AI455" s="3120" t="str">
        <f>"2B:field232:" &amp; IF(I455="■",1,IF(M455="■",2,0))</f>
        <v>2B:field232:0</v>
      </c>
    </row>
    <row r="456" spans="1:36" ht="18.75" customHeight="1" x14ac:dyDescent="0.2">
      <c r="A456" s="834"/>
      <c r="B456" s="3148"/>
      <c r="C456" s="3147"/>
      <c r="D456" s="3146"/>
      <c r="E456" s="3145"/>
      <c r="F456" s="3144"/>
      <c r="G456" s="3145"/>
      <c r="H456" s="3151" t="s">
        <v>236</v>
      </c>
      <c r="I456" s="3303" t="s">
        <v>116</v>
      </c>
      <c r="J456" s="3137" t="s">
        <v>1282</v>
      </c>
      <c r="K456" s="3171"/>
      <c r="L456" s="3173"/>
      <c r="M456" s="3154" t="s">
        <v>116</v>
      </c>
      <c r="N456" s="3137" t="s">
        <v>1293</v>
      </c>
      <c r="O456" s="3150"/>
      <c r="P456" s="3150"/>
      <c r="Q456" s="3150"/>
      <c r="R456" s="3150"/>
      <c r="S456" s="3150"/>
      <c r="T456" s="3150"/>
      <c r="U456" s="3150"/>
      <c r="V456" s="3150"/>
      <c r="W456" s="3150"/>
      <c r="X456" s="3149"/>
      <c r="Y456" s="3293"/>
      <c r="Z456" s="1201"/>
      <c r="AA456" s="1201"/>
      <c r="AB456" s="1202"/>
      <c r="AC456" s="3292"/>
      <c r="AD456" s="3291"/>
      <c r="AE456" s="3291"/>
      <c r="AF456" s="3290"/>
      <c r="AI456" s="3120" t="str">
        <f>"2B:field190:" &amp; IF(I456="■",1,IF(M456="■",2,0))</f>
        <v>2B:field190:0</v>
      </c>
    </row>
    <row r="457" spans="1:36" ht="18.75" customHeight="1" x14ac:dyDescent="0.2">
      <c r="A457" s="834"/>
      <c r="B457" s="3148"/>
      <c r="C457" s="3147"/>
      <c r="D457" s="3146"/>
      <c r="E457" s="3145"/>
      <c r="F457" s="3144"/>
      <c r="G457" s="3145"/>
      <c r="H457" s="3151" t="s">
        <v>1305</v>
      </c>
      <c r="I457" s="3303" t="s">
        <v>116</v>
      </c>
      <c r="J457" s="3137" t="s">
        <v>1282</v>
      </c>
      <c r="K457" s="3171"/>
      <c r="L457" s="3173"/>
      <c r="M457" s="3154" t="s">
        <v>116</v>
      </c>
      <c r="N457" s="3137" t="s">
        <v>1293</v>
      </c>
      <c r="O457" s="3150"/>
      <c r="P457" s="3150"/>
      <c r="Q457" s="3150"/>
      <c r="R457" s="3150"/>
      <c r="S457" s="3150"/>
      <c r="T457" s="3150"/>
      <c r="U457" s="3150"/>
      <c r="V457" s="3150"/>
      <c r="W457" s="3150"/>
      <c r="X457" s="3149"/>
      <c r="Y457" s="3293"/>
      <c r="Z457" s="1201"/>
      <c r="AA457" s="1201"/>
      <c r="AB457" s="1202"/>
      <c r="AC457" s="3292"/>
      <c r="AD457" s="3291"/>
      <c r="AE457" s="3291"/>
      <c r="AF457" s="3290"/>
      <c r="AI457" s="3120" t="str">
        <f>"2B:field191:" &amp; IF(I457="■",1,IF(M457="■",2,0))</f>
        <v>2B:field191:0</v>
      </c>
    </row>
    <row r="458" spans="1:36" ht="18.75" customHeight="1" x14ac:dyDescent="0.2">
      <c r="A458" s="3158" t="s">
        <v>116</v>
      </c>
      <c r="B458" s="3148" t="s">
        <v>572</v>
      </c>
      <c r="C458" s="3147" t="s">
        <v>641</v>
      </c>
      <c r="D458" s="3158" t="s">
        <v>116</v>
      </c>
      <c r="E458" s="3145" t="s">
        <v>1321</v>
      </c>
      <c r="F458" s="3158" t="s">
        <v>116</v>
      </c>
      <c r="G458" s="3145" t="s">
        <v>1318</v>
      </c>
      <c r="H458" s="3151" t="s">
        <v>1348</v>
      </c>
      <c r="I458" s="3303" t="s">
        <v>116</v>
      </c>
      <c r="J458" s="3137" t="s">
        <v>1230</v>
      </c>
      <c r="K458" s="3171"/>
      <c r="L458" s="3154" t="s">
        <v>116</v>
      </c>
      <c r="M458" s="3137" t="s">
        <v>1233</v>
      </c>
      <c r="N458" s="3150"/>
      <c r="O458" s="3150"/>
      <c r="P458" s="3150"/>
      <c r="Q458" s="3150"/>
      <c r="R458" s="3150"/>
      <c r="S458" s="3150"/>
      <c r="T458" s="3150"/>
      <c r="U458" s="3150"/>
      <c r="V458" s="3150"/>
      <c r="W458" s="3150"/>
      <c r="X458" s="3149"/>
      <c r="Y458" s="3293"/>
      <c r="Z458" s="1201"/>
      <c r="AA458" s="1201"/>
      <c r="AB458" s="1202"/>
      <c r="AC458" s="3292"/>
      <c r="AD458" s="3291"/>
      <c r="AE458" s="3291"/>
      <c r="AF458" s="3290"/>
      <c r="AI458" s="3120" t="str">
        <f>"2B:jyakuninti_uke_code:" &amp; IF(I458="■",1,IF(L458="■",2,0))</f>
        <v>2B:jyakuninti_uke_code:0</v>
      </c>
    </row>
    <row r="459" spans="1:36" ht="18.75" customHeight="1" x14ac:dyDescent="0.2">
      <c r="A459" s="834"/>
      <c r="B459" s="3148"/>
      <c r="C459" s="3147"/>
      <c r="D459" s="3146"/>
      <c r="E459" s="3145"/>
      <c r="F459" s="3158" t="s">
        <v>116</v>
      </c>
      <c r="G459" s="3145" t="s">
        <v>1301</v>
      </c>
      <c r="H459" s="3151" t="s">
        <v>1284</v>
      </c>
      <c r="I459" s="3303" t="s">
        <v>116</v>
      </c>
      <c r="J459" s="3137" t="s">
        <v>1240</v>
      </c>
      <c r="K459" s="3171"/>
      <c r="L459" s="3173"/>
      <c r="M459" s="3154" t="s">
        <v>116</v>
      </c>
      <c r="N459" s="3137" t="s">
        <v>1241</v>
      </c>
      <c r="O459" s="3150"/>
      <c r="P459" s="3150"/>
      <c r="Q459" s="3150"/>
      <c r="R459" s="3150"/>
      <c r="S459" s="3150"/>
      <c r="T459" s="3150"/>
      <c r="U459" s="3150"/>
      <c r="V459" s="3150"/>
      <c r="W459" s="3150"/>
      <c r="X459" s="3149"/>
      <c r="Y459" s="3293"/>
      <c r="Z459" s="1201"/>
      <c r="AA459" s="1201"/>
      <c r="AB459" s="1202"/>
      <c r="AC459" s="3292"/>
      <c r="AD459" s="3291"/>
      <c r="AE459" s="3291"/>
      <c r="AF459" s="3290"/>
      <c r="AI459" s="3120" t="str">
        <f>"2B:sougei_code:" &amp; IF(I459="■",1,IF(M459="■",2,0))</f>
        <v>2B:sougei_code:0</v>
      </c>
    </row>
    <row r="460" spans="1:36" ht="19.5" customHeight="1" x14ac:dyDescent="0.2">
      <c r="A460" s="834"/>
      <c r="B460" s="3148"/>
      <c r="C460" s="3147"/>
      <c r="D460" s="3146"/>
      <c r="E460" s="3145"/>
      <c r="F460" s="3144"/>
      <c r="G460" s="3175"/>
      <c r="H460" s="3174" t="s">
        <v>1236</v>
      </c>
      <c r="I460" s="3303" t="s">
        <v>116</v>
      </c>
      <c r="J460" s="3137" t="s">
        <v>1230</v>
      </c>
      <c r="K460" s="3137"/>
      <c r="L460" s="3154" t="s">
        <v>116</v>
      </c>
      <c r="M460" s="3137" t="s">
        <v>1233</v>
      </c>
      <c r="N460" s="3137"/>
      <c r="O460" s="3150"/>
      <c r="P460" s="3137"/>
      <c r="Q460" s="3150"/>
      <c r="R460" s="3150"/>
      <c r="S460" s="3150"/>
      <c r="T460" s="3150"/>
      <c r="U460" s="3150"/>
      <c r="V460" s="3150"/>
      <c r="W460" s="3150"/>
      <c r="X460" s="3149"/>
      <c r="Y460" s="1201"/>
      <c r="Z460" s="1201"/>
      <c r="AA460" s="1201"/>
      <c r="AB460" s="1202"/>
      <c r="AC460" s="3292"/>
      <c r="AD460" s="3291"/>
      <c r="AE460" s="3291"/>
      <c r="AF460" s="3290"/>
      <c r="AI460" s="3120" t="str">
        <f>"2B:field224:" &amp; IF(I460="■",1,IF(L460="■",2,0))</f>
        <v>2B:field224:0</v>
      </c>
    </row>
    <row r="461" spans="1:36" ht="18.75" customHeight="1" x14ac:dyDescent="0.2">
      <c r="A461" s="834"/>
      <c r="B461" s="3148"/>
      <c r="C461" s="3147"/>
      <c r="D461" s="3146"/>
      <c r="E461" s="3145"/>
      <c r="F461" s="3144"/>
      <c r="G461" s="3145"/>
      <c r="H461" s="3151" t="s">
        <v>140</v>
      </c>
      <c r="I461" s="3303" t="s">
        <v>116</v>
      </c>
      <c r="J461" s="3137" t="s">
        <v>1230</v>
      </c>
      <c r="K461" s="3171"/>
      <c r="L461" s="3154" t="s">
        <v>116</v>
      </c>
      <c r="M461" s="3137" t="s">
        <v>1233</v>
      </c>
      <c r="N461" s="3150"/>
      <c r="O461" s="3150"/>
      <c r="P461" s="3150"/>
      <c r="Q461" s="3150"/>
      <c r="R461" s="3150"/>
      <c r="S461" s="3150"/>
      <c r="T461" s="3150"/>
      <c r="U461" s="3150"/>
      <c r="V461" s="3150"/>
      <c r="W461" s="3150"/>
      <c r="X461" s="3149"/>
      <c r="Y461" s="3293"/>
      <c r="Z461" s="1201"/>
      <c r="AA461" s="1201"/>
      <c r="AB461" s="1202"/>
      <c r="AC461" s="3292"/>
      <c r="AD461" s="3291"/>
      <c r="AE461" s="3291"/>
      <c r="AF461" s="3290"/>
      <c r="AI461" s="3120" t="str">
        <f>"2B:ryouyoushoku_code:" &amp; IF(I461="■",1,IF(L461="■",2,0))</f>
        <v>2B:ryouyoushoku_code:0</v>
      </c>
    </row>
    <row r="462" spans="1:36" ht="18.75" customHeight="1" x14ac:dyDescent="0.2">
      <c r="A462" s="834"/>
      <c r="B462" s="3148"/>
      <c r="C462" s="3147"/>
      <c r="D462" s="3146"/>
      <c r="E462" s="3145"/>
      <c r="F462" s="3144"/>
      <c r="G462" s="3145"/>
      <c r="H462" s="3151" t="s">
        <v>1237</v>
      </c>
      <c r="I462" s="3303" t="s">
        <v>116</v>
      </c>
      <c r="J462" s="3137" t="s">
        <v>1230</v>
      </c>
      <c r="K462" s="3137"/>
      <c r="L462" s="3154" t="s">
        <v>116</v>
      </c>
      <c r="M462" s="3137" t="s">
        <v>1231</v>
      </c>
      <c r="N462" s="3137"/>
      <c r="O462" s="3154" t="s">
        <v>116</v>
      </c>
      <c r="P462" s="3137" t="s">
        <v>1232</v>
      </c>
      <c r="Q462" s="3150"/>
      <c r="R462" s="3150"/>
      <c r="S462" s="3150"/>
      <c r="T462" s="3150"/>
      <c r="U462" s="3150"/>
      <c r="V462" s="3150"/>
      <c r="W462" s="3150"/>
      <c r="X462" s="3149"/>
      <c r="Y462" s="3293"/>
      <c r="Z462" s="1201"/>
      <c r="AA462" s="1201"/>
      <c r="AB462" s="1202"/>
      <c r="AC462" s="3292"/>
      <c r="AD462" s="3291"/>
      <c r="AE462" s="3291"/>
      <c r="AF462" s="3290"/>
      <c r="AI462" s="3120" t="str">
        <f>"2B:ninti_senmoncare_code:" &amp; IF(I462="■",1,IF(O462="■",3,IF(L462="■",2,0)))</f>
        <v>2B:ninti_senmoncare_code:0</v>
      </c>
    </row>
    <row r="463" spans="1:36" ht="18.75" customHeight="1" x14ac:dyDescent="0.2">
      <c r="A463" s="834"/>
      <c r="B463" s="3148"/>
      <c r="C463" s="3147"/>
      <c r="D463" s="3146"/>
      <c r="E463" s="3145"/>
      <c r="F463" s="3144"/>
      <c r="G463" s="3145"/>
      <c r="H463" s="3296" t="s">
        <v>1285</v>
      </c>
      <c r="I463" s="3303" t="s">
        <v>116</v>
      </c>
      <c r="J463" s="3137" t="s">
        <v>1230</v>
      </c>
      <c r="K463" s="3137"/>
      <c r="L463" s="3154" t="s">
        <v>116</v>
      </c>
      <c r="M463" s="3137" t="s">
        <v>1231</v>
      </c>
      <c r="N463" s="3137"/>
      <c r="O463" s="3154" t="s">
        <v>116</v>
      </c>
      <c r="P463" s="3137" t="s">
        <v>1232</v>
      </c>
      <c r="Q463" s="3150"/>
      <c r="R463" s="3150"/>
      <c r="S463" s="3150"/>
      <c r="T463" s="3150"/>
      <c r="U463" s="3209"/>
      <c r="V463" s="3209"/>
      <c r="W463" s="3209"/>
      <c r="X463" s="3208"/>
      <c r="Y463" s="3293"/>
      <c r="Z463" s="1201"/>
      <c r="AA463" s="1201"/>
      <c r="AB463" s="1202"/>
      <c r="AC463" s="3292"/>
      <c r="AD463" s="3291"/>
      <c r="AE463" s="3291"/>
      <c r="AF463" s="3290"/>
      <c r="AI463" s="3120" t="str">
        <f>"2B:field225:" &amp; IF(I463="■",1,IF(L463="■",2,IF(O463="■",3,0)))</f>
        <v>2B:field225:0</v>
      </c>
    </row>
    <row r="464" spans="1:36" ht="18.75" customHeight="1" x14ac:dyDescent="0.2">
      <c r="A464" s="834"/>
      <c r="B464" s="3148"/>
      <c r="C464" s="3147"/>
      <c r="D464" s="3146"/>
      <c r="E464" s="3145"/>
      <c r="F464" s="3144"/>
      <c r="G464" s="3145"/>
      <c r="H464" s="3151" t="s">
        <v>238</v>
      </c>
      <c r="I464" s="3303" t="s">
        <v>116</v>
      </c>
      <c r="J464" s="3137" t="s">
        <v>1230</v>
      </c>
      <c r="K464" s="3137"/>
      <c r="L464" s="3154" t="s">
        <v>116</v>
      </c>
      <c r="M464" s="3137" t="s">
        <v>1259</v>
      </c>
      <c r="N464" s="3137"/>
      <c r="O464" s="3154" t="s">
        <v>116</v>
      </c>
      <c r="P464" s="3137" t="s">
        <v>1260</v>
      </c>
      <c r="Q464" s="3153"/>
      <c r="R464" s="3154" t="s">
        <v>116</v>
      </c>
      <c r="S464" s="3137" t="s">
        <v>1261</v>
      </c>
      <c r="T464" s="3153"/>
      <c r="U464" s="3153"/>
      <c r="V464" s="3153"/>
      <c r="W464" s="3153"/>
      <c r="X464" s="3152"/>
      <c r="Y464" s="3293"/>
      <c r="Z464" s="1201"/>
      <c r="AA464" s="1201"/>
      <c r="AB464" s="1202"/>
      <c r="AC464" s="3292"/>
      <c r="AD464" s="3291"/>
      <c r="AE464" s="3291"/>
      <c r="AF464" s="3290"/>
      <c r="AI464" s="3120" t="str">
        <f>"2B:serteikyo_kyoka_code:" &amp; IF(I464="■",1,IF(L464="■",6,IF(O464="■",5,IF(R464="■",7,0))))</f>
        <v>2B:serteikyo_kyoka_code:0</v>
      </c>
    </row>
    <row r="465" spans="1:37" ht="18.75" customHeight="1" x14ac:dyDescent="0.2">
      <c r="A465" s="834"/>
      <c r="B465" s="3148"/>
      <c r="C465" s="3147"/>
      <c r="D465" s="3146"/>
      <c r="E465" s="3145"/>
      <c r="F465" s="3144"/>
      <c r="G465" s="3145"/>
      <c r="H465" s="3170" t="s">
        <v>2058</v>
      </c>
      <c r="I465" s="3346" t="s">
        <v>116</v>
      </c>
      <c r="J465" s="3347" t="s">
        <v>1230</v>
      </c>
      <c r="K465" s="3347"/>
      <c r="L465" s="3346" t="s">
        <v>116</v>
      </c>
      <c r="M465" s="3347" t="s">
        <v>1233</v>
      </c>
      <c r="N465" s="3347"/>
      <c r="O465" s="3167"/>
      <c r="P465" s="3167"/>
      <c r="Q465" s="3167"/>
      <c r="R465" s="3167"/>
      <c r="S465" s="3167"/>
      <c r="T465" s="3167"/>
      <c r="U465" s="3167"/>
      <c r="V465" s="3167"/>
      <c r="W465" s="3167"/>
      <c r="X465" s="3166"/>
      <c r="Y465" s="3293"/>
      <c r="Z465" s="1201"/>
      <c r="AA465" s="1201"/>
      <c r="AB465" s="1202"/>
      <c r="AC465" s="3292"/>
      <c r="AD465" s="3291"/>
      <c r="AE465" s="3291"/>
      <c r="AF465" s="3290"/>
      <c r="AI465" s="3120" t="str">
        <f>"2B:field221:" &amp; IF(I465="■",1,IF(L465="■",2,0))</f>
        <v>2B:field221:0</v>
      </c>
    </row>
    <row r="466" spans="1:37" ht="18.75" customHeight="1" x14ac:dyDescent="0.2">
      <c r="A466" s="834"/>
      <c r="B466" s="3148"/>
      <c r="C466" s="3147"/>
      <c r="D466" s="3146"/>
      <c r="E466" s="3145"/>
      <c r="F466" s="3144"/>
      <c r="G466" s="3145"/>
      <c r="H466" s="3165"/>
      <c r="I466" s="3346"/>
      <c r="J466" s="3347"/>
      <c r="K466" s="3347"/>
      <c r="L466" s="3346"/>
      <c r="M466" s="3347"/>
      <c r="N466" s="3347"/>
      <c r="O466" s="3162"/>
      <c r="P466" s="3162"/>
      <c r="Q466" s="3162"/>
      <c r="R466" s="3162"/>
      <c r="S466" s="3162"/>
      <c r="T466" s="3162"/>
      <c r="U466" s="3162"/>
      <c r="V466" s="3162"/>
      <c r="W466" s="3162"/>
      <c r="X466" s="3161"/>
      <c r="Y466" s="3293"/>
      <c r="Z466" s="1201"/>
      <c r="AA466" s="1201"/>
      <c r="AB466" s="1202"/>
      <c r="AC466" s="3292"/>
      <c r="AD466" s="3291"/>
      <c r="AE466" s="3291"/>
      <c r="AF466" s="3290"/>
    </row>
    <row r="467" spans="1:37" ht="18.75" customHeight="1" x14ac:dyDescent="0.2">
      <c r="A467" s="835"/>
      <c r="B467" s="3135"/>
      <c r="C467" s="3134"/>
      <c r="D467" s="3133"/>
      <c r="E467" s="3132"/>
      <c r="F467" s="3131"/>
      <c r="G467" s="3189"/>
      <c r="H467" s="3289" t="s">
        <v>2129</v>
      </c>
      <c r="I467" s="3128" t="s">
        <v>116</v>
      </c>
      <c r="J467" s="3285" t="s">
        <v>1230</v>
      </c>
      <c r="K467" s="3285"/>
      <c r="L467" s="3127" t="s">
        <v>116</v>
      </c>
      <c r="M467" s="3285" t="s">
        <v>2128</v>
      </c>
      <c r="N467" s="3288"/>
      <c r="O467" s="3127" t="s">
        <v>116</v>
      </c>
      <c r="P467" s="3287" t="s">
        <v>2127</v>
      </c>
      <c r="Q467" s="3286"/>
      <c r="R467" s="3127" t="s">
        <v>116</v>
      </c>
      <c r="S467" s="3285" t="s">
        <v>2126</v>
      </c>
      <c r="T467" s="3286"/>
      <c r="U467" s="3127" t="s">
        <v>116</v>
      </c>
      <c r="V467" s="3285" t="s">
        <v>2125</v>
      </c>
      <c r="W467" s="3284"/>
      <c r="X467" s="3283"/>
      <c r="Y467" s="3282"/>
      <c r="Z467" s="3282"/>
      <c r="AA467" s="3282"/>
      <c r="AB467" s="3281"/>
      <c r="AC467" s="3280"/>
      <c r="AD467" s="3279"/>
      <c r="AE467" s="3279"/>
      <c r="AF467" s="3278"/>
      <c r="AG467" s="3120"/>
      <c r="AH467" s="3120"/>
      <c r="AI467" s="3120" t="str">
        <f>"2B:shoguukaizen_code:"&amp;IF(I467="■",1,IF(L467="■",7,IF(O467="■",8,IF(R467="■",9,IF(U467="■","A",0)))))</f>
        <v>2B:shoguukaizen_code:0</v>
      </c>
    </row>
    <row r="468" spans="1:37" ht="18.75" hidden="1" customHeight="1" x14ac:dyDescent="0.2">
      <c r="A468" s="3188"/>
      <c r="B468" s="3187"/>
      <c r="C468" s="3186"/>
      <c r="D468" s="3184"/>
      <c r="E468" s="3185"/>
      <c r="F468" s="3184"/>
      <c r="G468" s="3185"/>
      <c r="H468" s="3382" t="s">
        <v>90</v>
      </c>
      <c r="I468" s="3303" t="s">
        <v>116</v>
      </c>
      <c r="J468" s="3180" t="s">
        <v>1230</v>
      </c>
      <c r="K468" s="3180"/>
      <c r="L468" s="3225"/>
      <c r="M468" s="3179" t="s">
        <v>116</v>
      </c>
      <c r="N468" s="3180" t="s">
        <v>2103</v>
      </c>
      <c r="O468" s="3180"/>
      <c r="P468" s="3225"/>
      <c r="Q468" s="3179" t="s">
        <v>116</v>
      </c>
      <c r="R468" s="3178" t="s">
        <v>2102</v>
      </c>
      <c r="S468" s="3178"/>
      <c r="T468" s="3226"/>
      <c r="U468" s="3226"/>
      <c r="V468" s="3226"/>
      <c r="W468" s="3226"/>
      <c r="X468" s="3339"/>
      <c r="Y468" s="3253" t="s">
        <v>116</v>
      </c>
      <c r="Z468" s="3252" t="s">
        <v>1225</v>
      </c>
      <c r="AA468" s="3252"/>
      <c r="AB468" s="3308"/>
      <c r="AC468" s="3310" t="s">
        <v>116</v>
      </c>
      <c r="AD468" s="3252" t="s">
        <v>1225</v>
      </c>
      <c r="AE468" s="3252"/>
      <c r="AF468" s="3308"/>
      <c r="AG468" s="3120" t="str">
        <f>"ser_code = '" &amp; IF(A474="■",35,"") &amp; "'"</f>
        <v>ser_code = ''</v>
      </c>
      <c r="AH468" s="3120" t="str">
        <f>"35:jininkbn_code:"&amp;IF(F473="■",1,IF(F474="■",2,0))</f>
        <v>35:jininkbn_code:0</v>
      </c>
      <c r="AI468" s="3120" t="str">
        <f>"35:"&amp;IF(AND(I468="□",M468="□",Q468="□"),"ketu_kangos_code:0",IF(I468="■","ketu_kangos_code:1:ketu_kshoku_code:1",IF(M468="■","ketu_kangos_code:2","ketu_kangos_code:1")&amp;IF(Q468="■",":ketu_kshoku_code:2",":ketu_kshoku_code:1")))</f>
        <v>35:ketu_kangos_code:0</v>
      </c>
      <c r="AJ468" s="3120" t="str">
        <f>"35:field203:" &amp; IF(Y468="■",1,IF(Y469="■",2,0))</f>
        <v>35:field203:0</v>
      </c>
      <c r="AK468" s="3120" t="str">
        <f>"35:waribiki_code:" &amp; IF(AC468="■",1,IF(AC469="■",2,0))</f>
        <v>35:waribiki_code:0</v>
      </c>
    </row>
    <row r="469" spans="1:37" ht="18.75" hidden="1" customHeight="1" x14ac:dyDescent="0.2">
      <c r="A469" s="834"/>
      <c r="B469" s="3148"/>
      <c r="C469" s="3160"/>
      <c r="D469" s="3144"/>
      <c r="E469" s="3145"/>
      <c r="F469" s="3144"/>
      <c r="G469" s="3145"/>
      <c r="H469" s="3243" t="s">
        <v>2067</v>
      </c>
      <c r="I469" s="3303" t="s">
        <v>116</v>
      </c>
      <c r="J469" s="3137" t="s">
        <v>1228</v>
      </c>
      <c r="K469" s="3171"/>
      <c r="L469" s="3173"/>
      <c r="M469" s="3154" t="s">
        <v>116</v>
      </c>
      <c r="N469" s="3137" t="s">
        <v>1322</v>
      </c>
      <c r="O469" s="3150"/>
      <c r="P469" s="3150"/>
      <c r="Q469" s="3137"/>
      <c r="R469" s="3137"/>
      <c r="S469" s="3137"/>
      <c r="T469" s="3137"/>
      <c r="U469" s="3137"/>
      <c r="V469" s="3137"/>
      <c r="W469" s="3137"/>
      <c r="X469" s="3136"/>
      <c r="Y469" s="3258" t="s">
        <v>116</v>
      </c>
      <c r="Z469" s="1200" t="s">
        <v>1226</v>
      </c>
      <c r="AA469" s="1201"/>
      <c r="AB469" s="1202"/>
      <c r="AC469" s="3258" t="s">
        <v>116</v>
      </c>
      <c r="AD469" s="1200" t="s">
        <v>1226</v>
      </c>
      <c r="AE469" s="1201"/>
      <c r="AF469" s="1202"/>
      <c r="AG469" s="3120" t="str">
        <f>"35:sisetukbn_code:" &amp; IF(D473="■",1,IF(D474="■",2,IF(D475="■",3,0)))</f>
        <v>35:sisetukbn_code:0</v>
      </c>
      <c r="AH469" s="3120"/>
      <c r="AI469" s="3120" t="str">
        <f>"35:sintaikousoku_code:" &amp; IF(I469="■",1,IF(M469="■",2,0))</f>
        <v>35:sintaikousoku_code:0</v>
      </c>
      <c r="AJ469" s="3120"/>
      <c r="AK469" s="3120"/>
    </row>
    <row r="470" spans="1:37" ht="19.5" hidden="1" customHeight="1" x14ac:dyDescent="0.2">
      <c r="A470" s="834"/>
      <c r="B470" s="3148"/>
      <c r="C470" s="3147"/>
      <c r="D470" s="3146"/>
      <c r="E470" s="3145"/>
      <c r="F470" s="3144"/>
      <c r="G470" s="3175"/>
      <c r="H470" s="3174" t="s">
        <v>1227</v>
      </c>
      <c r="I470" s="3303" t="s">
        <v>116</v>
      </c>
      <c r="J470" s="3137" t="s">
        <v>1228</v>
      </c>
      <c r="K470" s="3171"/>
      <c r="L470" s="3173"/>
      <c r="M470" s="3154" t="s">
        <v>116</v>
      </c>
      <c r="N470" s="3137" t="s">
        <v>1229</v>
      </c>
      <c r="O470" s="3150"/>
      <c r="P470" s="3137"/>
      <c r="Q470" s="3150"/>
      <c r="R470" s="3150"/>
      <c r="S470" s="3150"/>
      <c r="T470" s="3150"/>
      <c r="U470" s="3150"/>
      <c r="V470" s="3150"/>
      <c r="W470" s="3150"/>
      <c r="X470" s="3149"/>
      <c r="Y470" s="1201"/>
      <c r="Z470" s="1201"/>
      <c r="AA470" s="1201"/>
      <c r="AB470" s="1202"/>
      <c r="AC470" s="3293"/>
      <c r="AD470" s="1201"/>
      <c r="AE470" s="1201"/>
      <c r="AF470" s="1202"/>
      <c r="AI470" s="3120" t="str">
        <f>"35:field223:" &amp; IF(I470="■",1,IF(M470="■",2,0))</f>
        <v>35:field223:0</v>
      </c>
    </row>
    <row r="471" spans="1:37" ht="19.5" hidden="1" customHeight="1" x14ac:dyDescent="0.2">
      <c r="A471" s="834"/>
      <c r="B471" s="3148"/>
      <c r="C471" s="3147"/>
      <c r="D471" s="3146"/>
      <c r="E471" s="3145"/>
      <c r="F471" s="3144"/>
      <c r="G471" s="3175"/>
      <c r="H471" s="3174" t="s">
        <v>1253</v>
      </c>
      <c r="I471" s="3303" t="s">
        <v>116</v>
      </c>
      <c r="J471" s="3137" t="s">
        <v>1228</v>
      </c>
      <c r="K471" s="3171"/>
      <c r="L471" s="3173"/>
      <c r="M471" s="3154" t="s">
        <v>116</v>
      </c>
      <c r="N471" s="3137" t="s">
        <v>1229</v>
      </c>
      <c r="O471" s="3150"/>
      <c r="P471" s="3137"/>
      <c r="Q471" s="3150"/>
      <c r="R471" s="3150"/>
      <c r="S471" s="3150"/>
      <c r="T471" s="3150"/>
      <c r="U471" s="3150"/>
      <c r="V471" s="3150"/>
      <c r="W471" s="3150"/>
      <c r="X471" s="3149"/>
      <c r="Y471" s="1201"/>
      <c r="Z471" s="1201"/>
      <c r="AA471" s="1201"/>
      <c r="AB471" s="1202"/>
      <c r="AC471" s="3293"/>
      <c r="AD471" s="1201"/>
      <c r="AE471" s="1201"/>
      <c r="AF471" s="1202"/>
      <c r="AI471" s="3120" t="str">
        <f>"35:field232:" &amp; IF(I471="■",1,IF(M471="■",2,0))</f>
        <v>35:field232:0</v>
      </c>
    </row>
    <row r="472" spans="1:37" ht="18.75" hidden="1" customHeight="1" x14ac:dyDescent="0.2">
      <c r="A472" s="834"/>
      <c r="B472" s="3148"/>
      <c r="C472" s="3160"/>
      <c r="D472" s="3144"/>
      <c r="E472" s="3145"/>
      <c r="F472" s="3144"/>
      <c r="G472" s="3145"/>
      <c r="H472" s="3142" t="s">
        <v>2177</v>
      </c>
      <c r="I472" s="3303" t="s">
        <v>116</v>
      </c>
      <c r="J472" s="3137" t="s">
        <v>1230</v>
      </c>
      <c r="K472" s="3137"/>
      <c r="L472" s="3154" t="s">
        <v>116</v>
      </c>
      <c r="M472" s="3137" t="s">
        <v>1239</v>
      </c>
      <c r="N472" s="3137"/>
      <c r="O472" s="3154" t="s">
        <v>116</v>
      </c>
      <c r="P472" s="3137" t="s">
        <v>2090</v>
      </c>
      <c r="Q472" s="3137"/>
      <c r="R472" s="3137"/>
      <c r="S472" s="3137"/>
      <c r="T472" s="3137"/>
      <c r="U472" s="3137"/>
      <c r="V472" s="3137"/>
      <c r="W472" s="3137"/>
      <c r="X472" s="3136"/>
      <c r="Y472" s="3293"/>
      <c r="Z472" s="1201"/>
      <c r="AA472" s="1201"/>
      <c r="AB472" s="1202"/>
      <c r="AC472" s="3293"/>
      <c r="AD472" s="1201"/>
      <c r="AE472" s="1201"/>
      <c r="AF472" s="1202"/>
      <c r="AI472" s="3120" t="str">
        <f>"35:field185:" &amp; IF(I472="■",1,IF(L472="■",3,IF(O472="■",2,0)))</f>
        <v>35:field185:0</v>
      </c>
    </row>
    <row r="473" spans="1:37" ht="18.75" hidden="1" customHeight="1" x14ac:dyDescent="0.2">
      <c r="A473" s="834"/>
      <c r="B473" s="3148"/>
      <c r="C473" s="3160"/>
      <c r="D473" s="3158" t="s">
        <v>116</v>
      </c>
      <c r="E473" s="3145" t="s">
        <v>2325</v>
      </c>
      <c r="F473" s="3158" t="s">
        <v>116</v>
      </c>
      <c r="G473" s="3145" t="s">
        <v>2212</v>
      </c>
      <c r="H473" s="3142" t="s">
        <v>2174</v>
      </c>
      <c r="I473" s="3303" t="s">
        <v>116</v>
      </c>
      <c r="J473" s="3137" t="s">
        <v>1230</v>
      </c>
      <c r="K473" s="3171"/>
      <c r="L473" s="3154" t="s">
        <v>116</v>
      </c>
      <c r="M473" s="3137" t="s">
        <v>1233</v>
      </c>
      <c r="N473" s="3137"/>
      <c r="O473" s="3137"/>
      <c r="P473" s="3137"/>
      <c r="Q473" s="3137"/>
      <c r="R473" s="3137"/>
      <c r="S473" s="3137"/>
      <c r="T473" s="3137"/>
      <c r="U473" s="3137"/>
      <c r="V473" s="3137"/>
      <c r="W473" s="3137"/>
      <c r="X473" s="3136"/>
      <c r="Y473" s="3293"/>
      <c r="Z473" s="1201"/>
      <c r="AA473" s="1201"/>
      <c r="AB473" s="1202"/>
      <c r="AC473" s="3293"/>
      <c r="AD473" s="1201"/>
      <c r="AE473" s="1201"/>
      <c r="AF473" s="1202"/>
      <c r="AG473" s="3499"/>
      <c r="AI473" s="3120" t="str">
        <f>"35:kobetu_kunren_code:" &amp; IF(I473="■",1,IF(L473="■",2,0))</f>
        <v>35:kobetu_kunren_code:0</v>
      </c>
    </row>
    <row r="474" spans="1:37" ht="18.75" hidden="1" customHeight="1" x14ac:dyDescent="0.2">
      <c r="A474" s="3158" t="s">
        <v>116</v>
      </c>
      <c r="B474" s="3148">
        <v>35</v>
      </c>
      <c r="C474" s="3160" t="s">
        <v>2324</v>
      </c>
      <c r="D474" s="3158" t="s">
        <v>116</v>
      </c>
      <c r="E474" s="3145" t="s">
        <v>2323</v>
      </c>
      <c r="F474" s="3158" t="s">
        <v>116</v>
      </c>
      <c r="G474" s="3145" t="s">
        <v>2209</v>
      </c>
      <c r="H474" s="3243" t="s">
        <v>2201</v>
      </c>
      <c r="I474" s="3303" t="s">
        <v>116</v>
      </c>
      <c r="J474" s="3137" t="s">
        <v>1230</v>
      </c>
      <c r="K474" s="3171"/>
      <c r="L474" s="3154" t="s">
        <v>116</v>
      </c>
      <c r="M474" s="3137" t="s">
        <v>1233</v>
      </c>
      <c r="N474" s="3137"/>
      <c r="O474" s="3137"/>
      <c r="P474" s="3137"/>
      <c r="Q474" s="3137"/>
      <c r="R474" s="3137"/>
      <c r="S474" s="3137"/>
      <c r="T474" s="3137"/>
      <c r="U474" s="3137"/>
      <c r="V474" s="3137"/>
      <c r="W474" s="3137"/>
      <c r="X474" s="3136"/>
      <c r="Y474" s="3293"/>
      <c r="Z474" s="1201"/>
      <c r="AA474" s="1201"/>
      <c r="AB474" s="1202"/>
      <c r="AC474" s="3293"/>
      <c r="AD474" s="1201"/>
      <c r="AE474" s="1201"/>
      <c r="AF474" s="1202"/>
      <c r="AI474" s="3120" t="str">
        <f>"35:jyakuninti_uke_code:" &amp; IF(I474="■",1,IF(L474="■",2,0))</f>
        <v>35:jyakuninti_uke_code:0</v>
      </c>
    </row>
    <row r="475" spans="1:37" ht="18.75" hidden="1" customHeight="1" x14ac:dyDescent="0.2">
      <c r="A475" s="834"/>
      <c r="B475" s="3148"/>
      <c r="C475" s="3160" t="s">
        <v>2322</v>
      </c>
      <c r="D475" s="3158" t="s">
        <v>116</v>
      </c>
      <c r="E475" s="3145" t="s">
        <v>2321</v>
      </c>
      <c r="F475" s="3144"/>
      <c r="G475" s="3145" t="s">
        <v>2208</v>
      </c>
      <c r="H475" s="3142" t="s">
        <v>797</v>
      </c>
      <c r="I475" s="3303" t="s">
        <v>116</v>
      </c>
      <c r="J475" s="3137" t="s">
        <v>1230</v>
      </c>
      <c r="K475" s="3171"/>
      <c r="L475" s="3154" t="s">
        <v>116</v>
      </c>
      <c r="M475" s="3137" t="s">
        <v>1233</v>
      </c>
      <c r="N475" s="3137"/>
      <c r="O475" s="3137"/>
      <c r="P475" s="3137"/>
      <c r="Q475" s="3137"/>
      <c r="R475" s="3137"/>
      <c r="S475" s="3137"/>
      <c r="T475" s="3137"/>
      <c r="U475" s="3137"/>
      <c r="V475" s="3137"/>
      <c r="W475" s="3137"/>
      <c r="X475" s="3136"/>
      <c r="Y475" s="3293"/>
      <c r="Z475" s="1201"/>
      <c r="AA475" s="1201"/>
      <c r="AB475" s="1202"/>
      <c r="AC475" s="3293"/>
      <c r="AD475" s="1201"/>
      <c r="AE475" s="1201"/>
      <c r="AF475" s="1202"/>
      <c r="AI475" s="3120" t="str">
        <f>"35:field212:" &amp; IF(I475="■",1,IF(L475="■",2,0))</f>
        <v>35:field212:0</v>
      </c>
    </row>
    <row r="476" spans="1:37" ht="18.75" hidden="1" customHeight="1" x14ac:dyDescent="0.2">
      <c r="A476" s="834"/>
      <c r="B476" s="3148"/>
      <c r="C476" s="3160"/>
      <c r="D476" s="3146"/>
      <c r="E476" s="3145"/>
      <c r="F476" s="3144"/>
      <c r="G476" s="3175"/>
      <c r="H476" s="3243" t="s">
        <v>1237</v>
      </c>
      <c r="I476" s="3303" t="s">
        <v>116</v>
      </c>
      <c r="J476" s="3137" t="s">
        <v>1230</v>
      </c>
      <c r="K476" s="3137"/>
      <c r="L476" s="3154" t="s">
        <v>116</v>
      </c>
      <c r="M476" s="3137" t="s">
        <v>1231</v>
      </c>
      <c r="N476" s="3137"/>
      <c r="O476" s="3154" t="s">
        <v>116</v>
      </c>
      <c r="P476" s="3137" t="s">
        <v>1232</v>
      </c>
      <c r="Q476" s="3171"/>
      <c r="R476" s="3171"/>
      <c r="S476" s="3171"/>
      <c r="T476" s="3171"/>
      <c r="U476" s="3171"/>
      <c r="V476" s="3171"/>
      <c r="W476" s="3171"/>
      <c r="X476" s="3297"/>
      <c r="Y476" s="3293"/>
      <c r="Z476" s="1201"/>
      <c r="AA476" s="1201"/>
      <c r="AB476" s="1202"/>
      <c r="AC476" s="3293"/>
      <c r="AD476" s="1201"/>
      <c r="AE476" s="1201"/>
      <c r="AF476" s="1202"/>
      <c r="AI476" s="3120" t="str">
        <f>"35:ninti_senmoncare_code:" &amp; IF(I476="■",1,IF(O476="■",3,IF(L476="■",2,0)))</f>
        <v>35:ninti_senmoncare_code:0</v>
      </c>
    </row>
    <row r="477" spans="1:37" ht="18.75" hidden="1" customHeight="1" x14ac:dyDescent="0.2">
      <c r="A477" s="834"/>
      <c r="B477" s="3148"/>
      <c r="C477" s="3160"/>
      <c r="D477" s="3146"/>
      <c r="E477" s="3145"/>
      <c r="F477" s="3144"/>
      <c r="G477" s="3175"/>
      <c r="H477" s="3151" t="s">
        <v>1323</v>
      </c>
      <c r="I477" s="3303" t="s">
        <v>116</v>
      </c>
      <c r="J477" s="3137" t="s">
        <v>1230</v>
      </c>
      <c r="K477" s="3137"/>
      <c r="L477" s="3154" t="s">
        <v>116</v>
      </c>
      <c r="M477" s="3139" t="s">
        <v>1233</v>
      </c>
      <c r="N477" s="3137"/>
      <c r="O477" s="3137"/>
      <c r="P477" s="3137"/>
      <c r="Q477" s="3171"/>
      <c r="R477" s="3171"/>
      <c r="S477" s="3171"/>
      <c r="T477" s="3171"/>
      <c r="U477" s="3171"/>
      <c r="V477" s="3171"/>
      <c r="W477" s="3171"/>
      <c r="X477" s="3297"/>
      <c r="Y477" s="3293"/>
      <c r="Z477" s="1201"/>
      <c r="AA477" s="1201"/>
      <c r="AB477" s="1202"/>
      <c r="AC477" s="3293"/>
      <c r="AD477" s="1201"/>
      <c r="AE477" s="1201"/>
      <c r="AF477" s="1202"/>
      <c r="AI477" s="3120" t="str">
        <f>"35:field226:" &amp; IF(I477="■",1,IF(L477="■",2,0))</f>
        <v>35:field226:0</v>
      </c>
    </row>
    <row r="478" spans="1:37" ht="18.75" hidden="1" customHeight="1" x14ac:dyDescent="0.2">
      <c r="A478" s="834"/>
      <c r="B478" s="3148"/>
      <c r="C478" s="3147"/>
      <c r="D478" s="3146"/>
      <c r="E478" s="3145"/>
      <c r="F478" s="3144"/>
      <c r="G478" s="3175"/>
      <c r="H478" s="3151" t="s">
        <v>1324</v>
      </c>
      <c r="I478" s="3303" t="s">
        <v>116</v>
      </c>
      <c r="J478" s="3137" t="s">
        <v>1230</v>
      </c>
      <c r="K478" s="3137"/>
      <c r="L478" s="3154" t="s">
        <v>116</v>
      </c>
      <c r="M478" s="3139" t="s">
        <v>1233</v>
      </c>
      <c r="N478" s="3137"/>
      <c r="O478" s="3137"/>
      <c r="P478" s="3137"/>
      <c r="Q478" s="3171"/>
      <c r="R478" s="3171"/>
      <c r="S478" s="3171"/>
      <c r="T478" s="3171"/>
      <c r="U478" s="3171"/>
      <c r="V478" s="3171"/>
      <c r="W478" s="3171"/>
      <c r="X478" s="3297"/>
      <c r="Y478" s="3293"/>
      <c r="Z478" s="1201"/>
      <c r="AA478" s="1201"/>
      <c r="AB478" s="1202"/>
      <c r="AC478" s="3293"/>
      <c r="AD478" s="1201"/>
      <c r="AE478" s="1201"/>
      <c r="AF478" s="1202"/>
      <c r="AI478" s="3120" t="str">
        <f>"35:field227:" &amp; IF(I478="■",1,IF(L478="■",2,0))</f>
        <v>35:field227:0</v>
      </c>
    </row>
    <row r="479" spans="1:37" ht="18.75" hidden="1" customHeight="1" x14ac:dyDescent="0.2">
      <c r="A479" s="834"/>
      <c r="B479" s="3148"/>
      <c r="C479" s="3147"/>
      <c r="D479" s="3146"/>
      <c r="E479" s="3145"/>
      <c r="F479" s="3144"/>
      <c r="G479" s="3175"/>
      <c r="H479" s="3296" t="s">
        <v>1285</v>
      </c>
      <c r="I479" s="3303" t="s">
        <v>116</v>
      </c>
      <c r="J479" s="3137" t="s">
        <v>1230</v>
      </c>
      <c r="K479" s="3137"/>
      <c r="L479" s="3154" t="s">
        <v>116</v>
      </c>
      <c r="M479" s="3137" t="s">
        <v>1231</v>
      </c>
      <c r="N479" s="3137"/>
      <c r="O479" s="3154" t="s">
        <v>116</v>
      </c>
      <c r="P479" s="3137" t="s">
        <v>1232</v>
      </c>
      <c r="Q479" s="3150"/>
      <c r="R479" s="3150"/>
      <c r="S479" s="3150"/>
      <c r="T479" s="3150"/>
      <c r="U479" s="3209"/>
      <c r="V479" s="3209"/>
      <c r="W479" s="3209"/>
      <c r="X479" s="3208"/>
      <c r="Y479" s="3293"/>
      <c r="Z479" s="1201"/>
      <c r="AA479" s="1201"/>
      <c r="AB479" s="1202"/>
      <c r="AC479" s="3293"/>
      <c r="AD479" s="1201"/>
      <c r="AE479" s="1201"/>
      <c r="AF479" s="1202"/>
      <c r="AI479" s="3120" t="str">
        <f>"35:field225:" &amp; IF(I479="■",1,IF(L479="■",2,IF(O479="■",3,0)))</f>
        <v>35:field225:0</v>
      </c>
    </row>
    <row r="480" spans="1:37" ht="18.75" hidden="1" customHeight="1" x14ac:dyDescent="0.2">
      <c r="A480" s="834"/>
      <c r="B480" s="3148"/>
      <c r="C480" s="3147"/>
      <c r="D480" s="3146"/>
      <c r="E480" s="3145"/>
      <c r="F480" s="3144"/>
      <c r="G480" s="3175"/>
      <c r="H480" s="3159" t="s">
        <v>2197</v>
      </c>
      <c r="I480" s="3303" t="s">
        <v>116</v>
      </c>
      <c r="J480" s="3137" t="s">
        <v>1230</v>
      </c>
      <c r="K480" s="3137"/>
      <c r="L480" s="3154" t="s">
        <v>116</v>
      </c>
      <c r="M480" s="3137" t="s">
        <v>1259</v>
      </c>
      <c r="N480" s="3137"/>
      <c r="O480" s="3154" t="s">
        <v>116</v>
      </c>
      <c r="P480" s="3137" t="s">
        <v>2090</v>
      </c>
      <c r="Q480" s="3153"/>
      <c r="R480" s="3154" t="s">
        <v>116</v>
      </c>
      <c r="S480" s="3137" t="s">
        <v>1261</v>
      </c>
      <c r="T480" s="3137"/>
      <c r="U480" s="3137"/>
      <c r="V480" s="3137"/>
      <c r="W480" s="3137"/>
      <c r="X480" s="3136"/>
      <c r="Y480" s="3293"/>
      <c r="Z480" s="1201"/>
      <c r="AA480" s="1201"/>
      <c r="AB480" s="1202"/>
      <c r="AC480" s="3293"/>
      <c r="AD480" s="1201"/>
      <c r="AE480" s="1201"/>
      <c r="AF480" s="1202"/>
      <c r="AI480" s="3120" t="str">
        <f>"35:serteikyo_kyoka_code:" &amp; IF(I480="■",1,IF(L480="■",6,IF(O480="■",2,IF(R480="■",7,0))))</f>
        <v>35:serteikyo_kyoka_code:0</v>
      </c>
    </row>
    <row r="481" spans="1:36" ht="18.75" hidden="1" customHeight="1" x14ac:dyDescent="0.2">
      <c r="A481" s="835"/>
      <c r="B481" s="3148"/>
      <c r="C481" s="3134"/>
      <c r="D481" s="3133"/>
      <c r="E481" s="3132"/>
      <c r="F481" s="3131"/>
      <c r="G481" s="3189"/>
      <c r="H481" s="3289" t="s">
        <v>2129</v>
      </c>
      <c r="I481" s="3128" t="s">
        <v>116</v>
      </c>
      <c r="J481" s="3285" t="s">
        <v>1230</v>
      </c>
      <c r="K481" s="3285"/>
      <c r="L481" s="3127" t="s">
        <v>116</v>
      </c>
      <c r="M481" s="3285" t="s">
        <v>2128</v>
      </c>
      <c r="N481" s="3288"/>
      <c r="O481" s="3127" t="s">
        <v>116</v>
      </c>
      <c r="P481" s="3287" t="s">
        <v>2127</v>
      </c>
      <c r="Q481" s="3286"/>
      <c r="R481" s="3127" t="s">
        <v>116</v>
      </c>
      <c r="S481" s="3285" t="s">
        <v>2126</v>
      </c>
      <c r="T481" s="3286"/>
      <c r="U481" s="3127" t="s">
        <v>116</v>
      </c>
      <c r="V481" s="3285" t="s">
        <v>2125</v>
      </c>
      <c r="W481" s="3284"/>
      <c r="X481" s="3283"/>
      <c r="Y481" s="3282"/>
      <c r="Z481" s="3282"/>
      <c r="AA481" s="3282"/>
      <c r="AB481" s="3281"/>
      <c r="AC481" s="3340"/>
      <c r="AD481" s="3282"/>
      <c r="AE481" s="3282"/>
      <c r="AF481" s="3281"/>
      <c r="AG481" s="3120"/>
      <c r="AH481" s="3120"/>
      <c r="AI481" s="3120" t="str">
        <f>"62:shoguukaizen_code:"&amp;IF(I481="■",1,IF(L481="■",7,IF(O481="■",8,IF(R481="■",9,IF(U481="■","A",0)))))</f>
        <v>62:shoguukaizen_code:0</v>
      </c>
    </row>
    <row r="482" spans="1:36" s="3120" customFormat="1" ht="19.5" hidden="1" customHeight="1" x14ac:dyDescent="0.2">
      <c r="A482" s="3188"/>
      <c r="B482" s="3187"/>
      <c r="C482" s="3229"/>
      <c r="D482" s="3228"/>
      <c r="E482" s="3185"/>
      <c r="F482" s="3184"/>
      <c r="G482" s="3183"/>
      <c r="H482" s="3458" t="s">
        <v>1253</v>
      </c>
      <c r="I482" s="3405" t="s">
        <v>116</v>
      </c>
      <c r="J482" s="3402" t="s">
        <v>1228</v>
      </c>
      <c r="K482" s="3401"/>
      <c r="L482" s="3404"/>
      <c r="M482" s="3403" t="s">
        <v>116</v>
      </c>
      <c r="N482" s="3402" t="s">
        <v>1229</v>
      </c>
      <c r="O482" s="3457"/>
      <c r="P482" s="3455"/>
      <c r="Q482" s="3456"/>
      <c r="R482" s="3456"/>
      <c r="S482" s="3456"/>
      <c r="T482" s="3456"/>
      <c r="U482" s="3456"/>
      <c r="V482" s="3456"/>
      <c r="W482" s="3456"/>
      <c r="X482" s="3498"/>
      <c r="Y482" s="3158" t="s">
        <v>116</v>
      </c>
      <c r="Z482" s="1200" t="s">
        <v>2318</v>
      </c>
      <c r="AA482" s="1200"/>
      <c r="AB482" s="1202"/>
      <c r="AC482" s="3497"/>
      <c r="AD482" s="3496"/>
      <c r="AE482" s="3496"/>
      <c r="AF482" s="3495"/>
      <c r="AG482" s="3120" t="str">
        <f>"ser_code = '" &amp; IF(A484="■",67,"") &amp; "'"</f>
        <v>ser_code = ''</v>
      </c>
      <c r="AI482" s="3120" t="str">
        <f>"67:field232:" &amp; IF(I482="■",1,IF(M482="■",2,0))</f>
        <v>67:field232:0</v>
      </c>
      <c r="AJ482" s="3120" t="str">
        <f>"67:field203:" &amp; IF(Y482="■",1,IF(Y483="■",2,0))</f>
        <v>67:field203:0</v>
      </c>
    </row>
    <row r="483" spans="1:36" ht="18.75" hidden="1" customHeight="1" x14ac:dyDescent="0.2">
      <c r="A483" s="834"/>
      <c r="B483" s="3148"/>
      <c r="C483" s="3147"/>
      <c r="D483" s="3146"/>
      <c r="E483" s="3175"/>
      <c r="F483" s="3146"/>
      <c r="G483" s="3175"/>
      <c r="H483" s="3494" t="s">
        <v>2106</v>
      </c>
      <c r="I483" s="3141" t="s">
        <v>116</v>
      </c>
      <c r="J483" s="3139" t="s">
        <v>1230</v>
      </c>
      <c r="K483" s="3138"/>
      <c r="L483" s="3140" t="s">
        <v>116</v>
      </c>
      <c r="M483" s="3139" t="s">
        <v>1233</v>
      </c>
      <c r="N483" s="3138"/>
      <c r="O483" s="3138"/>
      <c r="P483" s="3138"/>
      <c r="Q483" s="3138"/>
      <c r="R483" s="3138"/>
      <c r="S483" s="3138"/>
      <c r="T483" s="3138"/>
      <c r="U483" s="3138"/>
      <c r="V483" s="3138"/>
      <c r="W483" s="3138"/>
      <c r="X483" s="3212"/>
      <c r="Y483" s="3258" t="s">
        <v>116</v>
      </c>
      <c r="Z483" s="1200" t="s">
        <v>1226</v>
      </c>
      <c r="AA483" s="1201"/>
      <c r="AB483" s="1202"/>
      <c r="AC483" s="3365"/>
      <c r="AD483" s="3364"/>
      <c r="AE483" s="3364"/>
      <c r="AF483" s="3363"/>
      <c r="AG483" s="3120"/>
      <c r="AH483" s="3120"/>
      <c r="AI483" s="3120" t="str">
        <f>"67:tokutiiki_code:" &amp; IF(I483="■",1,IF(L483="■",2,0))</f>
        <v>67:tokutiiki_code:0</v>
      </c>
      <c r="AJ483" s="3120"/>
    </row>
    <row r="484" spans="1:36" ht="18.75" hidden="1" customHeight="1" x14ac:dyDescent="0.2">
      <c r="A484" s="3158" t="s">
        <v>116</v>
      </c>
      <c r="B484" s="3148">
        <v>67</v>
      </c>
      <c r="C484" s="3147" t="s">
        <v>2320</v>
      </c>
      <c r="D484" s="3146"/>
      <c r="E484" s="3175"/>
      <c r="F484" s="3146"/>
      <c r="G484" s="3175"/>
      <c r="H484" s="3233" t="s">
        <v>1343</v>
      </c>
      <c r="I484" s="3211" t="s">
        <v>116</v>
      </c>
      <c r="J484" s="3210" t="s">
        <v>1234</v>
      </c>
      <c r="K484" s="3210"/>
      <c r="L484" s="3210"/>
      <c r="M484" s="3211" t="s">
        <v>116</v>
      </c>
      <c r="N484" s="3210" t="s">
        <v>1235</v>
      </c>
      <c r="O484" s="3210"/>
      <c r="P484" s="3210"/>
      <c r="Q484" s="3209"/>
      <c r="R484" s="3209"/>
      <c r="S484" s="3209"/>
      <c r="T484" s="3209"/>
      <c r="U484" s="3209"/>
      <c r="V484" s="3209"/>
      <c r="W484" s="3209"/>
      <c r="X484" s="3208"/>
      <c r="Y484" s="3293"/>
      <c r="Z484" s="1200"/>
      <c r="AA484" s="1201"/>
      <c r="AB484" s="1202"/>
      <c r="AC484" s="3365"/>
      <c r="AD484" s="3364"/>
      <c r="AE484" s="3364"/>
      <c r="AF484" s="3363"/>
      <c r="AG484" s="3120"/>
      <c r="AH484" s="3120"/>
      <c r="AI484" s="3120" t="str">
        <f>"67:chuusankanti_tiiki_code:" &amp; IF(I484="■",1,IF(M484="■",2,0))</f>
        <v>67:chuusankanti_tiiki_code:0</v>
      </c>
      <c r="AJ484" s="3120"/>
    </row>
    <row r="485" spans="1:36" ht="18.75" hidden="1" customHeight="1" x14ac:dyDescent="0.2">
      <c r="A485" s="834"/>
      <c r="B485" s="3148"/>
      <c r="C485" s="3147"/>
      <c r="D485" s="3146"/>
      <c r="E485" s="3175"/>
      <c r="F485" s="3146"/>
      <c r="G485" s="3175"/>
      <c r="H485" s="3234"/>
      <c r="I485" s="3164"/>
      <c r="J485" s="3163"/>
      <c r="K485" s="3163"/>
      <c r="L485" s="3163"/>
      <c r="M485" s="3164"/>
      <c r="N485" s="3163"/>
      <c r="O485" s="3163"/>
      <c r="P485" s="3163"/>
      <c r="Q485" s="3138"/>
      <c r="R485" s="3138"/>
      <c r="S485" s="3138"/>
      <c r="T485" s="3138"/>
      <c r="U485" s="3138"/>
      <c r="V485" s="3138"/>
      <c r="W485" s="3138"/>
      <c r="X485" s="3212"/>
      <c r="Y485" s="3293"/>
      <c r="Z485" s="1201"/>
      <c r="AA485" s="1201"/>
      <c r="AB485" s="1202"/>
      <c r="AC485" s="3365"/>
      <c r="AD485" s="3364"/>
      <c r="AE485" s="3364"/>
      <c r="AF485" s="3363"/>
      <c r="AG485" s="3120"/>
      <c r="AH485" s="3120"/>
      <c r="AI485" s="3120"/>
      <c r="AJ485" s="3120"/>
    </row>
    <row r="486" spans="1:36" ht="18.75" hidden="1" customHeight="1" x14ac:dyDescent="0.2">
      <c r="A486" s="834"/>
      <c r="B486" s="3148"/>
      <c r="C486" s="3147"/>
      <c r="D486" s="3146"/>
      <c r="E486" s="3175"/>
      <c r="F486" s="3146"/>
      <c r="G486" s="3175"/>
      <c r="H486" s="3233" t="s">
        <v>1345</v>
      </c>
      <c r="I486" s="3366" t="s">
        <v>116</v>
      </c>
      <c r="J486" s="3210" t="s">
        <v>1234</v>
      </c>
      <c r="K486" s="3210"/>
      <c r="L486" s="3210"/>
      <c r="M486" s="3211" t="s">
        <v>116</v>
      </c>
      <c r="N486" s="3210" t="s">
        <v>1235</v>
      </c>
      <c r="O486" s="3210"/>
      <c r="P486" s="3210"/>
      <c r="Q486" s="3209"/>
      <c r="R486" s="3209"/>
      <c r="S486" s="3209"/>
      <c r="T486" s="3209"/>
      <c r="U486" s="3209"/>
      <c r="V486" s="3209"/>
      <c r="W486" s="3209"/>
      <c r="X486" s="3208"/>
      <c r="Y486" s="3293"/>
      <c r="Z486" s="1201"/>
      <c r="AA486" s="1201"/>
      <c r="AB486" s="1202"/>
      <c r="AC486" s="3365"/>
      <c r="AD486" s="3364"/>
      <c r="AE486" s="3364"/>
      <c r="AF486" s="3363"/>
      <c r="AG486" s="3120"/>
      <c r="AH486" s="3120"/>
      <c r="AI486" s="3120" t="str">
        <f>"67:chuusankanti_kibo_code:" &amp; IF(I486="■",1,IF(M486="■",2,0))</f>
        <v>67:chuusankanti_kibo_code:0</v>
      </c>
      <c r="AJ486" s="3120"/>
    </row>
    <row r="487" spans="1:36" ht="18.75" hidden="1" customHeight="1" x14ac:dyDescent="0.2">
      <c r="A487" s="3477"/>
      <c r="B487" s="3476"/>
      <c r="C487" s="3475"/>
      <c r="D487" s="3474"/>
      <c r="E487" s="3473"/>
      <c r="F487" s="3133"/>
      <c r="G487" s="3189"/>
      <c r="H487" s="3450"/>
      <c r="I487" s="3361"/>
      <c r="J487" s="3345"/>
      <c r="K487" s="3345"/>
      <c r="L487" s="3345"/>
      <c r="M487" s="3360"/>
      <c r="N487" s="3345"/>
      <c r="O487" s="3345"/>
      <c r="P487" s="3345"/>
      <c r="Q487" s="3191"/>
      <c r="R487" s="3191"/>
      <c r="S487" s="3191"/>
      <c r="T487" s="3191"/>
      <c r="U487" s="3191"/>
      <c r="V487" s="3191"/>
      <c r="W487" s="3191"/>
      <c r="X487" s="3130"/>
      <c r="Y487" s="3340"/>
      <c r="Z487" s="3282"/>
      <c r="AA487" s="3282"/>
      <c r="AB487" s="3281"/>
      <c r="AC487" s="3359"/>
      <c r="AD487" s="3358"/>
      <c r="AE487" s="3358"/>
      <c r="AF487" s="3357"/>
      <c r="AG487" s="3120"/>
      <c r="AH487" s="3120"/>
      <c r="AI487" s="3120"/>
      <c r="AJ487" s="3120"/>
    </row>
    <row r="488" spans="1:36" ht="19.5" hidden="1" customHeight="1" x14ac:dyDescent="0.2">
      <c r="A488" s="834"/>
      <c r="B488" s="3187"/>
      <c r="C488" s="3147"/>
      <c r="D488" s="3146"/>
      <c r="E488" s="3145"/>
      <c r="F488" s="3493"/>
      <c r="G488" s="3492"/>
      <c r="H488" s="3491"/>
      <c r="I488" s="3490"/>
      <c r="J488" s="3489"/>
      <c r="K488" s="3489"/>
      <c r="L488" s="3489"/>
      <c r="M488" s="3489"/>
      <c r="N488" s="3489"/>
      <c r="O488" s="3489"/>
      <c r="P488" s="3489"/>
      <c r="Q488" s="3489"/>
      <c r="R488" s="3489"/>
      <c r="S488" s="3489"/>
      <c r="T488" s="3489"/>
      <c r="U488" s="3489"/>
      <c r="V488" s="3489"/>
      <c r="W488" s="3489"/>
      <c r="X488" s="3488"/>
      <c r="Y488" s="3158" t="s">
        <v>116</v>
      </c>
      <c r="Z488" s="3252" t="s">
        <v>2318</v>
      </c>
      <c r="AA488" s="3487"/>
      <c r="AB488" s="3486"/>
      <c r="AC488" s="3307"/>
      <c r="AD488" s="3306"/>
      <c r="AE488" s="3306"/>
      <c r="AF488" s="3305"/>
      <c r="AG488" s="3120" t="str">
        <f>"ser_code = '" &amp; IF(A489="■",46,"") &amp; "'"</f>
        <v>ser_code = ''</v>
      </c>
      <c r="AJ488" s="3120" t="str">
        <f>"46:field203:" &amp; IF(Y488="■",1,IF(Y489="■",2,0))</f>
        <v>46:field203:0</v>
      </c>
    </row>
    <row r="489" spans="1:36" ht="19.5" hidden="1" customHeight="1" x14ac:dyDescent="0.2">
      <c r="A489" s="3460" t="s">
        <v>116</v>
      </c>
      <c r="B489" s="3148">
        <v>46</v>
      </c>
      <c r="C489" s="3147" t="s">
        <v>76</v>
      </c>
      <c r="D489" s="3460" t="s">
        <v>116</v>
      </c>
      <c r="E489" s="3145" t="s">
        <v>2319</v>
      </c>
      <c r="F489" s="3485"/>
      <c r="G489" s="3484"/>
      <c r="H489" s="3483"/>
      <c r="I489" s="3482"/>
      <c r="J489" s="3481"/>
      <c r="K489" s="3481"/>
      <c r="L489" s="3481"/>
      <c r="M489" s="3481"/>
      <c r="N489" s="3481"/>
      <c r="O489" s="3481"/>
      <c r="P489" s="3481"/>
      <c r="Q489" s="3481"/>
      <c r="R489" s="3481"/>
      <c r="S489" s="3481"/>
      <c r="T489" s="3481"/>
      <c r="U489" s="3481"/>
      <c r="V489" s="3481"/>
      <c r="W489" s="3481"/>
      <c r="X489" s="3480"/>
      <c r="Y489" s="3258" t="s">
        <v>116</v>
      </c>
      <c r="Z489" s="1200" t="s">
        <v>1226</v>
      </c>
      <c r="AA489" s="3479"/>
      <c r="AB489" s="3478"/>
      <c r="AC489" s="3292"/>
      <c r="AD489" s="3291"/>
      <c r="AE489" s="3291"/>
      <c r="AF489" s="3290"/>
      <c r="AG489" s="3120" t="str">
        <f>"46:sisetukbn_code:" &amp; IF(D489="■",1,0)</f>
        <v>46:sisetukbn_code:0</v>
      </c>
    </row>
    <row r="490" spans="1:36" ht="18.75" hidden="1" customHeight="1" x14ac:dyDescent="0.2">
      <c r="A490" s="3477"/>
      <c r="B490" s="3476"/>
      <c r="C490" s="3475"/>
      <c r="D490" s="3474"/>
      <c r="E490" s="3473"/>
      <c r="F490" s="3472"/>
      <c r="G490" s="3471"/>
      <c r="H490" s="3470"/>
      <c r="I490" s="3469"/>
      <c r="J490" s="3468"/>
      <c r="K490" s="3468"/>
      <c r="L490" s="3468"/>
      <c r="M490" s="3468"/>
      <c r="N490" s="3468"/>
      <c r="O490" s="3468"/>
      <c r="P490" s="3468"/>
      <c r="Q490" s="3468"/>
      <c r="R490" s="3468"/>
      <c r="S490" s="3468"/>
      <c r="T490" s="3468"/>
      <c r="U490" s="3468"/>
      <c r="V490" s="3468"/>
      <c r="W490" s="3468"/>
      <c r="X490" s="3467"/>
      <c r="Y490" s="3340"/>
      <c r="Z490" s="3282"/>
      <c r="AA490" s="3282"/>
      <c r="AB490" s="3281"/>
      <c r="AC490" s="3280"/>
      <c r="AD490" s="3279"/>
      <c r="AE490" s="3279"/>
      <c r="AF490" s="3278"/>
      <c r="AG490" s="3120"/>
      <c r="AI490" s="3120"/>
      <c r="AJ490" s="3120"/>
    </row>
    <row r="491" spans="1:36" ht="18.75" hidden="1" customHeight="1" x14ac:dyDescent="0.2">
      <c r="A491" s="834"/>
      <c r="B491" s="3148"/>
      <c r="C491" s="3147"/>
      <c r="D491" s="3146"/>
      <c r="E491" s="3145"/>
      <c r="F491" s="3344"/>
      <c r="G491" s="3143"/>
      <c r="H491" s="3151" t="s">
        <v>2196</v>
      </c>
      <c r="I491" s="3155" t="s">
        <v>116</v>
      </c>
      <c r="J491" s="3137" t="s">
        <v>1230</v>
      </c>
      <c r="K491" s="3171"/>
      <c r="L491" s="3154" t="s">
        <v>116</v>
      </c>
      <c r="M491" s="3137" t="s">
        <v>1233</v>
      </c>
      <c r="N491" s="3171"/>
      <c r="O491" s="3171"/>
      <c r="P491" s="3171"/>
      <c r="Q491" s="3171"/>
      <c r="R491" s="3171"/>
      <c r="S491" s="3171"/>
      <c r="T491" s="3171"/>
      <c r="U491" s="3171"/>
      <c r="V491" s="3171"/>
      <c r="W491" s="3171"/>
      <c r="X491" s="3297"/>
      <c r="Y491" s="3158" t="s">
        <v>116</v>
      </c>
      <c r="Z491" s="3252" t="s">
        <v>2318</v>
      </c>
      <c r="AA491" s="3398"/>
      <c r="AB491" s="3308"/>
      <c r="AC491" s="3307"/>
      <c r="AD491" s="3306"/>
      <c r="AE491" s="3306"/>
      <c r="AF491" s="3305"/>
      <c r="AG491" s="3120" t="str">
        <f>"ser_code = '" &amp; IF(A493="■",46,"") &amp; "'"</f>
        <v>ser_code = ''</v>
      </c>
      <c r="AI491" s="3120" t="str">
        <f>"46:tokutiiki_code:" &amp; IF(I491="■",1,IF(L491="■",2,0))</f>
        <v>46:tokutiiki_code:0</v>
      </c>
      <c r="AJ491" s="3120" t="str">
        <f>"46:field203:" &amp; IF(Y491="■",1,IF(Y492="■",2,0))</f>
        <v>46:field203:0</v>
      </c>
    </row>
    <row r="492" spans="1:36" ht="18.75" hidden="1" customHeight="1" x14ac:dyDescent="0.2">
      <c r="A492" s="834"/>
      <c r="B492" s="3148"/>
      <c r="C492" s="3147"/>
      <c r="D492" s="3146"/>
      <c r="E492" s="3145"/>
      <c r="F492" s="3344"/>
      <c r="G492" s="3143"/>
      <c r="H492" s="3170" t="s">
        <v>1243</v>
      </c>
      <c r="I492" s="3211" t="s">
        <v>116</v>
      </c>
      <c r="J492" s="3210" t="s">
        <v>1234</v>
      </c>
      <c r="K492" s="3210"/>
      <c r="L492" s="3210"/>
      <c r="M492" s="3211" t="s">
        <v>116</v>
      </c>
      <c r="N492" s="3210" t="s">
        <v>1235</v>
      </c>
      <c r="O492" s="3210"/>
      <c r="P492" s="3210"/>
      <c r="Q492" s="3209"/>
      <c r="R492" s="3209"/>
      <c r="S492" s="3209"/>
      <c r="T492" s="3209"/>
      <c r="U492" s="3209"/>
      <c r="V492" s="3209"/>
      <c r="W492" s="3209"/>
      <c r="X492" s="3208"/>
      <c r="Y492" s="3258" t="s">
        <v>116</v>
      </c>
      <c r="Z492" s="1200" t="s">
        <v>1226</v>
      </c>
      <c r="AA492" s="1201"/>
      <c r="AB492" s="1202"/>
      <c r="AC492" s="3292"/>
      <c r="AD492" s="3291"/>
      <c r="AE492" s="3291"/>
      <c r="AF492" s="3290"/>
      <c r="AG492" s="3120" t="str">
        <f>"46:sisetukbn_code:" &amp; IF(D492="■",2,0)</f>
        <v>46:sisetukbn_code:0</v>
      </c>
      <c r="AI492" s="3120" t="str">
        <f>"46:chuusankanti_tiiki_code:" &amp; IF(I492="■",1,IF(M492="■",2,0))</f>
        <v>46:chuusankanti_tiiki_code:0</v>
      </c>
    </row>
    <row r="493" spans="1:36" ht="18.75" hidden="1" customHeight="1" x14ac:dyDescent="0.2">
      <c r="A493" s="3460" t="s">
        <v>116</v>
      </c>
      <c r="B493" s="3148">
        <v>46</v>
      </c>
      <c r="C493" s="3147" t="s">
        <v>76</v>
      </c>
      <c r="D493" s="3460" t="s">
        <v>116</v>
      </c>
      <c r="E493" s="3145" t="s">
        <v>2317</v>
      </c>
      <c r="F493" s="3344"/>
      <c r="G493" s="3143"/>
      <c r="H493" s="3165"/>
      <c r="I493" s="3164"/>
      <c r="J493" s="3163"/>
      <c r="K493" s="3163"/>
      <c r="L493" s="3163"/>
      <c r="M493" s="3164"/>
      <c r="N493" s="3163"/>
      <c r="O493" s="3163"/>
      <c r="P493" s="3163"/>
      <c r="Q493" s="3138"/>
      <c r="R493" s="3138"/>
      <c r="S493" s="3138"/>
      <c r="T493" s="3138"/>
      <c r="U493" s="3138"/>
      <c r="V493" s="3138"/>
      <c r="W493" s="3138"/>
      <c r="X493" s="3212"/>
      <c r="Y493" s="3293"/>
      <c r="Z493" s="1201"/>
      <c r="AA493" s="1201"/>
      <c r="AB493" s="1202"/>
      <c r="AC493" s="3292"/>
      <c r="AD493" s="3291"/>
      <c r="AE493" s="3291"/>
      <c r="AF493" s="3290"/>
      <c r="AI493" s="3120"/>
    </row>
    <row r="494" spans="1:36" ht="18.75" hidden="1" customHeight="1" x14ac:dyDescent="0.2">
      <c r="A494" s="834"/>
      <c r="B494" s="3148"/>
      <c r="C494" s="3147"/>
      <c r="D494" s="3146"/>
      <c r="E494" s="3145"/>
      <c r="F494" s="3344"/>
      <c r="G494" s="3143"/>
      <c r="H494" s="3170" t="s">
        <v>1244</v>
      </c>
      <c r="I494" s="3348" t="s">
        <v>116</v>
      </c>
      <c r="J494" s="3347" t="s">
        <v>1234</v>
      </c>
      <c r="K494" s="3347"/>
      <c r="L494" s="3347"/>
      <c r="M494" s="3346" t="s">
        <v>116</v>
      </c>
      <c r="N494" s="3347" t="s">
        <v>2316</v>
      </c>
      <c r="O494" s="3347"/>
      <c r="P494" s="3347"/>
      <c r="Q494" s="3209"/>
      <c r="R494" s="3209"/>
      <c r="S494" s="3209"/>
      <c r="T494" s="3209"/>
      <c r="U494" s="3209"/>
      <c r="V494" s="3209"/>
      <c r="W494" s="3209"/>
      <c r="X494" s="3208"/>
      <c r="Y494" s="3293"/>
      <c r="Z494" s="1201"/>
      <c r="AA494" s="1201"/>
      <c r="AB494" s="1202"/>
      <c r="AC494" s="3292"/>
      <c r="AD494" s="3291"/>
      <c r="AE494" s="3291"/>
      <c r="AF494" s="3290"/>
      <c r="AI494" s="3120" t="str">
        <f>"46:chuusankanti_kibo_code:" &amp; IF(I494="■",1,IF(M494="■",2,0))</f>
        <v>46:chuusankanti_kibo_code:0</v>
      </c>
    </row>
    <row r="495" spans="1:36" ht="18.75" hidden="1" customHeight="1" x14ac:dyDescent="0.2">
      <c r="A495" s="835"/>
      <c r="B495" s="3135"/>
      <c r="C495" s="3134"/>
      <c r="D495" s="3133"/>
      <c r="E495" s="3132"/>
      <c r="F495" s="3343"/>
      <c r="G495" s="3130"/>
      <c r="H495" s="3362"/>
      <c r="I495" s="3466"/>
      <c r="J495" s="3464"/>
      <c r="K495" s="3464"/>
      <c r="L495" s="3464"/>
      <c r="M495" s="3465"/>
      <c r="N495" s="3464"/>
      <c r="O495" s="3464"/>
      <c r="P495" s="3464"/>
      <c r="Q495" s="3191"/>
      <c r="R495" s="3191"/>
      <c r="S495" s="3191"/>
      <c r="T495" s="3191"/>
      <c r="U495" s="3191"/>
      <c r="V495" s="3191"/>
      <c r="W495" s="3191"/>
      <c r="X495" s="3130"/>
      <c r="Y495" s="3340"/>
      <c r="Z495" s="3282"/>
      <c r="AA495" s="3282"/>
      <c r="AB495" s="3281"/>
      <c r="AC495" s="3280"/>
      <c r="AD495" s="3279"/>
      <c r="AE495" s="3279"/>
      <c r="AF495" s="3278"/>
    </row>
    <row r="496" spans="1:36" ht="20.25" customHeight="1" x14ac:dyDescent="0.2"/>
    <row r="497" spans="1:35" ht="20.25" customHeight="1" x14ac:dyDescent="0.2">
      <c r="A497" s="3277" t="s">
        <v>2124</v>
      </c>
      <c r="B497" s="3277"/>
      <c r="C497" s="3277"/>
      <c r="D497" s="3277"/>
      <c r="E497" s="3277"/>
      <c r="F497" s="3277"/>
      <c r="G497" s="3277"/>
      <c r="H497" s="3277"/>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77"/>
      <c r="AD497" s="3277"/>
      <c r="AE497" s="3277"/>
      <c r="AF497" s="3277"/>
    </row>
    <row r="498" spans="1:35" ht="20.25" customHeight="1" x14ac:dyDescent="0.2">
      <c r="AG498" s="3231" t="s">
        <v>2123</v>
      </c>
    </row>
    <row r="499" spans="1:35" ht="30" customHeight="1" x14ac:dyDescent="0.2">
      <c r="S499" s="3273" t="s">
        <v>1210</v>
      </c>
      <c r="T499" s="3272"/>
      <c r="U499" s="3272"/>
      <c r="V499" s="3271"/>
      <c r="W499" s="3447"/>
      <c r="X499" s="3446"/>
      <c r="Y499" s="3446"/>
      <c r="Z499" s="3446"/>
      <c r="AA499" s="3446"/>
      <c r="AB499" s="3446"/>
      <c r="AC499" s="3446"/>
      <c r="AD499" s="3446"/>
      <c r="AE499" s="3446"/>
      <c r="AF499" s="3445"/>
      <c r="AG499" s="3120" t="str">
        <f>"kaigo_num='" &amp;W499&amp;X499&amp;Y499&amp;Z499&amp;AA499&amp;AB499&amp;AC499&amp;AD499&amp;AE499&amp;AF499&amp; "'"</f>
        <v>kaigo_num=''</v>
      </c>
    </row>
    <row r="500" spans="1:35" ht="20.25" customHeight="1" x14ac:dyDescent="0.2">
      <c r="AG500" s="3120"/>
    </row>
    <row r="501" spans="1:35" ht="17.25" customHeight="1" x14ac:dyDescent="0.2">
      <c r="A501" s="3273" t="s">
        <v>2122</v>
      </c>
      <c r="B501" s="3272"/>
      <c r="C501" s="3271"/>
      <c r="D501" s="3273" t="s">
        <v>1</v>
      </c>
      <c r="E501" s="3271"/>
      <c r="F501" s="3273" t="s">
        <v>1212</v>
      </c>
      <c r="G501" s="3271"/>
      <c r="H501" s="3273" t="s">
        <v>1213</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72"/>
      <c r="AD501" s="3272"/>
      <c r="AE501" s="3272"/>
      <c r="AF501" s="3271"/>
      <c r="AG501" s="3120"/>
    </row>
    <row r="502" spans="1:35" ht="18.75" customHeight="1" x14ac:dyDescent="0.2">
      <c r="A502" s="3270" t="s">
        <v>1215</v>
      </c>
      <c r="B502" s="3269"/>
      <c r="C502" s="3268"/>
      <c r="D502" s="3267"/>
      <c r="E502" s="3266"/>
      <c r="F502" s="3228"/>
      <c r="G502" s="3183"/>
      <c r="H502" s="3265" t="s">
        <v>1216</v>
      </c>
      <c r="I502" s="3253" t="s">
        <v>116</v>
      </c>
      <c r="J502" s="3252" t="s">
        <v>1217</v>
      </c>
      <c r="K502" s="3264"/>
      <c r="L502" s="3264"/>
      <c r="M502" s="3310" t="s">
        <v>116</v>
      </c>
      <c r="N502" s="3252" t="s">
        <v>1218</v>
      </c>
      <c r="O502" s="3264"/>
      <c r="P502" s="3264"/>
      <c r="Q502" s="3310" t="s">
        <v>116</v>
      </c>
      <c r="R502" s="3252" t="s">
        <v>1219</v>
      </c>
      <c r="S502" s="3264"/>
      <c r="T502" s="3264"/>
      <c r="U502" s="3310" t="s">
        <v>116</v>
      </c>
      <c r="V502" s="3252" t="s">
        <v>1220</v>
      </c>
      <c r="W502" s="3264"/>
      <c r="X502" s="3264"/>
      <c r="Y502" s="3252"/>
      <c r="Z502" s="3264"/>
      <c r="AA502" s="3264"/>
      <c r="AB502" s="3264"/>
      <c r="AC502" s="3264"/>
      <c r="AD502" s="3264"/>
      <c r="AE502" s="3264"/>
      <c r="AF502" s="3185"/>
      <c r="AG502" s="3120" t="str">
        <f>"tiikikbn_code:"&amp; IF(I502="■",1,IF(M502="■",6,IF(Q502="■",7,IF(U502="■",2,IF(I503="■",3,IF(M503="■",4,IF(Q503="■",9,IF(U503="■",5,0))))))))</f>
        <v>tiikikbn_code:0</v>
      </c>
    </row>
    <row r="503" spans="1:35" ht="18.75" customHeight="1" x14ac:dyDescent="0.2">
      <c r="A503" s="3263"/>
      <c r="B503" s="3262"/>
      <c r="C503" s="3261"/>
      <c r="D503" s="3260"/>
      <c r="E503" s="3255"/>
      <c r="F503" s="3133"/>
      <c r="G503" s="3189"/>
      <c r="H503" s="3259"/>
      <c r="I503" s="3193" t="s">
        <v>116</v>
      </c>
      <c r="J503" s="3190" t="s">
        <v>1221</v>
      </c>
      <c r="K503" s="3257"/>
      <c r="L503" s="3257"/>
      <c r="M503" s="3192" t="s">
        <v>116</v>
      </c>
      <c r="N503" s="3190" t="s">
        <v>1222</v>
      </c>
      <c r="O503" s="3257"/>
      <c r="P503" s="3257"/>
      <c r="Q503" s="3192" t="s">
        <v>116</v>
      </c>
      <c r="R503" s="3190" t="s">
        <v>1223</v>
      </c>
      <c r="S503" s="3257"/>
      <c r="T503" s="3257"/>
      <c r="U503" s="3192" t="s">
        <v>116</v>
      </c>
      <c r="V503" s="3190" t="s">
        <v>1224</v>
      </c>
      <c r="W503" s="3257"/>
      <c r="X503" s="3257"/>
      <c r="Y503" s="3256"/>
      <c r="Z503" s="3463"/>
      <c r="AA503" s="3463"/>
      <c r="AB503" s="3463"/>
      <c r="AC503" s="3463"/>
      <c r="AD503" s="3463"/>
      <c r="AE503" s="3463"/>
      <c r="AF503" s="3462"/>
      <c r="AG503" s="3120"/>
    </row>
    <row r="504" spans="1:35" s="3120" customFormat="1" ht="19.5" hidden="1" customHeight="1" x14ac:dyDescent="0.2">
      <c r="A504" s="3188"/>
      <c r="B504" s="3187"/>
      <c r="C504" s="3229"/>
      <c r="D504" s="3228"/>
      <c r="E504" s="3185"/>
      <c r="F504" s="3184"/>
      <c r="G504" s="3183"/>
      <c r="H504" s="3458" t="s">
        <v>1253</v>
      </c>
      <c r="I504" s="3405" t="s">
        <v>116</v>
      </c>
      <c r="J504" s="3402" t="s">
        <v>1228</v>
      </c>
      <c r="K504" s="3401"/>
      <c r="L504" s="3404"/>
      <c r="M504" s="3403" t="s">
        <v>116</v>
      </c>
      <c r="N504" s="3402" t="s">
        <v>1229</v>
      </c>
      <c r="O504" s="3457"/>
      <c r="P504" s="3455"/>
      <c r="Q504" s="3456"/>
      <c r="R504" s="3456"/>
      <c r="S504" s="3456"/>
      <c r="T504" s="3456"/>
      <c r="U504" s="3456"/>
      <c r="V504" s="3456"/>
      <c r="W504" s="3456"/>
      <c r="X504" s="3456"/>
      <c r="Y504" s="3456"/>
      <c r="Z504" s="3455"/>
      <c r="AA504" s="3455"/>
      <c r="AB504" s="3454"/>
      <c r="AC504" s="3453"/>
      <c r="AD504" s="3453"/>
      <c r="AE504" s="3453"/>
      <c r="AF504" s="3452"/>
      <c r="AG504" s="3120" t="str">
        <f>"ser_code = '" &amp; IF(A506="■","63S","") &amp; "'"</f>
        <v>ser_code = ''</v>
      </c>
      <c r="AI504" s="3120" t="str">
        <f>"63:field232:" &amp; IF(I504="■",1,IF(M504="■",2,0))</f>
        <v>63:field232:0</v>
      </c>
    </row>
    <row r="505" spans="1:35" ht="18.75" hidden="1" customHeight="1" x14ac:dyDescent="0.2">
      <c r="A505" s="834"/>
      <c r="B505" s="3148"/>
      <c r="C505" s="3147"/>
      <c r="D505" s="3146"/>
      <c r="E505" s="3145"/>
      <c r="F505" s="3384"/>
      <c r="G505" s="3175"/>
      <c r="H505" s="3461" t="s">
        <v>1242</v>
      </c>
      <c r="I505" s="3141" t="s">
        <v>116</v>
      </c>
      <c r="J505" s="3139" t="s">
        <v>1230</v>
      </c>
      <c r="K505" s="3138"/>
      <c r="L505" s="3140" t="s">
        <v>116</v>
      </c>
      <c r="M505" s="3139" t="s">
        <v>1233</v>
      </c>
      <c r="N505" s="3138"/>
      <c r="O505" s="3207"/>
      <c r="P505" s="3207"/>
      <c r="Q505" s="3207"/>
      <c r="R505" s="3207"/>
      <c r="S505" s="3207"/>
      <c r="T505" s="3207"/>
      <c r="U505" s="3207"/>
      <c r="V505" s="3207"/>
      <c r="W505" s="3207"/>
      <c r="X505" s="3207"/>
      <c r="Y505" s="3207"/>
      <c r="Z505" s="3207"/>
      <c r="AA505" s="3207"/>
      <c r="AB505" s="3207"/>
      <c r="AC505" s="3207"/>
      <c r="AD505" s="3207"/>
      <c r="AE505" s="3207"/>
      <c r="AF505" s="3206"/>
      <c r="AG505" s="3120" t="str">
        <f>"63:sisetukbn_code:" &amp; IF(D506="■",1,IF(D507="■",2,0))</f>
        <v>63:sisetukbn_code:0</v>
      </c>
      <c r="AI505" s="3120" t="str">
        <f>"63:tokutiiki_code:" &amp; IF(I505="■",1,IF(L505="■",2,0))</f>
        <v>63:tokutiiki_code:0</v>
      </c>
    </row>
    <row r="506" spans="1:35" ht="18.75" hidden="1" customHeight="1" x14ac:dyDescent="0.2">
      <c r="A506" s="3460" t="s">
        <v>116</v>
      </c>
      <c r="B506" s="3148">
        <v>63</v>
      </c>
      <c r="C506" s="3147" t="s">
        <v>2315</v>
      </c>
      <c r="D506" s="3460" t="s">
        <v>116</v>
      </c>
      <c r="E506" s="3145" t="s">
        <v>2109</v>
      </c>
      <c r="F506" s="3384"/>
      <c r="G506" s="3175"/>
      <c r="H506" s="3233" t="s">
        <v>1243</v>
      </c>
      <c r="I506" s="3211" t="s">
        <v>116</v>
      </c>
      <c r="J506" s="3210" t="s">
        <v>1234</v>
      </c>
      <c r="K506" s="3210"/>
      <c r="L506" s="3210"/>
      <c r="M506" s="3211" t="s">
        <v>116</v>
      </c>
      <c r="N506" s="3210" t="s">
        <v>1235</v>
      </c>
      <c r="O506" s="3210"/>
      <c r="P506" s="3210"/>
      <c r="Q506" s="3209"/>
      <c r="R506" s="3209"/>
      <c r="S506" s="3209"/>
      <c r="T506" s="3209"/>
      <c r="U506" s="3209"/>
      <c r="V506" s="3209"/>
      <c r="W506" s="3209"/>
      <c r="X506" s="3209"/>
      <c r="Y506" s="3209"/>
      <c r="Z506" s="3209"/>
      <c r="AA506" s="3209"/>
      <c r="AB506" s="3209"/>
      <c r="AC506" s="3209"/>
      <c r="AD506" s="3209"/>
      <c r="AE506" s="3209"/>
      <c r="AF506" s="3208"/>
      <c r="AG506" s="3120"/>
      <c r="AI506" s="3120" t="str">
        <f>"63:chuusankanti_tiiki_code:" &amp; IF(I506="■",1,IF(M506="■",2,0))</f>
        <v>63:chuusankanti_tiiki_code:0</v>
      </c>
    </row>
    <row r="507" spans="1:35" ht="18.75" hidden="1" customHeight="1" x14ac:dyDescent="0.2">
      <c r="A507" s="834"/>
      <c r="B507" s="3148"/>
      <c r="C507" s="3147"/>
      <c r="D507" s="3460" t="s">
        <v>116</v>
      </c>
      <c r="E507" s="3145" t="s">
        <v>2108</v>
      </c>
      <c r="F507" s="3384"/>
      <c r="G507" s="3175"/>
      <c r="H507" s="3234"/>
      <c r="I507" s="3164"/>
      <c r="J507" s="3163"/>
      <c r="K507" s="3163"/>
      <c r="L507" s="3163"/>
      <c r="M507" s="3164"/>
      <c r="N507" s="3163"/>
      <c r="O507" s="3163"/>
      <c r="P507" s="3163"/>
      <c r="Q507" s="3207"/>
      <c r="R507" s="3207"/>
      <c r="S507" s="3207"/>
      <c r="T507" s="3207"/>
      <c r="U507" s="3207"/>
      <c r="V507" s="3207"/>
      <c r="W507" s="3207"/>
      <c r="X507" s="3207"/>
      <c r="Y507" s="3207"/>
      <c r="Z507" s="3207"/>
      <c r="AA507" s="3207"/>
      <c r="AB507" s="3207"/>
      <c r="AC507" s="3207"/>
      <c r="AD507" s="3207"/>
      <c r="AE507" s="3207"/>
      <c r="AF507" s="3206"/>
      <c r="AI507" s="3120"/>
    </row>
    <row r="508" spans="1:35" ht="18.75" hidden="1" customHeight="1" x14ac:dyDescent="0.2">
      <c r="A508" s="834"/>
      <c r="B508" s="3148"/>
      <c r="C508" s="3147"/>
      <c r="D508" s="3146"/>
      <c r="E508" s="3145"/>
      <c r="F508" s="3384"/>
      <c r="G508" s="3175"/>
      <c r="H508" s="3233" t="s">
        <v>1244</v>
      </c>
      <c r="I508" s="3366" t="s">
        <v>116</v>
      </c>
      <c r="J508" s="3210" t="s">
        <v>1234</v>
      </c>
      <c r="K508" s="3210"/>
      <c r="L508" s="3210"/>
      <c r="M508" s="3211" t="s">
        <v>116</v>
      </c>
      <c r="N508" s="3210" t="s">
        <v>1235</v>
      </c>
      <c r="O508" s="3210"/>
      <c r="P508" s="3210"/>
      <c r="Q508" s="3209"/>
      <c r="R508" s="3209"/>
      <c r="S508" s="3209"/>
      <c r="T508" s="3209"/>
      <c r="U508" s="3209"/>
      <c r="V508" s="3209"/>
      <c r="W508" s="3209"/>
      <c r="X508" s="3209"/>
      <c r="Y508" s="3209"/>
      <c r="Z508" s="3209"/>
      <c r="AA508" s="3209"/>
      <c r="AB508" s="3209"/>
      <c r="AC508" s="3209"/>
      <c r="AD508" s="3209"/>
      <c r="AE508" s="3209"/>
      <c r="AF508" s="3208"/>
      <c r="AI508" s="3120" t="str">
        <f>"63:chuusankanti_kibo_code:" &amp; IF(I508="■",1,IF(M508="■",2,0))</f>
        <v>63:chuusankanti_kibo_code:0</v>
      </c>
    </row>
    <row r="509" spans="1:35" ht="18.75" hidden="1" customHeight="1" x14ac:dyDescent="0.2">
      <c r="A509" s="835"/>
      <c r="B509" s="3135"/>
      <c r="C509" s="3134"/>
      <c r="D509" s="3133"/>
      <c r="E509" s="3132"/>
      <c r="F509" s="3459"/>
      <c r="G509" s="3189"/>
      <c r="H509" s="3450"/>
      <c r="I509" s="3361"/>
      <c r="J509" s="3345"/>
      <c r="K509" s="3345"/>
      <c r="L509" s="3345"/>
      <c r="M509" s="3360"/>
      <c r="N509" s="3345"/>
      <c r="O509" s="3345"/>
      <c r="P509" s="3345"/>
      <c r="Q509" s="3240"/>
      <c r="R509" s="3240"/>
      <c r="S509" s="3240"/>
      <c r="T509" s="3240"/>
      <c r="U509" s="3240"/>
      <c r="V509" s="3240"/>
      <c r="W509" s="3240"/>
      <c r="X509" s="3240"/>
      <c r="Y509" s="3240"/>
      <c r="Z509" s="3240"/>
      <c r="AA509" s="3240"/>
      <c r="AB509" s="3240"/>
      <c r="AC509" s="3240"/>
      <c r="AD509" s="3240"/>
      <c r="AE509" s="3240"/>
      <c r="AF509" s="3239"/>
    </row>
    <row r="510" spans="1:35" s="3120" customFormat="1" ht="19.5" customHeight="1" x14ac:dyDescent="0.2">
      <c r="A510" s="3188"/>
      <c r="B510" s="3187"/>
      <c r="C510" s="3229"/>
      <c r="D510" s="3228"/>
      <c r="E510" s="3185"/>
      <c r="F510" s="3184"/>
      <c r="G510" s="3183"/>
      <c r="H510" s="3458" t="s">
        <v>1253</v>
      </c>
      <c r="I510" s="3405" t="s">
        <v>116</v>
      </c>
      <c r="J510" s="3402" t="s">
        <v>1228</v>
      </c>
      <c r="K510" s="3401"/>
      <c r="L510" s="3404"/>
      <c r="M510" s="3403" t="s">
        <v>116</v>
      </c>
      <c r="N510" s="3402" t="s">
        <v>1229</v>
      </c>
      <c r="O510" s="3457"/>
      <c r="P510" s="3455"/>
      <c r="Q510" s="3456"/>
      <c r="R510" s="3456"/>
      <c r="S510" s="3456"/>
      <c r="T510" s="3456"/>
      <c r="U510" s="3456"/>
      <c r="V510" s="3456"/>
      <c r="W510" s="3456"/>
      <c r="X510" s="3456"/>
      <c r="Y510" s="3456"/>
      <c r="Z510" s="3455"/>
      <c r="AA510" s="3455"/>
      <c r="AB510" s="3454"/>
      <c r="AC510" s="3453"/>
      <c r="AD510" s="3453"/>
      <c r="AE510" s="3453"/>
      <c r="AF510" s="3452"/>
      <c r="AG510" s="3120" t="str">
        <f>"ser_code = '" &amp; IF(A512="■","64S","") &amp; "'"</f>
        <v>ser_code = ''</v>
      </c>
      <c r="AI510" s="3120" t="str">
        <f>"64:field232:" &amp; IF(I510="■",1,IF(M510="■",2,0))</f>
        <v>64:field232:0</v>
      </c>
    </row>
    <row r="511" spans="1:35" ht="18.75" customHeight="1" x14ac:dyDescent="0.2">
      <c r="A511" s="834"/>
      <c r="B511" s="3148"/>
      <c r="C511" s="3160"/>
      <c r="D511" s="3144"/>
      <c r="E511" s="3145"/>
      <c r="F511" s="3144"/>
      <c r="G511" s="3175"/>
      <c r="H511" s="3451" t="s">
        <v>1242</v>
      </c>
      <c r="I511" s="3141" t="s">
        <v>116</v>
      </c>
      <c r="J511" s="3139" t="s">
        <v>1230</v>
      </c>
      <c r="K511" s="3138"/>
      <c r="L511" s="3140" t="s">
        <v>116</v>
      </c>
      <c r="M511" s="3139" t="s">
        <v>1233</v>
      </c>
      <c r="N511" s="3138"/>
      <c r="O511" s="3207"/>
      <c r="P511" s="3207"/>
      <c r="Q511" s="3207"/>
      <c r="R511" s="3207"/>
      <c r="S511" s="3207"/>
      <c r="T511" s="3207"/>
      <c r="U511" s="3207"/>
      <c r="V511" s="3207"/>
      <c r="W511" s="3207"/>
      <c r="X511" s="3207"/>
      <c r="Y511" s="3207"/>
      <c r="Z511" s="3207"/>
      <c r="AA511" s="3207"/>
      <c r="AB511" s="3207"/>
      <c r="AC511" s="3207"/>
      <c r="AD511" s="3207"/>
      <c r="AE511" s="3207"/>
      <c r="AF511" s="3206"/>
      <c r="AG511" s="3120" t="str">
        <f>"64:sisetukbn_code:" &amp; IF(D512="■",1,IF(D513="■",2,IF(D514="■",3,0)))</f>
        <v>64:sisetukbn_code:0</v>
      </c>
      <c r="AI511" s="3120" t="str">
        <f>"64:tokutiiki_code:" &amp; IF(I511="■",1,IF(L511="■",2,0))</f>
        <v>64:tokutiiki_code:0</v>
      </c>
    </row>
    <row r="512" spans="1:35" ht="18.75" customHeight="1" x14ac:dyDescent="0.2">
      <c r="A512" s="3158" t="s">
        <v>116</v>
      </c>
      <c r="B512" s="3148">
        <v>64</v>
      </c>
      <c r="C512" s="3160" t="s">
        <v>1344</v>
      </c>
      <c r="D512" s="3158" t="s">
        <v>116</v>
      </c>
      <c r="E512" s="3145" t="s">
        <v>1342</v>
      </c>
      <c r="F512" s="3144"/>
      <c r="G512" s="3175"/>
      <c r="H512" s="3233" t="s">
        <v>1243</v>
      </c>
      <c r="I512" s="3211" t="s">
        <v>116</v>
      </c>
      <c r="J512" s="3210" t="s">
        <v>1234</v>
      </c>
      <c r="K512" s="3210"/>
      <c r="L512" s="3210"/>
      <c r="M512" s="3211" t="s">
        <v>116</v>
      </c>
      <c r="N512" s="3210" t="s">
        <v>1235</v>
      </c>
      <c r="O512" s="3210"/>
      <c r="P512" s="3210"/>
      <c r="Q512" s="3209"/>
      <c r="R512" s="3209"/>
      <c r="S512" s="3209"/>
      <c r="T512" s="3209"/>
      <c r="U512" s="3209"/>
      <c r="V512" s="3209"/>
      <c r="W512" s="3209"/>
      <c r="X512" s="3209"/>
      <c r="Y512" s="3209"/>
      <c r="Z512" s="3209"/>
      <c r="AA512" s="3209"/>
      <c r="AB512" s="3209"/>
      <c r="AC512" s="3209"/>
      <c r="AD512" s="3209"/>
      <c r="AE512" s="3209"/>
      <c r="AF512" s="3208"/>
      <c r="AG512" s="3120"/>
      <c r="AI512" s="3120" t="str">
        <f>"64:chuusankanti_tiiki_code:" &amp; IF(I512="■",1,IF(M512="■",2,0))</f>
        <v>64:chuusankanti_tiiki_code:0</v>
      </c>
    </row>
    <row r="513" spans="1:35" ht="18.75" customHeight="1" x14ac:dyDescent="0.2">
      <c r="A513" s="834"/>
      <c r="B513" s="3148"/>
      <c r="C513" s="3160" t="s">
        <v>1346</v>
      </c>
      <c r="D513" s="3158" t="s">
        <v>116</v>
      </c>
      <c r="E513" s="3145" t="s">
        <v>1247</v>
      </c>
      <c r="F513" s="3144"/>
      <c r="G513" s="3175"/>
      <c r="H513" s="3234"/>
      <c r="I513" s="3164"/>
      <c r="J513" s="3163"/>
      <c r="K513" s="3163"/>
      <c r="L513" s="3163"/>
      <c r="M513" s="3164"/>
      <c r="N513" s="3163"/>
      <c r="O513" s="3163"/>
      <c r="P513" s="3163"/>
      <c r="Q513" s="3207"/>
      <c r="R513" s="3207"/>
      <c r="S513" s="3207"/>
      <c r="T513" s="3207"/>
      <c r="U513" s="3207"/>
      <c r="V513" s="3207"/>
      <c r="W513" s="3207"/>
      <c r="X513" s="3207"/>
      <c r="Y513" s="3207"/>
      <c r="Z513" s="3207"/>
      <c r="AA513" s="3207"/>
      <c r="AB513" s="3207"/>
      <c r="AC513" s="3207"/>
      <c r="AD513" s="3207"/>
      <c r="AE513" s="3207"/>
      <c r="AF513" s="3206"/>
      <c r="AI513" s="3120"/>
    </row>
    <row r="514" spans="1:35" ht="18.75" customHeight="1" x14ac:dyDescent="0.2">
      <c r="A514" s="834"/>
      <c r="B514" s="3148"/>
      <c r="C514" s="3160"/>
      <c r="D514" s="3158" t="s">
        <v>116</v>
      </c>
      <c r="E514" s="3145" t="s">
        <v>1249</v>
      </c>
      <c r="F514" s="3144"/>
      <c r="G514" s="3175"/>
      <c r="H514" s="3233" t="s">
        <v>1244</v>
      </c>
      <c r="I514" s="3211" t="s">
        <v>116</v>
      </c>
      <c r="J514" s="3210" t="s">
        <v>1234</v>
      </c>
      <c r="K514" s="3210"/>
      <c r="L514" s="3210"/>
      <c r="M514" s="3211" t="s">
        <v>116</v>
      </c>
      <c r="N514" s="3210" t="s">
        <v>1235</v>
      </c>
      <c r="O514" s="3210"/>
      <c r="P514" s="3210"/>
      <c r="Q514" s="3209"/>
      <c r="R514" s="3209"/>
      <c r="S514" s="3209"/>
      <c r="T514" s="3209"/>
      <c r="U514" s="3209"/>
      <c r="V514" s="3209"/>
      <c r="W514" s="3209"/>
      <c r="X514" s="3209"/>
      <c r="Y514" s="3209"/>
      <c r="Z514" s="3209"/>
      <c r="AA514" s="3209"/>
      <c r="AB514" s="3209"/>
      <c r="AC514" s="3209"/>
      <c r="AD514" s="3209"/>
      <c r="AE514" s="3209"/>
      <c r="AF514" s="3208"/>
      <c r="AI514" s="3120" t="str">
        <f>"64:chuusankanti_kibo_code:" &amp; IF(I514="■",1,IF(M514="■",2,0))</f>
        <v>64:chuusankanti_kibo_code:0</v>
      </c>
    </row>
    <row r="515" spans="1:35" ht="18.75" customHeight="1" x14ac:dyDescent="0.2">
      <c r="A515" s="835"/>
      <c r="B515" s="3135"/>
      <c r="C515" s="3378"/>
      <c r="D515" s="3131"/>
      <c r="E515" s="3132"/>
      <c r="F515" s="3131"/>
      <c r="G515" s="3189"/>
      <c r="H515" s="3450"/>
      <c r="I515" s="3360"/>
      <c r="J515" s="3345"/>
      <c r="K515" s="3345"/>
      <c r="L515" s="3345"/>
      <c r="M515" s="3360"/>
      <c r="N515" s="3345"/>
      <c r="O515" s="3345"/>
      <c r="P515" s="3345"/>
      <c r="Q515" s="3240"/>
      <c r="R515" s="3240"/>
      <c r="S515" s="3240"/>
      <c r="T515" s="3240"/>
      <c r="U515" s="3240"/>
      <c r="V515" s="3240"/>
      <c r="W515" s="3240"/>
      <c r="X515" s="3240"/>
      <c r="Y515" s="3240"/>
      <c r="Z515" s="3240"/>
      <c r="AA515" s="3240"/>
      <c r="AB515" s="3240"/>
      <c r="AC515" s="3240"/>
      <c r="AD515" s="3240"/>
      <c r="AE515" s="3240"/>
      <c r="AF515" s="3239"/>
    </row>
    <row r="516" spans="1:35" ht="8.25" customHeight="1" x14ac:dyDescent="0.2">
      <c r="A516" s="3122"/>
      <c r="B516" s="3122"/>
      <c r="G516" s="1200"/>
      <c r="H516" s="1200"/>
      <c r="I516" s="1200"/>
      <c r="J516" s="1200"/>
      <c r="K516" s="1200"/>
      <c r="L516" s="1200"/>
      <c r="M516" s="1200"/>
      <c r="N516" s="1200"/>
      <c r="O516" s="1200"/>
      <c r="P516" s="1200"/>
      <c r="Q516" s="1200"/>
      <c r="R516" s="1200"/>
      <c r="S516" s="1200"/>
      <c r="T516" s="1200"/>
      <c r="U516" s="1200"/>
      <c r="V516" s="1200"/>
      <c r="W516" s="1200"/>
      <c r="X516" s="1200"/>
      <c r="Y516" s="1200"/>
      <c r="Z516" s="1200"/>
      <c r="AA516" s="1200"/>
      <c r="AB516" s="1200"/>
    </row>
    <row r="517" spans="1:35" ht="20.25" customHeight="1" x14ac:dyDescent="0.2">
      <c r="A517" s="3123"/>
      <c r="B517" s="3123"/>
      <c r="C517" s="2" t="s">
        <v>2084</v>
      </c>
      <c r="D517" s="1200"/>
      <c r="E517" s="3122"/>
      <c r="F517" s="3122"/>
      <c r="G517" s="3122"/>
      <c r="H517" s="3122"/>
      <c r="I517" s="3122"/>
      <c r="J517" s="3122"/>
      <c r="K517" s="3122"/>
      <c r="L517" s="3122"/>
      <c r="M517" s="3122"/>
      <c r="N517" s="3122"/>
      <c r="O517" s="3122"/>
      <c r="P517" s="3122"/>
      <c r="Q517" s="3122"/>
      <c r="R517" s="3122"/>
      <c r="S517" s="3122"/>
      <c r="T517" s="3122"/>
      <c r="U517" s="3122"/>
      <c r="V517" s="3122"/>
    </row>
  </sheetData>
  <mergeCells count="290">
    <mergeCell ref="H314:H315"/>
    <mergeCell ref="AC314:AF336"/>
    <mergeCell ref="H316:H317"/>
    <mergeCell ref="H328:H329"/>
    <mergeCell ref="H330:H331"/>
    <mergeCell ref="H334:H335"/>
    <mergeCell ref="I334:I335"/>
    <mergeCell ref="J334:K335"/>
    <mergeCell ref="AC106:AF124"/>
    <mergeCell ref="H107:H108"/>
    <mergeCell ref="H122:H123"/>
    <mergeCell ref="I122:I123"/>
    <mergeCell ref="J122:K123"/>
    <mergeCell ref="L122:L123"/>
    <mergeCell ref="M122:N123"/>
    <mergeCell ref="H377:H378"/>
    <mergeCell ref="I377:I378"/>
    <mergeCell ref="J377:K378"/>
    <mergeCell ref="L377:L378"/>
    <mergeCell ref="M377:N378"/>
    <mergeCell ref="H337:H338"/>
    <mergeCell ref="L358:L359"/>
    <mergeCell ref="M358:N359"/>
    <mergeCell ref="H361:H362"/>
    <mergeCell ref="AC361:AF379"/>
    <mergeCell ref="AC337:AF360"/>
    <mergeCell ref="H339:H340"/>
    <mergeCell ref="H352:H353"/>
    <mergeCell ref="H354:H355"/>
    <mergeCell ref="H358:H359"/>
    <mergeCell ref="I358:I359"/>
    <mergeCell ref="J358:K359"/>
    <mergeCell ref="H363:H364"/>
    <mergeCell ref="AC189:AF206"/>
    <mergeCell ref="H190:H191"/>
    <mergeCell ref="H204:H205"/>
    <mergeCell ref="I204:I205"/>
    <mergeCell ref="J204:K205"/>
    <mergeCell ref="L204:L205"/>
    <mergeCell ref="M204:N205"/>
    <mergeCell ref="H380:H381"/>
    <mergeCell ref="AC380:AF399"/>
    <mergeCell ref="H382:H383"/>
    <mergeCell ref="H397:H398"/>
    <mergeCell ref="I397:I398"/>
    <mergeCell ref="J397:K398"/>
    <mergeCell ref="L397:L398"/>
    <mergeCell ref="M397:N398"/>
    <mergeCell ref="H512:H513"/>
    <mergeCell ref="I512:I513"/>
    <mergeCell ref="J512:L513"/>
    <mergeCell ref="M512:M513"/>
    <mergeCell ref="N512:P513"/>
    <mergeCell ref="H514:H515"/>
    <mergeCell ref="I514:I515"/>
    <mergeCell ref="J514:L515"/>
    <mergeCell ref="M514:M515"/>
    <mergeCell ref="N514:P515"/>
    <mergeCell ref="H506:H507"/>
    <mergeCell ref="I506:I507"/>
    <mergeCell ref="J506:L507"/>
    <mergeCell ref="M506:M507"/>
    <mergeCell ref="N506:P507"/>
    <mergeCell ref="H508:H509"/>
    <mergeCell ref="I508:I509"/>
    <mergeCell ref="J508:L509"/>
    <mergeCell ref="M508:M509"/>
    <mergeCell ref="N508:P509"/>
    <mergeCell ref="H494:H495"/>
    <mergeCell ref="I494:I495"/>
    <mergeCell ref="J494:L495"/>
    <mergeCell ref="M494:M495"/>
    <mergeCell ref="N494:P495"/>
    <mergeCell ref="A497:AF497"/>
    <mergeCell ref="S499:V499"/>
    <mergeCell ref="A501:C501"/>
    <mergeCell ref="D501:E501"/>
    <mergeCell ref="F501:G501"/>
    <mergeCell ref="H501:AF501"/>
    <mergeCell ref="A502:C503"/>
    <mergeCell ref="H502:H503"/>
    <mergeCell ref="AC482:AF487"/>
    <mergeCell ref="H484:H485"/>
    <mergeCell ref="I484:I485"/>
    <mergeCell ref="J484:L485"/>
    <mergeCell ref="M484:M485"/>
    <mergeCell ref="N484:P485"/>
    <mergeCell ref="H486:H487"/>
    <mergeCell ref="I486:I487"/>
    <mergeCell ref="J486:L487"/>
    <mergeCell ref="M486:M487"/>
    <mergeCell ref="N486:P487"/>
    <mergeCell ref="H488:H490"/>
    <mergeCell ref="I488:X490"/>
    <mergeCell ref="AC488:AF490"/>
    <mergeCell ref="AC491:AF495"/>
    <mergeCell ref="H492:H493"/>
    <mergeCell ref="I492:I493"/>
    <mergeCell ref="J492:L493"/>
    <mergeCell ref="M492:M493"/>
    <mergeCell ref="N492:P493"/>
    <mergeCell ref="H424:H425"/>
    <mergeCell ref="AC424:AF447"/>
    <mergeCell ref="H426:H427"/>
    <mergeCell ref="H439:H440"/>
    <mergeCell ref="H441:H442"/>
    <mergeCell ref="H445:H446"/>
    <mergeCell ref="I445:I446"/>
    <mergeCell ref="J445:K446"/>
    <mergeCell ref="L445:L446"/>
    <mergeCell ref="M445:N446"/>
    <mergeCell ref="H448:H449"/>
    <mergeCell ref="AC448:AF467"/>
    <mergeCell ref="H450:H451"/>
    <mergeCell ref="H465:H466"/>
    <mergeCell ref="I465:I466"/>
    <mergeCell ref="J465:K466"/>
    <mergeCell ref="L465:L466"/>
    <mergeCell ref="M465:N466"/>
    <mergeCell ref="H400:H401"/>
    <mergeCell ref="AC400:AF423"/>
    <mergeCell ref="H402:H403"/>
    <mergeCell ref="H415:H416"/>
    <mergeCell ref="H417:H418"/>
    <mergeCell ref="H421:H422"/>
    <mergeCell ref="I421:I422"/>
    <mergeCell ref="J421:K422"/>
    <mergeCell ref="L421:L422"/>
    <mergeCell ref="M421:N422"/>
    <mergeCell ref="L334:L335"/>
    <mergeCell ref="M334:N335"/>
    <mergeCell ref="AC294:AF313"/>
    <mergeCell ref="H305:H306"/>
    <mergeCell ref="H308:H309"/>
    <mergeCell ref="H311:H312"/>
    <mergeCell ref="I311:I312"/>
    <mergeCell ref="J311:K312"/>
    <mergeCell ref="L311:L312"/>
    <mergeCell ref="M311:N312"/>
    <mergeCell ref="H252:H253"/>
    <mergeCell ref="AC252:AF274"/>
    <mergeCell ref="H266:H267"/>
    <mergeCell ref="H269:H270"/>
    <mergeCell ref="H272:H273"/>
    <mergeCell ref="I272:I273"/>
    <mergeCell ref="J272:K273"/>
    <mergeCell ref="L272:L273"/>
    <mergeCell ref="M272:N273"/>
    <mergeCell ref="AC275:AF293"/>
    <mergeCell ref="H285:H286"/>
    <mergeCell ref="H288:H289"/>
    <mergeCell ref="H291:H292"/>
    <mergeCell ref="I291:I292"/>
    <mergeCell ref="J291:K292"/>
    <mergeCell ref="L291:L292"/>
    <mergeCell ref="M291:N292"/>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48:AF169"/>
    <mergeCell ref="H149:H150"/>
    <mergeCell ref="H167:H168"/>
    <mergeCell ref="I167:I168"/>
    <mergeCell ref="J167:K168"/>
    <mergeCell ref="L167:L168"/>
    <mergeCell ref="M167:N168"/>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P81:Q82"/>
    <mergeCell ref="R81:R82"/>
    <mergeCell ref="S81:T82"/>
    <mergeCell ref="H83:H84"/>
    <mergeCell ref="I83:I84"/>
    <mergeCell ref="J83:K84"/>
    <mergeCell ref="L83:L84"/>
    <mergeCell ref="M83:N84"/>
    <mergeCell ref="AC86:AF105"/>
    <mergeCell ref="H87:H88"/>
    <mergeCell ref="H103:H104"/>
    <mergeCell ref="I103:I104"/>
    <mergeCell ref="J103:K104"/>
    <mergeCell ref="L103:L104"/>
    <mergeCell ref="M103:N104"/>
    <mergeCell ref="O79:O80"/>
    <mergeCell ref="P79:Q80"/>
    <mergeCell ref="R79:R80"/>
    <mergeCell ref="S79:T80"/>
    <mergeCell ref="H81:H82"/>
    <mergeCell ref="I81:I82"/>
    <mergeCell ref="J81:K82"/>
    <mergeCell ref="L81:L82"/>
    <mergeCell ref="M81:N82"/>
    <mergeCell ref="O81:O82"/>
    <mergeCell ref="H67:H68"/>
    <mergeCell ref="J67:K68"/>
    <mergeCell ref="L67:L68"/>
    <mergeCell ref="M67:N68"/>
    <mergeCell ref="H79:H80"/>
    <mergeCell ref="I79:I80"/>
    <mergeCell ref="J79:K80"/>
    <mergeCell ref="L79:L80"/>
    <mergeCell ref="M79:N80"/>
    <mergeCell ref="AC33:AF41"/>
    <mergeCell ref="H36:H37"/>
    <mergeCell ref="I36:I37"/>
    <mergeCell ref="J36:L37"/>
    <mergeCell ref="M36:M37"/>
    <mergeCell ref="N36:P37"/>
    <mergeCell ref="N38:P39"/>
    <mergeCell ref="AC42:AF48"/>
    <mergeCell ref="H43:H44"/>
    <mergeCell ref="I43:I44"/>
    <mergeCell ref="J43:L44"/>
    <mergeCell ref="M43:M44"/>
    <mergeCell ref="N43:P44"/>
    <mergeCell ref="H45:H46"/>
    <mergeCell ref="I45:I46"/>
    <mergeCell ref="J45:L46"/>
    <mergeCell ref="M45:M46"/>
    <mergeCell ref="N45:P46"/>
    <mergeCell ref="J47:K47"/>
    <mergeCell ref="M47:N47"/>
    <mergeCell ref="H49:H50"/>
    <mergeCell ref="AC49:AF60"/>
    <mergeCell ref="J57:K57"/>
    <mergeCell ref="M57:N5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2 M13:M16 L22 M23:M26 L35 A484 O41 U481 D26:D27 U49 O32 Q62 L67:L73 O70 M74 Y61:Y62 AC61:AC62 Q87:Q88 U87 L94:L96 O96 R102 M294:M299 Y86:Y87 Q126:Q127 U126 L133:L134 M135 O143:O144 R144 P136 O141 S142 Y125:Y126 M97 R274 Q171:Q172 U171 L178:L179 R185 Y170:Y171 F96:F97 U209 Q207 L215 A54 O219 P220 M223 Q223:Q224 O225 R225 Y207:Y208 U231 Q229 Q231 L238 O479:O481 O242 P243 M246 Q246:Q247 O248 R248 Y229:Y230 L240:L242 M262 F217 R18:R19 A96 L217:L219 M180 A512 U254 Q252 Q254 L261 L372:L379 O265 P266 M269 Q269:Q270 O271 R271 Y252:Y253 L263:L265 R447 L280 O284 P285 M288 Q288:Q289 O290 R290 O447 F240 L245 F242 F219 L300 O304 P305 M308 Q308:Q309 O310 R310 U360:U361 Q314 L323 L325:L327 O327 Q316 P328 M330 O332:O333 R333 Y314:Y315 L472:L481 F302 Q337 Q339 L347 L349:L351 O351 P352 M354 O356:O357 R357 Y337:Y338 A325 Q361 Q363 L370 F324:F326 R376 Y361:Y362 Q400 Q402 L410 L412:L414 O414 P415 M417 R420 O419:O420 Y400:Y401 D325 R379 R360 F287 Q424 Q426 L434 L436:L438 O438 P439 M441 R444 O443:O444 Y424:Y425 F411:F412 Q448 Q450 L458 R464 Y448:Y449 L356:L360 Y468:Y469 Q468 AC468:AC469 O293 U502:U503 M502:M504 L505 M512:M515 I502:I515 M506:M510 F215 O100:O102 N142 O183:O185 Q330:Q331 Q354:Q355 O374:O376 Q417:Q418 Q441:Q442 O462:O464 A26 M216 M239 L282:L284 L302:L304 O476 L483 F458:F459 A493 A262 M36:M39 M28 M459 D489 L137:L141 A73 Q502:Q503 M170:M177 L165:L169 M281 M301 M324 M348 M371 M411 M435 R79:R82 U147 O423 M484:M487 R423 M49:M52 M314:M322 D72:D75 D53:D55 AC10:AC11 U399:U400 L222 U423:U424 A217 F213 F223 U447:U448 L443:L447 A304 D304 L75:L85 D283 D370 O399 A370 A198 F221 F281 D411 O336 O360 R313 U336:U337 L310:L313 Y294:Y295 O472 L27 O27 A283 L47:L48 L29:L32 O17:O19 M43:M46 A45 Y42:Y43 L460:L467 O77:O82 M275:M279 M61:M66 Q209 Y10:Y11 A135 O222 A179 M33:M34 D240 O245 F238 O268 L268 D217 A240 L287 O287 D262:D263 F262:F263 L307 O307 F285 F283 U228:U229 F304 A411 R336 O313 M400:M409 M361:M369 D512:D514 Y20:Y21 M8:M11 M207:M214 M229:M237 R467 U206:U207 M252:M260 Y275:Y276 R293 L332:L336 A474 F306 M20:M21 U313:U314 A489 L117:L124 L491 M492:M495 Q49:Q50 A37 Y49:Y50 U467 O467 L40:L42 L17:L19 D493 A15 O59:O60 D36:D38 L53:L60 Y482:Y483 L511 R480:R481 U19 I491:I495 M424:M433 R59:R60 M448:M457 M468:M471 U60 M482 U85 O85 U105 R85 O105 R105 O147 R147 O188 L225:L228 L419:L423 R188 O228 L248:L251 R228 U251:U252 O251 R251 L271:L274 D348 U274 O274 L290:L293 Y33:Y34 U293 D473:D475 F473:F474 A506 D506:D507 Y488:Y489 Y491:Y492 A458 D458 D435 A435 M337:M346 D96 L98:L105 Q107:Q108 U107 L113:L115 O115 R121 Y106:Y107 M116 F115:F116 A115 O119:O121 M106:M112 F389 U124 O124 R124 M86:M93 D135:D136 L143:L147 Q149:Q150 U149 L155:L156 M157 O165:O166 R166 P158 O163 S164 Y148:Y149 N164 L159:L163 M125:M132 U169 A157 M148:M154 O169 R169 D157:D158 L199:L206 U188 L181:L188 Q190:Q191 U190 L196:L197 R203 Y189:Y190 M198 O201:O203 D179 D198 M189:M195 O206 R206 F347:F349 A348 M380:M389 U379:U380 O379 L392:L399 Q380 Q382 L390 R396 Y380:Y381 R399 O394:O396 M391 I8:I487 F370 D389 A389 D115" xr:uid="{6CB0622C-77B1-415D-B2BB-35D9F21571BD}">
      <formula1>"□,■"</formula1>
    </dataValidation>
  </dataValidations>
  <pageMargins left="0.7" right="0.7" top="0.75" bottom="0.75" header="0.3" footer="0.3"/>
  <pageSetup paperSize="9" scale="50" fitToHeight="0" orientation="landscape" r:id="rId1"/>
  <rowBreaks count="12" manualBreakCount="12">
    <brk id="48" min="4" max="31" man="1"/>
    <brk id="85" min="4" max="31" man="1"/>
    <brk id="124" max="16383" man="1"/>
    <brk id="169" min="4" max="31" man="1"/>
    <brk id="206" max="16383" man="1"/>
    <brk id="251" min="4" max="31" man="1"/>
    <brk id="293" min="4" max="31" man="1"/>
    <brk id="313" max="16383" man="1"/>
    <brk id="360" min="4" max="31" man="1"/>
    <brk id="399" max="16383" man="1"/>
    <brk id="447" min="4" max="31" man="1"/>
    <brk id="4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B2:AN83"/>
  <sheetViews>
    <sheetView view="pageBreakPreview" zoomScaleNormal="100" zoomScaleSheetLayoutView="100" workbookViewId="0">
      <selection activeCell="M26" sqref="M26:AN26"/>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1359</v>
      </c>
    </row>
    <row r="3" spans="2:40" ht="14.25" customHeight="1" x14ac:dyDescent="0.2">
      <c r="AB3" s="1352" t="s">
        <v>77</v>
      </c>
      <c r="AC3" s="1353"/>
      <c r="AD3" s="1353"/>
      <c r="AE3" s="1353"/>
      <c r="AF3" s="1354"/>
      <c r="AG3" s="1338"/>
      <c r="AH3" s="1339"/>
      <c r="AI3" s="1339"/>
      <c r="AJ3" s="1339"/>
      <c r="AK3" s="1339"/>
      <c r="AL3" s="1339"/>
      <c r="AM3" s="1339"/>
      <c r="AN3" s="1340"/>
    </row>
    <row r="5" spans="2:40" x14ac:dyDescent="0.2">
      <c r="B5" s="1456" t="s">
        <v>625</v>
      </c>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c r="AF5" s="1456"/>
      <c r="AG5" s="1456"/>
      <c r="AH5" s="1456"/>
      <c r="AI5" s="1456"/>
      <c r="AJ5" s="1456"/>
      <c r="AK5" s="1456"/>
      <c r="AL5" s="1456"/>
      <c r="AM5" s="1456"/>
      <c r="AN5" s="1456"/>
    </row>
    <row r="6" spans="2:40" ht="13.5" customHeight="1" x14ac:dyDescent="0.2">
      <c r="AE6" s="599" t="s">
        <v>643</v>
      </c>
      <c r="AF6" s="1456"/>
      <c r="AG6" s="1456"/>
      <c r="AH6" t="s">
        <v>34</v>
      </c>
      <c r="AI6" s="1456"/>
      <c r="AJ6" s="1456"/>
      <c r="AK6" t="s">
        <v>383</v>
      </c>
      <c r="AL6" s="1456"/>
      <c r="AM6" s="1456"/>
      <c r="AN6" t="s">
        <v>29</v>
      </c>
    </row>
    <row r="7" spans="2:40" x14ac:dyDescent="0.2">
      <c r="B7" s="1456"/>
      <c r="C7" s="1456"/>
      <c r="D7" s="1456"/>
      <c r="E7" s="1456"/>
      <c r="F7" s="1456"/>
      <c r="G7" s="1456"/>
      <c r="H7" s="1456" t="s">
        <v>1360</v>
      </c>
      <c r="I7" s="1456"/>
      <c r="J7" s="1456"/>
      <c r="K7" t="s">
        <v>1361</v>
      </c>
    </row>
    <row r="8" spans="2:40" x14ac:dyDescent="0.2">
      <c r="V8" s="1473" t="s">
        <v>1362</v>
      </c>
      <c r="W8" s="1473"/>
      <c r="X8" s="1473"/>
      <c r="Y8" s="1473"/>
      <c r="Z8" s="1473"/>
      <c r="AA8" s="1473"/>
      <c r="AB8" s="1473"/>
      <c r="AC8" s="1473"/>
      <c r="AD8" s="1473"/>
      <c r="AE8" s="1473"/>
      <c r="AF8" s="1473"/>
      <c r="AG8" s="1473"/>
      <c r="AH8" s="1473"/>
      <c r="AI8" s="1473"/>
      <c r="AJ8" s="1473"/>
      <c r="AK8" s="1473"/>
      <c r="AL8" s="1473"/>
      <c r="AM8" s="1473"/>
      <c r="AN8" s="1473"/>
    </row>
    <row r="9" spans="2:40" x14ac:dyDescent="0.2">
      <c r="Y9" s="1456"/>
      <c r="Z9" s="1456"/>
      <c r="AA9" s="1456"/>
      <c r="AB9" s="1456"/>
      <c r="AC9" s="1456"/>
      <c r="AD9" s="1456"/>
      <c r="AE9" s="1456"/>
      <c r="AF9" s="1456"/>
      <c r="AG9" s="1456"/>
      <c r="AH9" s="1456"/>
      <c r="AI9" s="1456"/>
      <c r="AJ9" s="1456"/>
      <c r="AK9" s="1456"/>
      <c r="AL9" s="1456"/>
      <c r="AM9" s="1456"/>
      <c r="AN9" s="1456"/>
    </row>
    <row r="10" spans="2:40" x14ac:dyDescent="0.2">
      <c r="V10" s="1456" t="s">
        <v>626</v>
      </c>
      <c r="W10" s="1456"/>
      <c r="X10" s="1456"/>
      <c r="Y10" s="1456"/>
      <c r="Z10" s="1456"/>
      <c r="AA10" s="1456"/>
      <c r="AB10" s="1456"/>
      <c r="AC10" s="1456"/>
      <c r="AD10" s="1456"/>
      <c r="AE10" s="1456"/>
      <c r="AF10" s="1456"/>
      <c r="AG10" s="1456"/>
      <c r="AH10" s="1456"/>
      <c r="AI10" s="1456"/>
      <c r="AJ10" s="1456"/>
      <c r="AK10" s="1456"/>
      <c r="AL10" s="1456"/>
      <c r="AM10" s="1456"/>
      <c r="AN10" s="1456"/>
    </row>
    <row r="11" spans="2:40" x14ac:dyDescent="0.2">
      <c r="Y11" s="1456"/>
      <c r="Z11" s="1456"/>
      <c r="AA11" s="1456"/>
      <c r="AB11" s="1456"/>
      <c r="AC11" s="1456"/>
      <c r="AD11" s="1456"/>
      <c r="AE11" s="1456"/>
      <c r="AF11" s="1456"/>
      <c r="AG11" s="1456"/>
      <c r="AH11" s="1456"/>
      <c r="AI11" s="1456"/>
      <c r="AJ11" s="1456"/>
      <c r="AK11" s="1456"/>
      <c r="AL11" s="1456"/>
      <c r="AM11" s="1456"/>
      <c r="AN11" s="1456"/>
    </row>
    <row r="12" spans="2:40" x14ac:dyDescent="0.2">
      <c r="C12" t="s">
        <v>628</v>
      </c>
    </row>
    <row r="13" spans="2:40" x14ac:dyDescent="0.2">
      <c r="N13" s="1457"/>
      <c r="O13" s="1457"/>
      <c r="AB13" s="1352" t="s">
        <v>1363</v>
      </c>
      <c r="AC13" s="1353"/>
      <c r="AD13" s="1353"/>
      <c r="AE13" s="1353"/>
      <c r="AF13" s="1353"/>
      <c r="AG13" s="1353"/>
      <c r="AH13" s="1353"/>
      <c r="AI13" s="1354"/>
      <c r="AJ13" s="1431"/>
      <c r="AK13" s="1432"/>
      <c r="AL13" s="1432"/>
      <c r="AM13" s="1432"/>
      <c r="AN13" s="1450"/>
    </row>
    <row r="14" spans="2:40" ht="14.25" customHeight="1" x14ac:dyDescent="0.2">
      <c r="B14" s="1362" t="s">
        <v>79</v>
      </c>
      <c r="C14" s="1443" t="s">
        <v>7</v>
      </c>
      <c r="D14" s="1433"/>
      <c r="E14" s="1433"/>
      <c r="F14" s="1433"/>
      <c r="G14" s="1433"/>
      <c r="H14" s="1433"/>
      <c r="I14" s="1433"/>
      <c r="J14" s="1433"/>
      <c r="K14" s="1433"/>
      <c r="L14" s="1458"/>
      <c r="M14" s="1459"/>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460"/>
      <c r="AM14" s="1460"/>
      <c r="AN14" s="1461"/>
    </row>
    <row r="15" spans="2:40" ht="14.25" customHeight="1" x14ac:dyDescent="0.2">
      <c r="B15" s="1363"/>
      <c r="C15" s="1462" t="s">
        <v>80</v>
      </c>
      <c r="D15" s="1463"/>
      <c r="E15" s="1463"/>
      <c r="F15" s="1463"/>
      <c r="G15" s="1463"/>
      <c r="H15" s="1463"/>
      <c r="I15" s="1463"/>
      <c r="J15" s="1463"/>
      <c r="K15" s="1463"/>
      <c r="L15" s="1463"/>
      <c r="M15" s="1464"/>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c r="AK15" s="1328"/>
      <c r="AL15" s="1328"/>
      <c r="AM15" s="1328"/>
      <c r="AN15" s="1465"/>
    </row>
    <row r="16" spans="2:40" ht="13.5" customHeight="1" x14ac:dyDescent="0.2">
      <c r="B16" s="1363"/>
      <c r="C16" s="1443" t="s">
        <v>1364</v>
      </c>
      <c r="D16" s="1433"/>
      <c r="E16" s="1433"/>
      <c r="F16" s="1433"/>
      <c r="G16" s="1433"/>
      <c r="H16" s="1433"/>
      <c r="I16" s="1433"/>
      <c r="J16" s="1433"/>
      <c r="K16" s="1433"/>
      <c r="L16" s="1434"/>
      <c r="M16" s="1431" t="s">
        <v>629</v>
      </c>
      <c r="N16" s="1432"/>
      <c r="O16" s="1432"/>
      <c r="P16" s="1432"/>
      <c r="Q16" s="1432"/>
      <c r="R16" s="1432"/>
      <c r="S16" s="1432"/>
      <c r="T16" t="s">
        <v>630</v>
      </c>
      <c r="U16" s="1432"/>
      <c r="V16" s="1432"/>
      <c r="W16" s="1432"/>
      <c r="X16" t="s">
        <v>233</v>
      </c>
      <c r="Y16" s="1433"/>
      <c r="Z16" s="1433"/>
      <c r="AA16" s="1433"/>
      <c r="AB16" s="1433"/>
      <c r="AC16" s="1433"/>
      <c r="AD16" s="1433"/>
      <c r="AE16" s="1433"/>
      <c r="AF16" s="1433"/>
      <c r="AG16" s="1433"/>
      <c r="AH16" s="1433"/>
      <c r="AI16" s="1433"/>
      <c r="AJ16" s="1433"/>
      <c r="AK16" s="1433"/>
      <c r="AL16" s="1433"/>
      <c r="AM16" s="1433"/>
      <c r="AN16" s="1434"/>
    </row>
    <row r="17" spans="2:40" ht="13.5" customHeight="1" x14ac:dyDescent="0.2">
      <c r="B17" s="1363"/>
      <c r="C17" s="1462"/>
      <c r="D17" s="1463"/>
      <c r="E17" s="1463"/>
      <c r="F17" s="1463"/>
      <c r="G17" s="1463"/>
      <c r="H17" s="1463"/>
      <c r="I17" s="1463"/>
      <c r="J17" s="1463"/>
      <c r="K17" s="1463"/>
      <c r="L17" s="1466"/>
      <c r="M17" s="1330" t="s">
        <v>1365</v>
      </c>
      <c r="N17" s="1331"/>
      <c r="O17" s="1331"/>
      <c r="P17" s="1331"/>
      <c r="Q17" t="s">
        <v>1366</v>
      </c>
      <c r="R17" s="1331"/>
      <c r="S17" s="1331"/>
      <c r="T17" s="1331"/>
      <c r="U17" s="1331"/>
      <c r="V17" s="1331" t="s">
        <v>1367</v>
      </c>
      <c r="W17" s="1331"/>
      <c r="X17" s="1435"/>
      <c r="Y17" s="1435"/>
      <c r="Z17" s="1435"/>
      <c r="AA17" s="1435"/>
      <c r="AB17" s="1435"/>
      <c r="AC17" s="1435"/>
      <c r="AD17" s="1435"/>
      <c r="AE17" s="1435"/>
      <c r="AF17" s="1435"/>
      <c r="AG17" s="1435"/>
      <c r="AH17" s="1435"/>
      <c r="AI17" s="1435"/>
      <c r="AJ17" s="1435"/>
      <c r="AK17" s="1435"/>
      <c r="AL17" s="1435"/>
      <c r="AM17" s="1435"/>
      <c r="AN17" s="1436"/>
    </row>
    <row r="18" spans="2:40" ht="13.5" customHeight="1" x14ac:dyDescent="0.2">
      <c r="B18" s="1363"/>
      <c r="C18" s="1447"/>
      <c r="D18" s="1448"/>
      <c r="E18" s="1448"/>
      <c r="F18" s="1448"/>
      <c r="G18" s="1448"/>
      <c r="H18" s="1448"/>
      <c r="I18" s="1448"/>
      <c r="J18" s="1448"/>
      <c r="K18" s="1448"/>
      <c r="L18" s="1449"/>
      <c r="M18" s="1467" t="s">
        <v>83</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c r="AL18" s="1468"/>
      <c r="AM18" s="1468"/>
      <c r="AN18" s="1469"/>
    </row>
    <row r="19" spans="2:40" ht="14.25" customHeight="1" x14ac:dyDescent="0.2">
      <c r="B19" s="1363"/>
      <c r="C19" s="1470" t="s">
        <v>84</v>
      </c>
      <c r="D19" s="1471"/>
      <c r="E19" s="1471"/>
      <c r="F19" s="1471"/>
      <c r="G19" s="1471"/>
      <c r="H19" s="1471"/>
      <c r="I19" s="1471"/>
      <c r="J19" s="1471"/>
      <c r="K19" s="1471"/>
      <c r="L19" s="1472"/>
      <c r="M19" s="1352" t="s">
        <v>9</v>
      </c>
      <c r="N19" s="1353"/>
      <c r="O19" s="1353"/>
      <c r="P19" s="1353"/>
      <c r="Q19" s="1354"/>
      <c r="R19" s="1338"/>
      <c r="S19" s="1339"/>
      <c r="T19" s="1339"/>
      <c r="U19" s="1339"/>
      <c r="V19" s="1339"/>
      <c r="W19" s="1339"/>
      <c r="X19" s="1339"/>
      <c r="Y19" s="1339"/>
      <c r="Z19" s="1339"/>
      <c r="AA19" s="1340"/>
      <c r="AB19" s="1431" t="s">
        <v>10</v>
      </c>
      <c r="AC19" s="1432"/>
      <c r="AD19" s="1432"/>
      <c r="AE19" s="1432"/>
      <c r="AF19" s="1450"/>
      <c r="AG19" s="1338"/>
      <c r="AH19" s="1339"/>
      <c r="AI19" s="1339"/>
      <c r="AJ19" s="1339"/>
      <c r="AK19" s="1339"/>
      <c r="AL19" s="1339"/>
      <c r="AM19" s="1339"/>
      <c r="AN19" s="1340"/>
    </row>
    <row r="20" spans="2:40" ht="14.25" customHeight="1" x14ac:dyDescent="0.2">
      <c r="B20" s="1363"/>
      <c r="C20" s="1355" t="s">
        <v>1368</v>
      </c>
      <c r="D20" s="1355"/>
      <c r="E20" s="1355"/>
      <c r="F20" s="1355"/>
      <c r="G20" s="1355"/>
      <c r="H20" s="1355"/>
      <c r="I20" s="1355"/>
      <c r="J20" s="1355"/>
      <c r="K20" s="1355"/>
      <c r="L20" s="1355"/>
      <c r="M20" s="1365"/>
      <c r="N20" s="1345"/>
      <c r="O20" s="1345"/>
      <c r="P20" s="1345"/>
      <c r="Q20" s="1345"/>
      <c r="R20" s="1345"/>
      <c r="S20" s="1345"/>
      <c r="T20" s="1345"/>
      <c r="U20" s="1346"/>
      <c r="V20" s="1365" t="s">
        <v>11</v>
      </c>
      <c r="W20" s="1345"/>
      <c r="X20" s="1345"/>
      <c r="Y20" s="1345"/>
      <c r="Z20" s="1345"/>
      <c r="AA20" s="1346"/>
      <c r="AB20" s="1365"/>
      <c r="AC20" s="1345"/>
      <c r="AD20" s="1345"/>
      <c r="AE20" s="1345"/>
      <c r="AF20" s="1345"/>
      <c r="AG20" s="1345"/>
      <c r="AH20" s="1345"/>
      <c r="AI20" s="1345"/>
      <c r="AJ20" s="1345"/>
      <c r="AK20" s="1345"/>
      <c r="AL20" s="1345"/>
      <c r="AM20" s="1345"/>
      <c r="AN20" s="1346"/>
    </row>
    <row r="21" spans="2:40" ht="14.25" customHeight="1" x14ac:dyDescent="0.2">
      <c r="B21" s="1363"/>
      <c r="C21" s="1355" t="s">
        <v>627</v>
      </c>
      <c r="D21" s="1355"/>
      <c r="E21" s="1355"/>
      <c r="F21" s="1355"/>
      <c r="G21" s="1355"/>
      <c r="H21" s="1355"/>
      <c r="I21" s="1355"/>
      <c r="J21" s="1454"/>
      <c r="K21" s="1454"/>
      <c r="L21" s="1455"/>
      <c r="M21" s="1365" t="s">
        <v>13</v>
      </c>
      <c r="N21" s="1345"/>
      <c r="O21" s="1345"/>
      <c r="P21" s="1345"/>
      <c r="Q21" s="1346"/>
      <c r="R21" s="1349"/>
      <c r="S21" s="1350"/>
      <c r="T21" s="1350"/>
      <c r="U21" s="1350"/>
      <c r="V21" s="1350"/>
      <c r="W21" s="1350"/>
      <c r="X21" s="1350"/>
      <c r="Y21" s="1350"/>
      <c r="Z21" s="1350"/>
      <c r="AA21" s="1351"/>
      <c r="AB21" s="1345" t="s">
        <v>14</v>
      </c>
      <c r="AC21" s="1345"/>
      <c r="AD21" s="1345"/>
      <c r="AE21" s="1345"/>
      <c r="AF21" s="1346"/>
      <c r="AG21" s="1349"/>
      <c r="AH21" s="1350"/>
      <c r="AI21" s="1350"/>
      <c r="AJ21" s="1350"/>
      <c r="AK21" s="1350"/>
      <c r="AL21" s="1350"/>
      <c r="AM21" s="1350"/>
      <c r="AN21" s="1351"/>
    </row>
    <row r="22" spans="2:40" ht="13.5" customHeight="1" x14ac:dyDescent="0.2">
      <c r="B22" s="1363"/>
      <c r="C22" s="1430" t="s">
        <v>15</v>
      </c>
      <c r="D22" s="1430"/>
      <c r="E22" s="1430"/>
      <c r="F22" s="1430"/>
      <c r="G22" s="1430"/>
      <c r="H22" s="1430"/>
      <c r="I22" s="1430"/>
      <c r="J22" s="1451"/>
      <c r="K22" s="1451"/>
      <c r="L22" s="1451"/>
      <c r="M22" s="1431" t="s">
        <v>629</v>
      </c>
      <c r="N22" s="1432"/>
      <c r="O22" s="1432"/>
      <c r="P22" s="1432"/>
      <c r="Q22" s="1432"/>
      <c r="R22" s="1432"/>
      <c r="S22" s="1432"/>
      <c r="T22" t="s">
        <v>630</v>
      </c>
      <c r="U22" s="1432"/>
      <c r="V22" s="1432"/>
      <c r="W22" s="1432"/>
      <c r="X22" t="s">
        <v>233</v>
      </c>
      <c r="Y22" s="1433"/>
      <c r="Z22" s="1433"/>
      <c r="AA22" s="1433"/>
      <c r="AB22" s="1433"/>
      <c r="AC22" s="1433"/>
      <c r="AD22" s="1433"/>
      <c r="AE22" s="1433"/>
      <c r="AF22" s="1433"/>
      <c r="AG22" s="1433"/>
      <c r="AH22" s="1433"/>
      <c r="AI22" s="1433"/>
      <c r="AJ22" s="1433"/>
      <c r="AK22" s="1433"/>
      <c r="AL22" s="1433"/>
      <c r="AM22" s="1433"/>
      <c r="AN22" s="1434"/>
    </row>
    <row r="23" spans="2:40" ht="14.25" customHeight="1" x14ac:dyDescent="0.2">
      <c r="B23" s="1363"/>
      <c r="C23" s="1430"/>
      <c r="D23" s="1430"/>
      <c r="E23" s="1430"/>
      <c r="F23" s="1430"/>
      <c r="G23" s="1430"/>
      <c r="H23" s="1430"/>
      <c r="I23" s="1430"/>
      <c r="J23" s="1451"/>
      <c r="K23" s="1451"/>
      <c r="L23" s="1451"/>
      <c r="M23" s="1330" t="s">
        <v>1365</v>
      </c>
      <c r="N23" s="1331"/>
      <c r="O23" s="1331"/>
      <c r="P23" s="1331"/>
      <c r="Q23" t="s">
        <v>1366</v>
      </c>
      <c r="R23" s="1331"/>
      <c r="S23" s="1331"/>
      <c r="T23" s="1331"/>
      <c r="U23" s="1331"/>
      <c r="V23" s="1331" t="s">
        <v>1367</v>
      </c>
      <c r="W23" s="1331"/>
      <c r="X23" s="1435"/>
      <c r="Y23" s="1435"/>
      <c r="Z23" s="1435"/>
      <c r="AA23" s="1435"/>
      <c r="AB23" s="1435"/>
      <c r="AC23" s="1435"/>
      <c r="AD23" s="1435"/>
      <c r="AE23" s="1435"/>
      <c r="AF23" s="1435"/>
      <c r="AG23" s="1435"/>
      <c r="AH23" s="1435"/>
      <c r="AI23" s="1435"/>
      <c r="AJ23" s="1435"/>
      <c r="AK23" s="1435"/>
      <c r="AL23" s="1435"/>
      <c r="AM23" s="1435"/>
      <c r="AN23" s="1436"/>
    </row>
    <row r="24" spans="2:40" x14ac:dyDescent="0.2">
      <c r="B24" s="1364"/>
      <c r="C24" s="1452"/>
      <c r="D24" s="1452"/>
      <c r="E24" s="1452"/>
      <c r="F24" s="1452"/>
      <c r="G24" s="1452"/>
      <c r="H24" s="1452"/>
      <c r="I24" s="1452"/>
      <c r="J24" s="1453"/>
      <c r="K24" s="1453"/>
      <c r="L24" s="1453"/>
      <c r="M24" s="1437"/>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42"/>
    </row>
    <row r="25" spans="2:40" ht="14.25" customHeight="1" x14ac:dyDescent="0.2">
      <c r="B25" s="1376" t="s">
        <v>1369</v>
      </c>
      <c r="C25" s="1443" t="s">
        <v>231</v>
      </c>
      <c r="D25" s="1433"/>
      <c r="E25" s="1433"/>
      <c r="F25" s="1433"/>
      <c r="G25" s="1433"/>
      <c r="H25" s="1433"/>
      <c r="I25" s="1433"/>
      <c r="J25" s="1433"/>
      <c r="K25" s="1433"/>
      <c r="L25" s="1434"/>
      <c r="M25" s="1444"/>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5"/>
      <c r="AK25" s="1445"/>
      <c r="AL25" s="1445"/>
      <c r="AM25" s="1445"/>
      <c r="AN25" s="1446"/>
    </row>
    <row r="26" spans="2:40" ht="14.25" customHeight="1" x14ac:dyDescent="0.2">
      <c r="B26" s="1377"/>
      <c r="C26" s="1447" t="s">
        <v>1370</v>
      </c>
      <c r="D26" s="1448"/>
      <c r="E26" s="1448"/>
      <c r="F26" s="1448"/>
      <c r="G26" s="1448"/>
      <c r="H26" s="1448"/>
      <c r="I26" s="1448"/>
      <c r="J26" s="1448"/>
      <c r="K26" s="1448"/>
      <c r="L26" s="1449"/>
      <c r="M26" s="1447"/>
      <c r="N26" s="1448"/>
      <c r="O26" s="1448"/>
      <c r="P26" s="1448"/>
      <c r="Q26" s="1448"/>
      <c r="R26" s="1448"/>
      <c r="S26" s="1448"/>
      <c r="T26" s="1448"/>
      <c r="U26" s="1448"/>
      <c r="V26" s="1448"/>
      <c r="W26" s="1448"/>
      <c r="X26" s="1448"/>
      <c r="Y26" s="1448"/>
      <c r="Z26" s="1448"/>
      <c r="AA26" s="1448"/>
      <c r="AB26" s="1448"/>
      <c r="AC26" s="1448"/>
      <c r="AD26" s="1448"/>
      <c r="AE26" s="1448"/>
      <c r="AF26" s="1448"/>
      <c r="AG26" s="1448"/>
      <c r="AH26" s="1448"/>
      <c r="AI26" s="1448"/>
      <c r="AJ26" s="1448"/>
      <c r="AK26" s="1448"/>
      <c r="AL26" s="1448"/>
      <c r="AM26" s="1448"/>
      <c r="AN26" s="1449"/>
    </row>
    <row r="27" spans="2:40" ht="13.5" customHeight="1" x14ac:dyDescent="0.2">
      <c r="B27" s="1377"/>
      <c r="C27" s="1430" t="s">
        <v>1371</v>
      </c>
      <c r="D27" s="1430"/>
      <c r="E27" s="1430"/>
      <c r="F27" s="1430"/>
      <c r="G27" s="1430"/>
      <c r="H27" s="1430"/>
      <c r="I27" s="1430"/>
      <c r="J27" s="1430"/>
      <c r="K27" s="1430"/>
      <c r="L27" s="1430"/>
      <c r="M27" s="1431" t="s">
        <v>629</v>
      </c>
      <c r="N27" s="1432"/>
      <c r="O27" s="1432"/>
      <c r="P27" s="1432"/>
      <c r="Q27" s="1432"/>
      <c r="R27" s="1432"/>
      <c r="S27" s="1432"/>
      <c r="T27" t="s">
        <v>630</v>
      </c>
      <c r="U27" s="1432"/>
      <c r="V27" s="1432"/>
      <c r="W27" s="1432"/>
      <c r="X27" t="s">
        <v>233</v>
      </c>
      <c r="Y27" s="1433"/>
      <c r="Z27" s="1433"/>
      <c r="AA27" s="1433"/>
      <c r="AB27" s="1433"/>
      <c r="AC27" s="1433"/>
      <c r="AD27" s="1433"/>
      <c r="AE27" s="1433"/>
      <c r="AF27" s="1433"/>
      <c r="AG27" s="1433"/>
      <c r="AH27" s="1433"/>
      <c r="AI27" s="1433"/>
      <c r="AJ27" s="1433"/>
      <c r="AK27" s="1433"/>
      <c r="AL27" s="1433"/>
      <c r="AM27" s="1433"/>
      <c r="AN27" s="1434"/>
    </row>
    <row r="28" spans="2:40" ht="14.25" customHeight="1" x14ac:dyDescent="0.2">
      <c r="B28" s="1377"/>
      <c r="C28" s="1430"/>
      <c r="D28" s="1430"/>
      <c r="E28" s="1430"/>
      <c r="F28" s="1430"/>
      <c r="G28" s="1430"/>
      <c r="H28" s="1430"/>
      <c r="I28" s="1430"/>
      <c r="J28" s="1430"/>
      <c r="K28" s="1430"/>
      <c r="L28" s="1430"/>
      <c r="M28" s="1330" t="s">
        <v>1365</v>
      </c>
      <c r="N28" s="1331"/>
      <c r="O28" s="1331"/>
      <c r="P28" s="1331"/>
      <c r="Q28" t="s">
        <v>1366</v>
      </c>
      <c r="R28" s="1331"/>
      <c r="S28" s="1331"/>
      <c r="T28" s="1331"/>
      <c r="U28" s="1331"/>
      <c r="V28" s="1331" t="s">
        <v>1367</v>
      </c>
      <c r="W28" s="1331"/>
      <c r="X28" s="1435"/>
      <c r="Y28" s="1435"/>
      <c r="Z28" s="1435"/>
      <c r="AA28" s="1435"/>
      <c r="AB28" s="1435"/>
      <c r="AC28" s="1435"/>
      <c r="AD28" s="1435"/>
      <c r="AE28" s="1435"/>
      <c r="AF28" s="1435"/>
      <c r="AG28" s="1435"/>
      <c r="AH28" s="1435"/>
      <c r="AI28" s="1435"/>
      <c r="AJ28" s="1435"/>
      <c r="AK28" s="1435"/>
      <c r="AL28" s="1435"/>
      <c r="AM28" s="1435"/>
      <c r="AN28" s="1436"/>
    </row>
    <row r="29" spans="2:40" x14ac:dyDescent="0.2">
      <c r="B29" s="1377"/>
      <c r="C29" s="1430"/>
      <c r="D29" s="1430"/>
      <c r="E29" s="1430"/>
      <c r="F29" s="1430"/>
      <c r="G29" s="1430"/>
      <c r="H29" s="1430"/>
      <c r="I29" s="1430"/>
      <c r="J29" s="1430"/>
      <c r="K29" s="1430"/>
      <c r="L29" s="1430"/>
      <c r="M29" s="1437"/>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42"/>
    </row>
    <row r="30" spans="2:40" ht="14.25" customHeight="1" x14ac:dyDescent="0.2">
      <c r="B30" s="1377"/>
      <c r="C30" s="1430" t="s">
        <v>84</v>
      </c>
      <c r="D30" s="1430"/>
      <c r="E30" s="1430"/>
      <c r="F30" s="1430"/>
      <c r="G30" s="1430"/>
      <c r="H30" s="1430"/>
      <c r="I30" s="1430"/>
      <c r="J30" s="1430"/>
      <c r="K30" s="1430"/>
      <c r="L30" s="1430"/>
      <c r="M30" s="1352" t="s">
        <v>9</v>
      </c>
      <c r="N30" s="1353"/>
      <c r="O30" s="1353"/>
      <c r="P30" s="1353"/>
      <c r="Q30" s="1354"/>
      <c r="R30" s="1338"/>
      <c r="S30" s="1339"/>
      <c r="T30" s="1339"/>
      <c r="U30" s="1339"/>
      <c r="V30" s="1339"/>
      <c r="W30" s="1339"/>
      <c r="X30" s="1339"/>
      <c r="Y30" s="1339"/>
      <c r="Z30" s="1339"/>
      <c r="AA30" s="1340"/>
      <c r="AB30" s="1431" t="s">
        <v>10</v>
      </c>
      <c r="AC30" s="1432"/>
      <c r="AD30" s="1432"/>
      <c r="AE30" s="1432"/>
      <c r="AF30" s="1450"/>
      <c r="AG30" s="1338"/>
      <c r="AH30" s="1339"/>
      <c r="AI30" s="1339"/>
      <c r="AJ30" s="1339"/>
      <c r="AK30" s="1339"/>
      <c r="AL30" s="1339"/>
      <c r="AM30" s="1339"/>
      <c r="AN30" s="1340"/>
    </row>
    <row r="31" spans="2:40" ht="13.5" customHeight="1" x14ac:dyDescent="0.2">
      <c r="B31" s="1377"/>
      <c r="C31" s="1441" t="s">
        <v>1372</v>
      </c>
      <c r="D31" s="1441"/>
      <c r="E31" s="1441"/>
      <c r="F31" s="1441"/>
      <c r="G31" s="1441"/>
      <c r="H31" s="1441"/>
      <c r="I31" s="1441"/>
      <c r="J31" s="1441"/>
      <c r="K31" s="1441"/>
      <c r="L31" s="1441"/>
      <c r="M31" s="1431" t="s">
        <v>629</v>
      </c>
      <c r="N31" s="1432"/>
      <c r="O31" s="1432"/>
      <c r="P31" s="1432"/>
      <c r="Q31" s="1432"/>
      <c r="R31" s="1432"/>
      <c r="S31" s="1432"/>
      <c r="T31" t="s">
        <v>630</v>
      </c>
      <c r="U31" s="1432"/>
      <c r="V31" s="1432"/>
      <c r="W31" s="1432"/>
      <c r="X31" t="s">
        <v>233</v>
      </c>
      <c r="Y31" s="1433"/>
      <c r="Z31" s="1433"/>
      <c r="AA31" s="1433"/>
      <c r="AB31" s="1433"/>
      <c r="AC31" s="1433"/>
      <c r="AD31" s="1433"/>
      <c r="AE31" s="1433"/>
      <c r="AF31" s="1433"/>
      <c r="AG31" s="1433"/>
      <c r="AH31" s="1433"/>
      <c r="AI31" s="1433"/>
      <c r="AJ31" s="1433"/>
      <c r="AK31" s="1433"/>
      <c r="AL31" s="1433"/>
      <c r="AM31" s="1433"/>
      <c r="AN31" s="1434"/>
    </row>
    <row r="32" spans="2:40" ht="14.25" customHeight="1" x14ac:dyDescent="0.2">
      <c r="B32" s="1377"/>
      <c r="C32" s="1441"/>
      <c r="D32" s="1441"/>
      <c r="E32" s="1441"/>
      <c r="F32" s="1441"/>
      <c r="G32" s="1441"/>
      <c r="H32" s="1441"/>
      <c r="I32" s="1441"/>
      <c r="J32" s="1441"/>
      <c r="K32" s="1441"/>
      <c r="L32" s="1441"/>
      <c r="M32" s="1330" t="s">
        <v>1365</v>
      </c>
      <c r="N32" s="1331"/>
      <c r="O32" s="1331"/>
      <c r="P32" s="1331"/>
      <c r="Q32" t="s">
        <v>1366</v>
      </c>
      <c r="R32" s="1331"/>
      <c r="S32" s="1331"/>
      <c r="T32" s="1331"/>
      <c r="U32" s="1331"/>
      <c r="V32" s="1331" t="s">
        <v>1367</v>
      </c>
      <c r="W32" s="1331"/>
      <c r="X32" s="1435"/>
      <c r="Y32" s="1435"/>
      <c r="Z32" s="1435"/>
      <c r="AA32" s="1435"/>
      <c r="AB32" s="1435"/>
      <c r="AC32" s="1435"/>
      <c r="AD32" s="1435"/>
      <c r="AE32" s="1435"/>
      <c r="AF32" s="1435"/>
      <c r="AG32" s="1435"/>
      <c r="AH32" s="1435"/>
      <c r="AI32" s="1435"/>
      <c r="AJ32" s="1435"/>
      <c r="AK32" s="1435"/>
      <c r="AL32" s="1435"/>
      <c r="AM32" s="1435"/>
      <c r="AN32" s="1436"/>
    </row>
    <row r="33" spans="2:40" x14ac:dyDescent="0.2">
      <c r="B33" s="1377"/>
      <c r="C33" s="1441"/>
      <c r="D33" s="1441"/>
      <c r="E33" s="1441"/>
      <c r="F33" s="1441"/>
      <c r="G33" s="1441"/>
      <c r="H33" s="1441"/>
      <c r="I33" s="1441"/>
      <c r="J33" s="1441"/>
      <c r="K33" s="1441"/>
      <c r="L33" s="1441"/>
      <c r="M33" s="1437"/>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42"/>
    </row>
    <row r="34" spans="2:40" ht="14.25" customHeight="1" x14ac:dyDescent="0.2">
      <c r="B34" s="1377"/>
      <c r="C34" s="1430"/>
      <c r="D34" s="1430"/>
      <c r="E34" s="1430"/>
      <c r="F34" s="1430"/>
      <c r="G34" s="1430"/>
      <c r="H34" s="1430"/>
      <c r="I34" s="1430"/>
      <c r="J34" s="1430"/>
      <c r="K34" s="1430"/>
      <c r="L34" s="1430"/>
      <c r="M34" s="1352" t="s">
        <v>9</v>
      </c>
      <c r="N34" s="1353"/>
      <c r="O34" s="1353"/>
      <c r="P34" s="1353"/>
      <c r="Q34" s="1354"/>
      <c r="R34" s="1338"/>
      <c r="S34" s="1339"/>
      <c r="T34" s="1339"/>
      <c r="U34" s="1339"/>
      <c r="V34" s="1339"/>
      <c r="W34" s="1339"/>
      <c r="X34" s="1339"/>
      <c r="Y34" s="1339"/>
      <c r="Z34" s="1339"/>
      <c r="AA34" s="1340"/>
      <c r="AB34" s="1431" t="s">
        <v>10</v>
      </c>
      <c r="AC34" s="1432"/>
      <c r="AD34" s="1432"/>
      <c r="AE34" s="1432"/>
      <c r="AF34" s="1450"/>
      <c r="AG34" s="1338"/>
      <c r="AH34" s="1339"/>
      <c r="AI34" s="1339"/>
      <c r="AJ34" s="1339"/>
      <c r="AK34" s="1339"/>
      <c r="AL34" s="1339"/>
      <c r="AM34" s="1339"/>
      <c r="AN34" s="1340"/>
    </row>
    <row r="35" spans="2:40" ht="14.25" customHeight="1" x14ac:dyDescent="0.2">
      <c r="B35" s="1377"/>
      <c r="C35" s="1430" t="s">
        <v>17</v>
      </c>
      <c r="D35" s="1430"/>
      <c r="E35" s="1430"/>
      <c r="F35" s="1430"/>
      <c r="G35" s="1430"/>
      <c r="H35" s="1430"/>
      <c r="I35" s="1430"/>
      <c r="J35" s="1430"/>
      <c r="K35" s="1430"/>
      <c r="L35" s="1430"/>
      <c r="M35" s="1355"/>
      <c r="N35" s="1355"/>
      <c r="O35" s="1355"/>
      <c r="P35" s="1355"/>
      <c r="Q35" s="1355"/>
      <c r="R35" s="1355"/>
      <c r="S35" s="1355"/>
      <c r="T35" s="1355"/>
      <c r="U35" s="1355"/>
      <c r="V35" s="1355"/>
      <c r="W35" s="1355"/>
      <c r="X35" s="1355"/>
      <c r="Y35" s="1355"/>
      <c r="Z35" s="1355"/>
      <c r="AA35" s="1355"/>
      <c r="AB35" s="1355"/>
      <c r="AC35" s="1355"/>
      <c r="AD35" s="1355"/>
      <c r="AE35" s="1355"/>
      <c r="AF35" s="1355"/>
      <c r="AG35" s="1355"/>
      <c r="AH35" s="1355"/>
      <c r="AI35" s="1355"/>
      <c r="AJ35" s="1355"/>
      <c r="AK35" s="1355"/>
      <c r="AL35" s="1355"/>
      <c r="AM35" s="1355"/>
      <c r="AN35" s="1355"/>
    </row>
    <row r="36" spans="2:40" ht="13.5" customHeight="1" x14ac:dyDescent="0.2">
      <c r="B36" s="1377"/>
      <c r="C36" s="1430" t="s">
        <v>18</v>
      </c>
      <c r="D36" s="1430"/>
      <c r="E36" s="1430"/>
      <c r="F36" s="1430"/>
      <c r="G36" s="1430"/>
      <c r="H36" s="1430"/>
      <c r="I36" s="1430"/>
      <c r="J36" s="1430"/>
      <c r="K36" s="1430"/>
      <c r="L36" s="1430"/>
      <c r="M36" s="1431" t="s">
        <v>629</v>
      </c>
      <c r="N36" s="1432"/>
      <c r="O36" s="1432"/>
      <c r="P36" s="1432"/>
      <c r="Q36" s="1432"/>
      <c r="R36" s="1432"/>
      <c r="S36" s="1432"/>
      <c r="T36" t="s">
        <v>630</v>
      </c>
      <c r="U36" s="1432"/>
      <c r="V36" s="1432"/>
      <c r="W36" s="1432"/>
      <c r="X36" t="s">
        <v>233</v>
      </c>
      <c r="Y36" s="1433"/>
      <c r="Z36" s="1433"/>
      <c r="AA36" s="1433"/>
      <c r="AB36" s="1433"/>
      <c r="AC36" s="1433"/>
      <c r="AD36" s="1433"/>
      <c r="AE36" s="1433"/>
      <c r="AF36" s="1433"/>
      <c r="AG36" s="1433"/>
      <c r="AH36" s="1433"/>
      <c r="AI36" s="1433"/>
      <c r="AJ36" s="1433"/>
      <c r="AK36" s="1433"/>
      <c r="AL36" s="1433"/>
      <c r="AM36" s="1433"/>
      <c r="AN36" s="1434"/>
    </row>
    <row r="37" spans="2:40" ht="14.25" customHeight="1" x14ac:dyDescent="0.2">
      <c r="B37" s="1377"/>
      <c r="C37" s="1430"/>
      <c r="D37" s="1430"/>
      <c r="E37" s="1430"/>
      <c r="F37" s="1430"/>
      <c r="G37" s="1430"/>
      <c r="H37" s="1430"/>
      <c r="I37" s="1430"/>
      <c r="J37" s="1430"/>
      <c r="K37" s="1430"/>
      <c r="L37" s="1430"/>
      <c r="M37" s="1330" t="s">
        <v>1365</v>
      </c>
      <c r="N37" s="1331"/>
      <c r="O37" s="1331"/>
      <c r="P37" s="1331"/>
      <c r="Q37" t="s">
        <v>1366</v>
      </c>
      <c r="R37" s="1331"/>
      <c r="S37" s="1331"/>
      <c r="T37" s="1331"/>
      <c r="U37" s="1331"/>
      <c r="V37" s="1331" t="s">
        <v>1367</v>
      </c>
      <c r="W37" s="1331"/>
      <c r="X37" s="1435"/>
      <c r="Y37" s="1435"/>
      <c r="Z37" s="1435"/>
      <c r="AA37" s="1435"/>
      <c r="AB37" s="1435"/>
      <c r="AC37" s="1435"/>
      <c r="AD37" s="1435"/>
      <c r="AE37" s="1435"/>
      <c r="AF37" s="1435"/>
      <c r="AG37" s="1435"/>
      <c r="AH37" s="1435"/>
      <c r="AI37" s="1435"/>
      <c r="AJ37" s="1435"/>
      <c r="AK37" s="1435"/>
      <c r="AL37" s="1435"/>
      <c r="AM37" s="1435"/>
      <c r="AN37" s="1436"/>
    </row>
    <row r="38" spans="2:40" x14ac:dyDescent="0.2">
      <c r="B38" s="1378"/>
      <c r="C38" s="1430"/>
      <c r="D38" s="1430"/>
      <c r="E38" s="1430"/>
      <c r="F38" s="1430"/>
      <c r="G38" s="1430"/>
      <c r="H38" s="1430"/>
      <c r="I38" s="1430"/>
      <c r="J38" s="1430"/>
      <c r="K38" s="1430"/>
      <c r="L38" s="1430"/>
      <c r="M38" s="1437"/>
      <c r="N38" s="1438"/>
      <c r="O38" s="1439"/>
      <c r="P38" s="1439"/>
      <c r="Q38" s="1439"/>
      <c r="R38" s="1439"/>
      <c r="S38" s="1439"/>
      <c r="T38" s="1439"/>
      <c r="U38" s="1439"/>
      <c r="V38" s="1439"/>
      <c r="W38" s="1439"/>
      <c r="X38" s="1439"/>
      <c r="Y38" s="1439"/>
      <c r="Z38" s="1439"/>
      <c r="AA38" s="1439"/>
      <c r="AB38" s="1439"/>
      <c r="AC38" s="1439"/>
      <c r="AD38" s="1439"/>
      <c r="AE38" s="1438"/>
      <c r="AF38" s="1438"/>
      <c r="AG38" s="1438"/>
      <c r="AH38" s="1438"/>
      <c r="AI38" s="1438"/>
      <c r="AJ38" s="1439"/>
      <c r="AK38" s="1439"/>
      <c r="AL38" s="1439"/>
      <c r="AM38" s="1439"/>
      <c r="AN38" s="1440"/>
    </row>
    <row r="39" spans="2:40" ht="13.5" customHeight="1" x14ac:dyDescent="0.2">
      <c r="B39" s="1376" t="s">
        <v>1373</v>
      </c>
      <c r="C39" s="1379" t="s">
        <v>86</v>
      </c>
      <c r="D39" s="1380"/>
      <c r="E39" s="1380"/>
      <c r="F39" s="1380"/>
      <c r="G39" s="1380"/>
      <c r="H39" s="1380"/>
      <c r="I39" s="1380"/>
      <c r="J39" s="1380"/>
      <c r="K39" s="1380"/>
      <c r="L39" s="1380"/>
      <c r="M39" s="1380"/>
      <c r="N39" s="1381"/>
      <c r="O39" s="1385" t="s">
        <v>19</v>
      </c>
      <c r="P39" s="1386"/>
      <c r="Q39" s="1389" t="s">
        <v>631</v>
      </c>
      <c r="R39" s="1380"/>
      <c r="S39" s="1380"/>
      <c r="T39" s="1380"/>
      <c r="U39" s="1390"/>
      <c r="V39" s="1366" t="s">
        <v>20</v>
      </c>
      <c r="W39" s="1367"/>
      <c r="X39" s="1367"/>
      <c r="Y39" s="1367"/>
      <c r="Z39" s="1367"/>
      <c r="AA39" s="1367"/>
      <c r="AB39" s="1367"/>
      <c r="AC39" s="1367"/>
      <c r="AD39" s="1368"/>
      <c r="AE39" s="1379" t="s">
        <v>55</v>
      </c>
      <c r="AF39" s="1380"/>
      <c r="AG39" s="1380"/>
      <c r="AH39" s="1380"/>
      <c r="AI39" s="1380"/>
      <c r="AJ39" s="1379" t="s">
        <v>56</v>
      </c>
      <c r="AK39" s="1380"/>
      <c r="AL39" s="1380"/>
      <c r="AM39" s="1380"/>
      <c r="AN39" s="1390"/>
    </row>
    <row r="40" spans="2:40" ht="14.25" customHeight="1" x14ac:dyDescent="0.2">
      <c r="B40" s="1377"/>
      <c r="C40" s="1382"/>
      <c r="D40" s="1383"/>
      <c r="E40" s="1383"/>
      <c r="F40" s="1383"/>
      <c r="G40" s="1383"/>
      <c r="H40" s="1383"/>
      <c r="I40" s="1383"/>
      <c r="J40" s="1383"/>
      <c r="K40" s="1383"/>
      <c r="L40" s="1383"/>
      <c r="M40" s="1383"/>
      <c r="N40" s="1384"/>
      <c r="O40" s="1387"/>
      <c r="P40" s="1388"/>
      <c r="Q40" s="1426" t="s">
        <v>31</v>
      </c>
      <c r="R40" s="1427"/>
      <c r="S40" s="1427"/>
      <c r="T40" s="1427"/>
      <c r="U40" s="1428"/>
      <c r="V40" s="1372"/>
      <c r="W40" s="1373"/>
      <c r="X40" s="1373"/>
      <c r="Y40" s="1373"/>
      <c r="Z40" s="1373"/>
      <c r="AA40" s="1373"/>
      <c r="AB40" s="1373"/>
      <c r="AC40" s="1373"/>
      <c r="AD40" s="1374"/>
      <c r="AE40" s="1382" t="s">
        <v>31</v>
      </c>
      <c r="AF40" s="1383"/>
      <c r="AG40" s="1383"/>
      <c r="AH40" s="1383"/>
      <c r="AI40" s="1383"/>
      <c r="AJ40" s="1429" t="s">
        <v>32</v>
      </c>
      <c r="AK40" s="1427"/>
      <c r="AL40" s="1427"/>
      <c r="AM40" s="1427"/>
      <c r="AN40" s="1428"/>
    </row>
    <row r="41" spans="2:40" ht="14.25" customHeight="1" x14ac:dyDescent="0.2">
      <c r="B41" s="1377"/>
      <c r="C41" s="1363" t="s">
        <v>1374</v>
      </c>
      <c r="E41" s="1341" t="s">
        <v>2</v>
      </c>
      <c r="F41" s="1341"/>
      <c r="G41" s="1341"/>
      <c r="H41" s="1341"/>
      <c r="I41" s="1341"/>
      <c r="J41" s="1341"/>
      <c r="K41" s="1341"/>
      <c r="L41" s="1341"/>
      <c r="M41" s="1341"/>
      <c r="N41" s="1425"/>
      <c r="O41" s="1343"/>
      <c r="P41" s="1344"/>
      <c r="Q41" s="1343"/>
      <c r="R41" s="1345"/>
      <c r="S41" s="1345"/>
      <c r="T41" s="1345"/>
      <c r="U41" s="1346"/>
      <c r="V41" t="s">
        <v>116</v>
      </c>
      <c r="W41" s="1347" t="s">
        <v>1375</v>
      </c>
      <c r="X41" s="1347"/>
      <c r="Y41" t="s">
        <v>116</v>
      </c>
      <c r="Z41" s="1347" t="s">
        <v>632</v>
      </c>
      <c r="AA41" s="1347"/>
      <c r="AB41" t="s">
        <v>116</v>
      </c>
      <c r="AC41" s="1347" t="s">
        <v>633</v>
      </c>
      <c r="AD41" s="1348"/>
      <c r="AE41" s="1338"/>
      <c r="AF41" s="1339"/>
      <c r="AG41" s="1339"/>
      <c r="AH41" s="1339"/>
      <c r="AI41" s="1340"/>
      <c r="AJ41" s="1349"/>
      <c r="AK41" s="1350"/>
      <c r="AL41" s="1350"/>
      <c r="AM41" s="1350"/>
      <c r="AN41" s="1351"/>
    </row>
    <row r="42" spans="2:40" ht="14.25" customHeight="1" x14ac:dyDescent="0.2">
      <c r="B42" s="1377"/>
      <c r="C42" s="1363"/>
      <c r="E42" s="1341" t="s">
        <v>3</v>
      </c>
      <c r="F42" s="1424"/>
      <c r="G42" s="1424"/>
      <c r="H42" s="1424"/>
      <c r="I42" s="1424"/>
      <c r="J42" s="1424"/>
      <c r="K42" s="1424"/>
      <c r="L42" s="1424"/>
      <c r="M42" s="1424"/>
      <c r="N42" s="1425"/>
      <c r="O42" s="1343"/>
      <c r="P42" s="1344"/>
      <c r="Q42" s="1343"/>
      <c r="R42" s="1345"/>
      <c r="S42" s="1345"/>
      <c r="T42" s="1345"/>
      <c r="U42" s="1346"/>
      <c r="V42" t="s">
        <v>116</v>
      </c>
      <c r="W42" s="1347" t="s">
        <v>1375</v>
      </c>
      <c r="X42" s="1347"/>
      <c r="Y42" t="s">
        <v>116</v>
      </c>
      <c r="Z42" s="1347" t="s">
        <v>632</v>
      </c>
      <c r="AA42" s="1347"/>
      <c r="AB42" t="s">
        <v>116</v>
      </c>
      <c r="AC42" s="1347" t="s">
        <v>633</v>
      </c>
      <c r="AD42" s="1348"/>
      <c r="AE42" s="1338"/>
      <c r="AF42" s="1339"/>
      <c r="AG42" s="1339"/>
      <c r="AH42" s="1339"/>
      <c r="AI42" s="1340"/>
      <c r="AJ42" s="1349"/>
      <c r="AK42" s="1350"/>
      <c r="AL42" s="1350"/>
      <c r="AM42" s="1350"/>
      <c r="AN42" s="1351"/>
    </row>
    <row r="43" spans="2:40" ht="14.25" customHeight="1" x14ac:dyDescent="0.2">
      <c r="B43" s="1377"/>
      <c r="C43" s="1363"/>
      <c r="E43" s="1341" t="s">
        <v>634</v>
      </c>
      <c r="F43" s="1424"/>
      <c r="G43" s="1424"/>
      <c r="H43" s="1424"/>
      <c r="I43" s="1424"/>
      <c r="J43" s="1424"/>
      <c r="K43" s="1424"/>
      <c r="L43" s="1424"/>
      <c r="M43" s="1424"/>
      <c r="N43" s="1425"/>
      <c r="O43" s="1343"/>
      <c r="P43" s="1344"/>
      <c r="Q43" s="1343"/>
      <c r="R43" s="1345"/>
      <c r="S43" s="1345"/>
      <c r="T43" s="1345"/>
      <c r="U43" s="1346"/>
      <c r="V43" t="s">
        <v>116</v>
      </c>
      <c r="W43" s="1347" t="s">
        <v>1375</v>
      </c>
      <c r="X43" s="1347"/>
      <c r="Y43" t="s">
        <v>116</v>
      </c>
      <c r="Z43" s="1347" t="s">
        <v>632</v>
      </c>
      <c r="AA43" s="1347"/>
      <c r="AB43" t="s">
        <v>116</v>
      </c>
      <c r="AC43" s="1347" t="s">
        <v>633</v>
      </c>
      <c r="AD43" s="1348"/>
      <c r="AE43" s="1338"/>
      <c r="AF43" s="1339"/>
      <c r="AG43" s="1339"/>
      <c r="AH43" s="1339"/>
      <c r="AI43" s="1340"/>
      <c r="AJ43" s="1349"/>
      <c r="AK43" s="1350"/>
      <c r="AL43" s="1350"/>
      <c r="AM43" s="1350"/>
      <c r="AN43" s="1351"/>
    </row>
    <row r="44" spans="2:40" ht="14.25" customHeight="1" x14ac:dyDescent="0.2">
      <c r="B44" s="1377"/>
      <c r="C44" s="1363"/>
      <c r="E44" s="1341" t="s">
        <v>589</v>
      </c>
      <c r="F44" s="1424"/>
      <c r="G44" s="1424"/>
      <c r="H44" s="1424"/>
      <c r="I44" s="1424"/>
      <c r="J44" s="1424"/>
      <c r="K44" s="1424"/>
      <c r="L44" s="1424"/>
      <c r="M44" s="1424"/>
      <c r="N44" s="1425"/>
      <c r="O44" s="1343"/>
      <c r="P44" s="1344"/>
      <c r="Q44" s="1343"/>
      <c r="R44" s="1345"/>
      <c r="S44" s="1345"/>
      <c r="T44" s="1345"/>
      <c r="U44" s="1346"/>
      <c r="V44" t="s">
        <v>116</v>
      </c>
      <c r="W44" s="1347" t="s">
        <v>1375</v>
      </c>
      <c r="X44" s="1347"/>
      <c r="Y44" t="s">
        <v>116</v>
      </c>
      <c r="Z44" s="1347" t="s">
        <v>632</v>
      </c>
      <c r="AA44" s="1347"/>
      <c r="AB44" t="s">
        <v>116</v>
      </c>
      <c r="AC44" s="1347" t="s">
        <v>633</v>
      </c>
      <c r="AD44" s="1348"/>
      <c r="AE44" s="1338"/>
      <c r="AF44" s="1339"/>
      <c r="AG44" s="1339"/>
      <c r="AH44" s="1339"/>
      <c r="AI44" s="1340"/>
      <c r="AJ44" s="1349"/>
      <c r="AK44" s="1350"/>
      <c r="AL44" s="1350"/>
      <c r="AM44" s="1350"/>
      <c r="AN44" s="1351"/>
    </row>
    <row r="45" spans="2:40" ht="14.25" customHeight="1" x14ac:dyDescent="0.2">
      <c r="B45" s="1377"/>
      <c r="C45" s="1363"/>
      <c r="E45" s="1341" t="s">
        <v>635</v>
      </c>
      <c r="F45" s="1424"/>
      <c r="G45" s="1424"/>
      <c r="H45" s="1424"/>
      <c r="I45" s="1424"/>
      <c r="J45" s="1424"/>
      <c r="K45" s="1424"/>
      <c r="L45" s="1424"/>
      <c r="M45" s="1424"/>
      <c r="N45" s="1425"/>
      <c r="O45" s="1343"/>
      <c r="P45" s="1344"/>
      <c r="Q45" s="1343"/>
      <c r="R45" s="1345"/>
      <c r="S45" s="1345"/>
      <c r="T45" s="1345"/>
      <c r="U45" s="1346"/>
      <c r="V45" t="s">
        <v>116</v>
      </c>
      <c r="W45" s="1347" t="s">
        <v>1375</v>
      </c>
      <c r="X45" s="1347"/>
      <c r="Y45" t="s">
        <v>116</v>
      </c>
      <c r="Z45" s="1347" t="s">
        <v>632</v>
      </c>
      <c r="AA45" s="1347"/>
      <c r="AB45" t="s">
        <v>116</v>
      </c>
      <c r="AC45" s="1347" t="s">
        <v>633</v>
      </c>
      <c r="AD45" s="1348"/>
      <c r="AE45" s="1338"/>
      <c r="AF45" s="1339"/>
      <c r="AG45" s="1339"/>
      <c r="AH45" s="1339"/>
      <c r="AI45" s="1340"/>
      <c r="AJ45" s="1349"/>
      <c r="AK45" s="1350"/>
      <c r="AL45" s="1350"/>
      <c r="AM45" s="1350"/>
      <c r="AN45" s="1351"/>
    </row>
    <row r="46" spans="2:40" ht="14.25" customHeight="1" x14ac:dyDescent="0.2">
      <c r="B46" s="1377"/>
      <c r="C46" s="1363"/>
      <c r="E46" s="1341" t="s">
        <v>4</v>
      </c>
      <c r="F46" s="1424"/>
      <c r="G46" s="1424"/>
      <c r="H46" s="1424"/>
      <c r="I46" s="1424"/>
      <c r="J46" s="1424"/>
      <c r="K46" s="1424"/>
      <c r="L46" s="1424"/>
      <c r="M46" s="1424"/>
      <c r="N46" s="1425"/>
      <c r="O46" s="1343"/>
      <c r="P46" s="1344"/>
      <c r="Q46" s="1343"/>
      <c r="R46" s="1345"/>
      <c r="S46" s="1345"/>
      <c r="T46" s="1345"/>
      <c r="U46" s="1346"/>
      <c r="V46" t="s">
        <v>116</v>
      </c>
      <c r="W46" s="1347" t="s">
        <v>1375</v>
      </c>
      <c r="X46" s="1347"/>
      <c r="Y46" t="s">
        <v>116</v>
      </c>
      <c r="Z46" s="1347" t="s">
        <v>632</v>
      </c>
      <c r="AA46" s="1347"/>
      <c r="AB46" t="s">
        <v>116</v>
      </c>
      <c r="AC46" s="1347" t="s">
        <v>633</v>
      </c>
      <c r="AD46" s="1348"/>
      <c r="AE46" s="1338"/>
      <c r="AF46" s="1339"/>
      <c r="AG46" s="1339"/>
      <c r="AH46" s="1339"/>
      <c r="AI46" s="1340"/>
      <c r="AJ46" s="1349"/>
      <c r="AK46" s="1350"/>
      <c r="AL46" s="1350"/>
      <c r="AM46" s="1350"/>
      <c r="AN46" s="1351"/>
    </row>
    <row r="47" spans="2:40" ht="14.25" customHeight="1" x14ac:dyDescent="0.2">
      <c r="B47" s="1377"/>
      <c r="C47" s="1363"/>
      <c r="E47" s="1341" t="s">
        <v>1376</v>
      </c>
      <c r="F47" s="1424"/>
      <c r="G47" s="1424"/>
      <c r="H47" s="1424"/>
      <c r="I47" s="1424"/>
      <c r="J47" s="1424"/>
      <c r="K47" s="1424"/>
      <c r="L47" s="1424"/>
      <c r="M47" s="1424"/>
      <c r="N47" s="1425"/>
      <c r="O47" s="1343"/>
      <c r="P47" s="1344"/>
      <c r="Q47" s="1343"/>
      <c r="R47" s="1345"/>
      <c r="S47" s="1345"/>
      <c r="T47" s="1345"/>
      <c r="U47" s="1346"/>
      <c r="V47" t="s">
        <v>116</v>
      </c>
      <c r="W47" s="1347" t="s">
        <v>1375</v>
      </c>
      <c r="X47" s="1347"/>
      <c r="Y47" t="s">
        <v>116</v>
      </c>
      <c r="Z47" s="1347" t="s">
        <v>632</v>
      </c>
      <c r="AA47" s="1347"/>
      <c r="AB47" t="s">
        <v>116</v>
      </c>
      <c r="AC47" s="1347" t="s">
        <v>633</v>
      </c>
      <c r="AD47" s="1348"/>
      <c r="AE47" s="1338"/>
      <c r="AF47" s="1339"/>
      <c r="AG47" s="1339"/>
      <c r="AH47" s="1339"/>
      <c r="AI47" s="1340"/>
      <c r="AJ47" s="1349"/>
      <c r="AK47" s="1350"/>
      <c r="AL47" s="1350"/>
      <c r="AM47" s="1350"/>
      <c r="AN47" s="1351"/>
    </row>
    <row r="48" spans="2:40" ht="14.25" customHeight="1" x14ac:dyDescent="0.2">
      <c r="B48" s="1377"/>
      <c r="C48" s="1363"/>
      <c r="E48" s="1341" t="s">
        <v>6</v>
      </c>
      <c r="F48" s="1424"/>
      <c r="G48" s="1424"/>
      <c r="H48" s="1424"/>
      <c r="I48" s="1424"/>
      <c r="J48" s="1424"/>
      <c r="K48" s="1424"/>
      <c r="L48" s="1424"/>
      <c r="M48" s="1424"/>
      <c r="N48" s="1425"/>
      <c r="O48" s="1343"/>
      <c r="P48" s="1344"/>
      <c r="Q48" s="1343"/>
      <c r="R48" s="1345"/>
      <c r="S48" s="1345"/>
      <c r="T48" s="1345"/>
      <c r="U48" s="1346"/>
      <c r="V48" t="s">
        <v>116</v>
      </c>
      <c r="W48" s="1347" t="s">
        <v>1375</v>
      </c>
      <c r="X48" s="1347"/>
      <c r="Y48" t="s">
        <v>116</v>
      </c>
      <c r="Z48" s="1347" t="s">
        <v>632</v>
      </c>
      <c r="AA48" s="1347"/>
      <c r="AB48" t="s">
        <v>116</v>
      </c>
      <c r="AC48" s="1347" t="s">
        <v>633</v>
      </c>
      <c r="AD48" s="1348"/>
      <c r="AE48" s="1338"/>
      <c r="AF48" s="1339"/>
      <c r="AG48" s="1339"/>
      <c r="AH48" s="1339"/>
      <c r="AI48" s="1340"/>
      <c r="AJ48" s="1349"/>
      <c r="AK48" s="1350"/>
      <c r="AL48" s="1350"/>
      <c r="AM48" s="1350"/>
      <c r="AN48" s="1351"/>
    </row>
    <row r="49" spans="2:40" ht="14.25" customHeight="1" x14ac:dyDescent="0.2">
      <c r="B49" s="1377"/>
      <c r="C49" s="1363"/>
      <c r="E49" s="1341" t="s">
        <v>608</v>
      </c>
      <c r="F49" s="1424"/>
      <c r="G49" s="1424"/>
      <c r="H49" s="1424"/>
      <c r="I49" s="1424"/>
      <c r="J49" s="1424"/>
      <c r="K49" s="1424"/>
      <c r="L49" s="1424"/>
      <c r="M49" s="1424"/>
      <c r="N49" s="1425"/>
      <c r="O49" s="1343"/>
      <c r="P49" s="1344"/>
      <c r="Q49" s="1343"/>
      <c r="R49" s="1345"/>
      <c r="S49" s="1345"/>
      <c r="T49" s="1345"/>
      <c r="U49" s="1346"/>
      <c r="V49" t="s">
        <v>116</v>
      </c>
      <c r="W49" s="1347" t="s">
        <v>1375</v>
      </c>
      <c r="X49" s="1347"/>
      <c r="Y49" t="s">
        <v>116</v>
      </c>
      <c r="Z49" s="1347" t="s">
        <v>632</v>
      </c>
      <c r="AA49" s="1347"/>
      <c r="AB49" t="s">
        <v>116</v>
      </c>
      <c r="AC49" s="1347" t="s">
        <v>633</v>
      </c>
      <c r="AD49" s="1348"/>
      <c r="AE49" s="1338"/>
      <c r="AF49" s="1339"/>
      <c r="AG49" s="1339"/>
      <c r="AH49" s="1339"/>
      <c r="AI49" s="1340"/>
      <c r="AJ49" s="1349"/>
      <c r="AK49" s="1350"/>
      <c r="AL49" s="1350"/>
      <c r="AM49" s="1350"/>
      <c r="AN49" s="1351"/>
    </row>
    <row r="50" spans="2:40" ht="14.25" customHeight="1" x14ac:dyDescent="0.2">
      <c r="B50" s="1377"/>
      <c r="C50" s="1363"/>
      <c r="E50" s="1341" t="s">
        <v>636</v>
      </c>
      <c r="F50" s="1424"/>
      <c r="G50" s="1424"/>
      <c r="H50" s="1424"/>
      <c r="I50" s="1424"/>
      <c r="J50" s="1424"/>
      <c r="K50" s="1424"/>
      <c r="L50" s="1424"/>
      <c r="M50" s="1424"/>
      <c r="N50" s="1425"/>
      <c r="O50" s="1343"/>
      <c r="P50" s="1344"/>
      <c r="Q50" s="1343"/>
      <c r="R50" s="1345"/>
      <c r="S50" s="1345"/>
      <c r="T50" s="1345"/>
      <c r="U50" s="1346"/>
      <c r="V50" t="s">
        <v>116</v>
      </c>
      <c r="W50" s="1347" t="s">
        <v>1375</v>
      </c>
      <c r="X50" s="1347"/>
      <c r="Y50" t="s">
        <v>116</v>
      </c>
      <c r="Z50" s="1347" t="s">
        <v>632</v>
      </c>
      <c r="AA50" s="1347"/>
      <c r="AB50" t="s">
        <v>116</v>
      </c>
      <c r="AC50" s="1347" t="s">
        <v>633</v>
      </c>
      <c r="AD50" s="1348"/>
      <c r="AE50" s="1338"/>
      <c r="AF50" s="1339"/>
      <c r="AG50" s="1339"/>
      <c r="AH50" s="1339"/>
      <c r="AI50" s="1340"/>
      <c r="AJ50" s="1349"/>
      <c r="AK50" s="1350"/>
      <c r="AL50" s="1350"/>
      <c r="AM50" s="1350"/>
      <c r="AN50" s="1351"/>
    </row>
    <row r="51" spans="2:40" ht="14.25" customHeight="1" thickBot="1" x14ac:dyDescent="0.25">
      <c r="B51" s="1377"/>
      <c r="C51" s="1363"/>
      <c r="E51" s="1415" t="s">
        <v>5</v>
      </c>
      <c r="F51" s="1416"/>
      <c r="G51" s="1416"/>
      <c r="H51" s="1416"/>
      <c r="I51" s="1416"/>
      <c r="J51" s="1416"/>
      <c r="K51" s="1416"/>
      <c r="L51" s="1416"/>
      <c r="M51" s="1416"/>
      <c r="N51" s="1417"/>
      <c r="O51" s="1418"/>
      <c r="P51" s="1419"/>
      <c r="Q51" s="1418"/>
      <c r="R51" s="1420"/>
      <c r="S51" s="1420"/>
      <c r="T51" s="1420"/>
      <c r="U51" s="1421"/>
      <c r="V51" t="s">
        <v>116</v>
      </c>
      <c r="W51" s="1422" t="s">
        <v>1375</v>
      </c>
      <c r="X51" s="1422"/>
      <c r="Y51" t="s">
        <v>116</v>
      </c>
      <c r="Z51" s="1422" t="s">
        <v>632</v>
      </c>
      <c r="AA51" s="1422"/>
      <c r="AB51" t="s">
        <v>116</v>
      </c>
      <c r="AC51" s="1422" t="s">
        <v>633</v>
      </c>
      <c r="AD51" s="1423"/>
      <c r="AE51" s="1394"/>
      <c r="AF51" s="1395"/>
      <c r="AG51" s="1395"/>
      <c r="AH51" s="1395"/>
      <c r="AI51" s="1396"/>
      <c r="AJ51" s="1397"/>
      <c r="AK51" s="1398"/>
      <c r="AL51" s="1398"/>
      <c r="AM51" s="1398"/>
      <c r="AN51" s="1399"/>
    </row>
    <row r="52" spans="2:40" ht="14.25" customHeight="1" thickTop="1" x14ac:dyDescent="0.2">
      <c r="B52" s="1377"/>
      <c r="C52" s="1363"/>
      <c r="E52" s="1400" t="s">
        <v>72</v>
      </c>
      <c r="F52" s="1401"/>
      <c r="G52" s="1401"/>
      <c r="H52" s="1401"/>
      <c r="I52" s="1401"/>
      <c r="J52" s="1401"/>
      <c r="K52" s="1401"/>
      <c r="L52" s="1401"/>
      <c r="M52" s="1401"/>
      <c r="N52" s="1402"/>
      <c r="O52" s="1403"/>
      <c r="P52" s="1404"/>
      <c r="Q52" s="1403"/>
      <c r="R52" s="1405"/>
      <c r="S52" s="1405"/>
      <c r="T52" s="1405"/>
      <c r="U52" s="1406"/>
      <c r="V52" t="s">
        <v>116</v>
      </c>
      <c r="W52" s="1407" t="s">
        <v>1375</v>
      </c>
      <c r="X52" s="1407"/>
      <c r="Y52" t="s">
        <v>116</v>
      </c>
      <c r="Z52" s="1407" t="s">
        <v>632</v>
      </c>
      <c r="AA52" s="1407"/>
      <c r="AB52" t="s">
        <v>116</v>
      </c>
      <c r="AC52" s="1407" t="s">
        <v>633</v>
      </c>
      <c r="AD52" s="1408"/>
      <c r="AE52" s="1409"/>
      <c r="AF52" s="1410"/>
      <c r="AG52" s="1410"/>
      <c r="AH52" s="1410"/>
      <c r="AI52" s="1411"/>
      <c r="AJ52" s="1412"/>
      <c r="AK52" s="1413"/>
      <c r="AL52" s="1413"/>
      <c r="AM52" s="1413"/>
      <c r="AN52" s="1414"/>
    </row>
    <row r="53" spans="2:40" ht="14.25" customHeight="1" x14ac:dyDescent="0.2">
      <c r="B53" s="1377"/>
      <c r="C53" s="1363"/>
      <c r="E53" s="1391" t="s">
        <v>637</v>
      </c>
      <c r="F53" s="1392"/>
      <c r="G53" s="1392"/>
      <c r="H53" s="1392"/>
      <c r="I53" s="1392"/>
      <c r="J53" s="1392"/>
      <c r="K53" s="1392"/>
      <c r="L53" s="1392"/>
      <c r="M53" s="1392"/>
      <c r="N53" s="1393"/>
      <c r="O53" s="1343"/>
      <c r="P53" s="1344"/>
      <c r="Q53" s="1343"/>
      <c r="R53" s="1345"/>
      <c r="S53" s="1345"/>
      <c r="T53" s="1345"/>
      <c r="U53" s="1346"/>
      <c r="V53" t="s">
        <v>116</v>
      </c>
      <c r="W53" s="1347" t="s">
        <v>1375</v>
      </c>
      <c r="X53" s="1347"/>
      <c r="Y53" t="s">
        <v>116</v>
      </c>
      <c r="Z53" s="1347" t="s">
        <v>632</v>
      </c>
      <c r="AA53" s="1347"/>
      <c r="AB53" t="s">
        <v>116</v>
      </c>
      <c r="AC53" s="1347" t="s">
        <v>633</v>
      </c>
      <c r="AD53" s="1348"/>
      <c r="AE53" s="1338"/>
      <c r="AF53" s="1339"/>
      <c r="AG53" s="1339"/>
      <c r="AH53" s="1339"/>
      <c r="AI53" s="1340"/>
      <c r="AJ53" s="1349"/>
      <c r="AK53" s="1350"/>
      <c r="AL53" s="1350"/>
      <c r="AM53" s="1350"/>
      <c r="AN53" s="1351"/>
    </row>
    <row r="54" spans="2:40" ht="14.25" customHeight="1" x14ac:dyDescent="0.2">
      <c r="B54" s="1377"/>
      <c r="C54" s="1363"/>
      <c r="E54" s="1391" t="s">
        <v>638</v>
      </c>
      <c r="F54" s="1392"/>
      <c r="G54" s="1392"/>
      <c r="H54" s="1392"/>
      <c r="I54" s="1392"/>
      <c r="J54" s="1392"/>
      <c r="K54" s="1392"/>
      <c r="L54" s="1392"/>
      <c r="M54" s="1392"/>
      <c r="N54" s="1393"/>
      <c r="O54" s="1343"/>
      <c r="P54" s="1344"/>
      <c r="Q54" s="1343"/>
      <c r="R54" s="1345"/>
      <c r="S54" s="1345"/>
      <c r="T54" s="1345"/>
      <c r="U54" s="1346"/>
      <c r="V54" t="s">
        <v>116</v>
      </c>
      <c r="W54" s="1347" t="s">
        <v>1375</v>
      </c>
      <c r="X54" s="1347"/>
      <c r="Y54" t="s">
        <v>116</v>
      </c>
      <c r="Z54" s="1347" t="s">
        <v>632</v>
      </c>
      <c r="AA54" s="1347"/>
      <c r="AB54" t="s">
        <v>116</v>
      </c>
      <c r="AC54" s="1347" t="s">
        <v>633</v>
      </c>
      <c r="AD54" s="1348"/>
      <c r="AE54" s="1338"/>
      <c r="AF54" s="1339"/>
      <c r="AG54" s="1339"/>
      <c r="AH54" s="1339"/>
      <c r="AI54" s="1340"/>
      <c r="AJ54" s="1349"/>
      <c r="AK54" s="1350"/>
      <c r="AL54" s="1350"/>
      <c r="AM54" s="1350"/>
      <c r="AN54" s="1351"/>
    </row>
    <row r="55" spans="2:40" ht="14.25" customHeight="1" x14ac:dyDescent="0.2">
      <c r="B55" s="1377"/>
      <c r="C55" s="1363"/>
      <c r="E55" s="1391" t="s">
        <v>639</v>
      </c>
      <c r="F55" s="1392"/>
      <c r="G55" s="1392"/>
      <c r="H55" s="1392"/>
      <c r="I55" s="1392"/>
      <c r="J55" s="1392"/>
      <c r="K55" s="1392"/>
      <c r="L55" s="1392"/>
      <c r="M55" s="1392"/>
      <c r="N55" s="1393"/>
      <c r="O55" s="1343"/>
      <c r="P55" s="1344"/>
      <c r="Q55" s="1343"/>
      <c r="R55" s="1345"/>
      <c r="S55" s="1345"/>
      <c r="T55" s="1345"/>
      <c r="U55" s="1346"/>
      <c r="V55" t="s">
        <v>116</v>
      </c>
      <c r="W55" s="1347" t="s">
        <v>1375</v>
      </c>
      <c r="X55" s="1347"/>
      <c r="Y55" t="s">
        <v>116</v>
      </c>
      <c r="Z55" s="1347" t="s">
        <v>632</v>
      </c>
      <c r="AA55" s="1347"/>
      <c r="AB55" t="s">
        <v>116</v>
      </c>
      <c r="AC55" s="1347" t="s">
        <v>633</v>
      </c>
      <c r="AD55" s="1348"/>
      <c r="AE55" s="1338"/>
      <c r="AF55" s="1339"/>
      <c r="AG55" s="1339"/>
      <c r="AH55" s="1339"/>
      <c r="AI55" s="1340"/>
      <c r="AJ55" s="1349"/>
      <c r="AK55" s="1350"/>
      <c r="AL55" s="1350"/>
      <c r="AM55" s="1350"/>
      <c r="AN55" s="1351"/>
    </row>
    <row r="56" spans="2:40" ht="14.25" customHeight="1" x14ac:dyDescent="0.2">
      <c r="B56" s="1377"/>
      <c r="C56" s="1363"/>
      <c r="E56" s="1391" t="s">
        <v>640</v>
      </c>
      <c r="F56" s="1392"/>
      <c r="G56" s="1392"/>
      <c r="H56" s="1392"/>
      <c r="I56" s="1392"/>
      <c r="J56" s="1392"/>
      <c r="K56" s="1392"/>
      <c r="L56" s="1392"/>
      <c r="M56" s="1392"/>
      <c r="N56" s="1393"/>
      <c r="O56" s="1343"/>
      <c r="P56" s="1344"/>
      <c r="Q56" s="1343"/>
      <c r="R56" s="1345"/>
      <c r="S56" s="1345"/>
      <c r="T56" s="1345"/>
      <c r="U56" s="1346"/>
      <c r="V56" t="s">
        <v>116</v>
      </c>
      <c r="W56" s="1347" t="s">
        <v>1375</v>
      </c>
      <c r="X56" s="1347"/>
      <c r="Y56" t="s">
        <v>116</v>
      </c>
      <c r="Z56" s="1347" t="s">
        <v>632</v>
      </c>
      <c r="AA56" s="1347"/>
      <c r="AB56" t="s">
        <v>116</v>
      </c>
      <c r="AC56" s="1347" t="s">
        <v>633</v>
      </c>
      <c r="AD56" s="1348"/>
      <c r="AE56" s="1338"/>
      <c r="AF56" s="1339"/>
      <c r="AG56" s="1339"/>
      <c r="AH56" s="1339"/>
      <c r="AI56" s="1340"/>
      <c r="AJ56" s="1349"/>
      <c r="AK56" s="1350"/>
      <c r="AL56" s="1350"/>
      <c r="AM56" s="1350"/>
      <c r="AN56" s="1351"/>
    </row>
    <row r="57" spans="2:40" ht="14.25" customHeight="1" x14ac:dyDescent="0.2">
      <c r="B57" s="1377"/>
      <c r="C57" s="1363"/>
      <c r="E57" s="1391" t="s">
        <v>74</v>
      </c>
      <c r="F57" s="1392"/>
      <c r="G57" s="1392"/>
      <c r="H57" s="1392"/>
      <c r="I57" s="1392"/>
      <c r="J57" s="1392"/>
      <c r="K57" s="1392"/>
      <c r="L57" s="1392"/>
      <c r="M57" s="1392"/>
      <c r="N57" s="1393"/>
      <c r="O57" s="1343"/>
      <c r="P57" s="1344"/>
      <c r="Q57" s="1343"/>
      <c r="R57" s="1345"/>
      <c r="S57" s="1345"/>
      <c r="T57" s="1345"/>
      <c r="U57" s="1346"/>
      <c r="V57" t="s">
        <v>116</v>
      </c>
      <c r="W57" s="1347" t="s">
        <v>1375</v>
      </c>
      <c r="X57" s="1347"/>
      <c r="Y57" t="s">
        <v>116</v>
      </c>
      <c r="Z57" s="1347" t="s">
        <v>632</v>
      </c>
      <c r="AA57" s="1347"/>
      <c r="AB57" t="s">
        <v>116</v>
      </c>
      <c r="AC57" s="1347" t="s">
        <v>633</v>
      </c>
      <c r="AD57" s="1348"/>
      <c r="AE57" s="1338"/>
      <c r="AF57" s="1339"/>
      <c r="AG57" s="1339"/>
      <c r="AH57" s="1339"/>
      <c r="AI57" s="1340"/>
      <c r="AJ57" s="1349"/>
      <c r="AK57" s="1350"/>
      <c r="AL57" s="1350"/>
      <c r="AM57" s="1350"/>
      <c r="AN57" s="1351"/>
    </row>
    <row r="58" spans="2:40" ht="14.25" customHeight="1" x14ac:dyDescent="0.2">
      <c r="B58" s="1377"/>
      <c r="C58" s="1363"/>
      <c r="E58" s="1391" t="s">
        <v>641</v>
      </c>
      <c r="F58" s="1392"/>
      <c r="G58" s="1392"/>
      <c r="H58" s="1392"/>
      <c r="I58" s="1392"/>
      <c r="J58" s="1392"/>
      <c r="K58" s="1392"/>
      <c r="L58" s="1392"/>
      <c r="M58" s="1392"/>
      <c r="N58" s="1393"/>
      <c r="O58" s="1343"/>
      <c r="P58" s="1344"/>
      <c r="Q58" s="1343"/>
      <c r="R58" s="1345"/>
      <c r="S58" s="1345"/>
      <c r="T58" s="1345"/>
      <c r="U58" s="1346"/>
      <c r="V58" t="s">
        <v>116</v>
      </c>
      <c r="W58" s="1347" t="s">
        <v>1375</v>
      </c>
      <c r="X58" s="1347"/>
      <c r="Y58" t="s">
        <v>116</v>
      </c>
      <c r="Z58" s="1347" t="s">
        <v>632</v>
      </c>
      <c r="AA58" s="1347"/>
      <c r="AB58" t="s">
        <v>116</v>
      </c>
      <c r="AC58" s="1347" t="s">
        <v>633</v>
      </c>
      <c r="AD58" s="1348"/>
      <c r="AE58" s="1338"/>
      <c r="AF58" s="1339"/>
      <c r="AG58" s="1339"/>
      <c r="AH58" s="1339"/>
      <c r="AI58" s="1340"/>
      <c r="AJ58" s="1349"/>
      <c r="AK58" s="1350"/>
      <c r="AL58" s="1350"/>
      <c r="AM58" s="1350"/>
      <c r="AN58" s="1351"/>
    </row>
    <row r="59" spans="2:40" ht="14.25" customHeight="1" x14ac:dyDescent="0.2">
      <c r="B59" s="1377"/>
      <c r="C59" s="1363"/>
      <c r="E59" s="1391" t="s">
        <v>642</v>
      </c>
      <c r="F59" s="1392"/>
      <c r="G59" s="1392"/>
      <c r="H59" s="1392"/>
      <c r="I59" s="1392"/>
      <c r="J59" s="1392"/>
      <c r="K59" s="1392"/>
      <c r="L59" s="1392"/>
      <c r="M59" s="1392"/>
      <c r="N59" s="1393"/>
      <c r="O59" s="1343"/>
      <c r="P59" s="1344"/>
      <c r="Q59" s="1343"/>
      <c r="R59" s="1345"/>
      <c r="S59" s="1345"/>
      <c r="T59" s="1345"/>
      <c r="U59" s="1346"/>
      <c r="V59" t="s">
        <v>116</v>
      </c>
      <c r="W59" s="1347" t="s">
        <v>1375</v>
      </c>
      <c r="X59" s="1347"/>
      <c r="Y59" t="s">
        <v>116</v>
      </c>
      <c r="Z59" s="1347" t="s">
        <v>632</v>
      </c>
      <c r="AA59" s="1347"/>
      <c r="AB59" t="s">
        <v>116</v>
      </c>
      <c r="AC59" s="1347" t="s">
        <v>633</v>
      </c>
      <c r="AD59" s="1348"/>
      <c r="AE59" s="1338"/>
      <c r="AF59" s="1339"/>
      <c r="AG59" s="1339"/>
      <c r="AH59" s="1339"/>
      <c r="AI59" s="1340"/>
      <c r="AJ59" s="1349"/>
      <c r="AK59" s="1350"/>
      <c r="AL59" s="1350"/>
      <c r="AM59" s="1350"/>
      <c r="AN59" s="1351"/>
    </row>
    <row r="60" spans="2:40" ht="14.25" customHeight="1" x14ac:dyDescent="0.2">
      <c r="B60" s="1377"/>
      <c r="C60" s="1364"/>
      <c r="E60" s="1391" t="s">
        <v>75</v>
      </c>
      <c r="F60" s="1392"/>
      <c r="G60" s="1392"/>
      <c r="H60" s="1392"/>
      <c r="I60" s="1392"/>
      <c r="J60" s="1392"/>
      <c r="K60" s="1392"/>
      <c r="L60" s="1392"/>
      <c r="M60" s="1392"/>
      <c r="N60" s="1393"/>
      <c r="O60" s="1343"/>
      <c r="P60" s="1344"/>
      <c r="Q60" s="1343"/>
      <c r="R60" s="1345"/>
      <c r="S60" s="1345"/>
      <c r="T60" s="1345"/>
      <c r="U60" s="1346"/>
      <c r="V60" t="s">
        <v>116</v>
      </c>
      <c r="W60" s="1347" t="s">
        <v>1375</v>
      </c>
      <c r="X60" s="1347"/>
      <c r="Y60" t="s">
        <v>116</v>
      </c>
      <c r="Z60" s="1347" t="s">
        <v>632</v>
      </c>
      <c r="AA60" s="1347"/>
      <c r="AB60" t="s">
        <v>116</v>
      </c>
      <c r="AC60" s="1347" t="s">
        <v>633</v>
      </c>
      <c r="AD60" s="1348"/>
      <c r="AE60" s="1338"/>
      <c r="AF60" s="1339"/>
      <c r="AG60" s="1339"/>
      <c r="AH60" s="1339"/>
      <c r="AI60" s="1340"/>
      <c r="AJ60" s="1349"/>
      <c r="AK60" s="1350"/>
      <c r="AL60" s="1350"/>
      <c r="AM60" s="1350"/>
      <c r="AN60" s="1351"/>
    </row>
    <row r="61" spans="2:40" ht="14.25" customHeight="1" x14ac:dyDescent="0.2">
      <c r="B61" s="1377"/>
      <c r="C61" s="1375" t="s">
        <v>1377</v>
      </c>
      <c r="E61" s="1341" t="s">
        <v>1378</v>
      </c>
      <c r="F61" s="1341"/>
      <c r="G61" s="1341"/>
      <c r="H61" s="1341"/>
      <c r="I61" s="1341"/>
      <c r="J61" s="1341"/>
      <c r="K61" s="1341"/>
      <c r="L61" s="1341"/>
      <c r="M61" s="1341"/>
      <c r="N61" s="1342"/>
      <c r="O61" s="1343"/>
      <c r="P61" s="1344"/>
      <c r="Q61" s="1343"/>
      <c r="R61" s="1345"/>
      <c r="S61" s="1345"/>
      <c r="T61" s="1345"/>
      <c r="U61" s="1346"/>
      <c r="V61" t="s">
        <v>116</v>
      </c>
      <c r="W61" s="1347" t="s">
        <v>1375</v>
      </c>
      <c r="X61" s="1347"/>
      <c r="Y61" t="s">
        <v>116</v>
      </c>
      <c r="Z61" s="1347" t="s">
        <v>632</v>
      </c>
      <c r="AA61" s="1347"/>
      <c r="AB61" t="s">
        <v>116</v>
      </c>
      <c r="AC61" s="1347" t="s">
        <v>633</v>
      </c>
      <c r="AD61" s="1348"/>
      <c r="AE61" s="1338"/>
      <c r="AF61" s="1339"/>
      <c r="AG61" s="1339"/>
      <c r="AH61" s="1339"/>
      <c r="AI61" s="1340"/>
      <c r="AJ61" s="1349"/>
      <c r="AK61" s="1350"/>
      <c r="AL61" s="1350"/>
      <c r="AM61" s="1350"/>
      <c r="AN61" s="1351"/>
    </row>
    <row r="62" spans="2:40" ht="14.25" customHeight="1" x14ac:dyDescent="0.2">
      <c r="B62" s="1377"/>
      <c r="C62" s="1375"/>
      <c r="E62" s="1341" t="s">
        <v>614</v>
      </c>
      <c r="F62" s="1341"/>
      <c r="G62" s="1341"/>
      <c r="H62" s="1341"/>
      <c r="I62" s="1341"/>
      <c r="J62" s="1341"/>
      <c r="K62" s="1341"/>
      <c r="L62" s="1341"/>
      <c r="M62" s="1341"/>
      <c r="N62" s="1342"/>
      <c r="O62" s="1343"/>
      <c r="P62" s="1344"/>
      <c r="Q62" s="1343"/>
      <c r="R62" s="1345"/>
      <c r="S62" s="1345"/>
      <c r="T62" s="1345"/>
      <c r="U62" s="1346"/>
      <c r="V62" t="s">
        <v>116</v>
      </c>
      <c r="W62" s="1347" t="s">
        <v>1375</v>
      </c>
      <c r="X62" s="1347"/>
      <c r="Y62" t="s">
        <v>116</v>
      </c>
      <c r="Z62" s="1347" t="s">
        <v>632</v>
      </c>
      <c r="AA62" s="1347"/>
      <c r="AB62" t="s">
        <v>116</v>
      </c>
      <c r="AC62" s="1347" t="s">
        <v>633</v>
      </c>
      <c r="AD62" s="1348"/>
      <c r="AE62" s="1338"/>
      <c r="AF62" s="1339"/>
      <c r="AG62" s="1339"/>
      <c r="AH62" s="1339"/>
      <c r="AI62" s="1340"/>
      <c r="AJ62" s="1349"/>
      <c r="AK62" s="1350"/>
      <c r="AL62" s="1350"/>
      <c r="AM62" s="1350"/>
      <c r="AN62" s="1351"/>
    </row>
    <row r="63" spans="2:40" ht="14.25" customHeight="1" x14ac:dyDescent="0.2">
      <c r="B63" s="1378"/>
      <c r="C63" s="1375"/>
      <c r="E63" s="1341" t="s">
        <v>451</v>
      </c>
      <c r="F63" s="1341"/>
      <c r="G63" s="1341"/>
      <c r="H63" s="1341"/>
      <c r="I63" s="1341"/>
      <c r="J63" s="1341"/>
      <c r="K63" s="1341"/>
      <c r="L63" s="1341"/>
      <c r="M63" s="1341"/>
      <c r="N63" s="1342"/>
      <c r="O63" s="1343"/>
      <c r="P63" s="1344"/>
      <c r="Q63" s="1343"/>
      <c r="R63" s="1345"/>
      <c r="S63" s="1345"/>
      <c r="T63" s="1345"/>
      <c r="U63" s="1346"/>
      <c r="V63" t="s">
        <v>116</v>
      </c>
      <c r="W63" s="1347" t="s">
        <v>1375</v>
      </c>
      <c r="X63" s="1347"/>
      <c r="Y63" t="s">
        <v>116</v>
      </c>
      <c r="Z63" s="1347" t="s">
        <v>632</v>
      </c>
      <c r="AA63" s="1347"/>
      <c r="AB63" t="s">
        <v>116</v>
      </c>
      <c r="AC63" s="1347" t="s">
        <v>633</v>
      </c>
      <c r="AD63" s="1348"/>
      <c r="AE63" s="1338"/>
      <c r="AF63" s="1339"/>
      <c r="AG63" s="1339"/>
      <c r="AH63" s="1339"/>
      <c r="AI63" s="1340"/>
      <c r="AJ63" s="1349"/>
      <c r="AK63" s="1350"/>
      <c r="AL63" s="1350"/>
      <c r="AM63" s="1350"/>
      <c r="AN63" s="1351"/>
    </row>
    <row r="64" spans="2:40" ht="14.25" customHeight="1" x14ac:dyDescent="0.2">
      <c r="B64" s="1356" t="s">
        <v>21</v>
      </c>
      <c r="C64" s="1341"/>
      <c r="D64" s="1341"/>
      <c r="E64" s="1341"/>
      <c r="F64" s="1341"/>
      <c r="G64" s="1341"/>
      <c r="H64" s="1341"/>
      <c r="I64" s="1341"/>
      <c r="J64" s="1341"/>
      <c r="K64" s="1341"/>
      <c r="L64" s="1357"/>
      <c r="W64" s="1358"/>
      <c r="X64" s="1358"/>
      <c r="Y64" s="1358"/>
      <c r="Z64" s="1358"/>
      <c r="AA64" s="1358"/>
      <c r="AB64" s="1358"/>
      <c r="AC64" s="1358"/>
      <c r="AD64" s="1358"/>
      <c r="AE64" s="1358"/>
      <c r="AF64" s="1358"/>
      <c r="AG64" s="1358"/>
      <c r="AH64" s="1358"/>
      <c r="AI64" s="1358"/>
      <c r="AJ64" s="1358"/>
      <c r="AK64" s="1358"/>
      <c r="AL64" s="1358"/>
      <c r="AM64" s="1358"/>
      <c r="AN64" s="1358"/>
    </row>
    <row r="65" spans="2:40" ht="14.25" customHeight="1" x14ac:dyDescent="0.2">
      <c r="B65" s="1359" t="s">
        <v>40</v>
      </c>
      <c r="C65" s="1360"/>
      <c r="D65" s="1360"/>
      <c r="E65" s="1360"/>
      <c r="F65" s="1360"/>
      <c r="G65" s="1360"/>
      <c r="H65" s="1360"/>
      <c r="I65" s="1360"/>
      <c r="J65" s="1360"/>
      <c r="K65" s="1360"/>
      <c r="L65" s="1360"/>
      <c r="M65" s="1360"/>
      <c r="N65" s="1360"/>
      <c r="O65" s="1361"/>
      <c r="W65" s="1358"/>
      <c r="X65" s="1358"/>
      <c r="Y65" s="1358"/>
      <c r="Z65" s="1358"/>
      <c r="AA65" s="1358"/>
      <c r="AB65" s="1358"/>
      <c r="AC65" s="1358"/>
      <c r="AD65" s="1358"/>
      <c r="AE65" s="1358"/>
      <c r="AF65" s="1358"/>
      <c r="AG65" s="1358"/>
      <c r="AH65" s="1358"/>
      <c r="AI65" s="1358"/>
      <c r="AJ65" s="1358"/>
      <c r="AK65" s="1358"/>
      <c r="AL65" s="1358"/>
      <c r="AM65" s="1358"/>
      <c r="AN65" s="1358"/>
    </row>
    <row r="66" spans="2:40" ht="14.25" customHeight="1" x14ac:dyDescent="0.2">
      <c r="B66" s="1362" t="s">
        <v>22</v>
      </c>
      <c r="C66" s="1365" t="s">
        <v>87</v>
      </c>
      <c r="D66" s="1345"/>
      <c r="E66" s="1345"/>
      <c r="F66" s="1345"/>
      <c r="G66" s="1345"/>
      <c r="H66" s="1345"/>
      <c r="I66" s="1345"/>
      <c r="J66" s="1345"/>
      <c r="K66" s="1345"/>
      <c r="L66" s="1345"/>
      <c r="M66" s="1345"/>
      <c r="N66" s="1345"/>
      <c r="O66" s="1345"/>
      <c r="P66" s="1345"/>
      <c r="Q66" s="1345"/>
      <c r="R66" s="1345"/>
      <c r="S66" s="1345"/>
      <c r="T66" s="1345"/>
      <c r="U66" s="1346"/>
      <c r="V66" s="1365" t="s">
        <v>33</v>
      </c>
      <c r="W66" s="1345"/>
      <c r="X66" s="1345"/>
      <c r="Y66" s="1345"/>
      <c r="Z66" s="1345"/>
      <c r="AA66" s="1345"/>
      <c r="AB66" s="1345"/>
      <c r="AC66" s="1345"/>
      <c r="AD66" s="1345"/>
      <c r="AE66" s="1345"/>
      <c r="AF66" s="1345"/>
      <c r="AG66" s="1345"/>
      <c r="AH66" s="1345"/>
      <c r="AI66" s="1345"/>
      <c r="AJ66" s="1345"/>
      <c r="AK66" s="1345"/>
      <c r="AL66" s="1345"/>
      <c r="AM66" s="1345"/>
      <c r="AN66" s="1346"/>
    </row>
    <row r="67" spans="2:40" x14ac:dyDescent="0.2">
      <c r="B67" s="1363"/>
      <c r="C67" s="1366"/>
      <c r="D67" s="1367"/>
      <c r="E67" s="1367"/>
      <c r="F67" s="1367"/>
      <c r="G67" s="1367"/>
      <c r="H67" s="1367"/>
      <c r="I67" s="1367"/>
      <c r="J67" s="1367"/>
      <c r="K67" s="1367"/>
      <c r="L67" s="1367"/>
      <c r="M67" s="1367"/>
      <c r="N67" s="1367"/>
      <c r="O67" s="1367"/>
      <c r="P67" s="1367"/>
      <c r="Q67" s="1367"/>
      <c r="R67" s="1367"/>
      <c r="S67" s="1367"/>
      <c r="T67" s="1367"/>
      <c r="U67" s="1368"/>
      <c r="V67" s="1366"/>
      <c r="W67" s="1367"/>
      <c r="X67" s="1367"/>
      <c r="Y67" s="1367"/>
      <c r="Z67" s="1367"/>
      <c r="AA67" s="1367"/>
      <c r="AB67" s="1367"/>
      <c r="AC67" s="1367"/>
      <c r="AD67" s="1367"/>
      <c r="AE67" s="1367"/>
      <c r="AF67" s="1367"/>
      <c r="AG67" s="1367"/>
      <c r="AH67" s="1367"/>
      <c r="AI67" s="1367"/>
      <c r="AJ67" s="1367"/>
      <c r="AK67" s="1367"/>
      <c r="AL67" s="1367"/>
      <c r="AM67" s="1367"/>
      <c r="AN67" s="1368"/>
    </row>
    <row r="68" spans="2:40" x14ac:dyDescent="0.2">
      <c r="B68" s="1363"/>
      <c r="C68" s="1369"/>
      <c r="D68" s="1370"/>
      <c r="E68" s="1370"/>
      <c r="F68" s="1370"/>
      <c r="G68" s="1370"/>
      <c r="H68" s="1370"/>
      <c r="I68" s="1370"/>
      <c r="J68" s="1370"/>
      <c r="K68" s="1370"/>
      <c r="L68" s="1370"/>
      <c r="M68" s="1370"/>
      <c r="N68" s="1370"/>
      <c r="O68" s="1370"/>
      <c r="P68" s="1370"/>
      <c r="Q68" s="1370"/>
      <c r="R68" s="1370"/>
      <c r="S68" s="1370"/>
      <c r="T68" s="1370"/>
      <c r="U68" s="1371"/>
      <c r="V68" s="1369"/>
      <c r="W68" s="1370"/>
      <c r="X68" s="1370"/>
      <c r="Y68" s="1370"/>
      <c r="Z68" s="1370"/>
      <c r="AA68" s="1370"/>
      <c r="AB68" s="1370"/>
      <c r="AC68" s="1370"/>
      <c r="AD68" s="1370"/>
      <c r="AE68" s="1370"/>
      <c r="AF68" s="1370"/>
      <c r="AG68" s="1370"/>
      <c r="AH68" s="1370"/>
      <c r="AI68" s="1370"/>
      <c r="AJ68" s="1370"/>
      <c r="AK68" s="1370"/>
      <c r="AL68" s="1370"/>
      <c r="AM68" s="1370"/>
      <c r="AN68" s="1371"/>
    </row>
    <row r="69" spans="2:40" x14ac:dyDescent="0.2">
      <c r="B69" s="1363"/>
      <c r="C69" s="1369"/>
      <c r="D69" s="1370"/>
      <c r="E69" s="1370"/>
      <c r="F69" s="1370"/>
      <c r="G69" s="1370"/>
      <c r="H69" s="1370"/>
      <c r="I69" s="1370"/>
      <c r="J69" s="1370"/>
      <c r="K69" s="1370"/>
      <c r="L69" s="1370"/>
      <c r="M69" s="1370"/>
      <c r="N69" s="1370"/>
      <c r="O69" s="1370"/>
      <c r="P69" s="1370"/>
      <c r="Q69" s="1370"/>
      <c r="R69" s="1370"/>
      <c r="S69" s="1370"/>
      <c r="T69" s="1370"/>
      <c r="U69" s="1371"/>
      <c r="V69" s="1369"/>
      <c r="W69" s="1370"/>
      <c r="X69" s="1370"/>
      <c r="Y69" s="1370"/>
      <c r="Z69" s="1370"/>
      <c r="AA69" s="1370"/>
      <c r="AB69" s="1370"/>
      <c r="AC69" s="1370"/>
      <c r="AD69" s="1370"/>
      <c r="AE69" s="1370"/>
      <c r="AF69" s="1370"/>
      <c r="AG69" s="1370"/>
      <c r="AH69" s="1370"/>
      <c r="AI69" s="1370"/>
      <c r="AJ69" s="1370"/>
      <c r="AK69" s="1370"/>
      <c r="AL69" s="1370"/>
      <c r="AM69" s="1370"/>
      <c r="AN69" s="1371"/>
    </row>
    <row r="70" spans="2:40" x14ac:dyDescent="0.2">
      <c r="B70" s="1364"/>
      <c r="C70" s="1372"/>
      <c r="D70" s="1373"/>
      <c r="E70" s="1373"/>
      <c r="F70" s="1373"/>
      <c r="G70" s="1373"/>
      <c r="H70" s="1373"/>
      <c r="I70" s="1373"/>
      <c r="J70" s="1373"/>
      <c r="K70" s="1373"/>
      <c r="L70" s="1373"/>
      <c r="M70" s="1373"/>
      <c r="N70" s="1373"/>
      <c r="O70" s="1373"/>
      <c r="P70" s="1373"/>
      <c r="Q70" s="1373"/>
      <c r="R70" s="1373"/>
      <c r="S70" s="1373"/>
      <c r="T70" s="1373"/>
      <c r="U70" s="1374"/>
      <c r="V70" s="1372"/>
      <c r="W70" s="1373"/>
      <c r="X70" s="1373"/>
      <c r="Y70" s="1373"/>
      <c r="Z70" s="1373"/>
      <c r="AA70" s="1373"/>
      <c r="AB70" s="1373"/>
      <c r="AC70" s="1373"/>
      <c r="AD70" s="1373"/>
      <c r="AE70" s="1373"/>
      <c r="AF70" s="1373"/>
      <c r="AG70" s="1373"/>
      <c r="AH70" s="1373"/>
      <c r="AI70" s="1373"/>
      <c r="AJ70" s="1373"/>
      <c r="AK70" s="1373"/>
      <c r="AL70" s="1373"/>
      <c r="AM70" s="1373"/>
      <c r="AN70" s="1374"/>
    </row>
    <row r="71" spans="2:40" ht="14.25" customHeight="1" x14ac:dyDescent="0.2">
      <c r="B71" s="1352" t="s">
        <v>23</v>
      </c>
      <c r="C71" s="1353"/>
      <c r="D71" s="1353"/>
      <c r="E71" s="1353"/>
      <c r="F71" s="1354"/>
      <c r="G71" s="1355" t="s">
        <v>24</v>
      </c>
      <c r="H71" s="1355"/>
      <c r="I71" s="1355"/>
      <c r="J71" s="1355"/>
      <c r="K71" s="1355"/>
      <c r="L71" s="1355"/>
      <c r="M71" s="1355"/>
      <c r="N71" s="1355"/>
      <c r="O71" s="1355"/>
      <c r="P71" s="1355"/>
      <c r="Q71" s="1355"/>
      <c r="R71" s="1355"/>
      <c r="S71" s="1355"/>
      <c r="T71" s="1355"/>
      <c r="U71" s="1355"/>
      <c r="V71" s="1355"/>
      <c r="W71" s="1355"/>
      <c r="X71" s="1355"/>
      <c r="Y71" s="1355"/>
      <c r="Z71" s="1355"/>
      <c r="AA71" s="1355"/>
      <c r="AB71" s="1355"/>
      <c r="AC71" s="1355"/>
      <c r="AD71" s="1355"/>
      <c r="AE71" s="1355"/>
      <c r="AF71" s="1355"/>
      <c r="AG71" s="1355"/>
      <c r="AH71" s="1355"/>
      <c r="AI71" s="1355"/>
      <c r="AJ71" s="1355"/>
      <c r="AK71" s="1355"/>
      <c r="AL71" s="1355"/>
      <c r="AM71" s="1355"/>
      <c r="AN71" s="1355"/>
    </row>
    <row r="73" spans="2:40" x14ac:dyDescent="0.2">
      <c r="B73" t="s">
        <v>1379</v>
      </c>
    </row>
    <row r="74" spans="2:40" x14ac:dyDescent="0.2">
      <c r="B74" t="s">
        <v>1380</v>
      </c>
    </row>
    <row r="75" spans="2:40" x14ac:dyDescent="0.2">
      <c r="B75" t="s">
        <v>1381</v>
      </c>
    </row>
    <row r="76" spans="2:40" x14ac:dyDescent="0.2">
      <c r="B76" t="s">
        <v>100</v>
      </c>
    </row>
    <row r="77" spans="2:40" x14ac:dyDescent="0.2">
      <c r="B77" t="s">
        <v>58</v>
      </c>
    </row>
    <row r="78" spans="2:40" x14ac:dyDescent="0.2">
      <c r="B78" t="s">
        <v>1382</v>
      </c>
    </row>
    <row r="79" spans="2:40" x14ac:dyDescent="0.2">
      <c r="B79" t="s">
        <v>1383</v>
      </c>
    </row>
    <row r="80" spans="2:40" x14ac:dyDescent="0.2">
      <c r="D80" t="s">
        <v>1384</v>
      </c>
    </row>
    <row r="81" spans="2:2" x14ac:dyDescent="0.2">
      <c r="B81" t="s">
        <v>1385</v>
      </c>
    </row>
    <row r="82" spans="2:2" x14ac:dyDescent="0.2">
      <c r="B82" t="s">
        <v>1386</v>
      </c>
    </row>
    <row r="83" spans="2:2" x14ac:dyDescent="0.2">
      <c r="B83" t="s">
        <v>95</v>
      </c>
    </row>
  </sheetData>
  <mergeCells count="310">
    <mergeCell ref="B7:G7"/>
    <mergeCell ref="H7:J7"/>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J44:AN44"/>
    <mergeCell ref="O43:P43"/>
    <mergeCell ref="Q43:U43"/>
    <mergeCell ref="W43:X43"/>
    <mergeCell ref="Z43:AA43"/>
    <mergeCell ref="AC43:AD43"/>
    <mergeCell ref="AE43:AI43"/>
    <mergeCell ref="AE45:AI45"/>
    <mergeCell ref="AJ45:AN45"/>
    <mergeCell ref="AJ46:AN46"/>
    <mergeCell ref="E45:N45"/>
    <mergeCell ref="O45:P45"/>
    <mergeCell ref="Q45:U45"/>
    <mergeCell ref="W45:X45"/>
    <mergeCell ref="Z45:AA45"/>
    <mergeCell ref="AC45:AD45"/>
    <mergeCell ref="AE47:AI47"/>
    <mergeCell ref="AJ47:AN47"/>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s>
  <phoneticPr fontId="2"/>
  <dataValidations count="2">
    <dataValidation type="list" allowBlank="1" showInputMessage="1" showErrorMessage="1" sqref="O41:P63" xr:uid="{00000000-0002-0000-0500-000000000000}">
      <formula1>"○"</formula1>
    </dataValidation>
    <dataValidation type="list" allowBlank="1" showInputMessage="1" showErrorMessage="1" sqref="AB41:AB63 Y41:Y63 V41:V63" xr:uid="{00000000-0002-0000-0500-000001000000}">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9A14-6EA5-4A79-9220-4ED0DCC9DD73}">
  <sheetPr>
    <tabColor rgb="FFFFFF00"/>
    <pageSetUpPr fitToPage="1"/>
  </sheetPr>
  <dimension ref="A2:AK940"/>
  <sheetViews>
    <sheetView view="pageBreakPreview" zoomScale="70" zoomScaleNormal="100" zoomScaleSheetLayoutView="70" workbookViewId="0"/>
  </sheetViews>
  <sheetFormatPr defaultColWidth="4" defaultRowHeight="14.4" x14ac:dyDescent="0.2"/>
  <cols>
    <col min="1" max="1" width="1.21875" style="1132" customWidth="1"/>
    <col min="2" max="34" width="3.44140625" style="1132" customWidth="1"/>
    <col min="35" max="256" width="4" style="1132"/>
    <col min="257" max="257" width="1.21875" style="1132" customWidth="1"/>
    <col min="258" max="290" width="3.44140625" style="1132" customWidth="1"/>
    <col min="291" max="512" width="4" style="1132"/>
    <col min="513" max="513" width="1.21875" style="1132" customWidth="1"/>
    <col min="514" max="546" width="3.44140625" style="1132" customWidth="1"/>
    <col min="547" max="768" width="4" style="1132"/>
    <col min="769" max="769" width="1.21875" style="1132" customWidth="1"/>
    <col min="770" max="802" width="3.44140625" style="1132" customWidth="1"/>
    <col min="803" max="1024" width="4" style="1132"/>
    <col min="1025" max="1025" width="1.21875" style="1132" customWidth="1"/>
    <col min="1026" max="1058" width="3.44140625" style="1132" customWidth="1"/>
    <col min="1059" max="1280" width="4" style="1132"/>
    <col min="1281" max="1281" width="1.21875" style="1132" customWidth="1"/>
    <col min="1282" max="1314" width="3.44140625" style="1132" customWidth="1"/>
    <col min="1315" max="1536" width="4" style="1132"/>
    <col min="1537" max="1537" width="1.21875" style="1132" customWidth="1"/>
    <col min="1538" max="1570" width="3.44140625" style="1132" customWidth="1"/>
    <col min="1571" max="1792" width="4" style="1132"/>
    <col min="1793" max="1793" width="1.21875" style="1132" customWidth="1"/>
    <col min="1794" max="1826" width="3.44140625" style="1132" customWidth="1"/>
    <col min="1827" max="2048" width="4" style="1132"/>
    <col min="2049" max="2049" width="1.21875" style="1132" customWidth="1"/>
    <col min="2050" max="2082" width="3.44140625" style="1132" customWidth="1"/>
    <col min="2083" max="2304" width="4" style="1132"/>
    <col min="2305" max="2305" width="1.21875" style="1132" customWidth="1"/>
    <col min="2306" max="2338" width="3.44140625" style="1132" customWidth="1"/>
    <col min="2339" max="2560" width="4" style="1132"/>
    <col min="2561" max="2561" width="1.21875" style="1132" customWidth="1"/>
    <col min="2562" max="2594" width="3.44140625" style="1132" customWidth="1"/>
    <col min="2595" max="2816" width="4" style="1132"/>
    <col min="2817" max="2817" width="1.21875" style="1132" customWidth="1"/>
    <col min="2818" max="2850" width="3.44140625" style="1132" customWidth="1"/>
    <col min="2851" max="3072" width="4" style="1132"/>
    <col min="3073" max="3073" width="1.21875" style="1132" customWidth="1"/>
    <col min="3074" max="3106" width="3.44140625" style="1132" customWidth="1"/>
    <col min="3107" max="3328" width="4" style="1132"/>
    <col min="3329" max="3329" width="1.21875" style="1132" customWidth="1"/>
    <col min="3330" max="3362" width="3.44140625" style="1132" customWidth="1"/>
    <col min="3363" max="3584" width="4" style="1132"/>
    <col min="3585" max="3585" width="1.21875" style="1132" customWidth="1"/>
    <col min="3586" max="3618" width="3.44140625" style="1132" customWidth="1"/>
    <col min="3619" max="3840" width="4" style="1132"/>
    <col min="3841" max="3841" width="1.21875" style="1132" customWidth="1"/>
    <col min="3842" max="3874" width="3.44140625" style="1132" customWidth="1"/>
    <col min="3875" max="4096" width="4" style="1132"/>
    <col min="4097" max="4097" width="1.21875" style="1132" customWidth="1"/>
    <col min="4098" max="4130" width="3.44140625" style="1132" customWidth="1"/>
    <col min="4131" max="4352" width="4" style="1132"/>
    <col min="4353" max="4353" width="1.21875" style="1132" customWidth="1"/>
    <col min="4354" max="4386" width="3.44140625" style="1132" customWidth="1"/>
    <col min="4387" max="4608" width="4" style="1132"/>
    <col min="4609" max="4609" width="1.21875" style="1132" customWidth="1"/>
    <col min="4610" max="4642" width="3.44140625" style="1132" customWidth="1"/>
    <col min="4643" max="4864" width="4" style="1132"/>
    <col min="4865" max="4865" width="1.21875" style="1132" customWidth="1"/>
    <col min="4866" max="4898" width="3.44140625" style="1132" customWidth="1"/>
    <col min="4899" max="5120" width="4" style="1132"/>
    <col min="5121" max="5121" width="1.21875" style="1132" customWidth="1"/>
    <col min="5122" max="5154" width="3.44140625" style="1132" customWidth="1"/>
    <col min="5155" max="5376" width="4" style="1132"/>
    <col min="5377" max="5377" width="1.21875" style="1132" customWidth="1"/>
    <col min="5378" max="5410" width="3.44140625" style="1132" customWidth="1"/>
    <col min="5411" max="5632" width="4" style="1132"/>
    <col min="5633" max="5633" width="1.21875" style="1132" customWidth="1"/>
    <col min="5634" max="5666" width="3.44140625" style="1132" customWidth="1"/>
    <col min="5667" max="5888" width="4" style="1132"/>
    <col min="5889" max="5889" width="1.21875" style="1132" customWidth="1"/>
    <col min="5890" max="5922" width="3.44140625" style="1132" customWidth="1"/>
    <col min="5923" max="6144" width="4" style="1132"/>
    <col min="6145" max="6145" width="1.21875" style="1132" customWidth="1"/>
    <col min="6146" max="6178" width="3.44140625" style="1132" customWidth="1"/>
    <col min="6179" max="6400" width="4" style="1132"/>
    <col min="6401" max="6401" width="1.21875" style="1132" customWidth="1"/>
    <col min="6402" max="6434" width="3.44140625" style="1132" customWidth="1"/>
    <col min="6435" max="6656" width="4" style="1132"/>
    <col min="6657" max="6657" width="1.21875" style="1132" customWidth="1"/>
    <col min="6658" max="6690" width="3.44140625" style="1132" customWidth="1"/>
    <col min="6691" max="6912" width="4" style="1132"/>
    <col min="6913" max="6913" width="1.21875" style="1132" customWidth="1"/>
    <col min="6914" max="6946" width="3.44140625" style="1132" customWidth="1"/>
    <col min="6947" max="7168" width="4" style="1132"/>
    <col min="7169" max="7169" width="1.21875" style="1132" customWidth="1"/>
    <col min="7170" max="7202" width="3.44140625" style="1132" customWidth="1"/>
    <col min="7203" max="7424" width="4" style="1132"/>
    <col min="7425" max="7425" width="1.21875" style="1132" customWidth="1"/>
    <col min="7426" max="7458" width="3.44140625" style="1132" customWidth="1"/>
    <col min="7459" max="7680" width="4" style="1132"/>
    <col min="7681" max="7681" width="1.21875" style="1132" customWidth="1"/>
    <col min="7682" max="7714" width="3.44140625" style="1132" customWidth="1"/>
    <col min="7715" max="7936" width="4" style="1132"/>
    <col min="7937" max="7937" width="1.21875" style="1132" customWidth="1"/>
    <col min="7938" max="7970" width="3.44140625" style="1132" customWidth="1"/>
    <col min="7971" max="8192" width="4" style="1132"/>
    <col min="8193" max="8193" width="1.21875" style="1132" customWidth="1"/>
    <col min="8194" max="8226" width="3.44140625" style="1132" customWidth="1"/>
    <col min="8227" max="8448" width="4" style="1132"/>
    <col min="8449" max="8449" width="1.21875" style="1132" customWidth="1"/>
    <col min="8450" max="8482" width="3.44140625" style="1132" customWidth="1"/>
    <col min="8483" max="8704" width="4" style="1132"/>
    <col min="8705" max="8705" width="1.21875" style="1132" customWidth="1"/>
    <col min="8706" max="8738" width="3.44140625" style="1132" customWidth="1"/>
    <col min="8739" max="8960" width="4" style="1132"/>
    <col min="8961" max="8961" width="1.21875" style="1132" customWidth="1"/>
    <col min="8962" max="8994" width="3.44140625" style="1132" customWidth="1"/>
    <col min="8995" max="9216" width="4" style="1132"/>
    <col min="9217" max="9217" width="1.21875" style="1132" customWidth="1"/>
    <col min="9218" max="9250" width="3.44140625" style="1132" customWidth="1"/>
    <col min="9251" max="9472" width="4" style="1132"/>
    <col min="9473" max="9473" width="1.21875" style="1132" customWidth="1"/>
    <col min="9474" max="9506" width="3.44140625" style="1132" customWidth="1"/>
    <col min="9507" max="9728" width="4" style="1132"/>
    <col min="9729" max="9729" width="1.21875" style="1132" customWidth="1"/>
    <col min="9730" max="9762" width="3.44140625" style="1132" customWidth="1"/>
    <col min="9763" max="9984" width="4" style="1132"/>
    <col min="9985" max="9985" width="1.21875" style="1132" customWidth="1"/>
    <col min="9986" max="10018" width="3.44140625" style="1132" customWidth="1"/>
    <col min="10019" max="10240" width="4" style="1132"/>
    <col min="10241" max="10241" width="1.21875" style="1132" customWidth="1"/>
    <col min="10242" max="10274" width="3.44140625" style="1132" customWidth="1"/>
    <col min="10275" max="10496" width="4" style="1132"/>
    <col min="10497" max="10497" width="1.21875" style="1132" customWidth="1"/>
    <col min="10498" max="10530" width="3.44140625" style="1132" customWidth="1"/>
    <col min="10531" max="10752" width="4" style="1132"/>
    <col min="10753" max="10753" width="1.21875" style="1132" customWidth="1"/>
    <col min="10754" max="10786" width="3.44140625" style="1132" customWidth="1"/>
    <col min="10787" max="11008" width="4" style="1132"/>
    <col min="11009" max="11009" width="1.21875" style="1132" customWidth="1"/>
    <col min="11010" max="11042" width="3.44140625" style="1132" customWidth="1"/>
    <col min="11043" max="11264" width="4" style="1132"/>
    <col min="11265" max="11265" width="1.21875" style="1132" customWidth="1"/>
    <col min="11266" max="11298" width="3.44140625" style="1132" customWidth="1"/>
    <col min="11299" max="11520" width="4" style="1132"/>
    <col min="11521" max="11521" width="1.21875" style="1132" customWidth="1"/>
    <col min="11522" max="11554" width="3.44140625" style="1132" customWidth="1"/>
    <col min="11555" max="11776" width="4" style="1132"/>
    <col min="11777" max="11777" width="1.21875" style="1132" customWidth="1"/>
    <col min="11778" max="11810" width="3.44140625" style="1132" customWidth="1"/>
    <col min="11811" max="12032" width="4" style="1132"/>
    <col min="12033" max="12033" width="1.21875" style="1132" customWidth="1"/>
    <col min="12034" max="12066" width="3.44140625" style="1132" customWidth="1"/>
    <col min="12067" max="12288" width="4" style="1132"/>
    <col min="12289" max="12289" width="1.21875" style="1132" customWidth="1"/>
    <col min="12290" max="12322" width="3.44140625" style="1132" customWidth="1"/>
    <col min="12323" max="12544" width="4" style="1132"/>
    <col min="12545" max="12545" width="1.21875" style="1132" customWidth="1"/>
    <col min="12546" max="12578" width="3.44140625" style="1132" customWidth="1"/>
    <col min="12579" max="12800" width="4" style="1132"/>
    <col min="12801" max="12801" width="1.21875" style="1132" customWidth="1"/>
    <col min="12802" max="12834" width="3.44140625" style="1132" customWidth="1"/>
    <col min="12835" max="13056" width="4" style="1132"/>
    <col min="13057" max="13057" width="1.21875" style="1132" customWidth="1"/>
    <col min="13058" max="13090" width="3.44140625" style="1132" customWidth="1"/>
    <col min="13091" max="13312" width="4" style="1132"/>
    <col min="13313" max="13313" width="1.21875" style="1132" customWidth="1"/>
    <col min="13314" max="13346" width="3.44140625" style="1132" customWidth="1"/>
    <col min="13347" max="13568" width="4" style="1132"/>
    <col min="13569" max="13569" width="1.21875" style="1132" customWidth="1"/>
    <col min="13570" max="13602" width="3.44140625" style="1132" customWidth="1"/>
    <col min="13603" max="13824" width="4" style="1132"/>
    <col min="13825" max="13825" width="1.21875" style="1132" customWidth="1"/>
    <col min="13826" max="13858" width="3.44140625" style="1132" customWidth="1"/>
    <col min="13859" max="14080" width="4" style="1132"/>
    <col min="14081" max="14081" width="1.21875" style="1132" customWidth="1"/>
    <col min="14082" max="14114" width="3.44140625" style="1132" customWidth="1"/>
    <col min="14115" max="14336" width="4" style="1132"/>
    <col min="14337" max="14337" width="1.21875" style="1132" customWidth="1"/>
    <col min="14338" max="14370" width="3.44140625" style="1132" customWidth="1"/>
    <col min="14371" max="14592" width="4" style="1132"/>
    <col min="14593" max="14593" width="1.21875" style="1132" customWidth="1"/>
    <col min="14594" max="14626" width="3.44140625" style="1132" customWidth="1"/>
    <col min="14627" max="14848" width="4" style="1132"/>
    <col min="14849" max="14849" width="1.21875" style="1132" customWidth="1"/>
    <col min="14850" max="14882" width="3.44140625" style="1132" customWidth="1"/>
    <col min="14883" max="15104" width="4" style="1132"/>
    <col min="15105" max="15105" width="1.21875" style="1132" customWidth="1"/>
    <col min="15106" max="15138" width="3.44140625" style="1132" customWidth="1"/>
    <col min="15139" max="15360" width="4" style="1132"/>
    <col min="15361" max="15361" width="1.21875" style="1132" customWidth="1"/>
    <col min="15362" max="15394" width="3.44140625" style="1132" customWidth="1"/>
    <col min="15395" max="15616" width="4" style="1132"/>
    <col min="15617" max="15617" width="1.21875" style="1132" customWidth="1"/>
    <col min="15618" max="15650" width="3.44140625" style="1132" customWidth="1"/>
    <col min="15651" max="15872" width="4" style="1132"/>
    <col min="15873" max="15873" width="1.21875" style="1132" customWidth="1"/>
    <col min="15874" max="15906" width="3.44140625" style="1132" customWidth="1"/>
    <col min="15907" max="16128" width="4" style="1132"/>
    <col min="16129" max="16129" width="1.21875" style="1132" customWidth="1"/>
    <col min="16130" max="16162" width="3.44140625" style="1132" customWidth="1"/>
    <col min="16163" max="16384" width="4" style="1132"/>
  </cols>
  <sheetData>
    <row r="2" spans="1:37" x14ac:dyDescent="0.2">
      <c r="A2" s="1132" t="s">
        <v>2018</v>
      </c>
    </row>
    <row r="3" spans="1:37" ht="6.75" customHeight="1" x14ac:dyDescent="0.2"/>
    <row r="4" spans="1:37" x14ac:dyDescent="0.2">
      <c r="B4" s="1132" t="s">
        <v>2019</v>
      </c>
    </row>
    <row r="5" spans="1:37" ht="7.5" customHeight="1" x14ac:dyDescent="0.2"/>
    <row r="6" spans="1:37" s="1133" customFormat="1" ht="24" customHeight="1" x14ac:dyDescent="0.2">
      <c r="F6" s="1134" t="s">
        <v>2020</v>
      </c>
      <c r="G6" s="1135"/>
      <c r="H6" s="1135"/>
      <c r="I6" s="1135"/>
      <c r="J6" s="1135"/>
      <c r="K6" s="1135"/>
      <c r="L6" s="1136"/>
      <c r="M6" s="1474"/>
      <c r="N6" s="1475"/>
      <c r="O6" s="1475"/>
      <c r="P6" s="1475"/>
      <c r="Q6" s="1475"/>
      <c r="R6" s="1475"/>
      <c r="S6" s="1475"/>
      <c r="T6" s="1475"/>
      <c r="U6" s="1475"/>
      <c r="V6" s="1475"/>
      <c r="W6" s="1475"/>
      <c r="X6" s="1475"/>
      <c r="Y6" s="1476"/>
      <c r="AA6" s="1133" t="s">
        <v>2021</v>
      </c>
    </row>
    <row r="7" spans="1:37" ht="21.75" customHeight="1" x14ac:dyDescent="0.2"/>
    <row r="8" spans="1:37" x14ac:dyDescent="0.2">
      <c r="B8" s="1137"/>
      <c r="C8" s="1138"/>
      <c r="D8" s="1138"/>
      <c r="E8" s="1138"/>
      <c r="F8" s="1138"/>
      <c r="G8" s="1138"/>
      <c r="H8" s="1138"/>
      <c r="I8" s="1138"/>
      <c r="J8" s="1138"/>
      <c r="K8" s="1138"/>
      <c r="L8" s="1138"/>
      <c r="M8" s="1138"/>
      <c r="N8" s="1138"/>
      <c r="O8" s="1138"/>
      <c r="P8" s="1138"/>
      <c r="Q8" s="1138"/>
      <c r="R8" s="1138"/>
      <c r="S8" s="1138"/>
      <c r="T8" s="1138"/>
      <c r="U8" s="1138"/>
      <c r="V8" s="1138"/>
      <c r="W8" s="1138"/>
      <c r="X8" s="1138"/>
      <c r="Y8" s="1138"/>
      <c r="Z8" s="1138"/>
      <c r="AA8" s="1138"/>
      <c r="AB8" s="1138"/>
      <c r="AC8" s="1138"/>
      <c r="AD8" s="1138"/>
      <c r="AE8" s="1138"/>
      <c r="AF8" s="1138"/>
      <c r="AG8" s="1138"/>
      <c r="AH8" s="1138"/>
      <c r="AI8" s="1138"/>
      <c r="AJ8" s="1138"/>
      <c r="AK8" s="1139"/>
    </row>
    <row r="9" spans="1:37" x14ac:dyDescent="0.2">
      <c r="B9" s="1140"/>
      <c r="AK9" s="1141"/>
    </row>
    <row r="10" spans="1:37" x14ac:dyDescent="0.2">
      <c r="B10" s="1140"/>
      <c r="AK10" s="1141"/>
    </row>
    <row r="11" spans="1:37" x14ac:dyDescent="0.2">
      <c r="B11" s="1140"/>
      <c r="D11" s="1137"/>
      <c r="E11" s="1138"/>
      <c r="F11" s="1138"/>
      <c r="G11" s="1138"/>
      <c r="H11" s="1138"/>
      <c r="I11" s="1137"/>
      <c r="J11" s="1138"/>
      <c r="K11" s="1138"/>
      <c r="L11" s="1139"/>
      <c r="M11" s="1138"/>
      <c r="N11" s="1138"/>
      <c r="O11" s="1138"/>
      <c r="P11" s="1139"/>
      <c r="Q11" s="1137"/>
      <c r="R11" s="1138"/>
      <c r="S11" s="1138"/>
      <c r="T11" s="1139"/>
      <c r="U11" s="1137"/>
      <c r="V11" s="1138"/>
      <c r="W11" s="1138"/>
      <c r="X11" s="1138"/>
      <c r="Y11" s="1138"/>
      <c r="Z11" s="1139"/>
      <c r="AA11" s="1477" t="s">
        <v>2022</v>
      </c>
      <c r="AB11" s="1478"/>
      <c r="AC11" s="1478"/>
      <c r="AD11" s="1478"/>
      <c r="AE11" s="1478"/>
      <c r="AF11" s="1478"/>
      <c r="AG11" s="1478"/>
      <c r="AH11" s="1478"/>
      <c r="AI11" s="1479"/>
      <c r="AK11" s="1141"/>
    </row>
    <row r="12" spans="1:37" x14ac:dyDescent="0.2">
      <c r="B12" s="1140"/>
      <c r="D12" s="1140"/>
      <c r="I12" s="1140" t="s">
        <v>2023</v>
      </c>
      <c r="L12" s="1141"/>
      <c r="M12" s="1132" t="s">
        <v>2024</v>
      </c>
      <c r="P12" s="1141"/>
      <c r="Q12" s="1140" t="s">
        <v>2025</v>
      </c>
      <c r="T12" s="1141"/>
      <c r="U12" s="1140" t="s">
        <v>2026</v>
      </c>
      <c r="Y12" s="1132" t="s">
        <v>2027</v>
      </c>
      <c r="AA12" s="1480"/>
      <c r="AB12" s="1481"/>
      <c r="AC12" s="1481"/>
      <c r="AD12" s="1481"/>
      <c r="AE12" s="1481"/>
      <c r="AF12" s="1481"/>
      <c r="AG12" s="1481"/>
      <c r="AH12" s="1481"/>
      <c r="AI12" s="1482"/>
      <c r="AK12" s="1141"/>
    </row>
    <row r="13" spans="1:37" ht="6.75" customHeight="1" x14ac:dyDescent="0.2">
      <c r="B13" s="1140"/>
      <c r="D13" s="1140"/>
      <c r="I13" s="1140"/>
      <c r="L13" s="1141"/>
      <c r="P13" s="1141"/>
      <c r="Q13" s="1140"/>
      <c r="T13" s="1141"/>
      <c r="U13" s="1140"/>
      <c r="Z13" s="1141"/>
      <c r="AA13" s="1142"/>
      <c r="AB13" s="1143"/>
      <c r="AC13" s="1143"/>
      <c r="AD13" s="1143"/>
      <c r="AE13" s="1483" t="s">
        <v>2028</v>
      </c>
      <c r="AF13" s="1483"/>
      <c r="AG13" s="1483"/>
      <c r="AH13" s="1483"/>
      <c r="AI13" s="1144"/>
      <c r="AK13" s="1141"/>
    </row>
    <row r="14" spans="1:37" x14ac:dyDescent="0.2">
      <c r="B14" s="1140"/>
      <c r="D14" s="1140"/>
      <c r="I14" s="1140"/>
      <c r="K14" s="1132" t="s">
        <v>2027</v>
      </c>
      <c r="L14" s="1141"/>
      <c r="O14" s="1132" t="s">
        <v>2027</v>
      </c>
      <c r="P14" s="1141"/>
      <c r="Q14" s="1140"/>
      <c r="S14" s="1132" t="s">
        <v>2027</v>
      </c>
      <c r="T14" s="1141"/>
      <c r="U14" s="1140" t="s">
        <v>2029</v>
      </c>
      <c r="Z14" s="1141"/>
      <c r="AA14" s="1140"/>
      <c r="AE14" s="1484"/>
      <c r="AF14" s="1484"/>
      <c r="AG14" s="1484"/>
      <c r="AH14" s="1484"/>
      <c r="AI14" s="1141"/>
      <c r="AK14" s="1141"/>
    </row>
    <row r="15" spans="1:37" x14ac:dyDescent="0.2">
      <c r="B15" s="1140"/>
      <c r="D15" s="1140"/>
      <c r="I15" s="1145"/>
      <c r="J15" s="1146"/>
      <c r="K15" s="1146"/>
      <c r="L15" s="1147"/>
      <c r="M15" s="1146"/>
      <c r="N15" s="1146"/>
      <c r="O15" s="1146"/>
      <c r="P15" s="1147"/>
      <c r="Q15" s="1145"/>
      <c r="R15" s="1146"/>
      <c r="S15" s="1146"/>
      <c r="T15" s="1147"/>
      <c r="U15" s="1145"/>
      <c r="V15" s="1146"/>
      <c r="W15" s="1146"/>
      <c r="X15" s="1146"/>
      <c r="Y15" s="1146"/>
      <c r="Z15" s="1147"/>
      <c r="AE15" s="1484"/>
      <c r="AF15" s="1484"/>
      <c r="AG15" s="1484"/>
      <c r="AH15" s="1484"/>
      <c r="AK15" s="1141"/>
    </row>
    <row r="16" spans="1:37" x14ac:dyDescent="0.2">
      <c r="B16" s="1140"/>
      <c r="D16" s="1140"/>
      <c r="L16" s="1141"/>
      <c r="AE16" s="1484"/>
      <c r="AF16" s="1484"/>
      <c r="AG16" s="1484"/>
      <c r="AH16" s="1484"/>
      <c r="AK16" s="1141"/>
    </row>
    <row r="17" spans="2:37" x14ac:dyDescent="0.2">
      <c r="B17" s="1140"/>
      <c r="D17" s="1140"/>
      <c r="L17" s="1141"/>
      <c r="AE17" s="1484"/>
      <c r="AF17" s="1484"/>
      <c r="AG17" s="1484"/>
      <c r="AH17" s="1484"/>
      <c r="AI17" s="1141"/>
      <c r="AK17" s="1141"/>
    </row>
    <row r="18" spans="2:37" x14ac:dyDescent="0.2">
      <c r="B18" s="1140"/>
      <c r="D18" s="1140"/>
      <c r="L18" s="1141"/>
      <c r="AE18" s="1485"/>
      <c r="AF18" s="1485"/>
      <c r="AG18" s="1485"/>
      <c r="AH18" s="1485"/>
      <c r="AI18" s="1141"/>
      <c r="AK18" s="1141"/>
    </row>
    <row r="19" spans="2:37" x14ac:dyDescent="0.2">
      <c r="B19" s="1140"/>
      <c r="D19" s="1140"/>
      <c r="L19" s="1141"/>
      <c r="M19" s="1138"/>
      <c r="N19" s="1138"/>
      <c r="O19" s="1138"/>
      <c r="P19" s="1138"/>
      <c r="Q19" s="1138"/>
      <c r="R19" s="1138"/>
      <c r="S19" s="1138"/>
      <c r="T19" s="1138"/>
      <c r="U19" s="1138"/>
      <c r="V19" s="1138"/>
      <c r="W19" s="1139"/>
      <c r="X19" s="1137"/>
      <c r="Y19" s="1138"/>
      <c r="Z19" s="1139"/>
      <c r="AD19" s="1137"/>
      <c r="AE19" s="1138"/>
      <c r="AF19" s="1138"/>
      <c r="AG19" s="1138"/>
      <c r="AH19" s="1138"/>
      <c r="AI19" s="1139"/>
      <c r="AK19" s="1141"/>
    </row>
    <row r="20" spans="2:37" x14ac:dyDescent="0.2">
      <c r="B20" s="1140"/>
      <c r="D20" s="1140"/>
      <c r="E20" s="1132" t="s">
        <v>2030</v>
      </c>
      <c r="J20" s="1148" t="s">
        <v>2027</v>
      </c>
      <c r="L20" s="1141"/>
      <c r="W20" s="1141"/>
      <c r="X20" s="1140"/>
      <c r="Z20" s="1141"/>
      <c r="AD20" s="1140"/>
      <c r="AI20" s="1141"/>
      <c r="AK20" s="1141"/>
    </row>
    <row r="21" spans="2:37" ht="6.75" customHeight="1" x14ac:dyDescent="0.2">
      <c r="B21" s="1140"/>
      <c r="D21" s="1140"/>
      <c r="J21" s="1148"/>
      <c r="L21" s="1141"/>
      <c r="W21" s="1141"/>
      <c r="X21" s="1140"/>
      <c r="Z21" s="1141"/>
      <c r="AD21" s="1140"/>
      <c r="AI21" s="1141"/>
      <c r="AK21" s="1141"/>
    </row>
    <row r="22" spans="2:37" x14ac:dyDescent="0.2">
      <c r="B22" s="1140"/>
      <c r="D22" s="1140"/>
      <c r="E22" s="1132" t="s">
        <v>2031</v>
      </c>
      <c r="L22" s="1141"/>
      <c r="W22" s="1141"/>
      <c r="X22" s="1140" t="s">
        <v>2032</v>
      </c>
      <c r="Z22" s="1141"/>
      <c r="AD22" s="1140"/>
      <c r="AI22" s="1141"/>
      <c r="AK22" s="1141"/>
    </row>
    <row r="23" spans="2:37" x14ac:dyDescent="0.2">
      <c r="B23" s="1140"/>
      <c r="D23" s="1140"/>
      <c r="L23" s="1141"/>
      <c r="O23" s="1132" t="s">
        <v>2033</v>
      </c>
      <c r="R23" s="1148" t="s">
        <v>2027</v>
      </c>
      <c r="W23" s="1141"/>
      <c r="X23" s="1140"/>
      <c r="Z23" s="1141" t="s">
        <v>2027</v>
      </c>
      <c r="AD23" s="1140"/>
      <c r="AE23" s="1132" t="s">
        <v>2034</v>
      </c>
      <c r="AH23" s="1148" t="s">
        <v>2027</v>
      </c>
      <c r="AI23" s="1141"/>
      <c r="AK23" s="1141"/>
    </row>
    <row r="24" spans="2:37" x14ac:dyDescent="0.2">
      <c r="B24" s="1140"/>
      <c r="D24" s="1140"/>
      <c r="L24" s="1141"/>
      <c r="W24" s="1141"/>
      <c r="X24" s="1140"/>
      <c r="Z24" s="1141"/>
      <c r="AD24" s="1140"/>
      <c r="AI24" s="1141"/>
      <c r="AK24" s="1141"/>
    </row>
    <row r="25" spans="2:37" ht="6.75" customHeight="1" x14ac:dyDescent="0.2">
      <c r="B25" s="1140"/>
      <c r="D25" s="1140"/>
      <c r="L25" s="1141"/>
      <c r="W25" s="1141"/>
      <c r="X25" s="1140"/>
      <c r="Z25" s="1141"/>
      <c r="AD25" s="1140"/>
      <c r="AI25" s="1141"/>
      <c r="AK25" s="1141"/>
    </row>
    <row r="26" spans="2:37" x14ac:dyDescent="0.2">
      <c r="B26" s="1140"/>
      <c r="D26" s="1140"/>
      <c r="L26" s="1141"/>
      <c r="W26" s="1141"/>
      <c r="X26" s="1140"/>
      <c r="Z26" s="1141"/>
      <c r="AD26" s="1140"/>
      <c r="AI26" s="1141"/>
      <c r="AK26" s="1141"/>
    </row>
    <row r="27" spans="2:37" x14ac:dyDescent="0.2">
      <c r="B27" s="1140"/>
      <c r="D27" s="1145"/>
      <c r="E27" s="1146"/>
      <c r="F27" s="1146"/>
      <c r="G27" s="1146"/>
      <c r="H27" s="1146"/>
      <c r="I27" s="1146"/>
      <c r="J27" s="1146"/>
      <c r="K27" s="1146"/>
      <c r="L27" s="1147"/>
      <c r="M27" s="1146"/>
      <c r="N27" s="1146"/>
      <c r="O27" s="1146"/>
      <c r="P27" s="1146"/>
      <c r="Q27" s="1146"/>
      <c r="R27" s="1146"/>
      <c r="S27" s="1146"/>
      <c r="T27" s="1146"/>
      <c r="U27" s="1146"/>
      <c r="V27" s="1146"/>
      <c r="W27" s="1147"/>
      <c r="X27" s="1145"/>
      <c r="Y27" s="1146"/>
      <c r="Z27" s="1147"/>
      <c r="AA27" s="1146"/>
      <c r="AB27" s="1146"/>
      <c r="AC27" s="1146"/>
      <c r="AD27" s="1145"/>
      <c r="AE27" s="1146"/>
      <c r="AF27" s="1146"/>
      <c r="AG27" s="1146"/>
      <c r="AH27" s="1146"/>
      <c r="AI27" s="1147"/>
      <c r="AK27" s="1141"/>
    </row>
    <row r="28" spans="2:37" x14ac:dyDescent="0.2">
      <c r="B28" s="1140"/>
      <c r="AK28" s="1141"/>
    </row>
    <row r="29" spans="2:37" x14ac:dyDescent="0.2">
      <c r="B29" s="1140"/>
      <c r="AK29" s="1141"/>
    </row>
    <row r="30" spans="2:37" x14ac:dyDescent="0.2">
      <c r="B30" s="1145"/>
      <c r="C30" s="1146"/>
      <c r="D30" s="1146"/>
      <c r="E30" s="1146"/>
      <c r="F30" s="1146"/>
      <c r="G30" s="1146"/>
      <c r="H30" s="1146"/>
      <c r="I30" s="1146"/>
      <c r="J30" s="1146"/>
      <c r="K30" s="1146"/>
      <c r="L30" s="1146"/>
      <c r="M30" s="1146"/>
      <c r="N30" s="1146"/>
      <c r="O30" s="1146"/>
      <c r="P30" s="1146"/>
      <c r="Q30" s="1146"/>
      <c r="R30" s="1146"/>
      <c r="S30" s="1146"/>
      <c r="T30" s="1146"/>
      <c r="U30" s="1146"/>
      <c r="V30" s="1146"/>
      <c r="W30" s="1146"/>
      <c r="X30" s="1146"/>
      <c r="Y30" s="1146"/>
      <c r="Z30" s="1146"/>
      <c r="AA30" s="1146"/>
      <c r="AB30" s="1146"/>
      <c r="AC30" s="1146"/>
      <c r="AD30" s="1146"/>
      <c r="AE30" s="1146"/>
      <c r="AF30" s="1146"/>
      <c r="AG30" s="1146"/>
      <c r="AH30" s="1146"/>
      <c r="AI30" s="1146"/>
      <c r="AJ30" s="1146"/>
      <c r="AK30" s="1147"/>
    </row>
    <row r="32" spans="2:37" s="1150" customFormat="1" x14ac:dyDescent="0.2">
      <c r="B32" s="1149" t="s">
        <v>2035</v>
      </c>
    </row>
    <row r="33" spans="2:2" s="1150" customFormat="1" x14ac:dyDescent="0.2">
      <c r="B33" s="1149" t="s">
        <v>2036</v>
      </c>
    </row>
    <row r="122" spans="1:1" x14ac:dyDescent="0.2">
      <c r="A122" s="1146"/>
    </row>
    <row r="158" spans="1:1" x14ac:dyDescent="0.2">
      <c r="A158" s="1145"/>
    </row>
    <row r="209" spans="1:1" x14ac:dyDescent="0.2">
      <c r="A209" s="1145"/>
    </row>
    <row r="258" spans="1:1" x14ac:dyDescent="0.2">
      <c r="A258" s="1145"/>
    </row>
    <row r="285" spans="1:1" x14ac:dyDescent="0.2">
      <c r="A285" s="1146"/>
    </row>
    <row r="335" spans="1:1" x14ac:dyDescent="0.2">
      <c r="A335" s="1145"/>
    </row>
    <row r="359" spans="1:1" x14ac:dyDescent="0.2">
      <c r="A359" s="1146"/>
    </row>
    <row r="387" spans="1:1" x14ac:dyDescent="0.2">
      <c r="A387" s="1146"/>
    </row>
    <row r="415" spans="1:1" x14ac:dyDescent="0.2">
      <c r="A415" s="1146"/>
    </row>
    <row r="439" spans="1:1" x14ac:dyDescent="0.2">
      <c r="A439" s="1146"/>
    </row>
    <row r="468" spans="1:1" x14ac:dyDescent="0.2">
      <c r="A468" s="1146"/>
    </row>
    <row r="497" spans="1:1" x14ac:dyDescent="0.2">
      <c r="A497" s="1146"/>
    </row>
    <row r="546" spans="1:1" x14ac:dyDescent="0.2">
      <c r="A546" s="1145"/>
    </row>
    <row r="577" spans="1:1" x14ac:dyDescent="0.2">
      <c r="A577" s="1145"/>
    </row>
    <row r="621" spans="1:1" x14ac:dyDescent="0.2">
      <c r="A621" s="1145"/>
    </row>
    <row r="657" spans="1:1" x14ac:dyDescent="0.2">
      <c r="A657" s="1146"/>
    </row>
    <row r="696" spans="1:1" x14ac:dyDescent="0.2">
      <c r="A696" s="1145"/>
    </row>
    <row r="725" spans="1:1" x14ac:dyDescent="0.2">
      <c r="A725" s="1145"/>
    </row>
    <row r="764" spans="1:1" x14ac:dyDescent="0.2">
      <c r="A764" s="1145"/>
    </row>
    <row r="803" spans="1:1" x14ac:dyDescent="0.2">
      <c r="A803" s="1145"/>
    </row>
    <row r="831" spans="1:1" x14ac:dyDescent="0.2">
      <c r="A831" s="1145"/>
    </row>
    <row r="871" spans="1:1" x14ac:dyDescent="0.2">
      <c r="A871" s="1145"/>
    </row>
    <row r="911" spans="1:1" x14ac:dyDescent="0.2">
      <c r="A911" s="1145"/>
    </row>
    <row r="940" spans="1:1" x14ac:dyDescent="0.2">
      <c r="A940" s="1145"/>
    </row>
  </sheetData>
  <mergeCells count="3">
    <mergeCell ref="M6:Y6"/>
    <mergeCell ref="AA11:AI12"/>
    <mergeCell ref="AE13:AH18"/>
  </mergeCells>
  <phoneticPr fontId="2"/>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973D-336D-4F88-A6C6-FCA36797927A}">
  <sheetPr>
    <tabColor rgb="FFFFFF00"/>
    <pageSetUpPr fitToPage="1"/>
  </sheetPr>
  <dimension ref="B2:AK89"/>
  <sheetViews>
    <sheetView view="pageBreakPreview" zoomScale="70" zoomScaleNormal="100" zoomScaleSheetLayoutView="70" workbookViewId="0">
      <selection activeCell="E26" sqref="E26"/>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x14ac:dyDescent="0.2">
      <c r="B2" s="390" t="s">
        <v>872</v>
      </c>
    </row>
    <row r="3" spans="2:37" x14ac:dyDescent="0.2">
      <c r="B3" s="391"/>
    </row>
    <row r="4" spans="2:37" ht="13.5" customHeight="1" x14ac:dyDescent="0.2">
      <c r="B4" s="390" t="s">
        <v>873</v>
      </c>
      <c r="X4" s="392" t="s">
        <v>874</v>
      </c>
    </row>
    <row r="5" spans="2:37" ht="6.75" customHeight="1" x14ac:dyDescent="0.2">
      <c r="B5" s="390"/>
      <c r="W5" s="392"/>
      <c r="AJ5" s="393"/>
      <c r="AK5" s="393"/>
    </row>
    <row r="6" spans="2:37" ht="13.5" customHeight="1" x14ac:dyDescent="0.2">
      <c r="X6" s="390" t="s">
        <v>875</v>
      </c>
      <c r="AJ6" s="393"/>
      <c r="AK6" s="393"/>
    </row>
    <row r="7" spans="2:37" ht="6.75" customHeight="1" x14ac:dyDescent="0.2">
      <c r="W7" s="390"/>
      <c r="AJ7" s="393"/>
      <c r="AK7" s="393"/>
    </row>
    <row r="8" spans="2:37" ht="14.25" customHeight="1" x14ac:dyDescent="0.2">
      <c r="B8" s="390" t="s">
        <v>876</v>
      </c>
      <c r="AB8" s="390" t="s">
        <v>877</v>
      </c>
      <c r="AJ8" s="393"/>
      <c r="AK8" s="393"/>
    </row>
    <row r="9" spans="2:37" ht="14.25" customHeight="1" x14ac:dyDescent="0.2">
      <c r="B9" s="391"/>
      <c r="AJ9" s="393"/>
      <c r="AK9" s="393"/>
    </row>
    <row r="10" spans="2:37" ht="18" customHeight="1" x14ac:dyDescent="0.2">
      <c r="B10" s="1486" t="s">
        <v>878</v>
      </c>
      <c r="C10" s="1486" t="s">
        <v>879</v>
      </c>
      <c r="D10" s="1486" t="s">
        <v>880</v>
      </c>
      <c r="E10" s="1492" t="s">
        <v>881</v>
      </c>
      <c r="F10" s="1493"/>
      <c r="G10" s="1493"/>
      <c r="H10" s="1493"/>
      <c r="I10" s="1493"/>
      <c r="J10" s="1493"/>
      <c r="K10" s="1494"/>
      <c r="L10" s="1492" t="s">
        <v>882</v>
      </c>
      <c r="M10" s="1493"/>
      <c r="N10" s="1493"/>
      <c r="O10" s="1493"/>
      <c r="P10" s="1493"/>
      <c r="Q10" s="1493"/>
      <c r="R10" s="1494"/>
      <c r="S10" s="1492" t="s">
        <v>883</v>
      </c>
      <c r="T10" s="1493"/>
      <c r="U10" s="1493"/>
      <c r="V10" s="1493"/>
      <c r="W10" s="1493"/>
      <c r="X10" s="1493"/>
      <c r="Y10" s="1494"/>
      <c r="Z10" s="1492" t="s">
        <v>884</v>
      </c>
      <c r="AA10" s="1493"/>
      <c r="AB10" s="1493"/>
      <c r="AC10" s="1493"/>
      <c r="AD10" s="1493"/>
      <c r="AE10" s="1493"/>
      <c r="AF10" s="1497"/>
      <c r="AG10" s="1498" t="s">
        <v>885</v>
      </c>
      <c r="AH10" s="1486" t="s">
        <v>886</v>
      </c>
      <c r="AI10" s="1486" t="s">
        <v>887</v>
      </c>
      <c r="AJ10" s="393"/>
      <c r="AK10" s="393"/>
    </row>
    <row r="11" spans="2:37" ht="18" customHeight="1" x14ac:dyDescent="0.2">
      <c r="B11" s="1490"/>
      <c r="C11" s="1490"/>
      <c r="D11" s="1490"/>
      <c r="E11" s="394">
        <v>1</v>
      </c>
      <c r="F11" s="394">
        <v>2</v>
      </c>
      <c r="G11" s="394">
        <v>3</v>
      </c>
      <c r="H11" s="394">
        <v>4</v>
      </c>
      <c r="I11" s="394">
        <v>5</v>
      </c>
      <c r="J11" s="394">
        <v>6</v>
      </c>
      <c r="K11" s="394">
        <v>7</v>
      </c>
      <c r="L11" s="394">
        <v>8</v>
      </c>
      <c r="M11" s="394">
        <v>9</v>
      </c>
      <c r="N11" s="394">
        <v>10</v>
      </c>
      <c r="O11" s="394">
        <v>11</v>
      </c>
      <c r="P11" s="394">
        <v>12</v>
      </c>
      <c r="Q11" s="394">
        <v>13</v>
      </c>
      <c r="R11" s="394">
        <v>14</v>
      </c>
      <c r="S11" s="394">
        <v>15</v>
      </c>
      <c r="T11" s="394">
        <v>16</v>
      </c>
      <c r="U11" s="394">
        <v>17</v>
      </c>
      <c r="V11" s="394">
        <v>18</v>
      </c>
      <c r="W11" s="394">
        <v>19</v>
      </c>
      <c r="X11" s="394">
        <v>20</v>
      </c>
      <c r="Y11" s="394">
        <v>21</v>
      </c>
      <c r="Z11" s="394">
        <v>22</v>
      </c>
      <c r="AA11" s="394">
        <v>23</v>
      </c>
      <c r="AB11" s="394">
        <v>24</v>
      </c>
      <c r="AC11" s="394">
        <v>25</v>
      </c>
      <c r="AD11" s="394">
        <v>26</v>
      </c>
      <c r="AE11" s="394">
        <v>27</v>
      </c>
      <c r="AF11" s="556">
        <v>28</v>
      </c>
      <c r="AG11" s="1499"/>
      <c r="AH11" s="1487"/>
      <c r="AI11" s="1487"/>
      <c r="AJ11" s="393"/>
      <c r="AK11" s="393"/>
    </row>
    <row r="12" spans="2:37" ht="18" customHeight="1" x14ac:dyDescent="0.2">
      <c r="B12" s="1491"/>
      <c r="C12" s="1491"/>
      <c r="D12" s="1491"/>
      <c r="E12" s="394" t="s">
        <v>888</v>
      </c>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6"/>
      <c r="AG12" s="1500"/>
      <c r="AH12" s="1488"/>
      <c r="AI12" s="1488"/>
      <c r="AJ12" s="393"/>
      <c r="AK12" s="393"/>
    </row>
    <row r="13" spans="2:37" ht="18" customHeight="1" x14ac:dyDescent="0.2">
      <c r="B13" s="1489" t="s">
        <v>889</v>
      </c>
      <c r="C13" s="1489"/>
      <c r="D13" s="1489"/>
      <c r="E13" s="555" t="s">
        <v>338</v>
      </c>
      <c r="F13" s="555" t="s">
        <v>338</v>
      </c>
      <c r="G13" s="555" t="s">
        <v>250</v>
      </c>
      <c r="H13" s="555" t="s">
        <v>340</v>
      </c>
      <c r="I13" s="555" t="s">
        <v>253</v>
      </c>
      <c r="J13" s="555" t="s">
        <v>338</v>
      </c>
      <c r="K13" s="555" t="s">
        <v>253</v>
      </c>
      <c r="L13" s="397"/>
      <c r="M13" s="397"/>
      <c r="N13" s="397"/>
      <c r="O13" s="397"/>
      <c r="P13" s="397"/>
      <c r="Q13" s="397"/>
      <c r="R13" s="397"/>
      <c r="S13" s="397"/>
      <c r="T13" s="397"/>
      <c r="U13" s="397"/>
      <c r="V13" s="397"/>
      <c r="W13" s="397"/>
      <c r="X13" s="397"/>
      <c r="Y13" s="397"/>
      <c r="Z13" s="397"/>
      <c r="AA13" s="397"/>
      <c r="AB13" s="397"/>
      <c r="AC13" s="397"/>
      <c r="AD13" s="397"/>
      <c r="AE13" s="397"/>
      <c r="AF13" s="398"/>
      <c r="AG13" s="399"/>
      <c r="AH13" s="400"/>
      <c r="AI13" s="400"/>
    </row>
    <row r="14" spans="2:37" ht="18" customHeight="1" x14ac:dyDescent="0.2">
      <c r="B14" s="1489" t="s">
        <v>890</v>
      </c>
      <c r="C14" s="1489"/>
      <c r="D14" s="1489"/>
      <c r="E14" s="555" t="s">
        <v>891</v>
      </c>
      <c r="F14" s="555" t="s">
        <v>891</v>
      </c>
      <c r="G14" s="555" t="s">
        <v>891</v>
      </c>
      <c r="H14" s="555" t="s">
        <v>892</v>
      </c>
      <c r="I14" s="555" t="s">
        <v>892</v>
      </c>
      <c r="J14" s="555" t="s">
        <v>893</v>
      </c>
      <c r="K14" s="555" t="s">
        <v>893</v>
      </c>
      <c r="L14" s="397"/>
      <c r="M14" s="397"/>
      <c r="N14" s="397"/>
      <c r="O14" s="397"/>
      <c r="P14" s="397"/>
      <c r="Q14" s="397"/>
      <c r="R14" s="397"/>
      <c r="S14" s="397"/>
      <c r="T14" s="397"/>
      <c r="U14" s="397"/>
      <c r="V14" s="397"/>
      <c r="W14" s="397"/>
      <c r="X14" s="397"/>
      <c r="Y14" s="397"/>
      <c r="Z14" s="397"/>
      <c r="AA14" s="397"/>
      <c r="AB14" s="397"/>
      <c r="AC14" s="397"/>
      <c r="AD14" s="397"/>
      <c r="AE14" s="397"/>
      <c r="AF14" s="398"/>
      <c r="AG14" s="399"/>
      <c r="AH14" s="400"/>
      <c r="AI14" s="400"/>
    </row>
    <row r="15" spans="2:37" ht="18" customHeight="1" x14ac:dyDescent="0.2">
      <c r="B15" s="400"/>
      <c r="C15" s="400"/>
      <c r="D15" s="400"/>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401"/>
      <c r="AG15" s="399"/>
      <c r="AH15" s="400"/>
      <c r="AI15" s="400"/>
    </row>
    <row r="16" spans="2:37" ht="18" customHeight="1" x14ac:dyDescent="0.2">
      <c r="B16" s="400"/>
      <c r="C16" s="400"/>
      <c r="D16" s="400"/>
      <c r="E16" s="55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401"/>
      <c r="AG16" s="399"/>
      <c r="AH16" s="400"/>
      <c r="AI16" s="400"/>
    </row>
    <row r="17" spans="2:37" ht="18" customHeight="1" x14ac:dyDescent="0.2">
      <c r="B17" s="400"/>
      <c r="C17" s="400"/>
      <c r="D17" s="400"/>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401"/>
      <c r="AG17" s="399"/>
      <c r="AH17" s="400"/>
      <c r="AI17" s="400"/>
    </row>
    <row r="18" spans="2:37" ht="18" customHeight="1" x14ac:dyDescent="0.2">
      <c r="B18" s="400"/>
      <c r="C18" s="400"/>
      <c r="D18" s="400"/>
      <c r="E18" s="555"/>
      <c r="F18" s="555"/>
      <c r="G18" s="555"/>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401"/>
      <c r="AG18" s="399"/>
      <c r="AH18" s="400"/>
      <c r="AI18" s="400"/>
    </row>
    <row r="19" spans="2:37" ht="18" customHeight="1" x14ac:dyDescent="0.2">
      <c r="B19" s="400"/>
      <c r="C19" s="400"/>
      <c r="D19" s="400"/>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401"/>
      <c r="AG19" s="399"/>
      <c r="AH19" s="400"/>
      <c r="AI19" s="400"/>
    </row>
    <row r="20" spans="2:37" ht="18" customHeight="1" x14ac:dyDescent="0.2">
      <c r="B20" s="400"/>
      <c r="C20" s="400"/>
      <c r="D20" s="400"/>
      <c r="E20" s="555"/>
      <c r="F20" s="555"/>
      <c r="G20" s="555"/>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401"/>
      <c r="AG20" s="399"/>
      <c r="AH20" s="400"/>
      <c r="AI20" s="400"/>
    </row>
    <row r="21" spans="2:37" ht="18" customHeight="1" x14ac:dyDescent="0.2">
      <c r="B21" s="400"/>
      <c r="C21" s="400"/>
      <c r="D21" s="400"/>
      <c r="E21" s="555"/>
      <c r="F21" s="555"/>
      <c r="G21" s="555"/>
      <c r="H21" s="555"/>
      <c r="I21" s="555"/>
      <c r="J21" s="555"/>
      <c r="K21" s="555"/>
      <c r="L21" s="555"/>
      <c r="M21" s="555"/>
      <c r="N21" s="555"/>
      <c r="O21" s="555"/>
      <c r="P21" s="555"/>
      <c r="Q21" s="555"/>
      <c r="R21" s="555"/>
      <c r="S21" s="555"/>
      <c r="T21" s="555"/>
      <c r="U21" s="555"/>
      <c r="V21" s="555"/>
      <c r="W21" s="555"/>
      <c r="X21" s="555"/>
      <c r="Y21" s="555"/>
      <c r="Z21" s="555"/>
      <c r="AA21" s="555"/>
      <c r="AB21" s="555"/>
      <c r="AC21" s="555"/>
      <c r="AD21" s="555"/>
      <c r="AE21" s="555"/>
      <c r="AF21" s="401"/>
      <c r="AG21" s="399"/>
      <c r="AH21" s="400"/>
      <c r="AI21" s="400"/>
    </row>
    <row r="22" spans="2:37" ht="18" customHeight="1" x14ac:dyDescent="0.2">
      <c r="B22" s="400"/>
      <c r="C22" s="400"/>
      <c r="D22" s="400"/>
      <c r="E22" s="555"/>
      <c r="F22" s="555"/>
      <c r="G22" s="555"/>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5"/>
      <c r="AF22" s="555"/>
      <c r="AG22" s="399"/>
      <c r="AH22" s="400"/>
      <c r="AI22" s="400"/>
    </row>
    <row r="23" spans="2:37" ht="18" customHeight="1" x14ac:dyDescent="0.2">
      <c r="B23" s="400"/>
      <c r="C23" s="400"/>
      <c r="D23" s="400"/>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399"/>
      <c r="AH23" s="400"/>
      <c r="AI23" s="400"/>
    </row>
    <row r="24" spans="2:37" ht="18" customHeight="1" thickBot="1" x14ac:dyDescent="0.25">
      <c r="B24" s="402"/>
      <c r="D24" s="402"/>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399"/>
      <c r="AH24" s="400"/>
      <c r="AI24" s="400"/>
    </row>
    <row r="25" spans="2:37" ht="18" customHeight="1" thickTop="1" x14ac:dyDescent="0.2">
      <c r="B25" s="1495" t="s">
        <v>894</v>
      </c>
      <c r="C25" s="1496" t="s">
        <v>895</v>
      </c>
      <c r="D25" s="1496"/>
      <c r="E25" s="554"/>
      <c r="F25" s="554"/>
      <c r="G25" s="554"/>
      <c r="H25" s="554"/>
      <c r="I25" s="554"/>
      <c r="J25" s="554"/>
      <c r="K25" s="554"/>
      <c r="L25" s="554"/>
      <c r="M25" s="554"/>
      <c r="N25" s="554"/>
      <c r="O25" s="554"/>
      <c r="P25" s="554"/>
      <c r="Q25" s="554"/>
      <c r="R25" s="554"/>
      <c r="S25" s="554"/>
      <c r="T25" s="554"/>
      <c r="U25" s="554"/>
      <c r="V25" s="554"/>
      <c r="W25" s="554"/>
      <c r="X25" s="554"/>
      <c r="Y25" s="554"/>
      <c r="Z25" s="554"/>
      <c r="AA25" s="554"/>
      <c r="AB25" s="554"/>
      <c r="AC25" s="554"/>
      <c r="AD25" s="554"/>
      <c r="AE25" s="554"/>
      <c r="AF25" s="554"/>
      <c r="AI25" s="58"/>
    </row>
    <row r="26" spans="2:37" ht="30" customHeight="1" x14ac:dyDescent="0.2">
      <c r="B26" s="1489"/>
      <c r="C26" s="1489" t="s">
        <v>896</v>
      </c>
      <c r="D26" s="1489"/>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I26" s="404"/>
    </row>
    <row r="27" spans="2:37" ht="8.25" customHeight="1" x14ac:dyDescent="0.2">
      <c r="B27" s="405"/>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I27" s="404"/>
    </row>
    <row r="28" spans="2:37" x14ac:dyDescent="0.2">
      <c r="B28" s="407" t="s">
        <v>897</v>
      </c>
      <c r="E28" s="408"/>
      <c r="AI28" s="409"/>
      <c r="AJ28" s="410"/>
      <c r="AK28" s="410"/>
    </row>
    <row r="29" spans="2:37" ht="6" customHeight="1" x14ac:dyDescent="0.2">
      <c r="B29" s="407"/>
      <c r="AI29" s="404"/>
    </row>
    <row r="30" spans="2:37" x14ac:dyDescent="0.2">
      <c r="B30" s="407" t="s">
        <v>898</v>
      </c>
      <c r="AI30" s="404"/>
    </row>
    <row r="31" spans="2:37" x14ac:dyDescent="0.2">
      <c r="B31" s="407" t="s">
        <v>899</v>
      </c>
      <c r="AI31" s="404"/>
    </row>
    <row r="32" spans="2:37" ht="6.75" customHeight="1" x14ac:dyDescent="0.2">
      <c r="B32" s="407"/>
      <c r="AI32" s="404"/>
    </row>
    <row r="33" spans="2:35" x14ac:dyDescent="0.2">
      <c r="B33" s="407" t="s">
        <v>900</v>
      </c>
      <c r="AI33" s="404"/>
    </row>
    <row r="34" spans="2:35" x14ac:dyDescent="0.2">
      <c r="B34" s="407" t="s">
        <v>899</v>
      </c>
      <c r="AI34" s="404"/>
    </row>
    <row r="35" spans="2:35" ht="6.75" customHeight="1" x14ac:dyDescent="0.2">
      <c r="B35" s="407"/>
      <c r="AI35" s="404"/>
    </row>
    <row r="36" spans="2:35" x14ac:dyDescent="0.2">
      <c r="B36" s="407" t="s">
        <v>901</v>
      </c>
      <c r="AI36" s="404"/>
    </row>
    <row r="37" spans="2:35" x14ac:dyDescent="0.2">
      <c r="B37" s="407" t="s">
        <v>899</v>
      </c>
      <c r="AI37" s="404"/>
    </row>
    <row r="38" spans="2:35" ht="6" customHeight="1" x14ac:dyDescent="0.2">
      <c r="B38" s="4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390"/>
      <c r="C39" s="57"/>
    </row>
    <row r="40" spans="2:35" ht="6.75" customHeight="1" x14ac:dyDescent="0.2">
      <c r="B40" s="390"/>
    </row>
    <row r="41" spans="2:35" x14ac:dyDescent="0.2">
      <c r="B41" s="1" t="s">
        <v>902</v>
      </c>
    </row>
    <row r="42" spans="2:35" x14ac:dyDescent="0.2">
      <c r="B42" s="1" t="s">
        <v>903</v>
      </c>
    </row>
    <row r="43" spans="2:35" x14ac:dyDescent="0.2">
      <c r="B43" s="1" t="s">
        <v>904</v>
      </c>
    </row>
    <row r="44" spans="2:35" x14ac:dyDescent="0.2">
      <c r="B44" s="1" t="s">
        <v>905</v>
      </c>
    </row>
    <row r="45" spans="2:35" x14ac:dyDescent="0.2">
      <c r="B45" s="1" t="s">
        <v>906</v>
      </c>
    </row>
    <row r="46" spans="2:35" x14ac:dyDescent="0.2">
      <c r="B46" s="1" t="s">
        <v>1492</v>
      </c>
    </row>
    <row r="47" spans="2:35" x14ac:dyDescent="0.2">
      <c r="B47" s="1" t="s">
        <v>907</v>
      </c>
    </row>
    <row r="48" spans="2:35" x14ac:dyDescent="0.2">
      <c r="B48" s="1" t="s">
        <v>908</v>
      </c>
    </row>
    <row r="49" spans="2:2" x14ac:dyDescent="0.2">
      <c r="B49" s="1" t="s">
        <v>909</v>
      </c>
    </row>
    <row r="50" spans="2:2" x14ac:dyDescent="0.2">
      <c r="B50" s="1" t="s">
        <v>910</v>
      </c>
    </row>
    <row r="51" spans="2:2" ht="14.4" x14ac:dyDescent="0.2">
      <c r="B51" s="412" t="s">
        <v>911</v>
      </c>
    </row>
    <row r="52" spans="2:2" x14ac:dyDescent="0.2">
      <c r="B52" s="1" t="s">
        <v>912</v>
      </c>
    </row>
    <row r="53" spans="2:2" x14ac:dyDescent="0.2">
      <c r="B53" s="1" t="s">
        <v>913</v>
      </c>
    </row>
    <row r="54" spans="2:2" x14ac:dyDescent="0.2">
      <c r="B54" s="1" t="s">
        <v>914</v>
      </c>
    </row>
    <row r="55" spans="2:2" x14ac:dyDescent="0.2">
      <c r="B55" s="1" t="s">
        <v>915</v>
      </c>
    </row>
    <row r="56" spans="2:2" x14ac:dyDescent="0.2">
      <c r="B56" s="1" t="s">
        <v>1493</v>
      </c>
    </row>
    <row r="57" spans="2:2" x14ac:dyDescent="0.2">
      <c r="B57" s="1" t="s">
        <v>916</v>
      </c>
    </row>
    <row r="58" spans="2:2" x14ac:dyDescent="0.2">
      <c r="B58" s="1" t="s">
        <v>917</v>
      </c>
    </row>
    <row r="59" spans="2:2" x14ac:dyDescent="0.2">
      <c r="B59" s="1" t="s">
        <v>918</v>
      </c>
    </row>
    <row r="60" spans="2:2" x14ac:dyDescent="0.2">
      <c r="B60" s="1" t="s">
        <v>919</v>
      </c>
    </row>
    <row r="61" spans="2:2" x14ac:dyDescent="0.2">
      <c r="B61" s="1" t="s">
        <v>920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718"/>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9E73-41B5-4943-BD9A-F26412B1B405}">
  <sheetPr>
    <tabColor rgb="FFFFFF00"/>
  </sheetPr>
  <dimension ref="A1:X965"/>
  <sheetViews>
    <sheetView view="pageBreakPreview" zoomScale="70" zoomScaleNormal="100" zoomScaleSheetLayoutView="70" workbookViewId="0">
      <selection activeCell="E26" sqref="E26"/>
    </sheetView>
  </sheetViews>
  <sheetFormatPr defaultColWidth="9" defaultRowHeight="13.2" x14ac:dyDescent="0.2"/>
  <cols>
    <col min="1" max="1" width="1.6640625" style="721" customWidth="1"/>
    <col min="2" max="2" width="9.6640625" style="721" customWidth="1"/>
    <col min="3" max="3" width="8.6640625" style="721" customWidth="1"/>
    <col min="4" max="4" width="5.6640625" style="721" customWidth="1"/>
    <col min="5" max="6" width="15.6640625" style="721" customWidth="1"/>
    <col min="7" max="7" width="5.6640625" style="721" customWidth="1"/>
    <col min="8" max="8" width="16.6640625" style="721" customWidth="1"/>
    <col min="9" max="9" width="5.6640625" style="721" customWidth="1"/>
    <col min="10" max="10" width="15.6640625" style="721" customWidth="1"/>
    <col min="11" max="11" width="5.6640625" style="721" customWidth="1"/>
    <col min="12" max="12" width="3.109375" style="721" customWidth="1"/>
    <col min="13" max="18" width="4.6640625" style="721" customWidth="1"/>
    <col min="19" max="19" width="1.6640625" style="721" customWidth="1"/>
    <col min="20" max="21" width="9" style="721"/>
    <col min="22" max="22" width="18.44140625" style="721" bestFit="1" customWidth="1"/>
    <col min="23" max="23" width="29.88671875" style="721" bestFit="1" customWidth="1"/>
    <col min="24" max="24" width="30.33203125" style="721" bestFit="1" customWidth="1"/>
    <col min="25" max="256" width="9" style="721"/>
    <col min="257" max="257" width="1.6640625" style="721" customWidth="1"/>
    <col min="258" max="258" width="9.6640625" style="721" customWidth="1"/>
    <col min="259" max="259" width="8.6640625" style="721" customWidth="1"/>
    <col min="260" max="260" width="5.6640625" style="721" customWidth="1"/>
    <col min="261" max="262" width="15.6640625" style="721" customWidth="1"/>
    <col min="263" max="263" width="5.6640625" style="721" customWidth="1"/>
    <col min="264" max="264" width="16.6640625" style="721" customWidth="1"/>
    <col min="265" max="265" width="5.6640625" style="721" customWidth="1"/>
    <col min="266" max="266" width="15.6640625" style="721" customWidth="1"/>
    <col min="267" max="267" width="5.6640625" style="721" customWidth="1"/>
    <col min="268" max="268" width="3.109375" style="721" customWidth="1"/>
    <col min="269" max="274" width="4.6640625" style="721" customWidth="1"/>
    <col min="275" max="275" width="1.6640625" style="721" customWidth="1"/>
    <col min="276" max="277" width="9" style="721"/>
    <col min="278" max="278" width="18.44140625" style="721" bestFit="1" customWidth="1"/>
    <col min="279" max="279" width="29.88671875" style="721" bestFit="1" customWidth="1"/>
    <col min="280" max="280" width="30.33203125" style="721" bestFit="1" customWidth="1"/>
    <col min="281" max="512" width="9" style="721"/>
    <col min="513" max="513" width="1.6640625" style="721" customWidth="1"/>
    <col min="514" max="514" width="9.6640625" style="721" customWidth="1"/>
    <col min="515" max="515" width="8.6640625" style="721" customWidth="1"/>
    <col min="516" max="516" width="5.6640625" style="721" customWidth="1"/>
    <col min="517" max="518" width="15.6640625" style="721" customWidth="1"/>
    <col min="519" max="519" width="5.6640625" style="721" customWidth="1"/>
    <col min="520" max="520" width="16.6640625" style="721" customWidth="1"/>
    <col min="521" max="521" width="5.6640625" style="721" customWidth="1"/>
    <col min="522" max="522" width="15.6640625" style="721" customWidth="1"/>
    <col min="523" max="523" width="5.6640625" style="721" customWidth="1"/>
    <col min="524" max="524" width="3.109375" style="721" customWidth="1"/>
    <col min="525" max="530" width="4.6640625" style="721" customWidth="1"/>
    <col min="531" max="531" width="1.6640625" style="721" customWidth="1"/>
    <col min="532" max="533" width="9" style="721"/>
    <col min="534" max="534" width="18.44140625" style="721" bestFit="1" customWidth="1"/>
    <col min="535" max="535" width="29.88671875" style="721" bestFit="1" customWidth="1"/>
    <col min="536" max="536" width="30.33203125" style="721" bestFit="1" customWidth="1"/>
    <col min="537" max="768" width="9" style="721"/>
    <col min="769" max="769" width="1.6640625" style="721" customWidth="1"/>
    <col min="770" max="770" width="9.6640625" style="721" customWidth="1"/>
    <col min="771" max="771" width="8.6640625" style="721" customWidth="1"/>
    <col min="772" max="772" width="5.6640625" style="721" customWidth="1"/>
    <col min="773" max="774" width="15.6640625" style="721" customWidth="1"/>
    <col min="775" max="775" width="5.6640625" style="721" customWidth="1"/>
    <col min="776" max="776" width="16.6640625" style="721" customWidth="1"/>
    <col min="777" max="777" width="5.6640625" style="721" customWidth="1"/>
    <col min="778" max="778" width="15.6640625" style="721" customWidth="1"/>
    <col min="779" max="779" width="5.6640625" style="721" customWidth="1"/>
    <col min="780" max="780" width="3.109375" style="721" customWidth="1"/>
    <col min="781" max="786" width="4.6640625" style="721" customWidth="1"/>
    <col min="787" max="787" width="1.6640625" style="721" customWidth="1"/>
    <col min="788" max="789" width="9" style="721"/>
    <col min="790" max="790" width="18.44140625" style="721" bestFit="1" customWidth="1"/>
    <col min="791" max="791" width="29.88671875" style="721" bestFit="1" customWidth="1"/>
    <col min="792" max="792" width="30.33203125" style="721" bestFit="1" customWidth="1"/>
    <col min="793" max="1024" width="9" style="721"/>
    <col min="1025" max="1025" width="1.6640625" style="721" customWidth="1"/>
    <col min="1026" max="1026" width="9.6640625" style="721" customWidth="1"/>
    <col min="1027" max="1027" width="8.6640625" style="721" customWidth="1"/>
    <col min="1028" max="1028" width="5.6640625" style="721" customWidth="1"/>
    <col min="1029" max="1030" width="15.6640625" style="721" customWidth="1"/>
    <col min="1031" max="1031" width="5.6640625" style="721" customWidth="1"/>
    <col min="1032" max="1032" width="16.6640625" style="721" customWidth="1"/>
    <col min="1033" max="1033" width="5.6640625" style="721" customWidth="1"/>
    <col min="1034" max="1034" width="15.6640625" style="721" customWidth="1"/>
    <col min="1035" max="1035" width="5.6640625" style="721" customWidth="1"/>
    <col min="1036" max="1036" width="3.109375" style="721" customWidth="1"/>
    <col min="1037" max="1042" width="4.6640625" style="721" customWidth="1"/>
    <col min="1043" max="1043" width="1.6640625" style="721" customWidth="1"/>
    <col min="1044" max="1045" width="9" style="721"/>
    <col min="1046" max="1046" width="18.44140625" style="721" bestFit="1" customWidth="1"/>
    <col min="1047" max="1047" width="29.88671875" style="721" bestFit="1" customWidth="1"/>
    <col min="1048" max="1048" width="30.33203125" style="721" bestFit="1" customWidth="1"/>
    <col min="1049" max="1280" width="9" style="721"/>
    <col min="1281" max="1281" width="1.6640625" style="721" customWidth="1"/>
    <col min="1282" max="1282" width="9.6640625" style="721" customWidth="1"/>
    <col min="1283" max="1283" width="8.6640625" style="721" customWidth="1"/>
    <col min="1284" max="1284" width="5.6640625" style="721" customWidth="1"/>
    <col min="1285" max="1286" width="15.6640625" style="721" customWidth="1"/>
    <col min="1287" max="1287" width="5.6640625" style="721" customWidth="1"/>
    <col min="1288" max="1288" width="16.6640625" style="721" customWidth="1"/>
    <col min="1289" max="1289" width="5.6640625" style="721" customWidth="1"/>
    <col min="1290" max="1290" width="15.6640625" style="721" customWidth="1"/>
    <col min="1291" max="1291" width="5.6640625" style="721" customWidth="1"/>
    <col min="1292" max="1292" width="3.109375" style="721" customWidth="1"/>
    <col min="1293" max="1298" width="4.6640625" style="721" customWidth="1"/>
    <col min="1299" max="1299" width="1.6640625" style="721" customWidth="1"/>
    <col min="1300" max="1301" width="9" style="721"/>
    <col min="1302" max="1302" width="18.44140625" style="721" bestFit="1" customWidth="1"/>
    <col min="1303" max="1303" width="29.88671875" style="721" bestFit="1" customWidth="1"/>
    <col min="1304" max="1304" width="30.33203125" style="721" bestFit="1" customWidth="1"/>
    <col min="1305" max="1536" width="9" style="721"/>
    <col min="1537" max="1537" width="1.6640625" style="721" customWidth="1"/>
    <col min="1538" max="1538" width="9.6640625" style="721" customWidth="1"/>
    <col min="1539" max="1539" width="8.6640625" style="721" customWidth="1"/>
    <col min="1540" max="1540" width="5.6640625" style="721" customWidth="1"/>
    <col min="1541" max="1542" width="15.6640625" style="721" customWidth="1"/>
    <col min="1543" max="1543" width="5.6640625" style="721" customWidth="1"/>
    <col min="1544" max="1544" width="16.6640625" style="721" customWidth="1"/>
    <col min="1545" max="1545" width="5.6640625" style="721" customWidth="1"/>
    <col min="1546" max="1546" width="15.6640625" style="721" customWidth="1"/>
    <col min="1547" max="1547" width="5.6640625" style="721" customWidth="1"/>
    <col min="1548" max="1548" width="3.109375" style="721" customWidth="1"/>
    <col min="1549" max="1554" width="4.6640625" style="721" customWidth="1"/>
    <col min="1555" max="1555" width="1.6640625" style="721" customWidth="1"/>
    <col min="1556" max="1557" width="9" style="721"/>
    <col min="1558" max="1558" width="18.44140625" style="721" bestFit="1" customWidth="1"/>
    <col min="1559" max="1559" width="29.88671875" style="721" bestFit="1" customWidth="1"/>
    <col min="1560" max="1560" width="30.33203125" style="721" bestFit="1" customWidth="1"/>
    <col min="1561" max="1792" width="9" style="721"/>
    <col min="1793" max="1793" width="1.6640625" style="721" customWidth="1"/>
    <col min="1794" max="1794" width="9.6640625" style="721" customWidth="1"/>
    <col min="1795" max="1795" width="8.6640625" style="721" customWidth="1"/>
    <col min="1796" max="1796" width="5.6640625" style="721" customWidth="1"/>
    <col min="1797" max="1798" width="15.6640625" style="721" customWidth="1"/>
    <col min="1799" max="1799" width="5.6640625" style="721" customWidth="1"/>
    <col min="1800" max="1800" width="16.6640625" style="721" customWidth="1"/>
    <col min="1801" max="1801" width="5.6640625" style="721" customWidth="1"/>
    <col min="1802" max="1802" width="15.6640625" style="721" customWidth="1"/>
    <col min="1803" max="1803" width="5.6640625" style="721" customWidth="1"/>
    <col min="1804" max="1804" width="3.109375" style="721" customWidth="1"/>
    <col min="1805" max="1810" width="4.6640625" style="721" customWidth="1"/>
    <col min="1811" max="1811" width="1.6640625" style="721" customWidth="1"/>
    <col min="1812" max="1813" width="9" style="721"/>
    <col min="1814" max="1814" width="18.44140625" style="721" bestFit="1" customWidth="1"/>
    <col min="1815" max="1815" width="29.88671875" style="721" bestFit="1" customWidth="1"/>
    <col min="1816" max="1816" width="30.33203125" style="721" bestFit="1" customWidth="1"/>
    <col min="1817" max="2048" width="9" style="721"/>
    <col min="2049" max="2049" width="1.6640625" style="721" customWidth="1"/>
    <col min="2050" max="2050" width="9.6640625" style="721" customWidth="1"/>
    <col min="2051" max="2051" width="8.6640625" style="721" customWidth="1"/>
    <col min="2052" max="2052" width="5.6640625" style="721" customWidth="1"/>
    <col min="2053" max="2054" width="15.6640625" style="721" customWidth="1"/>
    <col min="2055" max="2055" width="5.6640625" style="721" customWidth="1"/>
    <col min="2056" max="2056" width="16.6640625" style="721" customWidth="1"/>
    <col min="2057" max="2057" width="5.6640625" style="721" customWidth="1"/>
    <col min="2058" max="2058" width="15.6640625" style="721" customWidth="1"/>
    <col min="2059" max="2059" width="5.6640625" style="721" customWidth="1"/>
    <col min="2060" max="2060" width="3.109375" style="721" customWidth="1"/>
    <col min="2061" max="2066" width="4.6640625" style="721" customWidth="1"/>
    <col min="2067" max="2067" width="1.6640625" style="721" customWidth="1"/>
    <col min="2068" max="2069" width="9" style="721"/>
    <col min="2070" max="2070" width="18.44140625" style="721" bestFit="1" customWidth="1"/>
    <col min="2071" max="2071" width="29.88671875" style="721" bestFit="1" customWidth="1"/>
    <col min="2072" max="2072" width="30.33203125" style="721" bestFit="1" customWidth="1"/>
    <col min="2073" max="2304" width="9" style="721"/>
    <col min="2305" max="2305" width="1.6640625" style="721" customWidth="1"/>
    <col min="2306" max="2306" width="9.6640625" style="721" customWidth="1"/>
    <col min="2307" max="2307" width="8.6640625" style="721" customWidth="1"/>
    <col min="2308" max="2308" width="5.6640625" style="721" customWidth="1"/>
    <col min="2309" max="2310" width="15.6640625" style="721" customWidth="1"/>
    <col min="2311" max="2311" width="5.6640625" style="721" customWidth="1"/>
    <col min="2312" max="2312" width="16.6640625" style="721" customWidth="1"/>
    <col min="2313" max="2313" width="5.6640625" style="721" customWidth="1"/>
    <col min="2314" max="2314" width="15.6640625" style="721" customWidth="1"/>
    <col min="2315" max="2315" width="5.6640625" style="721" customWidth="1"/>
    <col min="2316" max="2316" width="3.109375" style="721" customWidth="1"/>
    <col min="2317" max="2322" width="4.6640625" style="721" customWidth="1"/>
    <col min="2323" max="2323" width="1.6640625" style="721" customWidth="1"/>
    <col min="2324" max="2325" width="9" style="721"/>
    <col min="2326" max="2326" width="18.44140625" style="721" bestFit="1" customWidth="1"/>
    <col min="2327" max="2327" width="29.88671875" style="721" bestFit="1" customWidth="1"/>
    <col min="2328" max="2328" width="30.33203125" style="721" bestFit="1" customWidth="1"/>
    <col min="2329" max="2560" width="9" style="721"/>
    <col min="2561" max="2561" width="1.6640625" style="721" customWidth="1"/>
    <col min="2562" max="2562" width="9.6640625" style="721" customWidth="1"/>
    <col min="2563" max="2563" width="8.6640625" style="721" customWidth="1"/>
    <col min="2564" max="2564" width="5.6640625" style="721" customWidth="1"/>
    <col min="2565" max="2566" width="15.6640625" style="721" customWidth="1"/>
    <col min="2567" max="2567" width="5.6640625" style="721" customWidth="1"/>
    <col min="2568" max="2568" width="16.6640625" style="721" customWidth="1"/>
    <col min="2569" max="2569" width="5.6640625" style="721" customWidth="1"/>
    <col min="2570" max="2570" width="15.6640625" style="721" customWidth="1"/>
    <col min="2571" max="2571" width="5.6640625" style="721" customWidth="1"/>
    <col min="2572" max="2572" width="3.109375" style="721" customWidth="1"/>
    <col min="2573" max="2578" width="4.6640625" style="721" customWidth="1"/>
    <col min="2579" max="2579" width="1.6640625" style="721" customWidth="1"/>
    <col min="2580" max="2581" width="9" style="721"/>
    <col min="2582" max="2582" width="18.44140625" style="721" bestFit="1" customWidth="1"/>
    <col min="2583" max="2583" width="29.88671875" style="721" bestFit="1" customWidth="1"/>
    <col min="2584" max="2584" width="30.33203125" style="721" bestFit="1" customWidth="1"/>
    <col min="2585" max="2816" width="9" style="721"/>
    <col min="2817" max="2817" width="1.6640625" style="721" customWidth="1"/>
    <col min="2818" max="2818" width="9.6640625" style="721" customWidth="1"/>
    <col min="2819" max="2819" width="8.6640625" style="721" customWidth="1"/>
    <col min="2820" max="2820" width="5.6640625" style="721" customWidth="1"/>
    <col min="2821" max="2822" width="15.6640625" style="721" customWidth="1"/>
    <col min="2823" max="2823" width="5.6640625" style="721" customWidth="1"/>
    <col min="2824" max="2824" width="16.6640625" style="721" customWidth="1"/>
    <col min="2825" max="2825" width="5.6640625" style="721" customWidth="1"/>
    <col min="2826" max="2826" width="15.6640625" style="721" customWidth="1"/>
    <col min="2827" max="2827" width="5.6640625" style="721" customWidth="1"/>
    <col min="2828" max="2828" width="3.109375" style="721" customWidth="1"/>
    <col min="2829" max="2834" width="4.6640625" style="721" customWidth="1"/>
    <col min="2835" max="2835" width="1.6640625" style="721" customWidth="1"/>
    <col min="2836" max="2837" width="9" style="721"/>
    <col min="2838" max="2838" width="18.44140625" style="721" bestFit="1" customWidth="1"/>
    <col min="2839" max="2839" width="29.88671875" style="721" bestFit="1" customWidth="1"/>
    <col min="2840" max="2840" width="30.33203125" style="721" bestFit="1" customWidth="1"/>
    <col min="2841" max="3072" width="9" style="721"/>
    <col min="3073" max="3073" width="1.6640625" style="721" customWidth="1"/>
    <col min="3074" max="3074" width="9.6640625" style="721" customWidth="1"/>
    <col min="3075" max="3075" width="8.6640625" style="721" customWidth="1"/>
    <col min="3076" max="3076" width="5.6640625" style="721" customWidth="1"/>
    <col min="3077" max="3078" width="15.6640625" style="721" customWidth="1"/>
    <col min="3079" max="3079" width="5.6640625" style="721" customWidth="1"/>
    <col min="3080" max="3080" width="16.6640625" style="721" customWidth="1"/>
    <col min="3081" max="3081" width="5.6640625" style="721" customWidth="1"/>
    <col min="3082" max="3082" width="15.6640625" style="721" customWidth="1"/>
    <col min="3083" max="3083" width="5.6640625" style="721" customWidth="1"/>
    <col min="3084" max="3084" width="3.109375" style="721" customWidth="1"/>
    <col min="3085" max="3090" width="4.6640625" style="721" customWidth="1"/>
    <col min="3091" max="3091" width="1.6640625" style="721" customWidth="1"/>
    <col min="3092" max="3093" width="9" style="721"/>
    <col min="3094" max="3094" width="18.44140625" style="721" bestFit="1" customWidth="1"/>
    <col min="3095" max="3095" width="29.88671875" style="721" bestFit="1" customWidth="1"/>
    <col min="3096" max="3096" width="30.33203125" style="721" bestFit="1" customWidth="1"/>
    <col min="3097" max="3328" width="9" style="721"/>
    <col min="3329" max="3329" width="1.6640625" style="721" customWidth="1"/>
    <col min="3330" max="3330" width="9.6640625" style="721" customWidth="1"/>
    <col min="3331" max="3331" width="8.6640625" style="721" customWidth="1"/>
    <col min="3332" max="3332" width="5.6640625" style="721" customWidth="1"/>
    <col min="3333" max="3334" width="15.6640625" style="721" customWidth="1"/>
    <col min="3335" max="3335" width="5.6640625" style="721" customWidth="1"/>
    <col min="3336" max="3336" width="16.6640625" style="721" customWidth="1"/>
    <col min="3337" max="3337" width="5.6640625" style="721" customWidth="1"/>
    <col min="3338" max="3338" width="15.6640625" style="721" customWidth="1"/>
    <col min="3339" max="3339" width="5.6640625" style="721" customWidth="1"/>
    <col min="3340" max="3340" width="3.109375" style="721" customWidth="1"/>
    <col min="3341" max="3346" width="4.6640625" style="721" customWidth="1"/>
    <col min="3347" max="3347" width="1.6640625" style="721" customWidth="1"/>
    <col min="3348" max="3349" width="9" style="721"/>
    <col min="3350" max="3350" width="18.44140625" style="721" bestFit="1" customWidth="1"/>
    <col min="3351" max="3351" width="29.88671875" style="721" bestFit="1" customWidth="1"/>
    <col min="3352" max="3352" width="30.33203125" style="721" bestFit="1" customWidth="1"/>
    <col min="3353" max="3584" width="9" style="721"/>
    <col min="3585" max="3585" width="1.6640625" style="721" customWidth="1"/>
    <col min="3586" max="3586" width="9.6640625" style="721" customWidth="1"/>
    <col min="3587" max="3587" width="8.6640625" style="721" customWidth="1"/>
    <col min="3588" max="3588" width="5.6640625" style="721" customWidth="1"/>
    <col min="3589" max="3590" width="15.6640625" style="721" customWidth="1"/>
    <col min="3591" max="3591" width="5.6640625" style="721" customWidth="1"/>
    <col min="3592" max="3592" width="16.6640625" style="721" customWidth="1"/>
    <col min="3593" max="3593" width="5.6640625" style="721" customWidth="1"/>
    <col min="3594" max="3594" width="15.6640625" style="721" customWidth="1"/>
    <col min="3595" max="3595" width="5.6640625" style="721" customWidth="1"/>
    <col min="3596" max="3596" width="3.109375" style="721" customWidth="1"/>
    <col min="3597" max="3602" width="4.6640625" style="721" customWidth="1"/>
    <col min="3603" max="3603" width="1.6640625" style="721" customWidth="1"/>
    <col min="3604" max="3605" width="9" style="721"/>
    <col min="3606" max="3606" width="18.44140625" style="721" bestFit="1" customWidth="1"/>
    <col min="3607" max="3607" width="29.88671875" style="721" bestFit="1" customWidth="1"/>
    <col min="3608" max="3608" width="30.33203125" style="721" bestFit="1" customWidth="1"/>
    <col min="3609" max="3840" width="9" style="721"/>
    <col min="3841" max="3841" width="1.6640625" style="721" customWidth="1"/>
    <col min="3842" max="3842" width="9.6640625" style="721" customWidth="1"/>
    <col min="3843" max="3843" width="8.6640625" style="721" customWidth="1"/>
    <col min="3844" max="3844" width="5.6640625" style="721" customWidth="1"/>
    <col min="3845" max="3846" width="15.6640625" style="721" customWidth="1"/>
    <col min="3847" max="3847" width="5.6640625" style="721" customWidth="1"/>
    <col min="3848" max="3848" width="16.6640625" style="721" customWidth="1"/>
    <col min="3849" max="3849" width="5.6640625" style="721" customWidth="1"/>
    <col min="3850" max="3850" width="15.6640625" style="721" customWidth="1"/>
    <col min="3851" max="3851" width="5.6640625" style="721" customWidth="1"/>
    <col min="3852" max="3852" width="3.109375" style="721" customWidth="1"/>
    <col min="3853" max="3858" width="4.6640625" style="721" customWidth="1"/>
    <col min="3859" max="3859" width="1.6640625" style="721" customWidth="1"/>
    <col min="3860" max="3861" width="9" style="721"/>
    <col min="3862" max="3862" width="18.44140625" style="721" bestFit="1" customWidth="1"/>
    <col min="3863" max="3863" width="29.88671875" style="721" bestFit="1" customWidth="1"/>
    <col min="3864" max="3864" width="30.33203125" style="721" bestFit="1" customWidth="1"/>
    <col min="3865" max="4096" width="9" style="721"/>
    <col min="4097" max="4097" width="1.6640625" style="721" customWidth="1"/>
    <col min="4098" max="4098" width="9.6640625" style="721" customWidth="1"/>
    <col min="4099" max="4099" width="8.6640625" style="721" customWidth="1"/>
    <col min="4100" max="4100" width="5.6640625" style="721" customWidth="1"/>
    <col min="4101" max="4102" width="15.6640625" style="721" customWidth="1"/>
    <col min="4103" max="4103" width="5.6640625" style="721" customWidth="1"/>
    <col min="4104" max="4104" width="16.6640625" style="721" customWidth="1"/>
    <col min="4105" max="4105" width="5.6640625" style="721" customWidth="1"/>
    <col min="4106" max="4106" width="15.6640625" style="721" customWidth="1"/>
    <col min="4107" max="4107" width="5.6640625" style="721" customWidth="1"/>
    <col min="4108" max="4108" width="3.109375" style="721" customWidth="1"/>
    <col min="4109" max="4114" width="4.6640625" style="721" customWidth="1"/>
    <col min="4115" max="4115" width="1.6640625" style="721" customWidth="1"/>
    <col min="4116" max="4117" width="9" style="721"/>
    <col min="4118" max="4118" width="18.44140625" style="721" bestFit="1" customWidth="1"/>
    <col min="4119" max="4119" width="29.88671875" style="721" bestFit="1" customWidth="1"/>
    <col min="4120" max="4120" width="30.33203125" style="721" bestFit="1" customWidth="1"/>
    <col min="4121" max="4352" width="9" style="721"/>
    <col min="4353" max="4353" width="1.6640625" style="721" customWidth="1"/>
    <col min="4354" max="4354" width="9.6640625" style="721" customWidth="1"/>
    <col min="4355" max="4355" width="8.6640625" style="721" customWidth="1"/>
    <col min="4356" max="4356" width="5.6640625" style="721" customWidth="1"/>
    <col min="4357" max="4358" width="15.6640625" style="721" customWidth="1"/>
    <col min="4359" max="4359" width="5.6640625" style="721" customWidth="1"/>
    <col min="4360" max="4360" width="16.6640625" style="721" customWidth="1"/>
    <col min="4361" max="4361" width="5.6640625" style="721" customWidth="1"/>
    <col min="4362" max="4362" width="15.6640625" style="721" customWidth="1"/>
    <col min="4363" max="4363" width="5.6640625" style="721" customWidth="1"/>
    <col min="4364" max="4364" width="3.109375" style="721" customWidth="1"/>
    <col min="4365" max="4370" width="4.6640625" style="721" customWidth="1"/>
    <col min="4371" max="4371" width="1.6640625" style="721" customWidth="1"/>
    <col min="4372" max="4373" width="9" style="721"/>
    <col min="4374" max="4374" width="18.44140625" style="721" bestFit="1" customWidth="1"/>
    <col min="4375" max="4375" width="29.88671875" style="721" bestFit="1" customWidth="1"/>
    <col min="4376" max="4376" width="30.33203125" style="721" bestFit="1" customWidth="1"/>
    <col min="4377" max="4608" width="9" style="721"/>
    <col min="4609" max="4609" width="1.6640625" style="721" customWidth="1"/>
    <col min="4610" max="4610" width="9.6640625" style="721" customWidth="1"/>
    <col min="4611" max="4611" width="8.6640625" style="721" customWidth="1"/>
    <col min="4612" max="4612" width="5.6640625" style="721" customWidth="1"/>
    <col min="4613" max="4614" width="15.6640625" style="721" customWidth="1"/>
    <col min="4615" max="4615" width="5.6640625" style="721" customWidth="1"/>
    <col min="4616" max="4616" width="16.6640625" style="721" customWidth="1"/>
    <col min="4617" max="4617" width="5.6640625" style="721" customWidth="1"/>
    <col min="4618" max="4618" width="15.6640625" style="721" customWidth="1"/>
    <col min="4619" max="4619" width="5.6640625" style="721" customWidth="1"/>
    <col min="4620" max="4620" width="3.109375" style="721" customWidth="1"/>
    <col min="4621" max="4626" width="4.6640625" style="721" customWidth="1"/>
    <col min="4627" max="4627" width="1.6640625" style="721" customWidth="1"/>
    <col min="4628" max="4629" width="9" style="721"/>
    <col min="4630" max="4630" width="18.44140625" style="721" bestFit="1" customWidth="1"/>
    <col min="4631" max="4631" width="29.88671875" style="721" bestFit="1" customWidth="1"/>
    <col min="4632" max="4632" width="30.33203125" style="721" bestFit="1" customWidth="1"/>
    <col min="4633" max="4864" width="9" style="721"/>
    <col min="4865" max="4865" width="1.6640625" style="721" customWidth="1"/>
    <col min="4866" max="4866" width="9.6640625" style="721" customWidth="1"/>
    <col min="4867" max="4867" width="8.6640625" style="721" customWidth="1"/>
    <col min="4868" max="4868" width="5.6640625" style="721" customWidth="1"/>
    <col min="4869" max="4870" width="15.6640625" style="721" customWidth="1"/>
    <col min="4871" max="4871" width="5.6640625" style="721" customWidth="1"/>
    <col min="4872" max="4872" width="16.6640625" style="721" customWidth="1"/>
    <col min="4873" max="4873" width="5.6640625" style="721" customWidth="1"/>
    <col min="4874" max="4874" width="15.6640625" style="721" customWidth="1"/>
    <col min="4875" max="4875" width="5.6640625" style="721" customWidth="1"/>
    <col min="4876" max="4876" width="3.109375" style="721" customWidth="1"/>
    <col min="4877" max="4882" width="4.6640625" style="721" customWidth="1"/>
    <col min="4883" max="4883" width="1.6640625" style="721" customWidth="1"/>
    <col min="4884" max="4885" width="9" style="721"/>
    <col min="4886" max="4886" width="18.44140625" style="721" bestFit="1" customWidth="1"/>
    <col min="4887" max="4887" width="29.88671875" style="721" bestFit="1" customWidth="1"/>
    <col min="4888" max="4888" width="30.33203125" style="721" bestFit="1" customWidth="1"/>
    <col min="4889" max="5120" width="9" style="721"/>
    <col min="5121" max="5121" width="1.6640625" style="721" customWidth="1"/>
    <col min="5122" max="5122" width="9.6640625" style="721" customWidth="1"/>
    <col min="5123" max="5123" width="8.6640625" style="721" customWidth="1"/>
    <col min="5124" max="5124" width="5.6640625" style="721" customWidth="1"/>
    <col min="5125" max="5126" width="15.6640625" style="721" customWidth="1"/>
    <col min="5127" max="5127" width="5.6640625" style="721" customWidth="1"/>
    <col min="5128" max="5128" width="16.6640625" style="721" customWidth="1"/>
    <col min="5129" max="5129" width="5.6640625" style="721" customWidth="1"/>
    <col min="5130" max="5130" width="15.6640625" style="721" customWidth="1"/>
    <col min="5131" max="5131" width="5.6640625" style="721" customWidth="1"/>
    <col min="5132" max="5132" width="3.109375" style="721" customWidth="1"/>
    <col min="5133" max="5138" width="4.6640625" style="721" customWidth="1"/>
    <col min="5139" max="5139" width="1.6640625" style="721" customWidth="1"/>
    <col min="5140" max="5141" width="9" style="721"/>
    <col min="5142" max="5142" width="18.44140625" style="721" bestFit="1" customWidth="1"/>
    <col min="5143" max="5143" width="29.88671875" style="721" bestFit="1" customWidth="1"/>
    <col min="5144" max="5144" width="30.33203125" style="721" bestFit="1" customWidth="1"/>
    <col min="5145" max="5376" width="9" style="721"/>
    <col min="5377" max="5377" width="1.6640625" style="721" customWidth="1"/>
    <col min="5378" max="5378" width="9.6640625" style="721" customWidth="1"/>
    <col min="5379" max="5379" width="8.6640625" style="721" customWidth="1"/>
    <col min="5380" max="5380" width="5.6640625" style="721" customWidth="1"/>
    <col min="5381" max="5382" width="15.6640625" style="721" customWidth="1"/>
    <col min="5383" max="5383" width="5.6640625" style="721" customWidth="1"/>
    <col min="5384" max="5384" width="16.6640625" style="721" customWidth="1"/>
    <col min="5385" max="5385" width="5.6640625" style="721" customWidth="1"/>
    <col min="5386" max="5386" width="15.6640625" style="721" customWidth="1"/>
    <col min="5387" max="5387" width="5.6640625" style="721" customWidth="1"/>
    <col min="5388" max="5388" width="3.109375" style="721" customWidth="1"/>
    <col min="5389" max="5394" width="4.6640625" style="721" customWidth="1"/>
    <col min="5395" max="5395" width="1.6640625" style="721" customWidth="1"/>
    <col min="5396" max="5397" width="9" style="721"/>
    <col min="5398" max="5398" width="18.44140625" style="721" bestFit="1" customWidth="1"/>
    <col min="5399" max="5399" width="29.88671875" style="721" bestFit="1" customWidth="1"/>
    <col min="5400" max="5400" width="30.33203125" style="721" bestFit="1" customWidth="1"/>
    <col min="5401" max="5632" width="9" style="721"/>
    <col min="5633" max="5633" width="1.6640625" style="721" customWidth="1"/>
    <col min="5634" max="5634" width="9.6640625" style="721" customWidth="1"/>
    <col min="5635" max="5635" width="8.6640625" style="721" customWidth="1"/>
    <col min="5636" max="5636" width="5.6640625" style="721" customWidth="1"/>
    <col min="5637" max="5638" width="15.6640625" style="721" customWidth="1"/>
    <col min="5639" max="5639" width="5.6640625" style="721" customWidth="1"/>
    <col min="5640" max="5640" width="16.6640625" style="721" customWidth="1"/>
    <col min="5641" max="5641" width="5.6640625" style="721" customWidth="1"/>
    <col min="5642" max="5642" width="15.6640625" style="721" customWidth="1"/>
    <col min="5643" max="5643" width="5.6640625" style="721" customWidth="1"/>
    <col min="5644" max="5644" width="3.109375" style="721" customWidth="1"/>
    <col min="5645" max="5650" width="4.6640625" style="721" customWidth="1"/>
    <col min="5651" max="5651" width="1.6640625" style="721" customWidth="1"/>
    <col min="5652" max="5653" width="9" style="721"/>
    <col min="5654" max="5654" width="18.44140625" style="721" bestFit="1" customWidth="1"/>
    <col min="5655" max="5655" width="29.88671875" style="721" bestFit="1" customWidth="1"/>
    <col min="5656" max="5656" width="30.33203125" style="721" bestFit="1" customWidth="1"/>
    <col min="5657" max="5888" width="9" style="721"/>
    <col min="5889" max="5889" width="1.6640625" style="721" customWidth="1"/>
    <col min="5890" max="5890" width="9.6640625" style="721" customWidth="1"/>
    <col min="5891" max="5891" width="8.6640625" style="721" customWidth="1"/>
    <col min="5892" max="5892" width="5.6640625" style="721" customWidth="1"/>
    <col min="5893" max="5894" width="15.6640625" style="721" customWidth="1"/>
    <col min="5895" max="5895" width="5.6640625" style="721" customWidth="1"/>
    <col min="5896" max="5896" width="16.6640625" style="721" customWidth="1"/>
    <col min="5897" max="5897" width="5.6640625" style="721" customWidth="1"/>
    <col min="5898" max="5898" width="15.6640625" style="721" customWidth="1"/>
    <col min="5899" max="5899" width="5.6640625" style="721" customWidth="1"/>
    <col min="5900" max="5900" width="3.109375" style="721" customWidth="1"/>
    <col min="5901" max="5906" width="4.6640625" style="721" customWidth="1"/>
    <col min="5907" max="5907" width="1.6640625" style="721" customWidth="1"/>
    <col min="5908" max="5909" width="9" style="721"/>
    <col min="5910" max="5910" width="18.44140625" style="721" bestFit="1" customWidth="1"/>
    <col min="5911" max="5911" width="29.88671875" style="721" bestFit="1" customWidth="1"/>
    <col min="5912" max="5912" width="30.33203125" style="721" bestFit="1" customWidth="1"/>
    <col min="5913" max="6144" width="9" style="721"/>
    <col min="6145" max="6145" width="1.6640625" style="721" customWidth="1"/>
    <col min="6146" max="6146" width="9.6640625" style="721" customWidth="1"/>
    <col min="6147" max="6147" width="8.6640625" style="721" customWidth="1"/>
    <col min="6148" max="6148" width="5.6640625" style="721" customWidth="1"/>
    <col min="6149" max="6150" width="15.6640625" style="721" customWidth="1"/>
    <col min="6151" max="6151" width="5.6640625" style="721" customWidth="1"/>
    <col min="6152" max="6152" width="16.6640625" style="721" customWidth="1"/>
    <col min="6153" max="6153" width="5.6640625" style="721" customWidth="1"/>
    <col min="6154" max="6154" width="15.6640625" style="721" customWidth="1"/>
    <col min="6155" max="6155" width="5.6640625" style="721" customWidth="1"/>
    <col min="6156" max="6156" width="3.109375" style="721" customWidth="1"/>
    <col min="6157" max="6162" width="4.6640625" style="721" customWidth="1"/>
    <col min="6163" max="6163" width="1.6640625" style="721" customWidth="1"/>
    <col min="6164" max="6165" width="9" style="721"/>
    <col min="6166" max="6166" width="18.44140625" style="721" bestFit="1" customWidth="1"/>
    <col min="6167" max="6167" width="29.88671875" style="721" bestFit="1" customWidth="1"/>
    <col min="6168" max="6168" width="30.33203125" style="721" bestFit="1" customWidth="1"/>
    <col min="6169" max="6400" width="9" style="721"/>
    <col min="6401" max="6401" width="1.6640625" style="721" customWidth="1"/>
    <col min="6402" max="6402" width="9.6640625" style="721" customWidth="1"/>
    <col min="6403" max="6403" width="8.6640625" style="721" customWidth="1"/>
    <col min="6404" max="6404" width="5.6640625" style="721" customWidth="1"/>
    <col min="6405" max="6406" width="15.6640625" style="721" customWidth="1"/>
    <col min="6407" max="6407" width="5.6640625" style="721" customWidth="1"/>
    <col min="6408" max="6408" width="16.6640625" style="721" customWidth="1"/>
    <col min="6409" max="6409" width="5.6640625" style="721" customWidth="1"/>
    <col min="6410" max="6410" width="15.6640625" style="721" customWidth="1"/>
    <col min="6411" max="6411" width="5.6640625" style="721" customWidth="1"/>
    <col min="6412" max="6412" width="3.109375" style="721" customWidth="1"/>
    <col min="6413" max="6418" width="4.6640625" style="721" customWidth="1"/>
    <col min="6419" max="6419" width="1.6640625" style="721" customWidth="1"/>
    <col min="6420" max="6421" width="9" style="721"/>
    <col min="6422" max="6422" width="18.44140625" style="721" bestFit="1" customWidth="1"/>
    <col min="6423" max="6423" width="29.88671875" style="721" bestFit="1" customWidth="1"/>
    <col min="6424" max="6424" width="30.33203125" style="721" bestFit="1" customWidth="1"/>
    <col min="6425" max="6656" width="9" style="721"/>
    <col min="6657" max="6657" width="1.6640625" style="721" customWidth="1"/>
    <col min="6658" max="6658" width="9.6640625" style="721" customWidth="1"/>
    <col min="6659" max="6659" width="8.6640625" style="721" customWidth="1"/>
    <col min="6660" max="6660" width="5.6640625" style="721" customWidth="1"/>
    <col min="6661" max="6662" width="15.6640625" style="721" customWidth="1"/>
    <col min="6663" max="6663" width="5.6640625" style="721" customWidth="1"/>
    <col min="6664" max="6664" width="16.6640625" style="721" customWidth="1"/>
    <col min="6665" max="6665" width="5.6640625" style="721" customWidth="1"/>
    <col min="6666" max="6666" width="15.6640625" style="721" customWidth="1"/>
    <col min="6667" max="6667" width="5.6640625" style="721" customWidth="1"/>
    <col min="6668" max="6668" width="3.109375" style="721" customWidth="1"/>
    <col min="6669" max="6674" width="4.6640625" style="721" customWidth="1"/>
    <col min="6675" max="6675" width="1.6640625" style="721" customWidth="1"/>
    <col min="6676" max="6677" width="9" style="721"/>
    <col min="6678" max="6678" width="18.44140625" style="721" bestFit="1" customWidth="1"/>
    <col min="6679" max="6679" width="29.88671875" style="721" bestFit="1" customWidth="1"/>
    <col min="6680" max="6680" width="30.33203125" style="721" bestFit="1" customWidth="1"/>
    <col min="6681" max="6912" width="9" style="721"/>
    <col min="6913" max="6913" width="1.6640625" style="721" customWidth="1"/>
    <col min="6914" max="6914" width="9.6640625" style="721" customWidth="1"/>
    <col min="6915" max="6915" width="8.6640625" style="721" customWidth="1"/>
    <col min="6916" max="6916" width="5.6640625" style="721" customWidth="1"/>
    <col min="6917" max="6918" width="15.6640625" style="721" customWidth="1"/>
    <col min="6919" max="6919" width="5.6640625" style="721" customWidth="1"/>
    <col min="6920" max="6920" width="16.6640625" style="721" customWidth="1"/>
    <col min="6921" max="6921" width="5.6640625" style="721" customWidth="1"/>
    <col min="6922" max="6922" width="15.6640625" style="721" customWidth="1"/>
    <col min="6923" max="6923" width="5.6640625" style="721" customWidth="1"/>
    <col min="6924" max="6924" width="3.109375" style="721" customWidth="1"/>
    <col min="6925" max="6930" width="4.6640625" style="721" customWidth="1"/>
    <col min="6931" max="6931" width="1.6640625" style="721" customWidth="1"/>
    <col min="6932" max="6933" width="9" style="721"/>
    <col min="6934" max="6934" width="18.44140625" style="721" bestFit="1" customWidth="1"/>
    <col min="6935" max="6935" width="29.88671875" style="721" bestFit="1" customWidth="1"/>
    <col min="6936" max="6936" width="30.33203125" style="721" bestFit="1" customWidth="1"/>
    <col min="6937" max="7168" width="9" style="721"/>
    <col min="7169" max="7169" width="1.6640625" style="721" customWidth="1"/>
    <col min="7170" max="7170" width="9.6640625" style="721" customWidth="1"/>
    <col min="7171" max="7171" width="8.6640625" style="721" customWidth="1"/>
    <col min="7172" max="7172" width="5.6640625" style="721" customWidth="1"/>
    <col min="7173" max="7174" width="15.6640625" style="721" customWidth="1"/>
    <col min="7175" max="7175" width="5.6640625" style="721" customWidth="1"/>
    <col min="7176" max="7176" width="16.6640625" style="721" customWidth="1"/>
    <col min="7177" max="7177" width="5.6640625" style="721" customWidth="1"/>
    <col min="7178" max="7178" width="15.6640625" style="721" customWidth="1"/>
    <col min="7179" max="7179" width="5.6640625" style="721" customWidth="1"/>
    <col min="7180" max="7180" width="3.109375" style="721" customWidth="1"/>
    <col min="7181" max="7186" width="4.6640625" style="721" customWidth="1"/>
    <col min="7187" max="7187" width="1.6640625" style="721" customWidth="1"/>
    <col min="7188" max="7189" width="9" style="721"/>
    <col min="7190" max="7190" width="18.44140625" style="721" bestFit="1" customWidth="1"/>
    <col min="7191" max="7191" width="29.88671875" style="721" bestFit="1" customWidth="1"/>
    <col min="7192" max="7192" width="30.33203125" style="721" bestFit="1" customWidth="1"/>
    <col min="7193" max="7424" width="9" style="721"/>
    <col min="7425" max="7425" width="1.6640625" style="721" customWidth="1"/>
    <col min="7426" max="7426" width="9.6640625" style="721" customWidth="1"/>
    <col min="7427" max="7427" width="8.6640625" style="721" customWidth="1"/>
    <col min="7428" max="7428" width="5.6640625" style="721" customWidth="1"/>
    <col min="7429" max="7430" width="15.6640625" style="721" customWidth="1"/>
    <col min="7431" max="7431" width="5.6640625" style="721" customWidth="1"/>
    <col min="7432" max="7432" width="16.6640625" style="721" customWidth="1"/>
    <col min="7433" max="7433" width="5.6640625" style="721" customWidth="1"/>
    <col min="7434" max="7434" width="15.6640625" style="721" customWidth="1"/>
    <col min="7435" max="7435" width="5.6640625" style="721" customWidth="1"/>
    <col min="7436" max="7436" width="3.109375" style="721" customWidth="1"/>
    <col min="7437" max="7442" width="4.6640625" style="721" customWidth="1"/>
    <col min="7443" max="7443" width="1.6640625" style="721" customWidth="1"/>
    <col min="7444" max="7445" width="9" style="721"/>
    <col min="7446" max="7446" width="18.44140625" style="721" bestFit="1" customWidth="1"/>
    <col min="7447" max="7447" width="29.88671875" style="721" bestFit="1" customWidth="1"/>
    <col min="7448" max="7448" width="30.33203125" style="721" bestFit="1" customWidth="1"/>
    <col min="7449" max="7680" width="9" style="721"/>
    <col min="7681" max="7681" width="1.6640625" style="721" customWidth="1"/>
    <col min="7682" max="7682" width="9.6640625" style="721" customWidth="1"/>
    <col min="7683" max="7683" width="8.6640625" style="721" customWidth="1"/>
    <col min="7684" max="7684" width="5.6640625" style="721" customWidth="1"/>
    <col min="7685" max="7686" width="15.6640625" style="721" customWidth="1"/>
    <col min="7687" max="7687" width="5.6640625" style="721" customWidth="1"/>
    <col min="7688" max="7688" width="16.6640625" style="721" customWidth="1"/>
    <col min="7689" max="7689" width="5.6640625" style="721" customWidth="1"/>
    <col min="7690" max="7690" width="15.6640625" style="721" customWidth="1"/>
    <col min="7691" max="7691" width="5.6640625" style="721" customWidth="1"/>
    <col min="7692" max="7692" width="3.109375" style="721" customWidth="1"/>
    <col min="7693" max="7698" width="4.6640625" style="721" customWidth="1"/>
    <col min="7699" max="7699" width="1.6640625" style="721" customWidth="1"/>
    <col min="7700" max="7701" width="9" style="721"/>
    <col min="7702" max="7702" width="18.44140625" style="721" bestFit="1" customWidth="1"/>
    <col min="7703" max="7703" width="29.88671875" style="721" bestFit="1" customWidth="1"/>
    <col min="7704" max="7704" width="30.33203125" style="721" bestFit="1" customWidth="1"/>
    <col min="7705" max="7936" width="9" style="721"/>
    <col min="7937" max="7937" width="1.6640625" style="721" customWidth="1"/>
    <col min="7938" max="7938" width="9.6640625" style="721" customWidth="1"/>
    <col min="7939" max="7939" width="8.6640625" style="721" customWidth="1"/>
    <col min="7940" max="7940" width="5.6640625" style="721" customWidth="1"/>
    <col min="7941" max="7942" width="15.6640625" style="721" customWidth="1"/>
    <col min="7943" max="7943" width="5.6640625" style="721" customWidth="1"/>
    <col min="7944" max="7944" width="16.6640625" style="721" customWidth="1"/>
    <col min="7945" max="7945" width="5.6640625" style="721" customWidth="1"/>
    <col min="7946" max="7946" width="15.6640625" style="721" customWidth="1"/>
    <col min="7947" max="7947" width="5.6640625" style="721" customWidth="1"/>
    <col min="7948" max="7948" width="3.109375" style="721" customWidth="1"/>
    <col min="7949" max="7954" width="4.6640625" style="721" customWidth="1"/>
    <col min="7955" max="7955" width="1.6640625" style="721" customWidth="1"/>
    <col min="7956" max="7957" width="9" style="721"/>
    <col min="7958" max="7958" width="18.44140625" style="721" bestFit="1" customWidth="1"/>
    <col min="7959" max="7959" width="29.88671875" style="721" bestFit="1" customWidth="1"/>
    <col min="7960" max="7960" width="30.33203125" style="721" bestFit="1" customWidth="1"/>
    <col min="7961" max="8192" width="9" style="721"/>
    <col min="8193" max="8193" width="1.6640625" style="721" customWidth="1"/>
    <col min="8194" max="8194" width="9.6640625" style="721" customWidth="1"/>
    <col min="8195" max="8195" width="8.6640625" style="721" customWidth="1"/>
    <col min="8196" max="8196" width="5.6640625" style="721" customWidth="1"/>
    <col min="8197" max="8198" width="15.6640625" style="721" customWidth="1"/>
    <col min="8199" max="8199" width="5.6640625" style="721" customWidth="1"/>
    <col min="8200" max="8200" width="16.6640625" style="721" customWidth="1"/>
    <col min="8201" max="8201" width="5.6640625" style="721" customWidth="1"/>
    <col min="8202" max="8202" width="15.6640625" style="721" customWidth="1"/>
    <col min="8203" max="8203" width="5.6640625" style="721" customWidth="1"/>
    <col min="8204" max="8204" width="3.109375" style="721" customWidth="1"/>
    <col min="8205" max="8210" width="4.6640625" style="721" customWidth="1"/>
    <col min="8211" max="8211" width="1.6640625" style="721" customWidth="1"/>
    <col min="8212" max="8213" width="9" style="721"/>
    <col min="8214" max="8214" width="18.44140625" style="721" bestFit="1" customWidth="1"/>
    <col min="8215" max="8215" width="29.88671875" style="721" bestFit="1" customWidth="1"/>
    <col min="8216" max="8216" width="30.33203125" style="721" bestFit="1" customWidth="1"/>
    <col min="8217" max="8448" width="9" style="721"/>
    <col min="8449" max="8449" width="1.6640625" style="721" customWidth="1"/>
    <col min="8450" max="8450" width="9.6640625" style="721" customWidth="1"/>
    <col min="8451" max="8451" width="8.6640625" style="721" customWidth="1"/>
    <col min="8452" max="8452" width="5.6640625" style="721" customWidth="1"/>
    <col min="8453" max="8454" width="15.6640625" style="721" customWidth="1"/>
    <col min="8455" max="8455" width="5.6640625" style="721" customWidth="1"/>
    <col min="8456" max="8456" width="16.6640625" style="721" customWidth="1"/>
    <col min="8457" max="8457" width="5.6640625" style="721" customWidth="1"/>
    <col min="8458" max="8458" width="15.6640625" style="721" customWidth="1"/>
    <col min="8459" max="8459" width="5.6640625" style="721" customWidth="1"/>
    <col min="8460" max="8460" width="3.109375" style="721" customWidth="1"/>
    <col min="8461" max="8466" width="4.6640625" style="721" customWidth="1"/>
    <col min="8467" max="8467" width="1.6640625" style="721" customWidth="1"/>
    <col min="8468" max="8469" width="9" style="721"/>
    <col min="8470" max="8470" width="18.44140625" style="721" bestFit="1" customWidth="1"/>
    <col min="8471" max="8471" width="29.88671875" style="721" bestFit="1" customWidth="1"/>
    <col min="8472" max="8472" width="30.33203125" style="721" bestFit="1" customWidth="1"/>
    <col min="8473" max="8704" width="9" style="721"/>
    <col min="8705" max="8705" width="1.6640625" style="721" customWidth="1"/>
    <col min="8706" max="8706" width="9.6640625" style="721" customWidth="1"/>
    <col min="8707" max="8707" width="8.6640625" style="721" customWidth="1"/>
    <col min="8708" max="8708" width="5.6640625" style="721" customWidth="1"/>
    <col min="8709" max="8710" width="15.6640625" style="721" customWidth="1"/>
    <col min="8711" max="8711" width="5.6640625" style="721" customWidth="1"/>
    <col min="8712" max="8712" width="16.6640625" style="721" customWidth="1"/>
    <col min="8713" max="8713" width="5.6640625" style="721" customWidth="1"/>
    <col min="8714" max="8714" width="15.6640625" style="721" customWidth="1"/>
    <col min="8715" max="8715" width="5.6640625" style="721" customWidth="1"/>
    <col min="8716" max="8716" width="3.109375" style="721" customWidth="1"/>
    <col min="8717" max="8722" width="4.6640625" style="721" customWidth="1"/>
    <col min="8723" max="8723" width="1.6640625" style="721" customWidth="1"/>
    <col min="8724" max="8725" width="9" style="721"/>
    <col min="8726" max="8726" width="18.44140625" style="721" bestFit="1" customWidth="1"/>
    <col min="8727" max="8727" width="29.88671875" style="721" bestFit="1" customWidth="1"/>
    <col min="8728" max="8728" width="30.33203125" style="721" bestFit="1" customWidth="1"/>
    <col min="8729" max="8960" width="9" style="721"/>
    <col min="8961" max="8961" width="1.6640625" style="721" customWidth="1"/>
    <col min="8962" max="8962" width="9.6640625" style="721" customWidth="1"/>
    <col min="8963" max="8963" width="8.6640625" style="721" customWidth="1"/>
    <col min="8964" max="8964" width="5.6640625" style="721" customWidth="1"/>
    <col min="8965" max="8966" width="15.6640625" style="721" customWidth="1"/>
    <col min="8967" max="8967" width="5.6640625" style="721" customWidth="1"/>
    <col min="8968" max="8968" width="16.6640625" style="721" customWidth="1"/>
    <col min="8969" max="8969" width="5.6640625" style="721" customWidth="1"/>
    <col min="8970" max="8970" width="15.6640625" style="721" customWidth="1"/>
    <col min="8971" max="8971" width="5.6640625" style="721" customWidth="1"/>
    <col min="8972" max="8972" width="3.109375" style="721" customWidth="1"/>
    <col min="8973" max="8978" width="4.6640625" style="721" customWidth="1"/>
    <col min="8979" max="8979" width="1.6640625" style="721" customWidth="1"/>
    <col min="8980" max="8981" width="9" style="721"/>
    <col min="8982" max="8982" width="18.44140625" style="721" bestFit="1" customWidth="1"/>
    <col min="8983" max="8983" width="29.88671875" style="721" bestFit="1" customWidth="1"/>
    <col min="8984" max="8984" width="30.33203125" style="721" bestFit="1" customWidth="1"/>
    <col min="8985" max="9216" width="9" style="721"/>
    <col min="9217" max="9217" width="1.6640625" style="721" customWidth="1"/>
    <col min="9218" max="9218" width="9.6640625" style="721" customWidth="1"/>
    <col min="9219" max="9219" width="8.6640625" style="721" customWidth="1"/>
    <col min="9220" max="9220" width="5.6640625" style="721" customWidth="1"/>
    <col min="9221" max="9222" width="15.6640625" style="721" customWidth="1"/>
    <col min="9223" max="9223" width="5.6640625" style="721" customWidth="1"/>
    <col min="9224" max="9224" width="16.6640625" style="721" customWidth="1"/>
    <col min="9225" max="9225" width="5.6640625" style="721" customWidth="1"/>
    <col min="9226" max="9226" width="15.6640625" style="721" customWidth="1"/>
    <col min="9227" max="9227" width="5.6640625" style="721" customWidth="1"/>
    <col min="9228" max="9228" width="3.109375" style="721" customWidth="1"/>
    <col min="9229" max="9234" width="4.6640625" style="721" customWidth="1"/>
    <col min="9235" max="9235" width="1.6640625" style="721" customWidth="1"/>
    <col min="9236" max="9237" width="9" style="721"/>
    <col min="9238" max="9238" width="18.44140625" style="721" bestFit="1" customWidth="1"/>
    <col min="9239" max="9239" width="29.88671875" style="721" bestFit="1" customWidth="1"/>
    <col min="9240" max="9240" width="30.33203125" style="721" bestFit="1" customWidth="1"/>
    <col min="9241" max="9472" width="9" style="721"/>
    <col min="9473" max="9473" width="1.6640625" style="721" customWidth="1"/>
    <col min="9474" max="9474" width="9.6640625" style="721" customWidth="1"/>
    <col min="9475" max="9475" width="8.6640625" style="721" customWidth="1"/>
    <col min="9476" max="9476" width="5.6640625" style="721" customWidth="1"/>
    <col min="9477" max="9478" width="15.6640625" style="721" customWidth="1"/>
    <col min="9479" max="9479" width="5.6640625" style="721" customWidth="1"/>
    <col min="9480" max="9480" width="16.6640625" style="721" customWidth="1"/>
    <col min="9481" max="9481" width="5.6640625" style="721" customWidth="1"/>
    <col min="9482" max="9482" width="15.6640625" style="721" customWidth="1"/>
    <col min="9483" max="9483" width="5.6640625" style="721" customWidth="1"/>
    <col min="9484" max="9484" width="3.109375" style="721" customWidth="1"/>
    <col min="9485" max="9490" width="4.6640625" style="721" customWidth="1"/>
    <col min="9491" max="9491" width="1.6640625" style="721" customWidth="1"/>
    <col min="9492" max="9493" width="9" style="721"/>
    <col min="9494" max="9494" width="18.44140625" style="721" bestFit="1" customWidth="1"/>
    <col min="9495" max="9495" width="29.88671875" style="721" bestFit="1" customWidth="1"/>
    <col min="9496" max="9496" width="30.33203125" style="721" bestFit="1" customWidth="1"/>
    <col min="9497" max="9728" width="9" style="721"/>
    <col min="9729" max="9729" width="1.6640625" style="721" customWidth="1"/>
    <col min="9730" max="9730" width="9.6640625" style="721" customWidth="1"/>
    <col min="9731" max="9731" width="8.6640625" style="721" customWidth="1"/>
    <col min="9732" max="9732" width="5.6640625" style="721" customWidth="1"/>
    <col min="9733" max="9734" width="15.6640625" style="721" customWidth="1"/>
    <col min="9735" max="9735" width="5.6640625" style="721" customWidth="1"/>
    <col min="9736" max="9736" width="16.6640625" style="721" customWidth="1"/>
    <col min="9737" max="9737" width="5.6640625" style="721" customWidth="1"/>
    <col min="9738" max="9738" width="15.6640625" style="721" customWidth="1"/>
    <col min="9739" max="9739" width="5.6640625" style="721" customWidth="1"/>
    <col min="9740" max="9740" width="3.109375" style="721" customWidth="1"/>
    <col min="9741" max="9746" width="4.6640625" style="721" customWidth="1"/>
    <col min="9747" max="9747" width="1.6640625" style="721" customWidth="1"/>
    <col min="9748" max="9749" width="9" style="721"/>
    <col min="9750" max="9750" width="18.44140625" style="721" bestFit="1" customWidth="1"/>
    <col min="9751" max="9751" width="29.88671875" style="721" bestFit="1" customWidth="1"/>
    <col min="9752" max="9752" width="30.33203125" style="721" bestFit="1" customWidth="1"/>
    <col min="9753" max="9984" width="9" style="721"/>
    <col min="9985" max="9985" width="1.6640625" style="721" customWidth="1"/>
    <col min="9986" max="9986" width="9.6640625" style="721" customWidth="1"/>
    <col min="9987" max="9987" width="8.6640625" style="721" customWidth="1"/>
    <col min="9988" max="9988" width="5.6640625" style="721" customWidth="1"/>
    <col min="9989" max="9990" width="15.6640625" style="721" customWidth="1"/>
    <col min="9991" max="9991" width="5.6640625" style="721" customWidth="1"/>
    <col min="9992" max="9992" width="16.6640625" style="721" customWidth="1"/>
    <col min="9993" max="9993" width="5.6640625" style="721" customWidth="1"/>
    <col min="9994" max="9994" width="15.6640625" style="721" customWidth="1"/>
    <col min="9995" max="9995" width="5.6640625" style="721" customWidth="1"/>
    <col min="9996" max="9996" width="3.109375" style="721" customWidth="1"/>
    <col min="9997" max="10002" width="4.6640625" style="721" customWidth="1"/>
    <col min="10003" max="10003" width="1.6640625" style="721" customWidth="1"/>
    <col min="10004" max="10005" width="9" style="721"/>
    <col min="10006" max="10006" width="18.44140625" style="721" bestFit="1" customWidth="1"/>
    <col min="10007" max="10007" width="29.88671875" style="721" bestFit="1" customWidth="1"/>
    <col min="10008" max="10008" width="30.33203125" style="721" bestFit="1" customWidth="1"/>
    <col min="10009" max="10240" width="9" style="721"/>
    <col min="10241" max="10241" width="1.6640625" style="721" customWidth="1"/>
    <col min="10242" max="10242" width="9.6640625" style="721" customWidth="1"/>
    <col min="10243" max="10243" width="8.6640625" style="721" customWidth="1"/>
    <col min="10244" max="10244" width="5.6640625" style="721" customWidth="1"/>
    <col min="10245" max="10246" width="15.6640625" style="721" customWidth="1"/>
    <col min="10247" max="10247" width="5.6640625" style="721" customWidth="1"/>
    <col min="10248" max="10248" width="16.6640625" style="721" customWidth="1"/>
    <col min="10249" max="10249" width="5.6640625" style="721" customWidth="1"/>
    <col min="10250" max="10250" width="15.6640625" style="721" customWidth="1"/>
    <col min="10251" max="10251" width="5.6640625" style="721" customWidth="1"/>
    <col min="10252" max="10252" width="3.109375" style="721" customWidth="1"/>
    <col min="10253" max="10258" width="4.6640625" style="721" customWidth="1"/>
    <col min="10259" max="10259" width="1.6640625" style="721" customWidth="1"/>
    <col min="10260" max="10261" width="9" style="721"/>
    <col min="10262" max="10262" width="18.44140625" style="721" bestFit="1" customWidth="1"/>
    <col min="10263" max="10263" width="29.88671875" style="721" bestFit="1" customWidth="1"/>
    <col min="10264" max="10264" width="30.33203125" style="721" bestFit="1" customWidth="1"/>
    <col min="10265" max="10496" width="9" style="721"/>
    <col min="10497" max="10497" width="1.6640625" style="721" customWidth="1"/>
    <col min="10498" max="10498" width="9.6640625" style="721" customWidth="1"/>
    <col min="10499" max="10499" width="8.6640625" style="721" customWidth="1"/>
    <col min="10500" max="10500" width="5.6640625" style="721" customWidth="1"/>
    <col min="10501" max="10502" width="15.6640625" style="721" customWidth="1"/>
    <col min="10503" max="10503" width="5.6640625" style="721" customWidth="1"/>
    <col min="10504" max="10504" width="16.6640625" style="721" customWidth="1"/>
    <col min="10505" max="10505" width="5.6640625" style="721" customWidth="1"/>
    <col min="10506" max="10506" width="15.6640625" style="721" customWidth="1"/>
    <col min="10507" max="10507" width="5.6640625" style="721" customWidth="1"/>
    <col min="10508" max="10508" width="3.109375" style="721" customWidth="1"/>
    <col min="10509" max="10514" width="4.6640625" style="721" customWidth="1"/>
    <col min="10515" max="10515" width="1.6640625" style="721" customWidth="1"/>
    <col min="10516" max="10517" width="9" style="721"/>
    <col min="10518" max="10518" width="18.44140625" style="721" bestFit="1" customWidth="1"/>
    <col min="10519" max="10519" width="29.88671875" style="721" bestFit="1" customWidth="1"/>
    <col min="10520" max="10520" width="30.33203125" style="721" bestFit="1" customWidth="1"/>
    <col min="10521" max="10752" width="9" style="721"/>
    <col min="10753" max="10753" width="1.6640625" style="721" customWidth="1"/>
    <col min="10754" max="10754" width="9.6640625" style="721" customWidth="1"/>
    <col min="10755" max="10755" width="8.6640625" style="721" customWidth="1"/>
    <col min="10756" max="10756" width="5.6640625" style="721" customWidth="1"/>
    <col min="10757" max="10758" width="15.6640625" style="721" customWidth="1"/>
    <col min="10759" max="10759" width="5.6640625" style="721" customWidth="1"/>
    <col min="10760" max="10760" width="16.6640625" style="721" customWidth="1"/>
    <col min="10761" max="10761" width="5.6640625" style="721" customWidth="1"/>
    <col min="10762" max="10762" width="15.6640625" style="721" customWidth="1"/>
    <col min="10763" max="10763" width="5.6640625" style="721" customWidth="1"/>
    <col min="10764" max="10764" width="3.109375" style="721" customWidth="1"/>
    <col min="10765" max="10770" width="4.6640625" style="721" customWidth="1"/>
    <col min="10771" max="10771" width="1.6640625" style="721" customWidth="1"/>
    <col min="10772" max="10773" width="9" style="721"/>
    <col min="10774" max="10774" width="18.44140625" style="721" bestFit="1" customWidth="1"/>
    <col min="10775" max="10775" width="29.88671875" style="721" bestFit="1" customWidth="1"/>
    <col min="10776" max="10776" width="30.33203125" style="721" bestFit="1" customWidth="1"/>
    <col min="10777" max="11008" width="9" style="721"/>
    <col min="11009" max="11009" width="1.6640625" style="721" customWidth="1"/>
    <col min="11010" max="11010" width="9.6640625" style="721" customWidth="1"/>
    <col min="11011" max="11011" width="8.6640625" style="721" customWidth="1"/>
    <col min="11012" max="11012" width="5.6640625" style="721" customWidth="1"/>
    <col min="11013" max="11014" width="15.6640625" style="721" customWidth="1"/>
    <col min="11015" max="11015" width="5.6640625" style="721" customWidth="1"/>
    <col min="11016" max="11016" width="16.6640625" style="721" customWidth="1"/>
    <col min="11017" max="11017" width="5.6640625" style="721" customWidth="1"/>
    <col min="11018" max="11018" width="15.6640625" style="721" customWidth="1"/>
    <col min="11019" max="11019" width="5.6640625" style="721" customWidth="1"/>
    <col min="11020" max="11020" width="3.109375" style="721" customWidth="1"/>
    <col min="11021" max="11026" width="4.6640625" style="721" customWidth="1"/>
    <col min="11027" max="11027" width="1.6640625" style="721" customWidth="1"/>
    <col min="11028" max="11029" width="9" style="721"/>
    <col min="11030" max="11030" width="18.44140625" style="721" bestFit="1" customWidth="1"/>
    <col min="11031" max="11031" width="29.88671875" style="721" bestFit="1" customWidth="1"/>
    <col min="11032" max="11032" width="30.33203125" style="721" bestFit="1" customWidth="1"/>
    <col min="11033" max="11264" width="9" style="721"/>
    <col min="11265" max="11265" width="1.6640625" style="721" customWidth="1"/>
    <col min="11266" max="11266" width="9.6640625" style="721" customWidth="1"/>
    <col min="11267" max="11267" width="8.6640625" style="721" customWidth="1"/>
    <col min="11268" max="11268" width="5.6640625" style="721" customWidth="1"/>
    <col min="11269" max="11270" width="15.6640625" style="721" customWidth="1"/>
    <col min="11271" max="11271" width="5.6640625" style="721" customWidth="1"/>
    <col min="11272" max="11272" width="16.6640625" style="721" customWidth="1"/>
    <col min="11273" max="11273" width="5.6640625" style="721" customWidth="1"/>
    <col min="11274" max="11274" width="15.6640625" style="721" customWidth="1"/>
    <col min="11275" max="11275" width="5.6640625" style="721" customWidth="1"/>
    <col min="11276" max="11276" width="3.109375" style="721" customWidth="1"/>
    <col min="11277" max="11282" width="4.6640625" style="721" customWidth="1"/>
    <col min="11283" max="11283" width="1.6640625" style="721" customWidth="1"/>
    <col min="11284" max="11285" width="9" style="721"/>
    <col min="11286" max="11286" width="18.44140625" style="721" bestFit="1" customWidth="1"/>
    <col min="11287" max="11287" width="29.88671875" style="721" bestFit="1" customWidth="1"/>
    <col min="11288" max="11288" width="30.33203125" style="721" bestFit="1" customWidth="1"/>
    <col min="11289" max="11520" width="9" style="721"/>
    <col min="11521" max="11521" width="1.6640625" style="721" customWidth="1"/>
    <col min="11522" max="11522" width="9.6640625" style="721" customWidth="1"/>
    <col min="11523" max="11523" width="8.6640625" style="721" customWidth="1"/>
    <col min="11524" max="11524" width="5.6640625" style="721" customWidth="1"/>
    <col min="11525" max="11526" width="15.6640625" style="721" customWidth="1"/>
    <col min="11527" max="11527" width="5.6640625" style="721" customWidth="1"/>
    <col min="11528" max="11528" width="16.6640625" style="721" customWidth="1"/>
    <col min="11529" max="11529" width="5.6640625" style="721" customWidth="1"/>
    <col min="11530" max="11530" width="15.6640625" style="721" customWidth="1"/>
    <col min="11531" max="11531" width="5.6640625" style="721" customWidth="1"/>
    <col min="11532" max="11532" width="3.109375" style="721" customWidth="1"/>
    <col min="11533" max="11538" width="4.6640625" style="721" customWidth="1"/>
    <col min="11539" max="11539" width="1.6640625" style="721" customWidth="1"/>
    <col min="11540" max="11541" width="9" style="721"/>
    <col min="11542" max="11542" width="18.44140625" style="721" bestFit="1" customWidth="1"/>
    <col min="11543" max="11543" width="29.88671875" style="721" bestFit="1" customWidth="1"/>
    <col min="11544" max="11544" width="30.33203125" style="721" bestFit="1" customWidth="1"/>
    <col min="11545" max="11776" width="9" style="721"/>
    <col min="11777" max="11777" width="1.6640625" style="721" customWidth="1"/>
    <col min="11778" max="11778" width="9.6640625" style="721" customWidth="1"/>
    <col min="11779" max="11779" width="8.6640625" style="721" customWidth="1"/>
    <col min="11780" max="11780" width="5.6640625" style="721" customWidth="1"/>
    <col min="11781" max="11782" width="15.6640625" style="721" customWidth="1"/>
    <col min="11783" max="11783" width="5.6640625" style="721" customWidth="1"/>
    <col min="11784" max="11784" width="16.6640625" style="721" customWidth="1"/>
    <col min="11785" max="11785" width="5.6640625" style="721" customWidth="1"/>
    <col min="11786" max="11786" width="15.6640625" style="721" customWidth="1"/>
    <col min="11787" max="11787" width="5.6640625" style="721" customWidth="1"/>
    <col min="11788" max="11788" width="3.109375" style="721" customWidth="1"/>
    <col min="11789" max="11794" width="4.6640625" style="721" customWidth="1"/>
    <col min="11795" max="11795" width="1.6640625" style="721" customWidth="1"/>
    <col min="11796" max="11797" width="9" style="721"/>
    <col min="11798" max="11798" width="18.44140625" style="721" bestFit="1" customWidth="1"/>
    <col min="11799" max="11799" width="29.88671875" style="721" bestFit="1" customWidth="1"/>
    <col min="11800" max="11800" width="30.33203125" style="721" bestFit="1" customWidth="1"/>
    <col min="11801" max="12032" width="9" style="721"/>
    <col min="12033" max="12033" width="1.6640625" style="721" customWidth="1"/>
    <col min="12034" max="12034" width="9.6640625" style="721" customWidth="1"/>
    <col min="12035" max="12035" width="8.6640625" style="721" customWidth="1"/>
    <col min="12036" max="12036" width="5.6640625" style="721" customWidth="1"/>
    <col min="12037" max="12038" width="15.6640625" style="721" customWidth="1"/>
    <col min="12039" max="12039" width="5.6640625" style="721" customWidth="1"/>
    <col min="12040" max="12040" width="16.6640625" style="721" customWidth="1"/>
    <col min="12041" max="12041" width="5.6640625" style="721" customWidth="1"/>
    <col min="12042" max="12042" width="15.6640625" style="721" customWidth="1"/>
    <col min="12043" max="12043" width="5.6640625" style="721" customWidth="1"/>
    <col min="12044" max="12044" width="3.109375" style="721" customWidth="1"/>
    <col min="12045" max="12050" width="4.6640625" style="721" customWidth="1"/>
    <col min="12051" max="12051" width="1.6640625" style="721" customWidth="1"/>
    <col min="12052" max="12053" width="9" style="721"/>
    <col min="12054" max="12054" width="18.44140625" style="721" bestFit="1" customWidth="1"/>
    <col min="12055" max="12055" width="29.88671875" style="721" bestFit="1" customWidth="1"/>
    <col min="12056" max="12056" width="30.33203125" style="721" bestFit="1" customWidth="1"/>
    <col min="12057" max="12288" width="9" style="721"/>
    <col min="12289" max="12289" width="1.6640625" style="721" customWidth="1"/>
    <col min="12290" max="12290" width="9.6640625" style="721" customWidth="1"/>
    <col min="12291" max="12291" width="8.6640625" style="721" customWidth="1"/>
    <col min="12292" max="12292" width="5.6640625" style="721" customWidth="1"/>
    <col min="12293" max="12294" width="15.6640625" style="721" customWidth="1"/>
    <col min="12295" max="12295" width="5.6640625" style="721" customWidth="1"/>
    <col min="12296" max="12296" width="16.6640625" style="721" customWidth="1"/>
    <col min="12297" max="12297" width="5.6640625" style="721" customWidth="1"/>
    <col min="12298" max="12298" width="15.6640625" style="721" customWidth="1"/>
    <col min="12299" max="12299" width="5.6640625" style="721" customWidth="1"/>
    <col min="12300" max="12300" width="3.109375" style="721" customWidth="1"/>
    <col min="12301" max="12306" width="4.6640625" style="721" customWidth="1"/>
    <col min="12307" max="12307" width="1.6640625" style="721" customWidth="1"/>
    <col min="12308" max="12309" width="9" style="721"/>
    <col min="12310" max="12310" width="18.44140625" style="721" bestFit="1" customWidth="1"/>
    <col min="12311" max="12311" width="29.88671875" style="721" bestFit="1" customWidth="1"/>
    <col min="12312" max="12312" width="30.33203125" style="721" bestFit="1" customWidth="1"/>
    <col min="12313" max="12544" width="9" style="721"/>
    <col min="12545" max="12545" width="1.6640625" style="721" customWidth="1"/>
    <col min="12546" max="12546" width="9.6640625" style="721" customWidth="1"/>
    <col min="12547" max="12547" width="8.6640625" style="721" customWidth="1"/>
    <col min="12548" max="12548" width="5.6640625" style="721" customWidth="1"/>
    <col min="12549" max="12550" width="15.6640625" style="721" customWidth="1"/>
    <col min="12551" max="12551" width="5.6640625" style="721" customWidth="1"/>
    <col min="12552" max="12552" width="16.6640625" style="721" customWidth="1"/>
    <col min="12553" max="12553" width="5.6640625" style="721" customWidth="1"/>
    <col min="12554" max="12554" width="15.6640625" style="721" customWidth="1"/>
    <col min="12555" max="12555" width="5.6640625" style="721" customWidth="1"/>
    <col min="12556" max="12556" width="3.109375" style="721" customWidth="1"/>
    <col min="12557" max="12562" width="4.6640625" style="721" customWidth="1"/>
    <col min="12563" max="12563" width="1.6640625" style="721" customWidth="1"/>
    <col min="12564" max="12565" width="9" style="721"/>
    <col min="12566" max="12566" width="18.44140625" style="721" bestFit="1" customWidth="1"/>
    <col min="12567" max="12567" width="29.88671875" style="721" bestFit="1" customWidth="1"/>
    <col min="12568" max="12568" width="30.33203125" style="721" bestFit="1" customWidth="1"/>
    <col min="12569" max="12800" width="9" style="721"/>
    <col min="12801" max="12801" width="1.6640625" style="721" customWidth="1"/>
    <col min="12802" max="12802" width="9.6640625" style="721" customWidth="1"/>
    <col min="12803" max="12803" width="8.6640625" style="721" customWidth="1"/>
    <col min="12804" max="12804" width="5.6640625" style="721" customWidth="1"/>
    <col min="12805" max="12806" width="15.6640625" style="721" customWidth="1"/>
    <col min="12807" max="12807" width="5.6640625" style="721" customWidth="1"/>
    <col min="12808" max="12808" width="16.6640625" style="721" customWidth="1"/>
    <col min="12809" max="12809" width="5.6640625" style="721" customWidth="1"/>
    <col min="12810" max="12810" width="15.6640625" style="721" customWidth="1"/>
    <col min="12811" max="12811" width="5.6640625" style="721" customWidth="1"/>
    <col min="12812" max="12812" width="3.109375" style="721" customWidth="1"/>
    <col min="12813" max="12818" width="4.6640625" style="721" customWidth="1"/>
    <col min="12819" max="12819" width="1.6640625" style="721" customWidth="1"/>
    <col min="12820" max="12821" width="9" style="721"/>
    <col min="12822" max="12822" width="18.44140625" style="721" bestFit="1" customWidth="1"/>
    <col min="12823" max="12823" width="29.88671875" style="721" bestFit="1" customWidth="1"/>
    <col min="12824" max="12824" width="30.33203125" style="721" bestFit="1" customWidth="1"/>
    <col min="12825" max="13056" width="9" style="721"/>
    <col min="13057" max="13057" width="1.6640625" style="721" customWidth="1"/>
    <col min="13058" max="13058" width="9.6640625" style="721" customWidth="1"/>
    <col min="13059" max="13059" width="8.6640625" style="721" customWidth="1"/>
    <col min="13060" max="13060" width="5.6640625" style="721" customWidth="1"/>
    <col min="13061" max="13062" width="15.6640625" style="721" customWidth="1"/>
    <col min="13063" max="13063" width="5.6640625" style="721" customWidth="1"/>
    <col min="13064" max="13064" width="16.6640625" style="721" customWidth="1"/>
    <col min="13065" max="13065" width="5.6640625" style="721" customWidth="1"/>
    <col min="13066" max="13066" width="15.6640625" style="721" customWidth="1"/>
    <col min="13067" max="13067" width="5.6640625" style="721" customWidth="1"/>
    <col min="13068" max="13068" width="3.109375" style="721" customWidth="1"/>
    <col min="13069" max="13074" width="4.6640625" style="721" customWidth="1"/>
    <col min="13075" max="13075" width="1.6640625" style="721" customWidth="1"/>
    <col min="13076" max="13077" width="9" style="721"/>
    <col min="13078" max="13078" width="18.44140625" style="721" bestFit="1" customWidth="1"/>
    <col min="13079" max="13079" width="29.88671875" style="721" bestFit="1" customWidth="1"/>
    <col min="13080" max="13080" width="30.33203125" style="721" bestFit="1" customWidth="1"/>
    <col min="13081" max="13312" width="9" style="721"/>
    <col min="13313" max="13313" width="1.6640625" style="721" customWidth="1"/>
    <col min="13314" max="13314" width="9.6640625" style="721" customWidth="1"/>
    <col min="13315" max="13315" width="8.6640625" style="721" customWidth="1"/>
    <col min="13316" max="13316" width="5.6640625" style="721" customWidth="1"/>
    <col min="13317" max="13318" width="15.6640625" style="721" customWidth="1"/>
    <col min="13319" max="13319" width="5.6640625" style="721" customWidth="1"/>
    <col min="13320" max="13320" width="16.6640625" style="721" customWidth="1"/>
    <col min="13321" max="13321" width="5.6640625" style="721" customWidth="1"/>
    <col min="13322" max="13322" width="15.6640625" style="721" customWidth="1"/>
    <col min="13323" max="13323" width="5.6640625" style="721" customWidth="1"/>
    <col min="13324" max="13324" width="3.109375" style="721" customWidth="1"/>
    <col min="13325" max="13330" width="4.6640625" style="721" customWidth="1"/>
    <col min="13331" max="13331" width="1.6640625" style="721" customWidth="1"/>
    <col min="13332" max="13333" width="9" style="721"/>
    <col min="13334" max="13334" width="18.44140625" style="721" bestFit="1" customWidth="1"/>
    <col min="13335" max="13335" width="29.88671875" style="721" bestFit="1" customWidth="1"/>
    <col min="13336" max="13336" width="30.33203125" style="721" bestFit="1" customWidth="1"/>
    <col min="13337" max="13568" width="9" style="721"/>
    <col min="13569" max="13569" width="1.6640625" style="721" customWidth="1"/>
    <col min="13570" max="13570" width="9.6640625" style="721" customWidth="1"/>
    <col min="13571" max="13571" width="8.6640625" style="721" customWidth="1"/>
    <col min="13572" max="13572" width="5.6640625" style="721" customWidth="1"/>
    <col min="13573" max="13574" width="15.6640625" style="721" customWidth="1"/>
    <col min="13575" max="13575" width="5.6640625" style="721" customWidth="1"/>
    <col min="13576" max="13576" width="16.6640625" style="721" customWidth="1"/>
    <col min="13577" max="13577" width="5.6640625" style="721" customWidth="1"/>
    <col min="13578" max="13578" width="15.6640625" style="721" customWidth="1"/>
    <col min="13579" max="13579" width="5.6640625" style="721" customWidth="1"/>
    <col min="13580" max="13580" width="3.109375" style="721" customWidth="1"/>
    <col min="13581" max="13586" width="4.6640625" style="721" customWidth="1"/>
    <col min="13587" max="13587" width="1.6640625" style="721" customWidth="1"/>
    <col min="13588" max="13589" width="9" style="721"/>
    <col min="13590" max="13590" width="18.44140625" style="721" bestFit="1" customWidth="1"/>
    <col min="13591" max="13591" width="29.88671875" style="721" bestFit="1" customWidth="1"/>
    <col min="13592" max="13592" width="30.33203125" style="721" bestFit="1" customWidth="1"/>
    <col min="13593" max="13824" width="9" style="721"/>
    <col min="13825" max="13825" width="1.6640625" style="721" customWidth="1"/>
    <col min="13826" max="13826" width="9.6640625" style="721" customWidth="1"/>
    <col min="13827" max="13827" width="8.6640625" style="721" customWidth="1"/>
    <col min="13828" max="13828" width="5.6640625" style="721" customWidth="1"/>
    <col min="13829" max="13830" width="15.6640625" style="721" customWidth="1"/>
    <col min="13831" max="13831" width="5.6640625" style="721" customWidth="1"/>
    <col min="13832" max="13832" width="16.6640625" style="721" customWidth="1"/>
    <col min="13833" max="13833" width="5.6640625" style="721" customWidth="1"/>
    <col min="13834" max="13834" width="15.6640625" style="721" customWidth="1"/>
    <col min="13835" max="13835" width="5.6640625" style="721" customWidth="1"/>
    <col min="13836" max="13836" width="3.109375" style="721" customWidth="1"/>
    <col min="13837" max="13842" width="4.6640625" style="721" customWidth="1"/>
    <col min="13843" max="13843" width="1.6640625" style="721" customWidth="1"/>
    <col min="13844" max="13845" width="9" style="721"/>
    <col min="13846" max="13846" width="18.44140625" style="721" bestFit="1" customWidth="1"/>
    <col min="13847" max="13847" width="29.88671875" style="721" bestFit="1" customWidth="1"/>
    <col min="13848" max="13848" width="30.33203125" style="721" bestFit="1" customWidth="1"/>
    <col min="13849" max="14080" width="9" style="721"/>
    <col min="14081" max="14081" width="1.6640625" style="721" customWidth="1"/>
    <col min="14082" max="14082" width="9.6640625" style="721" customWidth="1"/>
    <col min="14083" max="14083" width="8.6640625" style="721" customWidth="1"/>
    <col min="14084" max="14084" width="5.6640625" style="721" customWidth="1"/>
    <col min="14085" max="14086" width="15.6640625" style="721" customWidth="1"/>
    <col min="14087" max="14087" width="5.6640625" style="721" customWidth="1"/>
    <col min="14088" max="14088" width="16.6640625" style="721" customWidth="1"/>
    <col min="14089" max="14089" width="5.6640625" style="721" customWidth="1"/>
    <col min="14090" max="14090" width="15.6640625" style="721" customWidth="1"/>
    <col min="14091" max="14091" width="5.6640625" style="721" customWidth="1"/>
    <col min="14092" max="14092" width="3.109375" style="721" customWidth="1"/>
    <col min="14093" max="14098" width="4.6640625" style="721" customWidth="1"/>
    <col min="14099" max="14099" width="1.6640625" style="721" customWidth="1"/>
    <col min="14100" max="14101" width="9" style="721"/>
    <col min="14102" max="14102" width="18.44140625" style="721" bestFit="1" customWidth="1"/>
    <col min="14103" max="14103" width="29.88671875" style="721" bestFit="1" customWidth="1"/>
    <col min="14104" max="14104" width="30.33203125" style="721" bestFit="1" customWidth="1"/>
    <col min="14105" max="14336" width="9" style="721"/>
    <col min="14337" max="14337" width="1.6640625" style="721" customWidth="1"/>
    <col min="14338" max="14338" width="9.6640625" style="721" customWidth="1"/>
    <col min="14339" max="14339" width="8.6640625" style="721" customWidth="1"/>
    <col min="14340" max="14340" width="5.6640625" style="721" customWidth="1"/>
    <col min="14341" max="14342" width="15.6640625" style="721" customWidth="1"/>
    <col min="14343" max="14343" width="5.6640625" style="721" customWidth="1"/>
    <col min="14344" max="14344" width="16.6640625" style="721" customWidth="1"/>
    <col min="14345" max="14345" width="5.6640625" style="721" customWidth="1"/>
    <col min="14346" max="14346" width="15.6640625" style="721" customWidth="1"/>
    <col min="14347" max="14347" width="5.6640625" style="721" customWidth="1"/>
    <col min="14348" max="14348" width="3.109375" style="721" customWidth="1"/>
    <col min="14349" max="14354" width="4.6640625" style="721" customWidth="1"/>
    <col min="14355" max="14355" width="1.6640625" style="721" customWidth="1"/>
    <col min="14356" max="14357" width="9" style="721"/>
    <col min="14358" max="14358" width="18.44140625" style="721" bestFit="1" customWidth="1"/>
    <col min="14359" max="14359" width="29.88671875" style="721" bestFit="1" customWidth="1"/>
    <col min="14360" max="14360" width="30.33203125" style="721" bestFit="1" customWidth="1"/>
    <col min="14361" max="14592" width="9" style="721"/>
    <col min="14593" max="14593" width="1.6640625" style="721" customWidth="1"/>
    <col min="14594" max="14594" width="9.6640625" style="721" customWidth="1"/>
    <col min="14595" max="14595" width="8.6640625" style="721" customWidth="1"/>
    <col min="14596" max="14596" width="5.6640625" style="721" customWidth="1"/>
    <col min="14597" max="14598" width="15.6640625" style="721" customWidth="1"/>
    <col min="14599" max="14599" width="5.6640625" style="721" customWidth="1"/>
    <col min="14600" max="14600" width="16.6640625" style="721" customWidth="1"/>
    <col min="14601" max="14601" width="5.6640625" style="721" customWidth="1"/>
    <col min="14602" max="14602" width="15.6640625" style="721" customWidth="1"/>
    <col min="14603" max="14603" width="5.6640625" style="721" customWidth="1"/>
    <col min="14604" max="14604" width="3.109375" style="721" customWidth="1"/>
    <col min="14605" max="14610" width="4.6640625" style="721" customWidth="1"/>
    <col min="14611" max="14611" width="1.6640625" style="721" customWidth="1"/>
    <col min="14612" max="14613" width="9" style="721"/>
    <col min="14614" max="14614" width="18.44140625" style="721" bestFit="1" customWidth="1"/>
    <col min="14615" max="14615" width="29.88671875" style="721" bestFit="1" customWidth="1"/>
    <col min="14616" max="14616" width="30.33203125" style="721" bestFit="1" customWidth="1"/>
    <col min="14617" max="14848" width="9" style="721"/>
    <col min="14849" max="14849" width="1.6640625" style="721" customWidth="1"/>
    <col min="14850" max="14850" width="9.6640625" style="721" customWidth="1"/>
    <col min="14851" max="14851" width="8.6640625" style="721" customWidth="1"/>
    <col min="14852" max="14852" width="5.6640625" style="721" customWidth="1"/>
    <col min="14853" max="14854" width="15.6640625" style="721" customWidth="1"/>
    <col min="14855" max="14855" width="5.6640625" style="721" customWidth="1"/>
    <col min="14856" max="14856" width="16.6640625" style="721" customWidth="1"/>
    <col min="14857" max="14857" width="5.6640625" style="721" customWidth="1"/>
    <col min="14858" max="14858" width="15.6640625" style="721" customWidth="1"/>
    <col min="14859" max="14859" width="5.6640625" style="721" customWidth="1"/>
    <col min="14860" max="14860" width="3.109375" style="721" customWidth="1"/>
    <col min="14861" max="14866" width="4.6640625" style="721" customWidth="1"/>
    <col min="14867" max="14867" width="1.6640625" style="721" customWidth="1"/>
    <col min="14868" max="14869" width="9" style="721"/>
    <col min="14870" max="14870" width="18.44140625" style="721" bestFit="1" customWidth="1"/>
    <col min="14871" max="14871" width="29.88671875" style="721" bestFit="1" customWidth="1"/>
    <col min="14872" max="14872" width="30.33203125" style="721" bestFit="1" customWidth="1"/>
    <col min="14873" max="15104" width="9" style="721"/>
    <col min="15105" max="15105" width="1.6640625" style="721" customWidth="1"/>
    <col min="15106" max="15106" width="9.6640625" style="721" customWidth="1"/>
    <col min="15107" max="15107" width="8.6640625" style="721" customWidth="1"/>
    <col min="15108" max="15108" width="5.6640625" style="721" customWidth="1"/>
    <col min="15109" max="15110" width="15.6640625" style="721" customWidth="1"/>
    <col min="15111" max="15111" width="5.6640625" style="721" customWidth="1"/>
    <col min="15112" max="15112" width="16.6640625" style="721" customWidth="1"/>
    <col min="15113" max="15113" width="5.6640625" style="721" customWidth="1"/>
    <col min="15114" max="15114" width="15.6640625" style="721" customWidth="1"/>
    <col min="15115" max="15115" width="5.6640625" style="721" customWidth="1"/>
    <col min="15116" max="15116" width="3.109375" style="721" customWidth="1"/>
    <col min="15117" max="15122" width="4.6640625" style="721" customWidth="1"/>
    <col min="15123" max="15123" width="1.6640625" style="721" customWidth="1"/>
    <col min="15124" max="15125" width="9" style="721"/>
    <col min="15126" max="15126" width="18.44140625" style="721" bestFit="1" customWidth="1"/>
    <col min="15127" max="15127" width="29.88671875" style="721" bestFit="1" customWidth="1"/>
    <col min="15128" max="15128" width="30.33203125" style="721" bestFit="1" customWidth="1"/>
    <col min="15129" max="15360" width="9" style="721"/>
    <col min="15361" max="15361" width="1.6640625" style="721" customWidth="1"/>
    <col min="15362" max="15362" width="9.6640625" style="721" customWidth="1"/>
    <col min="15363" max="15363" width="8.6640625" style="721" customWidth="1"/>
    <col min="15364" max="15364" width="5.6640625" style="721" customWidth="1"/>
    <col min="15365" max="15366" width="15.6640625" style="721" customWidth="1"/>
    <col min="15367" max="15367" width="5.6640625" style="721" customWidth="1"/>
    <col min="15368" max="15368" width="16.6640625" style="721" customWidth="1"/>
    <col min="15369" max="15369" width="5.6640625" style="721" customWidth="1"/>
    <col min="15370" max="15370" width="15.6640625" style="721" customWidth="1"/>
    <col min="15371" max="15371" width="5.6640625" style="721" customWidth="1"/>
    <col min="15372" max="15372" width="3.109375" style="721" customWidth="1"/>
    <col min="15373" max="15378" width="4.6640625" style="721" customWidth="1"/>
    <col min="15379" max="15379" width="1.6640625" style="721" customWidth="1"/>
    <col min="15380" max="15381" width="9" style="721"/>
    <col min="15382" max="15382" width="18.44140625" style="721" bestFit="1" customWidth="1"/>
    <col min="15383" max="15383" width="29.88671875" style="721" bestFit="1" customWidth="1"/>
    <col min="15384" max="15384" width="30.33203125" style="721" bestFit="1" customWidth="1"/>
    <col min="15385" max="15616" width="9" style="721"/>
    <col min="15617" max="15617" width="1.6640625" style="721" customWidth="1"/>
    <col min="15618" max="15618" width="9.6640625" style="721" customWidth="1"/>
    <col min="15619" max="15619" width="8.6640625" style="721" customWidth="1"/>
    <col min="15620" max="15620" width="5.6640625" style="721" customWidth="1"/>
    <col min="15621" max="15622" width="15.6640625" style="721" customWidth="1"/>
    <col min="15623" max="15623" width="5.6640625" style="721" customWidth="1"/>
    <col min="15624" max="15624" width="16.6640625" style="721" customWidth="1"/>
    <col min="15625" max="15625" width="5.6640625" style="721" customWidth="1"/>
    <col min="15626" max="15626" width="15.6640625" style="721" customWidth="1"/>
    <col min="15627" max="15627" width="5.6640625" style="721" customWidth="1"/>
    <col min="15628" max="15628" width="3.109375" style="721" customWidth="1"/>
    <col min="15629" max="15634" width="4.6640625" style="721" customWidth="1"/>
    <col min="15635" max="15635" width="1.6640625" style="721" customWidth="1"/>
    <col min="15636" max="15637" width="9" style="721"/>
    <col min="15638" max="15638" width="18.44140625" style="721" bestFit="1" customWidth="1"/>
    <col min="15639" max="15639" width="29.88671875" style="721" bestFit="1" customWidth="1"/>
    <col min="15640" max="15640" width="30.33203125" style="721" bestFit="1" customWidth="1"/>
    <col min="15641" max="15872" width="9" style="721"/>
    <col min="15873" max="15873" width="1.6640625" style="721" customWidth="1"/>
    <col min="15874" max="15874" width="9.6640625" style="721" customWidth="1"/>
    <col min="15875" max="15875" width="8.6640625" style="721" customWidth="1"/>
    <col min="15876" max="15876" width="5.6640625" style="721" customWidth="1"/>
    <col min="15877" max="15878" width="15.6640625" style="721" customWidth="1"/>
    <col min="15879" max="15879" width="5.6640625" style="721" customWidth="1"/>
    <col min="15880" max="15880" width="16.6640625" style="721" customWidth="1"/>
    <col min="15881" max="15881" width="5.6640625" style="721" customWidth="1"/>
    <col min="15882" max="15882" width="15.6640625" style="721" customWidth="1"/>
    <col min="15883" max="15883" width="5.6640625" style="721" customWidth="1"/>
    <col min="15884" max="15884" width="3.109375" style="721" customWidth="1"/>
    <col min="15885" max="15890" width="4.6640625" style="721" customWidth="1"/>
    <col min="15891" max="15891" width="1.6640625" style="721" customWidth="1"/>
    <col min="15892" max="15893" width="9" style="721"/>
    <col min="15894" max="15894" width="18.44140625" style="721" bestFit="1" customWidth="1"/>
    <col min="15895" max="15895" width="29.88671875" style="721" bestFit="1" customWidth="1"/>
    <col min="15896" max="15896" width="30.33203125" style="721" bestFit="1" customWidth="1"/>
    <col min="15897" max="16128" width="9" style="721"/>
    <col min="16129" max="16129" width="1.6640625" style="721" customWidth="1"/>
    <col min="16130" max="16130" width="9.6640625" style="721" customWidth="1"/>
    <col min="16131" max="16131" width="8.6640625" style="721" customWidth="1"/>
    <col min="16132" max="16132" width="5.6640625" style="721" customWidth="1"/>
    <col min="16133" max="16134" width="15.6640625" style="721" customWidth="1"/>
    <col min="16135" max="16135" width="5.6640625" style="721" customWidth="1"/>
    <col min="16136" max="16136" width="16.6640625" style="721" customWidth="1"/>
    <col min="16137" max="16137" width="5.6640625" style="721" customWidth="1"/>
    <col min="16138" max="16138" width="15.6640625" style="721" customWidth="1"/>
    <col min="16139" max="16139" width="5.6640625" style="721" customWidth="1"/>
    <col min="16140" max="16140" width="3.109375" style="721" customWidth="1"/>
    <col min="16141" max="16146" width="4.6640625" style="721" customWidth="1"/>
    <col min="16147" max="16147" width="1.6640625" style="721" customWidth="1"/>
    <col min="16148" max="16149" width="9" style="721"/>
    <col min="16150" max="16150" width="18.44140625" style="721" bestFit="1" customWidth="1"/>
    <col min="16151" max="16151" width="29.88671875" style="721" bestFit="1" customWidth="1"/>
    <col min="16152" max="16152" width="30.33203125" style="721" bestFit="1" customWidth="1"/>
    <col min="16153" max="16384" width="9" style="721"/>
  </cols>
  <sheetData>
    <row r="1" spans="2:24" x14ac:dyDescent="0.2">
      <c r="B1" s="719" t="s">
        <v>1494</v>
      </c>
      <c r="C1" s="720"/>
      <c r="K1" s="722" t="s">
        <v>643</v>
      </c>
      <c r="L1" s="1501"/>
      <c r="M1" s="1501"/>
      <c r="N1" s="723" t="s">
        <v>34</v>
      </c>
      <c r="O1" s="552"/>
      <c r="P1" s="723" t="s">
        <v>383</v>
      </c>
      <c r="Q1" s="552"/>
      <c r="R1" s="723" t="s">
        <v>167</v>
      </c>
    </row>
    <row r="2" spans="2:24" ht="19.2" x14ac:dyDescent="0.2">
      <c r="B2" s="1502" t="s">
        <v>1495</v>
      </c>
      <c r="C2" s="1502"/>
      <c r="D2" s="1502"/>
      <c r="E2" s="1502"/>
      <c r="F2" s="1502"/>
      <c r="G2" s="1502"/>
      <c r="H2" s="1502"/>
      <c r="I2" s="1502"/>
      <c r="J2" s="1502"/>
      <c r="K2" s="1502"/>
      <c r="L2" s="1502"/>
      <c r="M2" s="1502"/>
      <c r="N2" s="1502"/>
      <c r="O2" s="1502"/>
      <c r="P2" s="1502"/>
      <c r="Q2" s="1502"/>
      <c r="R2" s="1502"/>
    </row>
    <row r="3" spans="2:24" ht="7.5" customHeight="1" x14ac:dyDescent="0.2">
      <c r="B3" s="724"/>
      <c r="C3" s="724"/>
      <c r="D3" s="724"/>
      <c r="E3" s="724"/>
      <c r="F3" s="724"/>
      <c r="G3" s="724"/>
      <c r="H3" s="724"/>
      <c r="I3" s="724"/>
      <c r="J3" s="724"/>
      <c r="K3" s="724"/>
      <c r="L3" s="724"/>
      <c r="M3" s="724"/>
      <c r="N3" s="724"/>
      <c r="O3" s="724"/>
      <c r="P3" s="724"/>
      <c r="Q3" s="724"/>
      <c r="R3" s="724"/>
    </row>
    <row r="4" spans="2:24" ht="25.2" customHeight="1" x14ac:dyDescent="0.2">
      <c r="I4" s="722" t="s">
        <v>92</v>
      </c>
      <c r="J4" s="1503"/>
      <c r="K4" s="1503"/>
      <c r="L4" s="1503"/>
      <c r="M4" s="1503"/>
      <c r="N4" s="1503"/>
      <c r="O4" s="1503"/>
      <c r="P4" s="1503"/>
      <c r="Q4" s="1503"/>
      <c r="R4" s="1503"/>
    </row>
    <row r="5" spans="2:24" ht="25.2" customHeight="1" x14ac:dyDescent="0.2">
      <c r="I5" s="722" t="s">
        <v>1496</v>
      </c>
      <c r="J5" s="1504"/>
      <c r="K5" s="1504"/>
      <c r="L5" s="1504"/>
      <c r="M5" s="1504"/>
      <c r="N5" s="1504"/>
      <c r="O5" s="1504"/>
      <c r="P5" s="1504"/>
      <c r="Q5" s="1504"/>
      <c r="R5" s="1504"/>
    </row>
    <row r="6" spans="2:24" ht="25.2" customHeight="1" x14ac:dyDescent="0.2">
      <c r="I6" s="722" t="s">
        <v>1497</v>
      </c>
      <c r="J6" s="1504"/>
      <c r="K6" s="1504"/>
      <c r="L6" s="1504"/>
      <c r="M6" s="1504"/>
      <c r="N6" s="1504"/>
      <c r="O6" s="1504"/>
      <c r="P6" s="1504"/>
      <c r="Q6" s="1504"/>
      <c r="R6" s="1504"/>
    </row>
    <row r="7" spans="2:24" ht="9" customHeight="1" x14ac:dyDescent="0.2">
      <c r="I7" s="722"/>
      <c r="J7" s="725"/>
      <c r="K7" s="725"/>
      <c r="L7" s="725"/>
      <c r="M7" s="725"/>
      <c r="N7" s="725"/>
      <c r="O7" s="725"/>
      <c r="P7" s="725"/>
      <c r="Q7" s="725"/>
      <c r="R7" s="725"/>
    </row>
    <row r="8" spans="2:24" x14ac:dyDescent="0.2">
      <c r="B8" s="1505" t="s">
        <v>1498</v>
      </c>
      <c r="C8" s="1505"/>
      <c r="D8" s="1505"/>
      <c r="E8" s="726"/>
      <c r="F8" s="1506" t="s">
        <v>1499</v>
      </c>
      <c r="G8" s="1506"/>
      <c r="H8" s="1506"/>
      <c r="I8" s="1506"/>
    </row>
    <row r="9" spans="2:24" hidden="1" x14ac:dyDescent="0.2">
      <c r="E9" s="726"/>
      <c r="F9" s="1507" t="s">
        <v>124</v>
      </c>
      <c r="G9" s="1507"/>
      <c r="H9" s="1507"/>
      <c r="I9" s="1507"/>
    </row>
    <row r="10" spans="2:24" ht="9" customHeight="1" x14ac:dyDescent="0.2"/>
    <row r="11" spans="2:24" x14ac:dyDescent="0.2">
      <c r="B11" s="727" t="s">
        <v>1500</v>
      </c>
      <c r="F11" s="1508" t="s">
        <v>1200</v>
      </c>
      <c r="G11" s="1508"/>
      <c r="H11" s="1508"/>
      <c r="I11" s="1508"/>
      <c r="J11" s="722" t="s">
        <v>1501</v>
      </c>
      <c r="K11" s="559"/>
    </row>
    <row r="12" spans="2:24" ht="9" customHeight="1" x14ac:dyDescent="0.2"/>
    <row r="13" spans="2:24" x14ac:dyDescent="0.2">
      <c r="B13" s="727" t="s">
        <v>1502</v>
      </c>
    </row>
    <row r="14" spans="2:24" x14ac:dyDescent="0.2">
      <c r="B14" s="552" t="s">
        <v>116</v>
      </c>
      <c r="C14" s="1509" t="s">
        <v>1503</v>
      </c>
      <c r="D14" s="1509"/>
      <c r="E14" s="1509"/>
      <c r="F14" s="1509"/>
      <c r="G14" s="1509"/>
      <c r="H14" s="1509"/>
      <c r="I14" s="1509"/>
      <c r="J14" s="1509"/>
      <c r="K14" s="1509"/>
      <c r="M14" s="1510" t="s">
        <v>1504</v>
      </c>
      <c r="N14" s="1511"/>
      <c r="O14" s="1511"/>
      <c r="P14" s="1511"/>
      <c r="Q14" s="1511"/>
      <c r="R14" s="1512"/>
    </row>
    <row r="15" spans="2:24" ht="80.099999999999994" customHeight="1" x14ac:dyDescent="0.2">
      <c r="B15" s="728"/>
      <c r="C15" s="1513" t="s">
        <v>1505</v>
      </c>
      <c r="D15" s="1513"/>
      <c r="E15" s="728"/>
      <c r="F15" s="1514" t="s">
        <v>1506</v>
      </c>
      <c r="G15" s="1514"/>
      <c r="H15" s="1515" t="s">
        <v>1507</v>
      </c>
      <c r="I15" s="1515"/>
      <c r="J15" s="1513" t="s">
        <v>1508</v>
      </c>
      <c r="K15" s="1513"/>
      <c r="M15" s="1516" t="str">
        <f>F8</f>
        <v>介護福祉士</v>
      </c>
      <c r="N15" s="1517"/>
      <c r="O15" s="1518"/>
      <c r="P15" s="1516" t="str">
        <f>F9</f>
        <v>介護職員</v>
      </c>
      <c r="Q15" s="1517"/>
      <c r="R15" s="1518"/>
    </row>
    <row r="16" spans="2:24" ht="26.1" customHeight="1" x14ac:dyDescent="0.2">
      <c r="B16" s="729" t="s">
        <v>1509</v>
      </c>
      <c r="C16" s="1519"/>
      <c r="D16" s="1520" t="s">
        <v>496</v>
      </c>
      <c r="E16" s="730" t="str">
        <f>$F$8</f>
        <v>介護福祉士</v>
      </c>
      <c r="F16" s="731"/>
      <c r="G16" s="732" t="s">
        <v>89</v>
      </c>
      <c r="H16" s="731"/>
      <c r="I16" s="732" t="s">
        <v>496</v>
      </c>
      <c r="J16" s="731"/>
      <c r="K16" s="732" t="s">
        <v>496</v>
      </c>
      <c r="M16" s="1522" t="str">
        <f>IF(C16="","",F16+ROUNDDOWN((H16+J16)/C16,1))</f>
        <v/>
      </c>
      <c r="N16" s="1523"/>
      <c r="O16" s="1524"/>
      <c r="P16" s="1522" t="str">
        <f>IF(C16="","",F17+ROUNDDOWN((H17+J17)/C16,1))</f>
        <v/>
      </c>
      <c r="Q16" s="1523"/>
      <c r="R16" s="1524"/>
      <c r="V16" s="733"/>
      <c r="W16" s="558" t="s">
        <v>1510</v>
      </c>
      <c r="X16" s="558" t="s">
        <v>1511</v>
      </c>
    </row>
    <row r="17" spans="2:24" ht="26.1" customHeight="1" x14ac:dyDescent="0.2">
      <c r="B17" s="734" t="s">
        <v>1512</v>
      </c>
      <c r="C17" s="1519"/>
      <c r="D17" s="1521"/>
      <c r="E17" s="735" t="str">
        <f>$F$9</f>
        <v>介護職員</v>
      </c>
      <c r="F17" s="736"/>
      <c r="G17" s="737" t="s">
        <v>89</v>
      </c>
      <c r="H17" s="736"/>
      <c r="I17" s="737" t="s">
        <v>496</v>
      </c>
      <c r="J17" s="736"/>
      <c r="K17" s="737" t="s">
        <v>496</v>
      </c>
      <c r="M17" s="1525"/>
      <c r="N17" s="1526"/>
      <c r="O17" s="1527"/>
      <c r="P17" s="1525"/>
      <c r="Q17" s="1526"/>
      <c r="R17" s="1527"/>
      <c r="V17" s="1528" t="s">
        <v>1513</v>
      </c>
      <c r="W17" s="733" t="s">
        <v>1499</v>
      </c>
      <c r="X17" s="733" t="s">
        <v>219</v>
      </c>
    </row>
    <row r="18" spans="2:24" ht="26.1" customHeight="1" x14ac:dyDescent="0.2">
      <c r="B18" s="738"/>
      <c r="C18" s="1519"/>
      <c r="D18" s="1520" t="s">
        <v>496</v>
      </c>
      <c r="E18" s="739" t="str">
        <f>$F$8</f>
        <v>介護福祉士</v>
      </c>
      <c r="F18" s="740"/>
      <c r="G18" s="741" t="s">
        <v>89</v>
      </c>
      <c r="H18" s="731"/>
      <c r="I18" s="741" t="s">
        <v>496</v>
      </c>
      <c r="J18" s="731"/>
      <c r="K18" s="741" t="s">
        <v>496</v>
      </c>
      <c r="M18" s="1522" t="str">
        <f>IF(C18="","",F18+ROUNDDOWN((H18+J18)/C18,1))</f>
        <v/>
      </c>
      <c r="N18" s="1523"/>
      <c r="O18" s="1524"/>
      <c r="P18" s="1522" t="str">
        <f>IF(C18="","",F19+ROUNDDOWN((H19+J19)/C18,1))</f>
        <v/>
      </c>
      <c r="Q18" s="1523"/>
      <c r="R18" s="1524"/>
      <c r="V18" s="1529"/>
      <c r="W18" s="733" t="s">
        <v>1514</v>
      </c>
      <c r="X18" s="733" t="s">
        <v>1515</v>
      </c>
    </row>
    <row r="19" spans="2:24" ht="26.1" customHeight="1" x14ac:dyDescent="0.2">
      <c r="B19" s="734" t="s">
        <v>1201</v>
      </c>
      <c r="C19" s="1519"/>
      <c r="D19" s="1521"/>
      <c r="E19" s="735" t="str">
        <f>$F$9</f>
        <v>介護職員</v>
      </c>
      <c r="F19" s="736"/>
      <c r="G19" s="737" t="s">
        <v>89</v>
      </c>
      <c r="H19" s="736"/>
      <c r="I19" s="737" t="s">
        <v>496</v>
      </c>
      <c r="J19" s="736"/>
      <c r="K19" s="737" t="s">
        <v>496</v>
      </c>
      <c r="M19" s="1525"/>
      <c r="N19" s="1526"/>
      <c r="O19" s="1527"/>
      <c r="P19" s="1525"/>
      <c r="Q19" s="1526"/>
      <c r="R19" s="1527"/>
      <c r="V19" s="1529"/>
      <c r="W19" s="733" t="s">
        <v>1516</v>
      </c>
      <c r="X19" s="733" t="s">
        <v>1104</v>
      </c>
    </row>
    <row r="20" spans="2:24" ht="26.1" customHeight="1" x14ac:dyDescent="0.2">
      <c r="B20" s="738"/>
      <c r="C20" s="1519"/>
      <c r="D20" s="1520" t="s">
        <v>496</v>
      </c>
      <c r="E20" s="739" t="str">
        <f>$F$8</f>
        <v>介護福祉士</v>
      </c>
      <c r="F20" s="740"/>
      <c r="G20" s="741" t="s">
        <v>89</v>
      </c>
      <c r="H20" s="731"/>
      <c r="I20" s="741" t="s">
        <v>496</v>
      </c>
      <c r="J20" s="731"/>
      <c r="K20" s="741" t="s">
        <v>496</v>
      </c>
      <c r="M20" s="1522" t="str">
        <f>IF(C20="","",F20+ROUNDDOWN((H20+J20)/C20,1))</f>
        <v/>
      </c>
      <c r="N20" s="1523"/>
      <c r="O20" s="1524"/>
      <c r="P20" s="1522" t="str">
        <f>IF(C20="","",F21+ROUNDDOWN((H21+J21)/C20,1))</f>
        <v/>
      </c>
      <c r="Q20" s="1523"/>
      <c r="R20" s="1524"/>
      <c r="V20" s="1529"/>
      <c r="W20" s="733" t="s">
        <v>1104</v>
      </c>
      <c r="X20" s="733" t="s">
        <v>1104</v>
      </c>
    </row>
    <row r="21" spans="2:24" ht="26.1" customHeight="1" x14ac:dyDescent="0.2">
      <c r="B21" s="734" t="s">
        <v>1202</v>
      </c>
      <c r="C21" s="1519"/>
      <c r="D21" s="1521"/>
      <c r="E21" s="735" t="str">
        <f>$F$9</f>
        <v>介護職員</v>
      </c>
      <c r="F21" s="736"/>
      <c r="G21" s="737" t="s">
        <v>89</v>
      </c>
      <c r="H21" s="736"/>
      <c r="I21" s="737" t="s">
        <v>496</v>
      </c>
      <c r="J21" s="736"/>
      <c r="K21" s="737" t="s">
        <v>496</v>
      </c>
      <c r="M21" s="1525"/>
      <c r="N21" s="1526"/>
      <c r="O21" s="1527"/>
      <c r="P21" s="1525"/>
      <c r="Q21" s="1526"/>
      <c r="R21" s="1527"/>
      <c r="V21" s="1529"/>
      <c r="W21" s="733" t="s">
        <v>1104</v>
      </c>
      <c r="X21" s="733" t="s">
        <v>1104</v>
      </c>
    </row>
    <row r="22" spans="2:24" ht="26.1" customHeight="1" x14ac:dyDescent="0.2">
      <c r="B22" s="738"/>
      <c r="C22" s="1519"/>
      <c r="D22" s="1520" t="s">
        <v>496</v>
      </c>
      <c r="E22" s="739" t="str">
        <f>$F$8</f>
        <v>介護福祉士</v>
      </c>
      <c r="F22" s="740"/>
      <c r="G22" s="741" t="s">
        <v>89</v>
      </c>
      <c r="H22" s="731"/>
      <c r="I22" s="741" t="s">
        <v>496</v>
      </c>
      <c r="J22" s="731"/>
      <c r="K22" s="741" t="s">
        <v>496</v>
      </c>
      <c r="M22" s="1522" t="str">
        <f>IF(C22="","",F22+ROUNDDOWN((H22+J22)/C22,1))</f>
        <v/>
      </c>
      <c r="N22" s="1523"/>
      <c r="O22" s="1524"/>
      <c r="P22" s="1522" t="str">
        <f>IF(C22="","",F23+ROUNDDOWN((H23+J23)/C22,1))</f>
        <v/>
      </c>
      <c r="Q22" s="1523"/>
      <c r="R22" s="1524"/>
      <c r="V22" s="1530"/>
      <c r="W22" s="733" t="s">
        <v>1104</v>
      </c>
      <c r="X22" s="733" t="s">
        <v>1104</v>
      </c>
    </row>
    <row r="23" spans="2:24" ht="26.1" customHeight="1" x14ac:dyDescent="0.2">
      <c r="B23" s="734" t="s">
        <v>1203</v>
      </c>
      <c r="C23" s="1519"/>
      <c r="D23" s="1521"/>
      <c r="E23" s="735" t="str">
        <f>$F$9</f>
        <v>介護職員</v>
      </c>
      <c r="F23" s="736"/>
      <c r="G23" s="737" t="s">
        <v>89</v>
      </c>
      <c r="H23" s="736"/>
      <c r="I23" s="737" t="s">
        <v>496</v>
      </c>
      <c r="J23" s="736"/>
      <c r="K23" s="737" t="s">
        <v>496</v>
      </c>
      <c r="M23" s="1525"/>
      <c r="N23" s="1526"/>
      <c r="O23" s="1527"/>
      <c r="P23" s="1525"/>
      <c r="Q23" s="1526"/>
      <c r="R23" s="1527"/>
    </row>
    <row r="24" spans="2:24" ht="26.1" customHeight="1" x14ac:dyDescent="0.2">
      <c r="B24" s="738"/>
      <c r="C24" s="1519"/>
      <c r="D24" s="1520" t="s">
        <v>496</v>
      </c>
      <c r="E24" s="739" t="str">
        <f>$F$8</f>
        <v>介護福祉士</v>
      </c>
      <c r="F24" s="740"/>
      <c r="G24" s="741" t="s">
        <v>89</v>
      </c>
      <c r="H24" s="731"/>
      <c r="I24" s="741" t="s">
        <v>496</v>
      </c>
      <c r="J24" s="731"/>
      <c r="K24" s="741" t="s">
        <v>496</v>
      </c>
      <c r="M24" s="1522" t="str">
        <f>IF(C24="","",F24+ROUNDDOWN((H24+J24)/C24,1))</f>
        <v/>
      </c>
      <c r="N24" s="1523"/>
      <c r="O24" s="1524"/>
      <c r="P24" s="1522" t="str">
        <f>IF(C24="","",F25+ROUNDDOWN((H25+J25)/C24,1))</f>
        <v/>
      </c>
      <c r="Q24" s="1523"/>
      <c r="R24" s="1524"/>
    </row>
    <row r="25" spans="2:24" ht="26.1" customHeight="1" x14ac:dyDescent="0.2">
      <c r="B25" s="734" t="s">
        <v>1204</v>
      </c>
      <c r="C25" s="1519"/>
      <c r="D25" s="1521"/>
      <c r="E25" s="735" t="str">
        <f>$F$9</f>
        <v>介護職員</v>
      </c>
      <c r="F25" s="736"/>
      <c r="G25" s="737" t="s">
        <v>89</v>
      </c>
      <c r="H25" s="736"/>
      <c r="I25" s="737" t="s">
        <v>496</v>
      </c>
      <c r="J25" s="736"/>
      <c r="K25" s="737" t="s">
        <v>496</v>
      </c>
      <c r="M25" s="1525"/>
      <c r="N25" s="1526"/>
      <c r="O25" s="1527"/>
      <c r="P25" s="1525"/>
      <c r="Q25" s="1526"/>
      <c r="R25" s="1527"/>
    </row>
    <row r="26" spans="2:24" ht="26.1" customHeight="1" x14ac:dyDescent="0.2">
      <c r="B26" s="738"/>
      <c r="C26" s="1519"/>
      <c r="D26" s="1520" t="s">
        <v>496</v>
      </c>
      <c r="E26" s="739" t="str">
        <f>$F$8</f>
        <v>介護福祉士</v>
      </c>
      <c r="F26" s="740"/>
      <c r="G26" s="741" t="s">
        <v>89</v>
      </c>
      <c r="H26" s="731"/>
      <c r="I26" s="741" t="s">
        <v>496</v>
      </c>
      <c r="J26" s="731"/>
      <c r="K26" s="741" t="s">
        <v>496</v>
      </c>
      <c r="M26" s="1522" t="str">
        <f>IF(C26="","",F26+ROUNDDOWN((H26+J26)/C26,1))</f>
        <v/>
      </c>
      <c r="N26" s="1523"/>
      <c r="O26" s="1524"/>
      <c r="P26" s="1522" t="str">
        <f>IF(C26="","",F27+ROUNDDOWN((H27+J27)/C26,1))</f>
        <v/>
      </c>
      <c r="Q26" s="1523"/>
      <c r="R26" s="1524"/>
    </row>
    <row r="27" spans="2:24" ht="26.1" customHeight="1" x14ac:dyDescent="0.2">
      <c r="B27" s="734" t="s">
        <v>1205</v>
      </c>
      <c r="C27" s="1519"/>
      <c r="D27" s="1521"/>
      <c r="E27" s="735" t="str">
        <f>$F$9</f>
        <v>介護職員</v>
      </c>
      <c r="F27" s="736"/>
      <c r="G27" s="737" t="s">
        <v>89</v>
      </c>
      <c r="H27" s="736"/>
      <c r="I27" s="737" t="s">
        <v>496</v>
      </c>
      <c r="J27" s="736"/>
      <c r="K27" s="737" t="s">
        <v>496</v>
      </c>
      <c r="M27" s="1525"/>
      <c r="N27" s="1526"/>
      <c r="O27" s="1527"/>
      <c r="P27" s="1525"/>
      <c r="Q27" s="1526"/>
      <c r="R27" s="1527"/>
    </row>
    <row r="28" spans="2:24" ht="26.1" customHeight="1" x14ac:dyDescent="0.2">
      <c r="B28" s="738"/>
      <c r="C28" s="1519"/>
      <c r="D28" s="1520" t="s">
        <v>496</v>
      </c>
      <c r="E28" s="739" t="str">
        <f>$F$8</f>
        <v>介護福祉士</v>
      </c>
      <c r="F28" s="740"/>
      <c r="G28" s="741" t="s">
        <v>89</v>
      </c>
      <c r="H28" s="731"/>
      <c r="I28" s="741" t="s">
        <v>496</v>
      </c>
      <c r="J28" s="731"/>
      <c r="K28" s="741" t="s">
        <v>496</v>
      </c>
      <c r="M28" s="1522" t="str">
        <f>IF(C28="","",F28+ROUNDDOWN((H28+J28)/C28,1))</f>
        <v/>
      </c>
      <c r="N28" s="1523"/>
      <c r="O28" s="1524"/>
      <c r="P28" s="1522" t="str">
        <f>IF(C28="","",F29+ROUNDDOWN((H29+J29)/C28,1))</f>
        <v/>
      </c>
      <c r="Q28" s="1523"/>
      <c r="R28" s="1524"/>
    </row>
    <row r="29" spans="2:24" ht="26.1" customHeight="1" x14ac:dyDescent="0.2">
      <c r="B29" s="734" t="s">
        <v>1206</v>
      </c>
      <c r="C29" s="1519"/>
      <c r="D29" s="1521"/>
      <c r="E29" s="735" t="str">
        <f>$F$9</f>
        <v>介護職員</v>
      </c>
      <c r="F29" s="736"/>
      <c r="G29" s="737" t="s">
        <v>89</v>
      </c>
      <c r="H29" s="736"/>
      <c r="I29" s="737" t="s">
        <v>496</v>
      </c>
      <c r="J29" s="736"/>
      <c r="K29" s="737" t="s">
        <v>496</v>
      </c>
      <c r="M29" s="1525"/>
      <c r="N29" s="1526"/>
      <c r="O29" s="1527"/>
      <c r="P29" s="1525"/>
      <c r="Q29" s="1526"/>
      <c r="R29" s="1527"/>
    </row>
    <row r="30" spans="2:24" ht="26.1" customHeight="1" x14ac:dyDescent="0.2">
      <c r="B30" s="738"/>
      <c r="C30" s="1519"/>
      <c r="D30" s="1520" t="s">
        <v>496</v>
      </c>
      <c r="E30" s="739" t="str">
        <f>$F$8</f>
        <v>介護福祉士</v>
      </c>
      <c r="F30" s="740"/>
      <c r="G30" s="741" t="s">
        <v>89</v>
      </c>
      <c r="H30" s="731"/>
      <c r="I30" s="741" t="s">
        <v>496</v>
      </c>
      <c r="J30" s="731"/>
      <c r="K30" s="741" t="s">
        <v>496</v>
      </c>
      <c r="M30" s="1522" t="str">
        <f>IF(C30="","",F30+ROUNDDOWN((H30+J30)/C30,1))</f>
        <v/>
      </c>
      <c r="N30" s="1523"/>
      <c r="O30" s="1524"/>
      <c r="P30" s="1522" t="str">
        <f>IF(C30="","",F31+ROUNDDOWN((H31+J31)/C30,1))</f>
        <v/>
      </c>
      <c r="Q30" s="1523"/>
      <c r="R30" s="1524"/>
    </row>
    <row r="31" spans="2:24" ht="26.1" customHeight="1" x14ac:dyDescent="0.2">
      <c r="B31" s="734" t="s">
        <v>652</v>
      </c>
      <c r="C31" s="1519"/>
      <c r="D31" s="1521"/>
      <c r="E31" s="735" t="str">
        <f>$F$9</f>
        <v>介護職員</v>
      </c>
      <c r="F31" s="736"/>
      <c r="G31" s="737" t="s">
        <v>89</v>
      </c>
      <c r="H31" s="736"/>
      <c r="I31" s="737" t="s">
        <v>496</v>
      </c>
      <c r="J31" s="736"/>
      <c r="K31" s="737" t="s">
        <v>496</v>
      </c>
      <c r="M31" s="1525"/>
      <c r="N31" s="1526"/>
      <c r="O31" s="1527"/>
      <c r="P31" s="1525"/>
      <c r="Q31" s="1526"/>
      <c r="R31" s="1527"/>
    </row>
    <row r="32" spans="2:24" ht="26.1" customHeight="1" x14ac:dyDescent="0.2">
      <c r="B32" s="738"/>
      <c r="C32" s="1519"/>
      <c r="D32" s="1520" t="s">
        <v>496</v>
      </c>
      <c r="E32" s="739" t="str">
        <f>$F$8</f>
        <v>介護福祉士</v>
      </c>
      <c r="F32" s="740"/>
      <c r="G32" s="741" t="s">
        <v>89</v>
      </c>
      <c r="H32" s="731"/>
      <c r="I32" s="741" t="s">
        <v>496</v>
      </c>
      <c r="J32" s="731"/>
      <c r="K32" s="741" t="s">
        <v>496</v>
      </c>
      <c r="M32" s="1522" t="str">
        <f>IF(C32="","",F32+ROUNDDOWN((H32+J32)/C32,1))</f>
        <v/>
      </c>
      <c r="N32" s="1523"/>
      <c r="O32" s="1524"/>
      <c r="P32" s="1522" t="str">
        <f>IF(C32="","",F33+ROUNDDOWN((H33+J33)/C32,1))</f>
        <v/>
      </c>
      <c r="Q32" s="1523"/>
      <c r="R32" s="1524"/>
    </row>
    <row r="33" spans="2:19" ht="26.1" customHeight="1" x14ac:dyDescent="0.2">
      <c r="B33" s="734" t="s">
        <v>653</v>
      </c>
      <c r="C33" s="1519"/>
      <c r="D33" s="1521"/>
      <c r="E33" s="735" t="str">
        <f>$F$9</f>
        <v>介護職員</v>
      </c>
      <c r="F33" s="736"/>
      <c r="G33" s="737" t="s">
        <v>89</v>
      </c>
      <c r="H33" s="736"/>
      <c r="I33" s="737" t="s">
        <v>496</v>
      </c>
      <c r="J33" s="736"/>
      <c r="K33" s="737" t="s">
        <v>496</v>
      </c>
      <c r="M33" s="1525"/>
      <c r="N33" s="1526"/>
      <c r="O33" s="1527"/>
      <c r="P33" s="1525"/>
      <c r="Q33" s="1526"/>
      <c r="R33" s="1527"/>
    </row>
    <row r="34" spans="2:19" ht="26.1" customHeight="1" x14ac:dyDescent="0.2">
      <c r="B34" s="729" t="s">
        <v>1509</v>
      </c>
      <c r="C34" s="1519"/>
      <c r="D34" s="1520" t="s">
        <v>496</v>
      </c>
      <c r="E34" s="739" t="str">
        <f>$F$8</f>
        <v>介護福祉士</v>
      </c>
      <c r="F34" s="740"/>
      <c r="G34" s="741" t="s">
        <v>89</v>
      </c>
      <c r="H34" s="731"/>
      <c r="I34" s="741" t="s">
        <v>496</v>
      </c>
      <c r="J34" s="731"/>
      <c r="K34" s="741" t="s">
        <v>496</v>
      </c>
      <c r="M34" s="1522" t="str">
        <f>IF(C34="","",F34+ROUNDDOWN((H34+J34)/C34,1))</f>
        <v/>
      </c>
      <c r="N34" s="1523"/>
      <c r="O34" s="1524"/>
      <c r="P34" s="1522" t="str">
        <f>IF(C34="","",F35+ROUNDDOWN((H35+J35)/C34,1))</f>
        <v/>
      </c>
      <c r="Q34" s="1523"/>
      <c r="R34" s="1524"/>
    </row>
    <row r="35" spans="2:19" ht="26.1" customHeight="1" x14ac:dyDescent="0.2">
      <c r="B35" s="734" t="s">
        <v>1207</v>
      </c>
      <c r="C35" s="1519"/>
      <c r="D35" s="1521"/>
      <c r="E35" s="735" t="str">
        <f>$F$9</f>
        <v>介護職員</v>
      </c>
      <c r="F35" s="736"/>
      <c r="G35" s="737" t="s">
        <v>89</v>
      </c>
      <c r="H35" s="736"/>
      <c r="I35" s="737" t="s">
        <v>496</v>
      </c>
      <c r="J35" s="736"/>
      <c r="K35" s="737" t="s">
        <v>496</v>
      </c>
      <c r="M35" s="1525"/>
      <c r="N35" s="1526"/>
      <c r="O35" s="1527"/>
      <c r="P35" s="1525"/>
      <c r="Q35" s="1526"/>
      <c r="R35" s="1527"/>
    </row>
    <row r="36" spans="2:19" ht="26.1" customHeight="1" x14ac:dyDescent="0.2">
      <c r="B36" s="738"/>
      <c r="C36" s="1519"/>
      <c r="D36" s="1520" t="s">
        <v>496</v>
      </c>
      <c r="E36" s="739" t="str">
        <f>$F$8</f>
        <v>介護福祉士</v>
      </c>
      <c r="F36" s="740"/>
      <c r="G36" s="741" t="s">
        <v>89</v>
      </c>
      <c r="H36" s="731"/>
      <c r="I36" s="741" t="s">
        <v>496</v>
      </c>
      <c r="J36" s="731"/>
      <c r="K36" s="741" t="s">
        <v>496</v>
      </c>
      <c r="M36" s="1522" t="str">
        <f>IF(C36="","",F36+ROUNDDOWN((H36+J36)/C36,1))</f>
        <v/>
      </c>
      <c r="N36" s="1523"/>
      <c r="O36" s="1524"/>
      <c r="P36" s="1522" t="str">
        <f>IF(C36="","",F37+ROUNDDOWN((H37+J37)/C36,1))</f>
        <v/>
      </c>
      <c r="Q36" s="1523"/>
      <c r="R36" s="1524"/>
    </row>
    <row r="37" spans="2:19" ht="26.1" customHeight="1" x14ac:dyDescent="0.2">
      <c r="B37" s="734" t="s">
        <v>1208</v>
      </c>
      <c r="C37" s="1519"/>
      <c r="D37" s="1521"/>
      <c r="E37" s="735" t="str">
        <f>$F$9</f>
        <v>介護職員</v>
      </c>
      <c r="F37" s="736"/>
      <c r="G37" s="737" t="s">
        <v>89</v>
      </c>
      <c r="H37" s="736"/>
      <c r="I37" s="737" t="s">
        <v>496</v>
      </c>
      <c r="J37" s="736"/>
      <c r="K37" s="737" t="s">
        <v>496</v>
      </c>
      <c r="M37" s="1525"/>
      <c r="N37" s="1526"/>
      <c r="O37" s="1527"/>
      <c r="P37" s="1525"/>
      <c r="Q37" s="1526"/>
      <c r="R37" s="1527"/>
    </row>
    <row r="38" spans="2:19" ht="6.75" customHeight="1" x14ac:dyDescent="0.2">
      <c r="B38" s="742"/>
      <c r="C38" s="743"/>
      <c r="D38" s="742"/>
      <c r="E38" s="744"/>
      <c r="F38" s="745"/>
      <c r="G38" s="746"/>
      <c r="H38" s="745"/>
      <c r="I38" s="746"/>
      <c r="J38" s="747"/>
      <c r="K38" s="748"/>
      <c r="L38" s="748"/>
      <c r="M38" s="749"/>
      <c r="N38" s="749"/>
      <c r="O38" s="749"/>
      <c r="P38" s="749"/>
      <c r="Q38" s="749"/>
      <c r="R38" s="749"/>
    </row>
    <row r="39" spans="2:19" ht="20.100000000000001" customHeight="1" x14ac:dyDescent="0.2">
      <c r="H39" s="723"/>
      <c r="J39" s="1521" t="s">
        <v>375</v>
      </c>
      <c r="K39" s="1521"/>
      <c r="L39" s="1521"/>
      <c r="M39" s="1525" t="str">
        <f>IF(SUM(M16:O37)=0,"",SUM(M16:O37))</f>
        <v/>
      </c>
      <c r="N39" s="1526"/>
      <c r="O39" s="1527"/>
      <c r="P39" s="1525" t="str">
        <f>IF(SUM(P16:R37)=0,"",SUM(P16:R37))</f>
        <v/>
      </c>
      <c r="Q39" s="1526"/>
      <c r="R39" s="1526"/>
      <c r="S39" s="750"/>
    </row>
    <row r="40" spans="2:19" ht="20.100000000000001" customHeight="1" x14ac:dyDescent="0.2">
      <c r="H40" s="723"/>
      <c r="J40" s="1507" t="s">
        <v>1517</v>
      </c>
      <c r="K40" s="1507"/>
      <c r="L40" s="1507"/>
      <c r="M40" s="1531" t="str">
        <f>IF(M39="","",ROUNDDOWN(M39/$K$11,1))</f>
        <v/>
      </c>
      <c r="N40" s="1532"/>
      <c r="O40" s="1533"/>
      <c r="P40" s="1531" t="str">
        <f>IF(P39="","",ROUNDDOWN(P39/$K$11,1))</f>
        <v/>
      </c>
      <c r="Q40" s="1532"/>
      <c r="R40" s="1533"/>
    </row>
    <row r="41" spans="2:19" ht="18.75" customHeight="1" x14ac:dyDescent="0.2">
      <c r="J41" s="1534" t="str">
        <f>$M$15</f>
        <v>介護福祉士</v>
      </c>
      <c r="K41" s="1535"/>
      <c r="L41" s="1535"/>
      <c r="M41" s="1535"/>
      <c r="N41" s="1535"/>
      <c r="O41" s="1536"/>
      <c r="P41" s="1537" t="str">
        <f>IF(M40="","",M40/P40)</f>
        <v/>
      </c>
      <c r="Q41" s="1538"/>
      <c r="R41" s="1539"/>
    </row>
    <row r="42" spans="2:19" ht="18.75" customHeight="1" x14ac:dyDescent="0.2">
      <c r="J42" s="1543" t="s">
        <v>1518</v>
      </c>
      <c r="K42" s="1544"/>
      <c r="L42" s="1544"/>
      <c r="M42" s="1544"/>
      <c r="N42" s="1544"/>
      <c r="O42" s="1545"/>
      <c r="P42" s="1540"/>
      <c r="Q42" s="1541"/>
      <c r="R42" s="1542"/>
    </row>
    <row r="43" spans="2:19" ht="18.75" customHeight="1" x14ac:dyDescent="0.2">
      <c r="J43" s="723"/>
      <c r="K43" s="723"/>
      <c r="L43" s="723"/>
      <c r="M43" s="723"/>
      <c r="N43" s="723"/>
      <c r="O43" s="723"/>
      <c r="P43" s="723"/>
      <c r="Q43" s="723"/>
      <c r="R43" s="553"/>
    </row>
    <row r="44" spans="2:19" ht="18.75" customHeight="1" x14ac:dyDescent="0.2">
      <c r="B44" s="552" t="s">
        <v>116</v>
      </c>
      <c r="C44" s="1509" t="s">
        <v>1519</v>
      </c>
      <c r="D44" s="1509"/>
      <c r="E44" s="1509"/>
      <c r="F44" s="1509"/>
      <c r="G44" s="1509"/>
      <c r="H44" s="1509"/>
      <c r="I44" s="1509"/>
      <c r="J44" s="1509"/>
      <c r="K44" s="1509"/>
      <c r="M44" s="1510" t="s">
        <v>1504</v>
      </c>
      <c r="N44" s="1511"/>
      <c r="O44" s="1511"/>
      <c r="P44" s="1511"/>
      <c r="Q44" s="1511"/>
      <c r="R44" s="1512"/>
    </row>
    <row r="45" spans="2:19" ht="79.5" customHeight="1" x14ac:dyDescent="0.2">
      <c r="B45" s="728"/>
      <c r="C45" s="1513" t="s">
        <v>1505</v>
      </c>
      <c r="D45" s="1513"/>
      <c r="E45" s="728"/>
      <c r="F45" s="1514" t="s">
        <v>1506</v>
      </c>
      <c r="G45" s="1514"/>
      <c r="H45" s="1515" t="s">
        <v>1507</v>
      </c>
      <c r="I45" s="1515"/>
      <c r="J45" s="1513" t="s">
        <v>1508</v>
      </c>
      <c r="K45" s="1513"/>
      <c r="M45" s="1516" t="str">
        <f>F8</f>
        <v>介護福祉士</v>
      </c>
      <c r="N45" s="1517"/>
      <c r="O45" s="1518"/>
      <c r="P45" s="1516" t="str">
        <f>F9</f>
        <v>介護職員</v>
      </c>
      <c r="Q45" s="1517"/>
      <c r="R45" s="1518"/>
    </row>
    <row r="46" spans="2:19" ht="25.5" customHeight="1" x14ac:dyDescent="0.2">
      <c r="B46" s="729" t="s">
        <v>1509</v>
      </c>
      <c r="C46" s="1519"/>
      <c r="D46" s="1520" t="s">
        <v>496</v>
      </c>
      <c r="E46" s="751" t="str">
        <f>$F$8</f>
        <v>介護福祉士</v>
      </c>
      <c r="F46" s="731"/>
      <c r="G46" s="732" t="s">
        <v>89</v>
      </c>
      <c r="H46" s="731"/>
      <c r="I46" s="732" t="s">
        <v>496</v>
      </c>
      <c r="J46" s="731"/>
      <c r="K46" s="732" t="s">
        <v>496</v>
      </c>
      <c r="M46" s="1522" t="str">
        <f>IF(C46="","",F46+ROUNDDOWN((H46+J46)/C46,1))</f>
        <v/>
      </c>
      <c r="N46" s="1523"/>
      <c r="O46" s="1524"/>
      <c r="P46" s="1522" t="str">
        <f>IF(C46="","",F47+ROUNDDOWN((H47+J47)/C46,1))</f>
        <v/>
      </c>
      <c r="Q46" s="1523"/>
      <c r="R46" s="1524"/>
    </row>
    <row r="47" spans="2:19" ht="25.5" customHeight="1" x14ac:dyDescent="0.2">
      <c r="B47" s="752" t="s">
        <v>1512</v>
      </c>
      <c r="C47" s="1519"/>
      <c r="D47" s="1521"/>
      <c r="E47" s="753" t="str">
        <f>$F$9</f>
        <v>介護職員</v>
      </c>
      <c r="F47" s="736"/>
      <c r="G47" s="737" t="s">
        <v>89</v>
      </c>
      <c r="H47" s="736"/>
      <c r="I47" s="737" t="s">
        <v>496</v>
      </c>
      <c r="J47" s="736"/>
      <c r="K47" s="737" t="s">
        <v>496</v>
      </c>
      <c r="M47" s="1525"/>
      <c r="N47" s="1526"/>
      <c r="O47" s="1527"/>
      <c r="P47" s="1525"/>
      <c r="Q47" s="1526"/>
      <c r="R47" s="1527"/>
    </row>
    <row r="48" spans="2:19" ht="25.5" customHeight="1" x14ac:dyDescent="0.2">
      <c r="B48" s="754"/>
      <c r="C48" s="1519"/>
      <c r="D48" s="1520" t="s">
        <v>496</v>
      </c>
      <c r="E48" s="755" t="str">
        <f>$F$8</f>
        <v>介護福祉士</v>
      </c>
      <c r="F48" s="740"/>
      <c r="G48" s="741" t="s">
        <v>89</v>
      </c>
      <c r="H48" s="731"/>
      <c r="I48" s="741" t="s">
        <v>496</v>
      </c>
      <c r="J48" s="731"/>
      <c r="K48" s="741" t="s">
        <v>496</v>
      </c>
      <c r="M48" s="1522" t="str">
        <f>IF(C48="","",F48+ROUNDDOWN((H48+J48)/C48,1))</f>
        <v/>
      </c>
      <c r="N48" s="1523"/>
      <c r="O48" s="1524"/>
      <c r="P48" s="1522" t="str">
        <f>IF(C48="","",F49+ROUNDDOWN((H49+J49)/C48,1))</f>
        <v/>
      </c>
      <c r="Q48" s="1523"/>
      <c r="R48" s="1524"/>
    </row>
    <row r="49" spans="2:18" ht="25.5" customHeight="1" x14ac:dyDescent="0.2">
      <c r="B49" s="752" t="s">
        <v>1201</v>
      </c>
      <c r="C49" s="1519"/>
      <c r="D49" s="1521"/>
      <c r="E49" s="753" t="str">
        <f>$F$9</f>
        <v>介護職員</v>
      </c>
      <c r="F49" s="736"/>
      <c r="G49" s="737" t="s">
        <v>89</v>
      </c>
      <c r="H49" s="736"/>
      <c r="I49" s="737" t="s">
        <v>496</v>
      </c>
      <c r="J49" s="736"/>
      <c r="K49" s="737" t="s">
        <v>496</v>
      </c>
      <c r="M49" s="1525"/>
      <c r="N49" s="1526"/>
      <c r="O49" s="1527"/>
      <c r="P49" s="1525"/>
      <c r="Q49" s="1526"/>
      <c r="R49" s="1527"/>
    </row>
    <row r="50" spans="2:18" ht="25.5" customHeight="1" x14ac:dyDescent="0.2">
      <c r="B50" s="754"/>
      <c r="C50" s="1519"/>
      <c r="D50" s="1520" t="s">
        <v>496</v>
      </c>
      <c r="E50" s="755" t="str">
        <f>$F$8</f>
        <v>介護福祉士</v>
      </c>
      <c r="F50" s="740"/>
      <c r="G50" s="741" t="s">
        <v>89</v>
      </c>
      <c r="H50" s="731"/>
      <c r="I50" s="741" t="s">
        <v>496</v>
      </c>
      <c r="J50" s="731"/>
      <c r="K50" s="741" t="s">
        <v>496</v>
      </c>
      <c r="M50" s="1522" t="str">
        <f>IF(C50="","",F50+ROUNDDOWN((H50+J50)/C50,1))</f>
        <v/>
      </c>
      <c r="N50" s="1523"/>
      <c r="O50" s="1524"/>
      <c r="P50" s="1522" t="str">
        <f>IF(C50="","",F51+ROUNDDOWN((H51+J51)/C50,1))</f>
        <v/>
      </c>
      <c r="Q50" s="1523"/>
      <c r="R50" s="1524"/>
    </row>
    <row r="51" spans="2:18" ht="25.5" customHeight="1" x14ac:dyDescent="0.2">
      <c r="B51" s="752" t="s">
        <v>1202</v>
      </c>
      <c r="C51" s="1519"/>
      <c r="D51" s="1521"/>
      <c r="E51" s="753" t="str">
        <f>$F$9</f>
        <v>介護職員</v>
      </c>
      <c r="F51" s="736"/>
      <c r="G51" s="737" t="s">
        <v>89</v>
      </c>
      <c r="H51" s="736"/>
      <c r="I51" s="737" t="s">
        <v>496</v>
      </c>
      <c r="J51" s="736"/>
      <c r="K51" s="737" t="s">
        <v>496</v>
      </c>
      <c r="M51" s="1525"/>
      <c r="N51" s="1526"/>
      <c r="O51" s="1527"/>
      <c r="P51" s="1525"/>
      <c r="Q51" s="1526"/>
      <c r="R51" s="1527"/>
    </row>
    <row r="52" spans="2:18" ht="6.75" customHeight="1" x14ac:dyDescent="0.2">
      <c r="J52" s="723"/>
      <c r="K52" s="723"/>
      <c r="L52" s="723"/>
      <c r="M52" s="723"/>
      <c r="N52" s="723"/>
      <c r="O52" s="723"/>
      <c r="P52" s="723"/>
      <c r="Q52" s="723"/>
      <c r="R52" s="553"/>
    </row>
    <row r="53" spans="2:18" ht="20.100000000000001" customHeight="1" x14ac:dyDescent="0.2">
      <c r="J53" s="1507" t="s">
        <v>375</v>
      </c>
      <c r="K53" s="1507"/>
      <c r="L53" s="1507"/>
      <c r="M53" s="1531" t="str">
        <f>IF(SUM(M46:O51)=0,"",SUM(M46:O51))</f>
        <v/>
      </c>
      <c r="N53" s="1532"/>
      <c r="O53" s="1533"/>
      <c r="P53" s="1531" t="str">
        <f>IF(SUM(P46:R51)=0,"",SUM(P46:R51))</f>
        <v/>
      </c>
      <c r="Q53" s="1532"/>
      <c r="R53" s="1533"/>
    </row>
    <row r="54" spans="2:18" ht="20.100000000000001" customHeight="1" x14ac:dyDescent="0.2">
      <c r="J54" s="1507" t="s">
        <v>1517</v>
      </c>
      <c r="K54" s="1507"/>
      <c r="L54" s="1507"/>
      <c r="M54" s="1531" t="str">
        <f>IF(M53="","",ROUNDDOWN(M53/3,1))</f>
        <v/>
      </c>
      <c r="N54" s="1532"/>
      <c r="O54" s="1533"/>
      <c r="P54" s="1531" t="str">
        <f>IF(P53="","",ROUNDDOWN(P53/3,1))</f>
        <v/>
      </c>
      <c r="Q54" s="1532"/>
      <c r="R54" s="1533"/>
    </row>
    <row r="55" spans="2:18" ht="18.75" customHeight="1" x14ac:dyDescent="0.2">
      <c r="J55" s="1534" t="str">
        <f>$M$15</f>
        <v>介護福祉士</v>
      </c>
      <c r="K55" s="1535"/>
      <c r="L55" s="1535"/>
      <c r="M55" s="1535"/>
      <c r="N55" s="1535"/>
      <c r="O55" s="1536"/>
      <c r="P55" s="1537" t="str">
        <f>IF(M54="","",M54/P54)</f>
        <v/>
      </c>
      <c r="Q55" s="1538"/>
      <c r="R55" s="1539"/>
    </row>
    <row r="56" spans="2:18" ht="18.75" customHeight="1" x14ac:dyDescent="0.2">
      <c r="J56" s="1543" t="s">
        <v>1518</v>
      </c>
      <c r="K56" s="1544"/>
      <c r="L56" s="1544"/>
      <c r="M56" s="1544"/>
      <c r="N56" s="1544"/>
      <c r="O56" s="1545"/>
      <c r="P56" s="1540"/>
      <c r="Q56" s="1541"/>
      <c r="R56" s="1542"/>
    </row>
    <row r="57" spans="2:18" ht="18.75" customHeight="1" x14ac:dyDescent="0.2">
      <c r="J57" s="723"/>
      <c r="K57" s="723"/>
      <c r="L57" s="723"/>
      <c r="M57" s="723"/>
      <c r="N57" s="723"/>
      <c r="O57" s="723"/>
      <c r="P57" s="723"/>
      <c r="Q57" s="723"/>
      <c r="R57" s="553"/>
    </row>
    <row r="59" spans="2:18" x14ac:dyDescent="0.2">
      <c r="B59" s="721" t="s">
        <v>531</v>
      </c>
    </row>
    <row r="60" spans="2:18" x14ac:dyDescent="0.2">
      <c r="B60" s="1546" t="s">
        <v>1520</v>
      </c>
      <c r="C60" s="1546"/>
      <c r="D60" s="1546"/>
      <c r="E60" s="1546"/>
      <c r="F60" s="1546"/>
      <c r="G60" s="1546"/>
      <c r="H60" s="1546"/>
      <c r="I60" s="1546"/>
      <c r="J60" s="1546"/>
      <c r="K60" s="1546"/>
      <c r="L60" s="1546"/>
      <c r="M60" s="1546"/>
      <c r="N60" s="1546"/>
      <c r="O60" s="1546"/>
      <c r="P60" s="1546"/>
      <c r="Q60" s="1546"/>
      <c r="R60" s="1546"/>
    </row>
    <row r="61" spans="2:18" x14ac:dyDescent="0.2">
      <c r="B61" s="1546" t="s">
        <v>1521</v>
      </c>
      <c r="C61" s="1546"/>
      <c r="D61" s="1546"/>
      <c r="E61" s="1546"/>
      <c r="F61" s="1546"/>
      <c r="G61" s="1546"/>
      <c r="H61" s="1546"/>
      <c r="I61" s="1546"/>
      <c r="J61" s="1546"/>
      <c r="K61" s="1546"/>
      <c r="L61" s="1546"/>
      <c r="M61" s="1546"/>
      <c r="N61" s="1546"/>
      <c r="O61" s="1546"/>
      <c r="P61" s="1546"/>
      <c r="Q61" s="1546"/>
      <c r="R61" s="1546"/>
    </row>
    <row r="62" spans="2:18" x14ac:dyDescent="0.2">
      <c r="B62" s="1546" t="s">
        <v>1522</v>
      </c>
      <c r="C62" s="1546"/>
      <c r="D62" s="1546"/>
      <c r="E62" s="1546"/>
      <c r="F62" s="1546"/>
      <c r="G62" s="1546"/>
      <c r="H62" s="1546"/>
      <c r="I62" s="1546"/>
      <c r="J62" s="1546"/>
      <c r="K62" s="1546"/>
      <c r="L62" s="1546"/>
      <c r="M62" s="1546"/>
      <c r="N62" s="1546"/>
      <c r="O62" s="1546"/>
      <c r="P62" s="1546"/>
      <c r="Q62" s="1546"/>
      <c r="R62" s="1546"/>
    </row>
    <row r="63" spans="2:18" x14ac:dyDescent="0.2">
      <c r="B63" s="756" t="s">
        <v>1523</v>
      </c>
      <c r="C63" s="756"/>
      <c r="D63" s="756"/>
      <c r="E63" s="756"/>
      <c r="F63" s="756"/>
      <c r="G63" s="756"/>
      <c r="H63" s="756"/>
      <c r="I63" s="756"/>
      <c r="J63" s="756"/>
      <c r="K63" s="756"/>
      <c r="L63" s="756"/>
      <c r="M63" s="756"/>
      <c r="N63" s="756"/>
      <c r="O63" s="756"/>
      <c r="P63" s="756"/>
      <c r="Q63" s="756"/>
      <c r="R63" s="756"/>
    </row>
    <row r="64" spans="2:18" x14ac:dyDescent="0.2">
      <c r="B64" s="1546" t="s">
        <v>1524</v>
      </c>
      <c r="C64" s="1546"/>
      <c r="D64" s="1546"/>
      <c r="E64" s="1546"/>
      <c r="F64" s="1546"/>
      <c r="G64" s="1546"/>
      <c r="H64" s="1546"/>
      <c r="I64" s="1546"/>
      <c r="J64" s="1546"/>
      <c r="K64" s="1546"/>
      <c r="L64" s="1546"/>
      <c r="M64" s="1546"/>
      <c r="N64" s="1546"/>
      <c r="O64" s="1546"/>
      <c r="P64" s="1546"/>
      <c r="Q64" s="1546"/>
      <c r="R64" s="1546"/>
    </row>
    <row r="65" spans="2:18" x14ac:dyDescent="0.2">
      <c r="B65" s="1546" t="s">
        <v>1525</v>
      </c>
      <c r="C65" s="1546"/>
      <c r="D65" s="1546"/>
      <c r="E65" s="1546"/>
      <c r="F65" s="1546"/>
      <c r="G65" s="1546"/>
      <c r="H65" s="1546"/>
      <c r="I65" s="1546"/>
      <c r="J65" s="1546"/>
      <c r="K65" s="1546"/>
      <c r="L65" s="1546"/>
      <c r="M65" s="1546"/>
      <c r="N65" s="1546"/>
      <c r="O65" s="1546"/>
      <c r="P65" s="1546"/>
      <c r="Q65" s="1546"/>
      <c r="R65" s="1546"/>
    </row>
    <row r="66" spans="2:18" x14ac:dyDescent="0.2">
      <c r="B66" s="1546" t="s">
        <v>1526</v>
      </c>
      <c r="C66" s="1546"/>
      <c r="D66" s="1546"/>
      <c r="E66" s="1546"/>
      <c r="F66" s="1546"/>
      <c r="G66" s="1546"/>
      <c r="H66" s="1546"/>
      <c r="I66" s="1546"/>
      <c r="J66" s="1546"/>
      <c r="K66" s="1546"/>
      <c r="L66" s="1546"/>
      <c r="M66" s="1546"/>
      <c r="N66" s="1546"/>
      <c r="O66" s="1546"/>
      <c r="P66" s="1546"/>
      <c r="Q66" s="1546"/>
      <c r="R66" s="1546"/>
    </row>
    <row r="67" spans="2:18" x14ac:dyDescent="0.2">
      <c r="B67" s="1546" t="s">
        <v>1527</v>
      </c>
      <c r="C67" s="1546"/>
      <c r="D67" s="1546"/>
      <c r="E67" s="1546"/>
      <c r="F67" s="1546"/>
      <c r="G67" s="1546"/>
      <c r="H67" s="1546"/>
      <c r="I67" s="1546"/>
      <c r="J67" s="1546"/>
      <c r="K67" s="1546"/>
      <c r="L67" s="1546"/>
      <c r="M67" s="1546"/>
      <c r="N67" s="1546"/>
      <c r="O67" s="1546"/>
      <c r="P67" s="1546"/>
      <c r="Q67" s="1546"/>
      <c r="R67" s="1546"/>
    </row>
    <row r="68" spans="2:18" x14ac:dyDescent="0.2">
      <c r="B68" s="1546" t="s">
        <v>1528</v>
      </c>
      <c r="C68" s="1546"/>
      <c r="D68" s="1546"/>
      <c r="E68" s="1546"/>
      <c r="F68" s="1546"/>
      <c r="G68" s="1546"/>
      <c r="H68" s="1546"/>
      <c r="I68" s="1546"/>
      <c r="J68" s="1546"/>
      <c r="K68" s="1546"/>
      <c r="L68" s="1546"/>
      <c r="M68" s="1546"/>
      <c r="N68" s="1546"/>
      <c r="O68" s="1546"/>
      <c r="P68" s="1546"/>
      <c r="Q68" s="1546"/>
      <c r="R68" s="1546"/>
    </row>
    <row r="69" spans="2:18" x14ac:dyDescent="0.2">
      <c r="B69" s="1546" t="s">
        <v>1529</v>
      </c>
      <c r="C69" s="1546"/>
      <c r="D69" s="1546"/>
      <c r="E69" s="1546"/>
      <c r="F69" s="1546"/>
      <c r="G69" s="1546"/>
      <c r="H69" s="1546"/>
      <c r="I69" s="1546"/>
      <c r="J69" s="1546"/>
      <c r="K69" s="1546"/>
      <c r="L69" s="1546"/>
      <c r="M69" s="1546"/>
      <c r="N69" s="1546"/>
      <c r="O69" s="1546"/>
      <c r="P69" s="1546"/>
      <c r="Q69" s="1546"/>
      <c r="R69" s="1546"/>
    </row>
    <row r="70" spans="2:18" x14ac:dyDescent="0.2">
      <c r="B70" s="1546" t="s">
        <v>1530</v>
      </c>
      <c r="C70" s="1546"/>
      <c r="D70" s="1546"/>
      <c r="E70" s="1546"/>
      <c r="F70" s="1546"/>
      <c r="G70" s="1546"/>
      <c r="H70" s="1546"/>
      <c r="I70" s="1546"/>
      <c r="J70" s="1546"/>
      <c r="K70" s="1546"/>
      <c r="L70" s="1546"/>
      <c r="M70" s="1546"/>
      <c r="N70" s="1546"/>
      <c r="O70" s="1546"/>
      <c r="P70" s="1546"/>
      <c r="Q70" s="1546"/>
      <c r="R70" s="1546"/>
    </row>
    <row r="71" spans="2:18" x14ac:dyDescent="0.2">
      <c r="B71" s="1546" t="s">
        <v>1531</v>
      </c>
      <c r="C71" s="1546"/>
      <c r="D71" s="1546"/>
      <c r="E71" s="1546"/>
      <c r="F71" s="1546"/>
      <c r="G71" s="1546"/>
      <c r="H71" s="1546"/>
      <c r="I71" s="1546"/>
      <c r="J71" s="1546"/>
      <c r="K71" s="1546"/>
      <c r="L71" s="1546"/>
      <c r="M71" s="1546"/>
      <c r="N71" s="1546"/>
      <c r="O71" s="1546"/>
      <c r="P71" s="1546"/>
      <c r="Q71" s="1546"/>
      <c r="R71" s="1546"/>
    </row>
    <row r="72" spans="2:18" x14ac:dyDescent="0.2">
      <c r="B72" s="1546" t="s">
        <v>1532</v>
      </c>
      <c r="C72" s="1546"/>
      <c r="D72" s="1546"/>
      <c r="E72" s="1546"/>
      <c r="F72" s="1546"/>
      <c r="G72" s="1546"/>
      <c r="H72" s="1546"/>
      <c r="I72" s="1546"/>
      <c r="J72" s="1546"/>
      <c r="K72" s="1546"/>
      <c r="L72" s="1546"/>
      <c r="M72" s="1546"/>
      <c r="N72" s="1546"/>
      <c r="O72" s="1546"/>
      <c r="P72" s="1546"/>
      <c r="Q72" s="1546"/>
      <c r="R72" s="1546"/>
    </row>
    <row r="73" spans="2:18" x14ac:dyDescent="0.2">
      <c r="B73" s="1546" t="s">
        <v>1533</v>
      </c>
      <c r="C73" s="1546"/>
      <c r="D73" s="1546"/>
      <c r="E73" s="1546"/>
      <c r="F73" s="1546"/>
      <c r="G73" s="1546"/>
      <c r="H73" s="1546"/>
      <c r="I73" s="1546"/>
      <c r="J73" s="1546"/>
      <c r="K73" s="1546"/>
      <c r="L73" s="1546"/>
      <c r="M73" s="1546"/>
      <c r="N73" s="1546"/>
      <c r="O73" s="1546"/>
      <c r="P73" s="1546"/>
      <c r="Q73" s="1546"/>
      <c r="R73" s="1546"/>
    </row>
    <row r="74" spans="2:18" x14ac:dyDescent="0.2">
      <c r="B74" s="1546" t="s">
        <v>1534</v>
      </c>
      <c r="C74" s="1546"/>
      <c r="D74" s="1546"/>
      <c r="E74" s="1546"/>
      <c r="F74" s="1546"/>
      <c r="G74" s="1546"/>
      <c r="H74" s="1546"/>
      <c r="I74" s="1546"/>
      <c r="J74" s="1546"/>
      <c r="K74" s="1546"/>
      <c r="L74" s="1546"/>
      <c r="M74" s="1546"/>
      <c r="N74" s="1546"/>
      <c r="O74" s="1546"/>
      <c r="P74" s="1546"/>
      <c r="Q74" s="1546"/>
      <c r="R74" s="1546"/>
    </row>
    <row r="75" spans="2:18" x14ac:dyDescent="0.2">
      <c r="B75" s="1546" t="s">
        <v>1535</v>
      </c>
      <c r="C75" s="1546"/>
      <c r="D75" s="1546"/>
      <c r="E75" s="1546"/>
      <c r="F75" s="1546"/>
      <c r="G75" s="1546"/>
      <c r="H75" s="1546"/>
      <c r="I75" s="1546"/>
      <c r="J75" s="1546"/>
      <c r="K75" s="1546"/>
      <c r="L75" s="1546"/>
      <c r="M75" s="1546"/>
      <c r="N75" s="1546"/>
      <c r="O75" s="1546"/>
      <c r="P75" s="1546"/>
      <c r="Q75" s="1546"/>
      <c r="R75" s="1546"/>
    </row>
    <row r="76" spans="2:18" x14ac:dyDescent="0.2">
      <c r="B76" s="1546" t="s">
        <v>1536</v>
      </c>
      <c r="C76" s="1546"/>
      <c r="D76" s="1546"/>
      <c r="E76" s="1546"/>
      <c r="F76" s="1546"/>
      <c r="G76" s="1546"/>
      <c r="H76" s="1546"/>
      <c r="I76" s="1546"/>
      <c r="J76" s="1546"/>
      <c r="K76" s="1546"/>
      <c r="L76" s="1546"/>
      <c r="M76" s="1546"/>
      <c r="N76" s="1546"/>
      <c r="O76" s="1546"/>
      <c r="P76" s="1546"/>
      <c r="Q76" s="1546"/>
      <c r="R76" s="1546"/>
    </row>
    <row r="77" spans="2:18" x14ac:dyDescent="0.2">
      <c r="B77" s="1546" t="s">
        <v>1537</v>
      </c>
      <c r="C77" s="1546"/>
      <c r="D77" s="1546"/>
      <c r="E77" s="1546"/>
      <c r="F77" s="1546"/>
      <c r="G77" s="1546"/>
      <c r="H77" s="1546"/>
      <c r="I77" s="1546"/>
      <c r="J77" s="1546"/>
      <c r="K77" s="1546"/>
      <c r="L77" s="1546"/>
      <c r="M77" s="1546"/>
      <c r="N77" s="1546"/>
      <c r="O77" s="1546"/>
      <c r="P77" s="1546"/>
      <c r="Q77" s="1546"/>
      <c r="R77" s="1546"/>
    </row>
    <row r="78" spans="2:18" x14ac:dyDescent="0.2">
      <c r="B78" s="1546" t="s">
        <v>1538</v>
      </c>
      <c r="C78" s="1546"/>
      <c r="D78" s="1546"/>
      <c r="E78" s="1546"/>
      <c r="F78" s="1546"/>
      <c r="G78" s="1546"/>
      <c r="H78" s="1546"/>
      <c r="I78" s="1546"/>
      <c r="J78" s="1546"/>
      <c r="K78" s="1546"/>
      <c r="L78" s="1546"/>
      <c r="M78" s="1546"/>
      <c r="N78" s="1546"/>
      <c r="O78" s="1546"/>
      <c r="P78" s="1546"/>
      <c r="Q78" s="1546"/>
      <c r="R78" s="1546"/>
    </row>
    <row r="79" spans="2:18" x14ac:dyDescent="0.2">
      <c r="B79" s="1546" t="s">
        <v>1539</v>
      </c>
      <c r="C79" s="1546"/>
      <c r="D79" s="1546"/>
      <c r="E79" s="1546"/>
      <c r="F79" s="1546"/>
      <c r="G79" s="1546"/>
      <c r="H79" s="1546"/>
      <c r="I79" s="1546"/>
      <c r="J79" s="1546"/>
      <c r="K79" s="1546"/>
      <c r="L79" s="1546"/>
      <c r="M79" s="1546"/>
      <c r="N79" s="1546"/>
      <c r="O79" s="1546"/>
      <c r="P79" s="1546"/>
      <c r="Q79" s="1546"/>
      <c r="R79" s="1546"/>
    </row>
    <row r="80" spans="2:18" x14ac:dyDescent="0.2">
      <c r="B80" s="1546" t="s">
        <v>1540</v>
      </c>
      <c r="C80" s="1546"/>
      <c r="D80" s="1546"/>
      <c r="E80" s="1546"/>
      <c r="F80" s="1546"/>
      <c r="G80" s="1546"/>
      <c r="H80" s="1546"/>
      <c r="I80" s="1546"/>
      <c r="J80" s="1546"/>
      <c r="K80" s="1546"/>
      <c r="L80" s="1546"/>
      <c r="M80" s="1546"/>
      <c r="N80" s="1546"/>
      <c r="O80" s="1546"/>
      <c r="P80" s="1546"/>
      <c r="Q80" s="1546"/>
      <c r="R80" s="1546"/>
    </row>
    <row r="81" spans="2:18" x14ac:dyDescent="0.2">
      <c r="B81" s="1546" t="s">
        <v>1541</v>
      </c>
      <c r="C81" s="1546"/>
      <c r="D81" s="1546"/>
      <c r="E81" s="1546"/>
      <c r="F81" s="1546"/>
      <c r="G81" s="1546"/>
      <c r="H81" s="1546"/>
      <c r="I81" s="1546"/>
      <c r="J81" s="1546"/>
      <c r="K81" s="1546"/>
      <c r="L81" s="1546"/>
      <c r="M81" s="1546"/>
      <c r="N81" s="1546"/>
      <c r="O81" s="1546"/>
      <c r="P81" s="1546"/>
      <c r="Q81" s="1546"/>
      <c r="R81" s="1546"/>
    </row>
    <row r="82" spans="2:18" x14ac:dyDescent="0.2">
      <c r="B82" s="1546" t="s">
        <v>1542</v>
      </c>
      <c r="C82" s="1546"/>
      <c r="D82" s="1546"/>
      <c r="E82" s="1546"/>
      <c r="F82" s="1546"/>
      <c r="G82" s="1546"/>
      <c r="H82" s="1546"/>
      <c r="I82" s="1546"/>
      <c r="J82" s="1546"/>
      <c r="K82" s="1546"/>
      <c r="L82" s="1546"/>
      <c r="M82" s="1546"/>
      <c r="N82" s="1546"/>
      <c r="O82" s="1546"/>
      <c r="P82" s="1546"/>
      <c r="Q82" s="1546"/>
      <c r="R82" s="1546"/>
    </row>
    <row r="83" spans="2:18" x14ac:dyDescent="0.2">
      <c r="B83" s="1547" t="s">
        <v>1543</v>
      </c>
      <c r="C83" s="1546"/>
      <c r="D83" s="1546"/>
      <c r="E83" s="1546"/>
      <c r="F83" s="1546"/>
      <c r="G83" s="1546"/>
      <c r="H83" s="1546"/>
      <c r="I83" s="1546"/>
      <c r="J83" s="1546"/>
      <c r="K83" s="1546"/>
      <c r="L83" s="1546"/>
      <c r="M83" s="1546"/>
      <c r="N83" s="1546"/>
      <c r="O83" s="1546"/>
      <c r="P83" s="1546"/>
      <c r="Q83" s="1546"/>
      <c r="R83" s="1546"/>
    </row>
    <row r="84" spans="2:18" x14ac:dyDescent="0.2">
      <c r="B84" s="1546" t="s">
        <v>1544</v>
      </c>
      <c r="C84" s="1546"/>
      <c r="D84" s="1546"/>
      <c r="E84" s="1546"/>
      <c r="F84" s="1546"/>
      <c r="G84" s="1546"/>
      <c r="H84" s="1546"/>
      <c r="I84" s="1546"/>
      <c r="J84" s="1546"/>
      <c r="K84" s="1546"/>
      <c r="L84" s="1546"/>
      <c r="M84" s="1546"/>
      <c r="N84" s="1546"/>
      <c r="O84" s="1546"/>
      <c r="P84" s="1546"/>
      <c r="Q84" s="1546"/>
      <c r="R84" s="1546"/>
    </row>
    <row r="85" spans="2:18" x14ac:dyDescent="0.2">
      <c r="B85" s="1546" t="s">
        <v>1545</v>
      </c>
      <c r="C85" s="1546"/>
      <c r="D85" s="1546"/>
      <c r="E85" s="1546"/>
      <c r="F85" s="1546"/>
      <c r="G85" s="1546"/>
      <c r="H85" s="1546"/>
      <c r="I85" s="1546"/>
      <c r="J85" s="1546"/>
      <c r="K85" s="1546"/>
      <c r="L85" s="1546"/>
      <c r="M85" s="1546"/>
      <c r="N85" s="1546"/>
      <c r="O85" s="1546"/>
      <c r="P85" s="1546"/>
      <c r="Q85" s="1546"/>
      <c r="R85" s="1546"/>
    </row>
    <row r="86" spans="2:18" x14ac:dyDescent="0.2">
      <c r="B86" s="1546"/>
      <c r="C86" s="1546"/>
      <c r="D86" s="1546"/>
      <c r="E86" s="1546"/>
      <c r="F86" s="1546"/>
      <c r="G86" s="1546"/>
      <c r="H86" s="1546"/>
      <c r="I86" s="1546"/>
      <c r="J86" s="1546"/>
      <c r="K86" s="1546"/>
      <c r="L86" s="1546"/>
      <c r="M86" s="1546"/>
      <c r="N86" s="1546"/>
      <c r="O86" s="1546"/>
      <c r="P86" s="1546"/>
      <c r="Q86" s="1546"/>
      <c r="R86" s="1546"/>
    </row>
    <row r="87" spans="2:18" x14ac:dyDescent="0.2">
      <c r="B87" s="1546"/>
      <c r="C87" s="1546"/>
      <c r="D87" s="1546"/>
      <c r="E87" s="1546"/>
      <c r="F87" s="1546"/>
      <c r="G87" s="1546"/>
      <c r="H87" s="1546"/>
      <c r="I87" s="1546"/>
      <c r="J87" s="1546"/>
      <c r="K87" s="1546"/>
      <c r="L87" s="1546"/>
      <c r="M87" s="1546"/>
      <c r="N87" s="1546"/>
      <c r="O87" s="1546"/>
      <c r="P87" s="1546"/>
      <c r="Q87" s="1546"/>
      <c r="R87" s="1546"/>
    </row>
    <row r="88" spans="2:18" x14ac:dyDescent="0.2">
      <c r="B88" s="1546"/>
      <c r="C88" s="1546"/>
      <c r="D88" s="1546"/>
      <c r="E88" s="1546"/>
      <c r="F88" s="1546"/>
      <c r="G88" s="1546"/>
      <c r="H88" s="1546"/>
      <c r="I88" s="1546"/>
      <c r="J88" s="1546"/>
      <c r="K88" s="1546"/>
      <c r="L88" s="1546"/>
      <c r="M88" s="1546"/>
      <c r="N88" s="1546"/>
      <c r="O88" s="1546"/>
      <c r="P88" s="1546"/>
      <c r="Q88" s="1546"/>
      <c r="R88" s="1546"/>
    </row>
    <row r="89" spans="2:18" x14ac:dyDescent="0.2">
      <c r="B89" s="1546"/>
      <c r="C89" s="1546"/>
      <c r="D89" s="1546"/>
      <c r="E89" s="1546"/>
      <c r="F89" s="1546"/>
      <c r="G89" s="1546"/>
      <c r="H89" s="1546"/>
      <c r="I89" s="1546"/>
      <c r="J89" s="1546"/>
      <c r="K89" s="1546"/>
      <c r="L89" s="1546"/>
      <c r="M89" s="1546"/>
      <c r="N89" s="1546"/>
      <c r="O89" s="1546"/>
      <c r="P89" s="1546"/>
      <c r="Q89" s="1546"/>
      <c r="R89" s="1546"/>
    </row>
    <row r="90" spans="2:18" x14ac:dyDescent="0.2">
      <c r="B90" s="1546"/>
      <c r="C90" s="1546"/>
      <c r="D90" s="1546"/>
      <c r="E90" s="1546"/>
      <c r="F90" s="1546"/>
      <c r="G90" s="1546"/>
      <c r="H90" s="1546"/>
      <c r="I90" s="1546"/>
      <c r="J90" s="1546"/>
      <c r="K90" s="1546"/>
      <c r="L90" s="1546"/>
      <c r="M90" s="1546"/>
      <c r="N90" s="1546"/>
      <c r="O90" s="1546"/>
      <c r="P90" s="1546"/>
      <c r="Q90" s="1546"/>
      <c r="R90" s="1546"/>
    </row>
    <row r="91" spans="2:18" x14ac:dyDescent="0.2">
      <c r="B91" s="1546"/>
      <c r="C91" s="1546"/>
      <c r="D91" s="1546"/>
      <c r="E91" s="1546"/>
      <c r="F91" s="1546"/>
      <c r="G91" s="1546"/>
      <c r="H91" s="1546"/>
      <c r="I91" s="1546"/>
      <c r="J91" s="1546"/>
      <c r="K91" s="1546"/>
      <c r="L91" s="1546"/>
      <c r="M91" s="1546"/>
      <c r="N91" s="1546"/>
      <c r="O91" s="1546"/>
      <c r="P91" s="1546"/>
      <c r="Q91" s="1546"/>
      <c r="R91" s="1546"/>
    </row>
    <row r="92" spans="2:18" x14ac:dyDescent="0.2">
      <c r="B92" s="1546"/>
      <c r="C92" s="1546"/>
      <c r="D92" s="1546"/>
      <c r="E92" s="1546"/>
      <c r="F92" s="1546"/>
      <c r="G92" s="1546"/>
      <c r="H92" s="1546"/>
      <c r="I92" s="1546"/>
      <c r="J92" s="1546"/>
      <c r="K92" s="1546"/>
      <c r="L92" s="1546"/>
      <c r="M92" s="1546"/>
      <c r="N92" s="1546"/>
      <c r="O92" s="1546"/>
      <c r="P92" s="1546"/>
      <c r="Q92" s="1546"/>
      <c r="R92" s="1546"/>
    </row>
    <row r="93" spans="2:18" x14ac:dyDescent="0.2">
      <c r="B93" s="1546"/>
      <c r="C93" s="1546"/>
      <c r="D93" s="1546"/>
      <c r="E93" s="1546"/>
      <c r="F93" s="1546"/>
      <c r="G93" s="1546"/>
      <c r="H93" s="1546"/>
      <c r="I93" s="1546"/>
      <c r="J93" s="1546"/>
      <c r="K93" s="1546"/>
      <c r="L93" s="1546"/>
      <c r="M93" s="1546"/>
      <c r="N93" s="1546"/>
      <c r="O93" s="1546"/>
      <c r="P93" s="1546"/>
      <c r="Q93" s="1546"/>
      <c r="R93" s="1546"/>
    </row>
    <row r="94" spans="2:18" x14ac:dyDescent="0.2">
      <c r="B94" s="1546"/>
      <c r="C94" s="1546"/>
      <c r="D94" s="1546"/>
      <c r="E94" s="1546"/>
      <c r="F94" s="1546"/>
      <c r="G94" s="1546"/>
      <c r="H94" s="1546"/>
      <c r="I94" s="1546"/>
      <c r="J94" s="1546"/>
      <c r="K94" s="1546"/>
      <c r="L94" s="1546"/>
      <c r="M94" s="1546"/>
      <c r="N94" s="1546"/>
      <c r="O94" s="1546"/>
      <c r="P94" s="1546"/>
      <c r="Q94" s="1546"/>
      <c r="R94" s="1546"/>
    </row>
    <row r="147" spans="1:1" x14ac:dyDescent="0.2">
      <c r="A147" s="748"/>
    </row>
    <row r="183" spans="1:1" x14ac:dyDescent="0.2">
      <c r="A183" s="757"/>
    </row>
    <row r="234" spans="1:1" x14ac:dyDescent="0.2">
      <c r="A234" s="757"/>
    </row>
    <row r="283" spans="1:1" x14ac:dyDescent="0.2">
      <c r="A283" s="757"/>
    </row>
    <row r="310" spans="1:1" x14ac:dyDescent="0.2">
      <c r="A310" s="748"/>
    </row>
    <row r="360" spans="1:1" x14ac:dyDescent="0.2">
      <c r="A360" s="757"/>
    </row>
    <row r="384" spans="1:1" x14ac:dyDescent="0.2">
      <c r="A384" s="748"/>
    </row>
    <row r="412" spans="1:1" x14ac:dyDescent="0.2">
      <c r="A412" s="748"/>
    </row>
    <row r="440" spans="1:1" x14ac:dyDescent="0.2">
      <c r="A440" s="748"/>
    </row>
    <row r="464" spans="1:1" x14ac:dyDescent="0.2">
      <c r="A464" s="748"/>
    </row>
    <row r="493" spans="1:1" x14ac:dyDescent="0.2">
      <c r="A493" s="748"/>
    </row>
    <row r="522" spans="1:1" x14ac:dyDescent="0.2">
      <c r="A522" s="748"/>
    </row>
    <row r="571" spans="1:1" x14ac:dyDescent="0.2">
      <c r="A571" s="757"/>
    </row>
    <row r="602" spans="1:1" x14ac:dyDescent="0.2">
      <c r="A602" s="757"/>
    </row>
    <row r="646" spans="1:1" x14ac:dyDescent="0.2">
      <c r="A646" s="757"/>
    </row>
    <row r="682" spans="1:1" x14ac:dyDescent="0.2">
      <c r="A682" s="748"/>
    </row>
    <row r="721" spans="1:1" x14ac:dyDescent="0.2">
      <c r="A721" s="757"/>
    </row>
    <row r="750" spans="1:1" x14ac:dyDescent="0.2">
      <c r="A750" s="757"/>
    </row>
    <row r="789" spans="1:1" x14ac:dyDescent="0.2">
      <c r="A789" s="757"/>
    </row>
    <row r="828" spans="1:1" x14ac:dyDescent="0.2">
      <c r="A828" s="757"/>
    </row>
    <row r="856" spans="1:1" x14ac:dyDescent="0.2">
      <c r="A856" s="757"/>
    </row>
    <row r="896" spans="1:1" x14ac:dyDescent="0.2">
      <c r="A896" s="757"/>
    </row>
    <row r="936" spans="1:1" x14ac:dyDescent="0.2">
      <c r="A936" s="757"/>
    </row>
    <row r="965" spans="1:1" x14ac:dyDescent="0.2">
      <c r="A965" s="75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29352ABA-BF88-48E6-A874-6006C3AFFD3F}"/>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45063787-6B33-4E91-AD25-6F968F63EC0B}">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6457E3B2-E360-452B-B241-8B1301E9F1F8}">
      <formula1>"□,■"</formula1>
    </dataValidation>
  </dataValidations>
  <printOptions horizontalCentered="1"/>
  <pageMargins left="0.51181102362204722" right="0.51181102362204722" top="0.35433070866141736" bottom="0.15748031496062992" header="0.31496062992125984" footer="0.31496062992125984"/>
  <pageSetup paperSize="9" scale="65" fitToWidth="0" fitToHeight="0" orientation="portrait" blackAndWhite="1" cellComments="asDisplayed" r:id="rId1"/>
  <headerFooter alignWithMargins="0"/>
  <rowBreaks count="2" manualBreakCount="2">
    <brk id="52" max="18" man="1"/>
    <brk id="15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0D716E7-E2C8-4046-84FE-99732547431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F5953BE-AB95-4771-8551-0F5D0FE8F6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手続き</vt:lpstr>
      <vt:lpstr>一覧</vt:lpstr>
      <vt:lpstr>一覧（取り下げ）</vt:lpstr>
      <vt:lpstr>別紙１－１ </vt:lpstr>
      <vt:lpstr>別紙１－２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別紙28</vt:lpstr>
      <vt:lpstr>別紙２ 成果の確認の根拠データ</vt:lpstr>
      <vt:lpstr>別紙30</vt:lpstr>
      <vt:lpstr>別紙30-2</vt:lpstr>
      <vt:lpstr>別紙31</vt:lpstr>
      <vt:lpstr>別紙35</vt:lpstr>
      <vt:lpstr>別紙38</vt:lpstr>
      <vt:lpstr>別紙40</vt:lpstr>
      <vt:lpstr>様式2</vt:lpstr>
      <vt:lpstr>様式5</vt:lpstr>
      <vt:lpstr>様式6</vt:lpstr>
      <vt:lpstr>様式8</vt:lpstr>
      <vt:lpstr>様式9</vt:lpstr>
      <vt:lpstr>届出様式</vt:lpstr>
      <vt:lpstr>（参考）計算シート</vt:lpstr>
      <vt:lpstr>付表第一号（七）</vt:lpstr>
      <vt:lpstr>付表第一号（十一）</vt:lpstr>
      <vt:lpstr>（参考）付表第一号（十一）</vt:lpstr>
      <vt:lpstr>付表第一号（十七）</vt:lpstr>
      <vt:lpstr>（参考）付表第一号（十七）</vt:lpstr>
      <vt:lpstr>夜勤</vt:lpstr>
      <vt:lpstr>夜勤別紙</vt:lpstr>
      <vt:lpstr>参考1</vt:lpstr>
      <vt:lpstr>参考2</vt:lpstr>
      <vt:lpstr>別紙●24</vt:lpstr>
      <vt:lpstr>'（参考）計算シート'!Print_Area</vt:lpstr>
      <vt:lpstr>'（参考）付表第一号（十一）'!Print_Area</vt:lpstr>
      <vt:lpstr>'（参考）付表第一号（十七）'!Print_Area</vt:lpstr>
      <vt:lpstr>一覧!Print_Area</vt:lpstr>
      <vt:lpstr>'一覧（取り下げ）'!Print_Area</vt:lpstr>
      <vt:lpstr>参考1!Print_Area</vt:lpstr>
      <vt:lpstr>参考2!Print_Area</vt:lpstr>
      <vt:lpstr>手続き!Print_Area</vt:lpstr>
      <vt:lpstr>届出様式!Print_Area</vt:lpstr>
      <vt:lpstr>'付表第一号（七）'!Print_Area</vt:lpstr>
      <vt:lpstr>'付表第一号（十一）'!Print_Area</vt:lpstr>
      <vt:lpstr>'付表第一号（十七）'!Print_Area</vt:lpstr>
      <vt:lpstr>別紙●24!Print_Area</vt:lpstr>
      <vt:lpstr>'別紙１－１ '!Print_Area</vt:lpstr>
      <vt:lpstr>'別紙１－２'!Print_Area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別紙30!Print_Area</vt:lpstr>
      <vt:lpstr>'別紙30-2'!Print_Area</vt:lpstr>
      <vt:lpstr>別紙31!Print_Area</vt:lpstr>
      <vt:lpstr>別紙35!Print_Area</vt:lpstr>
      <vt:lpstr>別紙38!Print_Area</vt:lpstr>
      <vt:lpstr>別紙40!Print_Area</vt:lpstr>
      <vt:lpstr>別紙6!Print_Area</vt:lpstr>
      <vt:lpstr>別紙7!Print_Area</vt:lpstr>
      <vt:lpstr>'別紙7-2'!Print_Area</vt:lpstr>
      <vt:lpstr>夜勤!Print_Area</vt:lpstr>
      <vt:lpstr>夜勤別紙!Print_Area</vt:lpstr>
      <vt:lpstr>様式2!Print_Area</vt:lpstr>
      <vt:lpstr>様式5!Print_Area</vt:lpstr>
      <vt:lpstr>様式6!Print_Area</vt:lpstr>
      <vt:lpstr>様式8!Print_Area</vt:lpstr>
      <vt:lpstr>様式9!Print_Area</vt:lpstr>
      <vt:lpstr>一覧!Print_Titles</vt:lpstr>
      <vt:lpstr>'一覧（取り下げ）'!Print_Titles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吉原　胡桃</cp:lastModifiedBy>
  <cp:lastPrinted>2025-03-31T02:08:15Z</cp:lastPrinted>
  <dcterms:created xsi:type="dcterms:W3CDTF">1997-01-08T22:48:59Z</dcterms:created>
  <dcterms:modified xsi:type="dcterms:W3CDTF">2025-06-30T04:27:40Z</dcterms:modified>
</cp:coreProperties>
</file>