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2.xml" ContentType="application/vnd.ms-excel.controlpropertie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3.xml" ContentType="application/vnd.openxmlformats-officedocument.drawing+xml"/>
  <Override PartName="/xl/ctrlProps/ctrlProp3.xml" ContentType="application/vnd.ms-excel.controlpropertie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4.xml" ContentType="application/vnd.openxmlformats-officedocument.drawing+xml"/>
  <Override PartName="/xl/ctrlProps/ctrlProp4.xml" ContentType="application/vnd.ms-excel.controlproperti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5.xml" ContentType="application/vnd.openxmlformats-officedocument.drawing+xml"/>
  <Override PartName="/xl/ctrlProps/ctrlProp5.xml" ContentType="application/vnd.ms-excel.controlproperties+xml"/>
  <Override PartName="/xl/drawings/drawing6.xml" ContentType="application/vnd.openxmlformats-officedocument.drawing+xml"/>
  <Override PartName="/xl/ctrlProps/ctrlProp6.xml" ContentType="application/vnd.ms-excel.controlproperties+xml"/>
  <Override PartName="/xl/drawings/drawing7.xml" ContentType="application/vnd.openxmlformats-officedocument.drawing+xml"/>
  <Override PartName="/xl/ctrlProps/ctrlProp7.xml" ContentType="application/vnd.ms-excel.controlpropertie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8.xml" ContentType="application/vnd.openxmlformats-officedocument.drawing+xml"/>
  <Override PartName="/xl/ctrlProps/ctrlProp8.xml" ContentType="application/vnd.ms-excel.controlproperties+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9.xml" ContentType="application/vnd.openxmlformats-officedocument.drawing+xml"/>
  <Override PartName="/xl/ctrlProps/ctrlProp9.xml" ContentType="application/vnd.ms-excel.controlproperties+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drawings/drawing10.xml" ContentType="application/vnd.openxmlformats-officedocument.drawing+xml"/>
  <Override PartName="/xl/ctrlProps/ctrlProp10.xml" ContentType="application/vnd.ms-excel.controlproperties+xml"/>
  <Override PartName="/xl/drawings/drawing11.xml" ContentType="application/vnd.openxmlformats-officedocument.drawing+xml"/>
  <Override PartName="/xl/ctrlProps/ctrlProp11.xml" ContentType="application/vnd.ms-excel.controlproperties+xml"/>
  <Override PartName="/xl/drawings/drawing12.xml" ContentType="application/vnd.openxmlformats-officedocument.drawing+xml"/>
  <Override PartName="/xl/ctrlProps/ctrlProp12.xml" ContentType="application/vnd.ms-excel.controlproperties+xml"/>
  <Override PartName="/xl/tables/table22.xml" ContentType="application/vnd.openxmlformats-officedocument.spreadsheetml.table+xml"/>
  <Override PartName="/xl/tables/table23.xml" ContentType="application/vnd.openxmlformats-officedocument.spreadsheetml.table+xml"/>
  <Override PartName="/xl/drawings/drawing13.xml" ContentType="application/vnd.openxmlformats-officedocument.drawing+xml"/>
  <Override PartName="/xl/ctrlProps/ctrlProp13.xml" ContentType="application/vnd.ms-excel.controlproperties+xml"/>
  <Override PartName="/xl/tables/table24.xml" ContentType="application/vnd.openxmlformats-officedocument.spreadsheetml.table+xml"/>
  <Override PartName="/xl/tables/table25.xml" ContentType="application/vnd.openxmlformats-officedocument.spreadsheetml.table+xml"/>
  <Override PartName="/xl/drawings/drawing14.xml" ContentType="application/vnd.openxmlformats-officedocument.drawing+xml"/>
  <Override PartName="/xl/ctrlProps/ctrlProp14.xml" ContentType="application/vnd.ms-excel.controlproperties+xml"/>
  <Override PartName="/xl/tables/table26.xml" ContentType="application/vnd.openxmlformats-officedocument.spreadsheetml.table+xml"/>
  <Override PartName="/xl/tables/table27.xml" ContentType="application/vnd.openxmlformats-officedocument.spreadsheetml.table+xml"/>
  <Override PartName="/xl/drawings/drawing15.xml" ContentType="application/vnd.openxmlformats-officedocument.drawing+xml"/>
  <Override PartName="/xl/ctrlProps/ctrlProp15.xml" ContentType="application/vnd.ms-excel.controlproperties+xml"/>
  <Override PartName="/xl/tables/table28.xml" ContentType="application/vnd.openxmlformats-officedocument.spreadsheetml.table+xml"/>
  <Override PartName="/xl/tables/table29.xml" ContentType="application/vnd.openxmlformats-officedocument.spreadsheetml.table+xml"/>
  <Override PartName="/xl/drawings/drawing16.xml" ContentType="application/vnd.openxmlformats-officedocument.drawing+xml"/>
  <Override PartName="/xl/ctrlProps/ctrlProp16.xml" ContentType="application/vnd.ms-excel.controlproperties+xml"/>
  <Override PartName="/xl/drawings/drawing17.xml" ContentType="application/vnd.openxmlformats-officedocument.drawing+xml"/>
  <Override PartName="/xl/ctrlProps/ctrlProp17.xml" ContentType="application/vnd.ms-excel.controlproperties+xml"/>
  <Override PartName="/xl/drawings/drawing18.xml" ContentType="application/vnd.openxmlformats-officedocument.drawing+xml"/>
  <Override PartName="/xl/ctrlProps/ctrlProp18.xml" ContentType="application/vnd.ms-excel.controlproperties+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19.xml" ContentType="application/vnd.openxmlformats-officedocument.drawing+xml"/>
  <Override PartName="/xl/ctrlProps/ctrlProp19.xml" ContentType="application/vnd.ms-excel.controlproperties+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drawings/drawing20.xml" ContentType="application/vnd.openxmlformats-officedocument.drawing+xml"/>
  <Override PartName="/xl/ctrlProps/ctrlProp20.xml" ContentType="application/vnd.ms-excel.controlproperties+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drawings/drawing21.xml" ContentType="application/vnd.openxmlformats-officedocument.drawing+xml"/>
  <Override PartName="/xl/ctrlProps/ctrlProp21.xml" ContentType="application/vnd.ms-excel.controlproperties+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drawings/drawing22.xml" ContentType="application/vnd.openxmlformats-officedocument.drawing+xml"/>
  <Override PartName="/xl/ctrlProps/ctrlProp22.xml" ContentType="application/vnd.ms-excel.controlproperties+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drawings/drawing23.xml" ContentType="application/vnd.openxmlformats-officedocument.drawing+xml"/>
  <Override PartName="/xl/ctrlProps/ctrlProp23.xml" ContentType="application/vnd.ms-excel.controlproperties+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drawings/drawing24.xml" ContentType="application/vnd.openxmlformats-officedocument.drawing+xml"/>
  <Override PartName="/xl/ctrlProps/ctrlProp24.xml" ContentType="application/vnd.ms-excel.controlproperties+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drawings/drawing25.xml" ContentType="application/vnd.openxmlformats-officedocument.drawing+xml"/>
  <Override PartName="/xl/ctrlProps/ctrlProp25.xml" ContentType="application/vnd.ms-excel.controlproperties+xml"/>
  <Override PartName="/xl/tables/table64.xml" ContentType="application/vnd.openxmlformats-officedocument.spreadsheetml.table+xml"/>
  <Override PartName="/xl/tables/table65.xml" ContentType="application/vnd.openxmlformats-officedocument.spreadsheetml.table+xml"/>
  <Override PartName="/xl/drawings/drawing26.xml" ContentType="application/vnd.openxmlformats-officedocument.drawing+xml"/>
  <Override PartName="/xl/ctrlProps/ctrlProp26.xml" ContentType="application/vnd.ms-excel.controlproperties+xml"/>
  <Override PartName="/xl/tables/table66.xml" ContentType="application/vnd.openxmlformats-officedocument.spreadsheetml.table+xml"/>
  <Override PartName="/xl/drawings/drawing27.xml" ContentType="application/vnd.openxmlformats-officedocument.drawing+xml"/>
  <Override PartName="/xl/ctrlProps/ctrlProp27.xml" ContentType="application/vnd.ms-excel.controlproperties+xml"/>
  <Override PartName="/xl/tables/table67.xml" ContentType="application/vnd.openxmlformats-officedocument.spreadsheetml.table+xml"/>
  <Override PartName="/xl/drawings/drawing28.xml" ContentType="application/vnd.openxmlformats-officedocument.drawing+xml"/>
  <Override PartName="/xl/ctrlProps/ctrlProp28.xml" ContentType="application/vnd.ms-excel.controlproperties+xml"/>
  <Override PartName="/xl/tables/table68.xml" ContentType="application/vnd.openxmlformats-officedocument.spreadsheetml.table+xml"/>
  <Override PartName="/xl/drawings/drawing29.xml" ContentType="application/vnd.openxmlformats-officedocument.drawing+xml"/>
  <Override PartName="/xl/ctrlProps/ctrlProp29.xml" ContentType="application/vnd.ms-excel.controlproperties+xml"/>
  <Override PartName="/xl/tables/table69.xml" ContentType="application/vnd.openxmlformats-officedocument.spreadsheetml.table+xml"/>
  <Override PartName="/xl/tables/table70.xml" ContentType="application/vnd.openxmlformats-officedocument.spreadsheetml.table+xml"/>
  <Override PartName="/xl/drawings/drawing30.xml" ContentType="application/vnd.openxmlformats-officedocument.drawing+xml"/>
  <Override PartName="/xl/ctrlProps/ctrlProp30.xml" ContentType="application/vnd.ms-excel.controlproperties+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drawings/drawing31.xml" ContentType="application/vnd.openxmlformats-officedocument.drawing+xml"/>
  <Override PartName="/xl/ctrlProps/ctrlProp31.xml" ContentType="application/vnd.ms-excel.controlproperties+xml"/>
  <Override PartName="/xl/tables/table74.xml" ContentType="application/vnd.openxmlformats-officedocument.spreadsheetml.table+xml"/>
  <Override PartName="/xl/tables/table75.xml" ContentType="application/vnd.openxmlformats-officedocument.spreadsheetml.table+xml"/>
  <Override PartName="/xl/drawings/drawing32.xml" ContentType="application/vnd.openxmlformats-officedocument.drawing+xml"/>
  <Override PartName="/xl/ctrlProps/ctrlProp32.xml" ContentType="application/vnd.ms-excel.controlproperties+xml"/>
  <Override PartName="/xl/tables/table76.xml" ContentType="application/vnd.openxmlformats-officedocument.spreadsheetml.table+xml"/>
  <Override PartName="/xl/drawings/drawing33.xml" ContentType="application/vnd.openxmlformats-officedocument.drawing+xml"/>
  <Override PartName="/xl/ctrlProps/ctrlProp33.xml" ContentType="application/vnd.ms-excel.controlproperties+xml"/>
  <Override PartName="/xl/tables/table77.xml" ContentType="application/vnd.openxmlformats-officedocument.spreadsheetml.table+xml"/>
  <Override PartName="/xl/drawings/drawing34.xml" ContentType="application/vnd.openxmlformats-officedocument.drawing+xml"/>
  <Override PartName="/xl/ctrlProps/ctrlProp34.xml" ContentType="application/vnd.ms-excel.controlproperties+xml"/>
  <Override PartName="/xl/tables/table78.xml" ContentType="application/vnd.openxmlformats-officedocument.spreadsheetml.table+xml"/>
  <Override PartName="/xl/drawings/drawing35.xml" ContentType="application/vnd.openxmlformats-officedocument.drawing+xml"/>
  <Override PartName="/xl/ctrlProps/ctrlProp35.xml" ContentType="application/vnd.ms-excel.controlproperties+xml"/>
  <Override PartName="/xl/tables/table79.xml" ContentType="application/vnd.openxmlformats-officedocument.spreadsheetml.table+xml"/>
  <Override PartName="/xl/drawings/drawing36.xml" ContentType="application/vnd.openxmlformats-officedocument.drawing+xml"/>
  <Override PartName="/xl/ctrlProps/ctrlProp36.xml" ContentType="application/vnd.ms-excel.controlproperties+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drawings/drawing37.xml" ContentType="application/vnd.openxmlformats-officedocument.drawing+xml"/>
  <Override PartName="/xl/ctrlProps/ctrlProp37.xml" ContentType="application/vnd.ms-excel.controlproperties+xml"/>
  <Override PartName="/xl/tables/table83.xml" ContentType="application/vnd.openxmlformats-officedocument.spreadsheetml.table+xml"/>
  <Override PartName="/xl/tables/table84.xml" ContentType="application/vnd.openxmlformats-officedocument.spreadsheetml.table+xml"/>
  <Override PartName="/xl/drawings/drawing38.xml" ContentType="application/vnd.openxmlformats-officedocument.drawing+xml"/>
  <Override PartName="/xl/ctrlProps/ctrlProp38.xml" ContentType="application/vnd.ms-excel.controlproperties+xml"/>
  <Override PartName="/xl/drawings/drawing39.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0.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1.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2.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43.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44.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45.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4334"/>
  <workbookPr dateCompatibility="0" filterPrivacy="1" codeName="ThisWorkbook" defaultThemeVersion="124226"/>
  <xr:revisionPtr revIDLastSave="0" documentId="8_{4F3B9870-340E-4985-8067-A28FEA6D24B1}" xr6:coauthVersionLast="47" xr6:coauthVersionMax="47" xr10:uidLastSave="{00000000-0000-0000-0000-000000000000}"/>
  <bookViews>
    <workbookView xWindow="28680" yWindow="-120" windowWidth="29040" windowHeight="15720" tabRatio="831" activeTab="1" xr2:uid="{00000000-000D-0000-FFFF-FFFF00000000}"/>
  </bookViews>
  <sheets>
    <sheet name="巻末資料表紙" sheetId="157" r:id="rId1"/>
    <sheet name="2-Ⅰ" sheetId="88" r:id="rId2"/>
    <sheet name="２-Ⅱ" sheetId="89" r:id="rId3"/>
    <sheet name="２-Ⅲ" sheetId="90" r:id="rId4"/>
    <sheet name="２-Ⅳ" sheetId="91" r:id="rId5"/>
    <sheet name="２-Ⅴ" sheetId="93" r:id="rId6"/>
    <sheet name="２-Ⅵ" sheetId="95" r:id="rId7"/>
    <sheet name="３-Ⅰ" sheetId="98" r:id="rId8"/>
    <sheet name="３-Ⅱ" sheetId="99" r:id="rId9"/>
    <sheet name="３-Ⅲ" sheetId="100" r:id="rId10"/>
    <sheet name="３-Ⅳ" sheetId="102" r:id="rId11"/>
    <sheet name="３-Ⅴ" sheetId="104" r:id="rId12"/>
    <sheet name="４-Ⅰ" sheetId="79" r:id="rId13"/>
    <sheet name="４-Ⅱ" sheetId="80" r:id="rId14"/>
    <sheet name="４-Ⅲ" sheetId="81" r:id="rId15"/>
    <sheet name="４-Ⅳ" sheetId="82" r:id="rId16"/>
    <sheet name="４-Ⅴ" sheetId="84" r:id="rId17"/>
    <sheet name="４-Ⅵ" sheetId="85" r:id="rId18"/>
    <sheet name="5-Ⅰ①" sheetId="150" r:id="rId19"/>
    <sheet name="５-Ⅰ②" sheetId="113" r:id="rId20"/>
    <sheet name="５-Ⅰ③" sheetId="114" r:id="rId21"/>
    <sheet name="５-Ⅱ①" sheetId="120" r:id="rId22"/>
    <sheet name="５-Ⅱ②" sheetId="121" r:id="rId23"/>
    <sheet name="５-Ⅱ③" sheetId="122" r:id="rId24"/>
    <sheet name="５-Ⅱ④" sheetId="123" r:id="rId25"/>
    <sheet name="6-Ⅰ①" sheetId="159" r:id="rId26"/>
    <sheet name="6-Ⅰ②" sheetId="160" r:id="rId27"/>
    <sheet name="6-Ⅰ③" sheetId="161" r:id="rId28"/>
    <sheet name="6-Ⅰ④ " sheetId="162" r:id="rId29"/>
    <sheet name="6-Ⅰ⑤" sheetId="176" r:id="rId30"/>
    <sheet name="6-Ⅰ⑥ " sheetId="164" r:id="rId31"/>
    <sheet name="6-Ⅱ①" sheetId="165" r:id="rId32"/>
    <sheet name="6-Ⅱ②" sheetId="166" r:id="rId33"/>
    <sheet name="6-Ⅱ③" sheetId="167" r:id="rId34"/>
    <sheet name="6-Ⅱ④" sheetId="168" r:id="rId35"/>
    <sheet name="6-Ⅱ⑤" sheetId="169" r:id="rId36"/>
    <sheet name="6-Ⅱ⑥" sheetId="170" r:id="rId37"/>
    <sheet name="6-Ⅲ" sheetId="171" r:id="rId38"/>
    <sheet name="6-Ⅳ" sheetId="172" r:id="rId39"/>
    <sheet name="一覧表" sheetId="175" r:id="rId40"/>
    <sheet name="グラフ(年齢区分）" sheetId="151" r:id="rId41"/>
    <sheet name="グラフ(疾患名)" sheetId="152" r:id="rId42"/>
    <sheet name="グラフ(在院期間) " sheetId="153" r:id="rId43"/>
    <sheet name="グラフ(在院期間)  (2)" sheetId="158" r:id="rId44"/>
    <sheet name="グラフ(退院阻害要因＿１) " sheetId="155" r:id="rId45"/>
    <sheet name="グラフ(退院阻害要因＿２）" sheetId="156" r:id="rId46"/>
    <sheet name="グラフ(退院阻害要因＿２(寛解・院内寛解)" sheetId="174" r:id="rId47"/>
  </sheets>
  <definedNames>
    <definedName name="_xlnm.Print_Area" localSheetId="1">'2-Ⅰ'!$A$1:$I$18</definedName>
    <definedName name="_xlnm.Print_Area" localSheetId="2">'２-Ⅱ'!$A$1:$E$21</definedName>
    <definedName name="_xlnm.Print_Area" localSheetId="3">'２-Ⅲ'!$A$1:$K$21</definedName>
    <definedName name="_xlnm.Print_Area" localSheetId="4">'２-Ⅳ'!$A$1:$I$25</definedName>
    <definedName name="_xlnm.Print_Area" localSheetId="5">'２-Ⅴ'!$A$1:$C$11</definedName>
    <definedName name="_xlnm.Print_Area" localSheetId="6">'２-Ⅵ'!$A$1:$I$42</definedName>
    <definedName name="_xlnm.Print_Area" localSheetId="7">'３-Ⅰ'!$A$1:$I$17</definedName>
    <definedName name="_xlnm.Print_Area" localSheetId="8">'３-Ⅱ'!$A$1:$E$21</definedName>
    <definedName name="_xlnm.Print_Area" localSheetId="9">'３-Ⅲ'!$A$1:$K$21</definedName>
    <definedName name="_xlnm.Print_Area" localSheetId="10">'３-Ⅳ'!$A$1:$C$11</definedName>
    <definedName name="_xlnm.Print_Area" localSheetId="11">'３-Ⅴ'!$A$1:$I$42</definedName>
    <definedName name="_xlnm.Print_Area" localSheetId="12">'４-Ⅰ'!$A$1:$G$13</definedName>
    <definedName name="_xlnm.Print_Area" localSheetId="13">'４-Ⅱ'!$A$1:$C$21</definedName>
    <definedName name="_xlnm.Print_Area" localSheetId="14">'４-Ⅲ'!$B$1:$H$43</definedName>
    <definedName name="_xlnm.Print_Area" localSheetId="15">'４-Ⅳ'!$A$1:$H$26</definedName>
    <definedName name="_xlnm.Print_Area" localSheetId="16">'４-Ⅴ'!$A$1:$F$23</definedName>
    <definedName name="_xlnm.Print_Area" localSheetId="17">'４-Ⅵ'!$A$1:$K$41</definedName>
    <definedName name="_xlnm.Print_Area" localSheetId="18">'5-Ⅰ①'!$B$1:$F$67</definedName>
    <definedName name="_xlnm.Print_Area" localSheetId="19">'５-Ⅰ②'!$B$1:$J$67</definedName>
    <definedName name="_xlnm.Print_Area" localSheetId="20">'５-Ⅰ③'!$A$1:$J$69</definedName>
    <definedName name="_xlnm.Print_Area" localSheetId="21">'５-Ⅱ①'!$B$1:$M$31</definedName>
    <definedName name="_xlnm.Print_Area" localSheetId="22">'５-Ⅱ②'!$B$1:$M$31</definedName>
    <definedName name="_xlnm.Print_Area" localSheetId="23">'５-Ⅱ③'!$B$1:$L$33</definedName>
    <definedName name="_xlnm.Print_Area" localSheetId="24">'５-Ⅱ④'!$B$1:$M$31</definedName>
    <definedName name="_xlnm.Print_Area" localSheetId="25">'6-Ⅰ①'!$A$1:$J$31</definedName>
    <definedName name="_xlnm.Print_Area" localSheetId="26">'6-Ⅰ②'!$A$1:$J$15</definedName>
    <definedName name="_xlnm.Print_Area" localSheetId="27">'6-Ⅰ③'!$A$1:$J$35</definedName>
    <definedName name="_xlnm.Print_Area" localSheetId="28">'6-Ⅰ④ '!$A$1:$J$45</definedName>
    <definedName name="_xlnm.Print_Area" localSheetId="29">'6-Ⅰ⑤'!$A$1:$J$38</definedName>
    <definedName name="_xlnm.Print_Area" localSheetId="30">'6-Ⅰ⑥ '!$A$1:$J$63</definedName>
    <definedName name="_xlnm.Print_Area" localSheetId="31">'6-Ⅱ①'!$A$1:$K$31</definedName>
    <definedName name="_xlnm.Print_Area" localSheetId="32">'6-Ⅱ②'!$A$1:$K$15</definedName>
    <definedName name="_xlnm.Print_Area" localSheetId="33">'6-Ⅱ③'!$A$1:$K$35</definedName>
    <definedName name="_xlnm.Print_Area" localSheetId="34">'6-Ⅱ④'!$A$1:$K$45</definedName>
    <definedName name="_xlnm.Print_Area" localSheetId="35">'6-Ⅱ⑤'!$A$1:$K$17</definedName>
    <definedName name="_xlnm.Print_Area" localSheetId="36">'6-Ⅱ⑥'!$A$1:$K$63</definedName>
    <definedName name="_xlnm.Print_Area" localSheetId="37">'6-Ⅲ'!$A$1:$K$45</definedName>
    <definedName name="_xlnm.Print_Area" localSheetId="38">'6-Ⅳ'!$B$1:$Q$91</definedName>
    <definedName name="_xlnm.Print_Area" localSheetId="42">'グラフ(在院期間) '!$A$1:$J$44</definedName>
    <definedName name="_xlnm.Print_Area" localSheetId="43">'グラフ(在院期間)  (2)'!$A$1:$J$44</definedName>
    <definedName name="_xlnm.Print_Area" localSheetId="41">'グラフ(疾患名)'!$A$1:$K$61</definedName>
    <definedName name="_xlnm.Print_Area" localSheetId="44">'グラフ(退院阻害要因＿１) '!$A$1:$G$23</definedName>
    <definedName name="_xlnm.Print_Area" localSheetId="46">'グラフ(退院阻害要因＿２(寛解・院内寛解)'!$A$1:$I$88</definedName>
    <definedName name="_xlnm.Print_Area" localSheetId="45">'グラフ(退院阻害要因＿２）'!$A$1:$I$88</definedName>
    <definedName name="_xlnm.Print_Area" localSheetId="40">'グラフ(年齢区分）'!$A$1:$K$62</definedName>
    <definedName name="_xlnm.Print_Area" localSheetId="39">一覧表!$A$1:$H$74</definedName>
    <definedName name="_xlnm.Print_Area" localSheetId="0">巻末資料表紙!$A$1:$A$3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purl.oclc.org/ooxml/spreadsheetml/main">
  <c r="P14" i="151" l="1"/>
  <c r="O14" i="151"/>
  <c r="Q14" i="151"/>
  <c r="N14" i="151"/>
  <c r="N13" i="151"/>
  <c r="B13" i="175"/>
  <c r="M16" i="175"/>
  <c r="L16" i="175"/>
  <c r="C17" i="175" s="1"/>
  <c r="K16" i="175"/>
  <c r="B17" i="175" s="1"/>
  <c r="M12" i="175"/>
  <c r="C13" i="175" s="1"/>
  <c r="L12" i="175"/>
  <c r="K12" i="175"/>
  <c r="J40" i="171"/>
  <c r="I40" i="171"/>
  <c r="H40" i="171"/>
  <c r="G40" i="171"/>
  <c r="F40" i="171"/>
  <c r="E40" i="171"/>
  <c r="D40" i="171"/>
  <c r="C40" i="171"/>
  <c r="B40" i="171"/>
  <c r="AV45" i="171"/>
  <c r="AM47" i="171"/>
  <c r="H32" i="167"/>
  <c r="J18" i="167"/>
  <c r="F18" i="167"/>
  <c r="E18" i="167"/>
  <c r="C18" i="167"/>
  <c r="B32" i="167"/>
  <c r="B30" i="167"/>
  <c r="B28" i="167"/>
  <c r="B26" i="167"/>
  <c r="B24" i="167"/>
  <c r="B22" i="167"/>
  <c r="B20" i="167"/>
  <c r="B18" i="167"/>
  <c r="B16" i="167"/>
  <c r="B14" i="167"/>
  <c r="B12" i="167"/>
  <c r="B10" i="167"/>
  <c r="B8" i="167"/>
  <c r="B6" i="167"/>
  <c r="J6" i="167"/>
  <c r="I6" i="167"/>
  <c r="H6" i="167"/>
  <c r="G6" i="167"/>
  <c r="F6" i="167"/>
  <c r="E6" i="167"/>
  <c r="D6" i="167"/>
  <c r="C6" i="167"/>
  <c r="C30" i="167"/>
  <c r="K30" i="165"/>
  <c r="K22" i="165"/>
  <c r="B16" i="164"/>
  <c r="J30" i="159"/>
  <c r="J22" i="159"/>
  <c r="B5" i="80"/>
  <c r="B34" i="167" l="1"/>
  <c r="B4" i="167"/>
  <c r="B7" i="80"/>
  <c r="B6" i="80"/>
  <c r="H18" i="88"/>
  <c r="H14" i="88"/>
  <c r="AE13" i="159" l="1"/>
  <c r="I24" i="159" s="1"/>
  <c r="AD13" i="159"/>
  <c r="H24" i="159" s="1"/>
  <c r="AC13" i="159"/>
  <c r="AB13" i="159"/>
  <c r="AA13" i="159"/>
  <c r="G24" i="159" s="1"/>
  <c r="Z13" i="159"/>
  <c r="Y13" i="159"/>
  <c r="F24" i="159" s="1"/>
  <c r="X13" i="159"/>
  <c r="W13" i="159"/>
  <c r="V13" i="159"/>
  <c r="U13" i="159"/>
  <c r="T13" i="159"/>
  <c r="S13" i="159"/>
  <c r="R13" i="159"/>
  <c r="Q13" i="159"/>
  <c r="P13" i="159"/>
  <c r="C24" i="159" s="1"/>
  <c r="O13" i="159"/>
  <c r="N13" i="159"/>
  <c r="M13" i="159"/>
  <c r="B24" i="159" s="1"/>
  <c r="G91" i="172"/>
  <c r="F91" i="172"/>
  <c r="H23" i="95"/>
  <c r="B31" i="159" l="1"/>
  <c r="B23" i="159"/>
  <c r="I31" i="159"/>
  <c r="I23" i="159"/>
  <c r="C23" i="159"/>
  <c r="C31" i="159"/>
  <c r="F31" i="159"/>
  <c r="F23" i="159"/>
  <c r="G23" i="159"/>
  <c r="G31" i="159"/>
  <c r="H31" i="159"/>
  <c r="H23" i="159"/>
  <c r="D24" i="159"/>
  <c r="E24" i="159"/>
  <c r="G4" i="162"/>
  <c r="B4" i="162"/>
  <c r="I16" i="161"/>
  <c r="B16" i="161"/>
  <c r="B32" i="161"/>
  <c r="B14" i="161"/>
  <c r="E23" i="159" l="1"/>
  <c r="E31" i="159"/>
  <c r="D23" i="159"/>
  <c r="D31" i="159"/>
  <c r="J24" i="159"/>
  <c r="C12" i="167"/>
  <c r="J6" i="170"/>
  <c r="I6" i="170"/>
  <c r="H6" i="170"/>
  <c r="G6" i="170"/>
  <c r="F6" i="170"/>
  <c r="E6" i="170"/>
  <c r="D6" i="170"/>
  <c r="C6" i="170"/>
  <c r="B6" i="170"/>
  <c r="D34" i="168"/>
  <c r="C34" i="168"/>
  <c r="B34" i="168"/>
  <c r="J32" i="167"/>
  <c r="I32" i="167"/>
  <c r="G32" i="167"/>
  <c r="F32" i="167"/>
  <c r="E32" i="167"/>
  <c r="D32" i="167"/>
  <c r="C32" i="167"/>
  <c r="J31" i="159" l="1"/>
  <c r="J23" i="159"/>
  <c r="K6" i="170"/>
  <c r="B4" i="170"/>
  <c r="H10" i="160" l="1"/>
  <c r="AJ5" i="176" l="1"/>
  <c r="AK5" i="176"/>
  <c r="AL5" i="176"/>
  <c r="AM5" i="176"/>
  <c r="AN5" i="176"/>
  <c r="AO5" i="176"/>
  <c r="AP5" i="176"/>
  <c r="AQ5" i="176"/>
  <c r="AJ6" i="176"/>
  <c r="AK6" i="176"/>
  <c r="AL6" i="176"/>
  <c r="AM6" i="176"/>
  <c r="AN6" i="176"/>
  <c r="AO6" i="176"/>
  <c r="AP6" i="176"/>
  <c r="AQ6" i="176"/>
  <c r="AJ7" i="176"/>
  <c r="AK7" i="176"/>
  <c r="AL7" i="176"/>
  <c r="AM7" i="176"/>
  <c r="AN7" i="176"/>
  <c r="AO7" i="176"/>
  <c r="AP7" i="176"/>
  <c r="AQ7" i="176"/>
  <c r="AJ8" i="176"/>
  <c r="AK8" i="176"/>
  <c r="AL8" i="176"/>
  <c r="AM8" i="176"/>
  <c r="AN8" i="176"/>
  <c r="AO8" i="176"/>
  <c r="AP8" i="176"/>
  <c r="AQ8" i="176"/>
  <c r="AJ9" i="176"/>
  <c r="AK9" i="176"/>
  <c r="AL9" i="176"/>
  <c r="AM9" i="176"/>
  <c r="AN9" i="176"/>
  <c r="AO9" i="176"/>
  <c r="AP9" i="176"/>
  <c r="AQ9" i="176"/>
  <c r="AJ10" i="176"/>
  <c r="AK10" i="176"/>
  <c r="AL10" i="176"/>
  <c r="AM10" i="176"/>
  <c r="AN10" i="176"/>
  <c r="AO10" i="176"/>
  <c r="AP10" i="176"/>
  <c r="AQ10" i="176"/>
  <c r="AJ26" i="176"/>
  <c r="AK26" i="176"/>
  <c r="AL26" i="176"/>
  <c r="AM26" i="176"/>
  <c r="AN26" i="176"/>
  <c r="AO26" i="176"/>
  <c r="AP26" i="176"/>
  <c r="AQ26" i="176"/>
  <c r="AJ27" i="176"/>
  <c r="AK27" i="176"/>
  <c r="AL27" i="176"/>
  <c r="AM27" i="176"/>
  <c r="AN27" i="176"/>
  <c r="AO27" i="176"/>
  <c r="AP27" i="176"/>
  <c r="AQ27" i="176"/>
  <c r="AJ28" i="176"/>
  <c r="AK28" i="176"/>
  <c r="AL28" i="176"/>
  <c r="AM28" i="176"/>
  <c r="AN28" i="176"/>
  <c r="AO28" i="176"/>
  <c r="AP28" i="176"/>
  <c r="AQ28" i="176"/>
  <c r="AJ29" i="176"/>
  <c r="AK29" i="176"/>
  <c r="AL29" i="176"/>
  <c r="AM29" i="176"/>
  <c r="AN29" i="176"/>
  <c r="AO29" i="176"/>
  <c r="AP29" i="176"/>
  <c r="AQ29" i="176"/>
  <c r="AJ30" i="176"/>
  <c r="AK30" i="176"/>
  <c r="AL30" i="176"/>
  <c r="AM30" i="176"/>
  <c r="AN30" i="176"/>
  <c r="AO30" i="176"/>
  <c r="AP30" i="176"/>
  <c r="AQ30" i="176"/>
  <c r="AJ31" i="176"/>
  <c r="AK31" i="176"/>
  <c r="AL31" i="176"/>
  <c r="AM31" i="176"/>
  <c r="AN31" i="176"/>
  <c r="AO31" i="176"/>
  <c r="AP31" i="176"/>
  <c r="AQ31" i="176"/>
  <c r="I35" i="176" l="1"/>
  <c r="H35" i="176"/>
  <c r="G35" i="176"/>
  <c r="F35" i="176"/>
  <c r="E35" i="176"/>
  <c r="D35" i="176"/>
  <c r="C35" i="176"/>
  <c r="B35" i="176"/>
  <c r="I31" i="176"/>
  <c r="E31" i="176"/>
  <c r="I33" i="176"/>
  <c r="H33" i="176"/>
  <c r="G33" i="176"/>
  <c r="F33" i="176"/>
  <c r="E33" i="176"/>
  <c r="D33" i="176"/>
  <c r="C33" i="176"/>
  <c r="B33" i="176"/>
  <c r="H31" i="176"/>
  <c r="G31" i="176"/>
  <c r="F31" i="176"/>
  <c r="D31" i="176"/>
  <c r="C31" i="176"/>
  <c r="B31" i="176"/>
  <c r="I29" i="176"/>
  <c r="H29" i="176"/>
  <c r="G29" i="176"/>
  <c r="F29" i="176"/>
  <c r="E29" i="176"/>
  <c r="D29" i="176"/>
  <c r="C29" i="176"/>
  <c r="B29" i="176"/>
  <c r="H27" i="176"/>
  <c r="G27" i="176"/>
  <c r="R93" i="175" s="1"/>
  <c r="D27" i="176"/>
  <c r="R90" i="175" s="1"/>
  <c r="C27" i="176"/>
  <c r="R89" i="175" s="1"/>
  <c r="B27" i="176"/>
  <c r="R88" i="175" s="1"/>
  <c r="I27" i="176"/>
  <c r="R95" i="175" s="1"/>
  <c r="F27" i="176"/>
  <c r="R92" i="175" s="1"/>
  <c r="E27" i="176"/>
  <c r="R91" i="175" s="1"/>
  <c r="I25" i="176"/>
  <c r="Q95" i="175" s="1"/>
  <c r="E25" i="176"/>
  <c r="Q91" i="175" s="1"/>
  <c r="D25" i="176"/>
  <c r="Q90" i="175" s="1"/>
  <c r="H25" i="176"/>
  <c r="G25" i="176"/>
  <c r="Q93" i="175" s="1"/>
  <c r="F25" i="176"/>
  <c r="Q92" i="175" s="1"/>
  <c r="C25" i="176"/>
  <c r="B25" i="176"/>
  <c r="C14" i="176"/>
  <c r="I14" i="176"/>
  <c r="H14" i="176"/>
  <c r="G14" i="176"/>
  <c r="F14" i="176"/>
  <c r="E14" i="176"/>
  <c r="D14" i="176"/>
  <c r="B14" i="176"/>
  <c r="C10" i="176"/>
  <c r="I12" i="176"/>
  <c r="H12" i="176"/>
  <c r="G12" i="176"/>
  <c r="F12" i="176"/>
  <c r="E12" i="176"/>
  <c r="D12" i="176"/>
  <c r="C12" i="176"/>
  <c r="B12" i="176"/>
  <c r="I10" i="176"/>
  <c r="H10" i="176"/>
  <c r="G10" i="176"/>
  <c r="F10" i="176"/>
  <c r="E10" i="176"/>
  <c r="D10" i="176"/>
  <c r="B10" i="176"/>
  <c r="I8" i="176"/>
  <c r="H8" i="176"/>
  <c r="G8" i="176"/>
  <c r="F8" i="176"/>
  <c r="E8" i="176"/>
  <c r="D8" i="176"/>
  <c r="C8" i="176"/>
  <c r="B8" i="176"/>
  <c r="I6" i="176"/>
  <c r="R33" i="175" s="1"/>
  <c r="G6" i="176"/>
  <c r="R31" i="175" s="1"/>
  <c r="F6" i="176"/>
  <c r="R30" i="175" s="1"/>
  <c r="E6" i="176"/>
  <c r="R29" i="175" s="1"/>
  <c r="C6" i="176"/>
  <c r="R27" i="175" s="1"/>
  <c r="B6" i="176"/>
  <c r="R26" i="175" s="1"/>
  <c r="H6" i="176"/>
  <c r="R32" i="175" s="1"/>
  <c r="D6" i="176"/>
  <c r="R28" i="175" s="1"/>
  <c r="G4" i="176"/>
  <c r="Q31" i="175" s="1"/>
  <c r="F4" i="176"/>
  <c r="Q30" i="175" s="1"/>
  <c r="C4" i="176"/>
  <c r="Q27" i="175" s="1"/>
  <c r="B4" i="176"/>
  <c r="Q26" i="175" s="1"/>
  <c r="I4" i="176"/>
  <c r="Q33" i="175" s="1"/>
  <c r="H4" i="176"/>
  <c r="Q32" i="175" s="1"/>
  <c r="E4" i="176"/>
  <c r="Q29" i="175" s="1"/>
  <c r="D4" i="176"/>
  <c r="Q28" i="175" s="1"/>
  <c r="Q94" i="175" l="1"/>
  <c r="R94" i="175"/>
  <c r="B37" i="176"/>
  <c r="B30" i="176" s="1"/>
  <c r="Q88" i="175"/>
  <c r="C37" i="176"/>
  <c r="P89" i="175" s="1"/>
  <c r="Q89" i="175"/>
  <c r="F37" i="176"/>
  <c r="F28" i="176" s="1"/>
  <c r="I16" i="176"/>
  <c r="C16" i="176"/>
  <c r="E16" i="176"/>
  <c r="J8" i="176"/>
  <c r="H16" i="176"/>
  <c r="J4" i="176"/>
  <c r="Q34" i="175" s="1"/>
  <c r="B16" i="176"/>
  <c r="B13" i="176" s="1"/>
  <c r="F16" i="176"/>
  <c r="J6" i="176"/>
  <c r="R34" i="175" s="1"/>
  <c r="J10" i="176"/>
  <c r="J12" i="176"/>
  <c r="J35" i="176"/>
  <c r="G16" i="176"/>
  <c r="G37" i="176"/>
  <c r="G36" i="176" s="1"/>
  <c r="D37" i="176"/>
  <c r="D16" i="176"/>
  <c r="J14" i="176"/>
  <c r="E37" i="176"/>
  <c r="I37" i="176"/>
  <c r="I28" i="176" s="1"/>
  <c r="J27" i="176"/>
  <c r="R96" i="175" s="1"/>
  <c r="J29" i="176"/>
  <c r="J31" i="176"/>
  <c r="J33" i="176"/>
  <c r="C26" i="176"/>
  <c r="H37" i="176"/>
  <c r="H32" i="176" s="1"/>
  <c r="J25" i="176"/>
  <c r="Q96" i="175" s="1"/>
  <c r="H28" i="176" l="1"/>
  <c r="H36" i="176"/>
  <c r="H30" i="176"/>
  <c r="H34" i="176"/>
  <c r="H26" i="176"/>
  <c r="F32" i="176"/>
  <c r="F30" i="176"/>
  <c r="B34" i="176"/>
  <c r="F34" i="176"/>
  <c r="B28" i="176"/>
  <c r="C32" i="176"/>
  <c r="B32" i="176"/>
  <c r="B36" i="176"/>
  <c r="G26" i="176"/>
  <c r="C34" i="176"/>
  <c r="C36" i="176"/>
  <c r="C28" i="176"/>
  <c r="B15" i="176"/>
  <c r="P94" i="175"/>
  <c r="I5" i="176"/>
  <c r="P33" i="175"/>
  <c r="G28" i="176"/>
  <c r="P93" i="175"/>
  <c r="F26" i="176"/>
  <c r="P92" i="175"/>
  <c r="E30" i="176"/>
  <c r="P91" i="175"/>
  <c r="I15" i="176"/>
  <c r="C30" i="176"/>
  <c r="I32" i="176"/>
  <c r="P95" i="175"/>
  <c r="D30" i="176"/>
  <c r="P90" i="175"/>
  <c r="H5" i="176"/>
  <c r="P32" i="175"/>
  <c r="D36" i="176"/>
  <c r="I9" i="176"/>
  <c r="G11" i="176"/>
  <c r="P31" i="175"/>
  <c r="D5" i="176"/>
  <c r="P28" i="175"/>
  <c r="F36" i="176"/>
  <c r="F7" i="176"/>
  <c r="P30" i="175"/>
  <c r="I11" i="176"/>
  <c r="E5" i="176"/>
  <c r="P29" i="175"/>
  <c r="C9" i="176"/>
  <c r="P27" i="175"/>
  <c r="B9" i="176"/>
  <c r="P26" i="175"/>
  <c r="B26" i="176"/>
  <c r="P88" i="175"/>
  <c r="F11" i="176"/>
  <c r="B7" i="176"/>
  <c r="I7" i="176"/>
  <c r="E15" i="176"/>
  <c r="E13" i="176"/>
  <c r="F15" i="176"/>
  <c r="E9" i="176"/>
  <c r="I26" i="176"/>
  <c r="F13" i="176"/>
  <c r="F5" i="176"/>
  <c r="E11" i="176"/>
  <c r="E7" i="176"/>
  <c r="E28" i="176"/>
  <c r="E26" i="176"/>
  <c r="D26" i="176"/>
  <c r="G30" i="176"/>
  <c r="E32" i="176"/>
  <c r="I34" i="176"/>
  <c r="G34" i="176"/>
  <c r="B11" i="176"/>
  <c r="G7" i="176"/>
  <c r="G13" i="176"/>
  <c r="G5" i="176"/>
  <c r="C5" i="176"/>
  <c r="G15" i="176"/>
  <c r="C13" i="176"/>
  <c r="C15" i="176"/>
  <c r="G9" i="176"/>
  <c r="C7" i="176"/>
  <c r="D13" i="176"/>
  <c r="D11" i="176"/>
  <c r="D7" i="176"/>
  <c r="C11" i="176"/>
  <c r="I13" i="176"/>
  <c r="H11" i="176"/>
  <c r="E34" i="176"/>
  <c r="D32" i="176"/>
  <c r="D28" i="176"/>
  <c r="H15" i="176"/>
  <c r="I36" i="176"/>
  <c r="F9" i="176"/>
  <c r="I30" i="176"/>
  <c r="H9" i="176"/>
  <c r="D15" i="176"/>
  <c r="J16" i="176"/>
  <c r="E36" i="176"/>
  <c r="G32" i="176"/>
  <c r="H7" i="176"/>
  <c r="J37" i="176"/>
  <c r="H13" i="176"/>
  <c r="D9" i="176"/>
  <c r="D34" i="176"/>
  <c r="B5" i="176"/>
  <c r="C38" i="176" l="1"/>
  <c r="F38" i="176"/>
  <c r="B38" i="176"/>
  <c r="J36" i="176"/>
  <c r="P96" i="175"/>
  <c r="J11" i="176"/>
  <c r="P34" i="175"/>
  <c r="I17" i="176"/>
  <c r="E17" i="176"/>
  <c r="C17" i="176"/>
  <c r="B17" i="176"/>
  <c r="G17" i="176"/>
  <c r="H17" i="176"/>
  <c r="G38" i="176"/>
  <c r="H38" i="176"/>
  <c r="D38" i="176"/>
  <c r="F17" i="176"/>
  <c r="E38" i="176"/>
  <c r="I38" i="176"/>
  <c r="D17" i="176"/>
  <c r="J7" i="176"/>
  <c r="J34" i="176"/>
  <c r="J9" i="176"/>
  <c r="J5" i="176"/>
  <c r="J15" i="176"/>
  <c r="J13" i="176"/>
  <c r="J32" i="176"/>
  <c r="J28" i="176"/>
  <c r="J30" i="176"/>
  <c r="J26" i="176"/>
  <c r="J17" i="176" l="1"/>
  <c r="J38" i="176"/>
  <c r="G4" i="175" l="1"/>
  <c r="H4" i="175"/>
  <c r="G5" i="175"/>
  <c r="H5" i="175"/>
  <c r="G6" i="175"/>
  <c r="H7" i="175"/>
  <c r="G9" i="175"/>
  <c r="G10" i="175"/>
  <c r="H10" i="175"/>
  <c r="G11" i="175"/>
  <c r="H11" i="175"/>
  <c r="G12" i="175"/>
  <c r="H12" i="175"/>
  <c r="P45" i="175"/>
  <c r="B30" i="175" s="1"/>
  <c r="P46" i="175"/>
  <c r="B31" i="175" s="1"/>
  <c r="P47" i="175"/>
  <c r="B32" i="175" s="1"/>
  <c r="P48" i="175"/>
  <c r="B33" i="175" s="1"/>
  <c r="P49" i="175"/>
  <c r="P50" i="175"/>
  <c r="K88" i="175"/>
  <c r="L88" i="175"/>
  <c r="M88" i="175"/>
  <c r="G42" i="175"/>
  <c r="K89" i="175"/>
  <c r="L89" i="175"/>
  <c r="M89" i="175"/>
  <c r="G43" i="175"/>
  <c r="K90" i="175"/>
  <c r="L90" i="175"/>
  <c r="M90" i="175"/>
  <c r="G44" i="175"/>
  <c r="K91" i="175"/>
  <c r="L91" i="175"/>
  <c r="M91" i="175"/>
  <c r="G45" i="175"/>
  <c r="K92" i="175"/>
  <c r="L92" i="175"/>
  <c r="M92" i="175"/>
  <c r="G46" i="175"/>
  <c r="K93" i="175"/>
  <c r="L93" i="175"/>
  <c r="M93" i="175"/>
  <c r="G47" i="175"/>
  <c r="K94" i="175"/>
  <c r="L94" i="175"/>
  <c r="M94" i="175"/>
  <c r="G48" i="175"/>
  <c r="K95" i="175"/>
  <c r="L95" i="175"/>
  <c r="M95" i="175"/>
  <c r="G49" i="175"/>
  <c r="K96" i="175"/>
  <c r="L96" i="175"/>
  <c r="M96" i="175"/>
  <c r="G50" i="175"/>
  <c r="K97" i="175"/>
  <c r="L97" i="175"/>
  <c r="M97" i="175"/>
  <c r="K98" i="175"/>
  <c r="L98" i="175"/>
  <c r="M98" i="175"/>
  <c r="K99" i="175"/>
  <c r="L99" i="175"/>
  <c r="M99" i="175"/>
  <c r="K100" i="175"/>
  <c r="L100" i="175"/>
  <c r="M100" i="175"/>
  <c r="K101" i="175"/>
  <c r="L101" i="175"/>
  <c r="M101" i="175"/>
  <c r="K102" i="175"/>
  <c r="L102" i="175"/>
  <c r="M102" i="175"/>
  <c r="K103" i="175"/>
  <c r="L103" i="175"/>
  <c r="M103" i="175"/>
  <c r="K104" i="175"/>
  <c r="L104" i="175"/>
  <c r="M104" i="175"/>
  <c r="P107" i="175"/>
  <c r="B57" i="175" s="1"/>
  <c r="P108" i="175"/>
  <c r="B58" i="175" s="1"/>
  <c r="P109" i="175"/>
  <c r="B59" i="175" s="1"/>
  <c r="P110" i="175"/>
  <c r="B60" i="175" s="1"/>
  <c r="P111" i="175"/>
  <c r="B61" i="175" s="1"/>
  <c r="P112" i="175"/>
  <c r="B62" i="175" s="1"/>
  <c r="H47" i="175"/>
  <c r="B35" i="175"/>
  <c r="B34" i="175"/>
  <c r="H8" i="175"/>
  <c r="G7" i="175"/>
  <c r="H9" i="175"/>
  <c r="G8" i="175"/>
  <c r="H6" i="175"/>
  <c r="H46" i="175" l="1"/>
  <c r="H44" i="175"/>
  <c r="H49" i="175"/>
  <c r="H45" i="175"/>
  <c r="H43" i="175"/>
  <c r="H50" i="175"/>
  <c r="H48" i="175"/>
  <c r="H42" i="175"/>
  <c r="B4" i="169"/>
  <c r="C4" i="169"/>
  <c r="D4" i="169"/>
  <c r="E4" i="169"/>
  <c r="F4" i="169"/>
  <c r="G4" i="169"/>
  <c r="H4" i="169"/>
  <c r="I4" i="169"/>
  <c r="J4" i="169"/>
  <c r="B6" i="169"/>
  <c r="C6" i="169"/>
  <c r="D6" i="169"/>
  <c r="E6" i="169"/>
  <c r="F6" i="169"/>
  <c r="G6" i="169"/>
  <c r="H6" i="169"/>
  <c r="I6" i="169"/>
  <c r="J6" i="169"/>
  <c r="B8" i="169"/>
  <c r="C8" i="169"/>
  <c r="D8" i="169"/>
  <c r="E8" i="169"/>
  <c r="F8" i="169"/>
  <c r="G8" i="169"/>
  <c r="H8" i="169"/>
  <c r="I8" i="169"/>
  <c r="J8" i="169"/>
  <c r="B10" i="169"/>
  <c r="C10" i="169"/>
  <c r="D10" i="169"/>
  <c r="E10" i="169"/>
  <c r="F10" i="169"/>
  <c r="G10" i="169"/>
  <c r="H10" i="169"/>
  <c r="I10" i="169"/>
  <c r="J10" i="169"/>
  <c r="B12" i="169"/>
  <c r="C12" i="169"/>
  <c r="D12" i="169"/>
  <c r="E12" i="169"/>
  <c r="F12" i="169"/>
  <c r="G12" i="169"/>
  <c r="H12" i="169"/>
  <c r="I12" i="169"/>
  <c r="J12" i="169"/>
  <c r="B14" i="169"/>
  <c r="C14" i="169"/>
  <c r="D14" i="169"/>
  <c r="E14" i="169"/>
  <c r="F14" i="169"/>
  <c r="G14" i="169"/>
  <c r="H14" i="169"/>
  <c r="I14" i="169"/>
  <c r="J14" i="169"/>
  <c r="G16" i="169"/>
  <c r="G7" i="169" s="1"/>
  <c r="K12" i="169" l="1"/>
  <c r="C16" i="169"/>
  <c r="C7" i="169" s="1"/>
  <c r="G9" i="169"/>
  <c r="K4" i="169"/>
  <c r="D16" i="169"/>
  <c r="D5" i="169" s="1"/>
  <c r="J16" i="169"/>
  <c r="J5" i="169" s="1"/>
  <c r="F16" i="169"/>
  <c r="F5" i="169" s="1"/>
  <c r="B16" i="169"/>
  <c r="B5" i="169" s="1"/>
  <c r="H16" i="169"/>
  <c r="H5" i="169" s="1"/>
  <c r="G11" i="169"/>
  <c r="K14" i="169"/>
  <c r="G13" i="169"/>
  <c r="C11" i="169"/>
  <c r="G5" i="169"/>
  <c r="I16" i="169"/>
  <c r="I13" i="169" s="1"/>
  <c r="E16" i="169"/>
  <c r="E7" i="169" s="1"/>
  <c r="G15" i="169"/>
  <c r="C13" i="169"/>
  <c r="K10" i="169"/>
  <c r="K6" i="169"/>
  <c r="C5" i="169"/>
  <c r="C15" i="169"/>
  <c r="K8" i="169"/>
  <c r="H15" i="169"/>
  <c r="H11" i="169"/>
  <c r="D15" i="169" l="1"/>
  <c r="E15" i="169"/>
  <c r="H7" i="169"/>
  <c r="D7" i="169"/>
  <c r="F9" i="169"/>
  <c r="C9" i="169"/>
  <c r="B9" i="169"/>
  <c r="F13" i="169"/>
  <c r="D11" i="169"/>
  <c r="J13" i="169"/>
  <c r="B7" i="169"/>
  <c r="F11" i="169"/>
  <c r="B15" i="169"/>
  <c r="F7" i="169"/>
  <c r="B13" i="169"/>
  <c r="F15" i="169"/>
  <c r="J11" i="169"/>
  <c r="E11" i="169"/>
  <c r="E9" i="169"/>
  <c r="D13" i="169"/>
  <c r="E5" i="169"/>
  <c r="J9" i="169"/>
  <c r="D9" i="169"/>
  <c r="H9" i="169"/>
  <c r="H13" i="169"/>
  <c r="E13" i="169"/>
  <c r="J7" i="169"/>
  <c r="B11" i="169"/>
  <c r="J15" i="169"/>
  <c r="C17" i="169"/>
  <c r="I15" i="169"/>
  <c r="K16" i="169"/>
  <c r="I5" i="169"/>
  <c r="I11" i="169"/>
  <c r="G17" i="169"/>
  <c r="I7" i="169"/>
  <c r="I9" i="169"/>
  <c r="E17" i="169" l="1"/>
  <c r="F17" i="169"/>
  <c r="H17" i="169"/>
  <c r="B17" i="169"/>
  <c r="D17" i="169"/>
  <c r="J17" i="169"/>
  <c r="K13" i="169"/>
  <c r="K15" i="169"/>
  <c r="K5" i="169"/>
  <c r="K11" i="169"/>
  <c r="K7" i="169"/>
  <c r="I17" i="169"/>
  <c r="K9" i="169"/>
  <c r="K17" i="169" l="1"/>
  <c r="D14" i="167" l="1"/>
  <c r="B26" i="165"/>
  <c r="C12" i="160"/>
  <c r="C4" i="160"/>
  <c r="B4" i="160"/>
  <c r="AQ5" i="171" l="1"/>
  <c r="AP5" i="171"/>
  <c r="AS5" i="171"/>
  <c r="AR5" i="171"/>
  <c r="AO5" i="171"/>
  <c r="AT5" i="171"/>
  <c r="AL5" i="171"/>
  <c r="C14" i="120" l="1"/>
  <c r="I14" i="120"/>
  <c r="I50" i="114"/>
  <c r="B4" i="166" l="1"/>
  <c r="B24" i="164"/>
  <c r="I24" i="164"/>
  <c r="I4" i="160"/>
  <c r="P82" i="172" l="1"/>
  <c r="I82" i="172"/>
  <c r="P73" i="172"/>
  <c r="I73" i="172"/>
  <c r="Q73" i="172" s="1"/>
  <c r="I49" i="172"/>
  <c r="I50" i="172"/>
  <c r="I51" i="172"/>
  <c r="I52" i="172"/>
  <c r="I53" i="172"/>
  <c r="I54" i="172"/>
  <c r="I55" i="172"/>
  <c r="I56" i="172"/>
  <c r="I57" i="172"/>
  <c r="I58" i="172"/>
  <c r="I59" i="172"/>
  <c r="I60" i="172"/>
  <c r="I61" i="172"/>
  <c r="I62" i="172"/>
  <c r="I63" i="172"/>
  <c r="I64" i="172"/>
  <c r="I65" i="172"/>
  <c r="I66" i="172"/>
  <c r="I67" i="172"/>
  <c r="I68" i="172"/>
  <c r="I69" i="172"/>
  <c r="I70" i="172"/>
  <c r="I71" i="172"/>
  <c r="I72" i="172"/>
  <c r="N74" i="172"/>
  <c r="O74" i="172"/>
  <c r="M74" i="172"/>
  <c r="L74" i="172"/>
  <c r="K74" i="172"/>
  <c r="J74" i="172"/>
  <c r="H74" i="172"/>
  <c r="G74" i="172"/>
  <c r="F74" i="172"/>
  <c r="E74" i="172"/>
  <c r="D74" i="172"/>
  <c r="C74" i="172"/>
  <c r="O48" i="172"/>
  <c r="N48" i="172"/>
  <c r="M48" i="172"/>
  <c r="L48" i="172"/>
  <c r="K48" i="172"/>
  <c r="J48" i="172"/>
  <c r="H48" i="172"/>
  <c r="G48" i="172"/>
  <c r="F48" i="172"/>
  <c r="E48" i="172"/>
  <c r="D48" i="172"/>
  <c r="C48" i="172"/>
  <c r="J10" i="166"/>
  <c r="J4" i="166"/>
  <c r="B8" i="166"/>
  <c r="B6" i="166"/>
  <c r="D4" i="166"/>
  <c r="C4" i="166"/>
  <c r="E4" i="166"/>
  <c r="F4" i="166"/>
  <c r="G4" i="166"/>
  <c r="I4" i="166"/>
  <c r="H4" i="166"/>
  <c r="K4" i="166" l="1"/>
  <c r="Q82" i="172"/>
  <c r="H28" i="167"/>
  <c r="J28" i="167"/>
  <c r="I30" i="167"/>
  <c r="H6" i="90"/>
  <c r="L46" i="175" s="1"/>
  <c r="P49" i="172"/>
  <c r="P50" i="172"/>
  <c r="Q50" i="172" s="1"/>
  <c r="P51" i="172"/>
  <c r="Q51" i="172" s="1"/>
  <c r="P52" i="172"/>
  <c r="P53" i="172"/>
  <c r="P54" i="172"/>
  <c r="P55" i="172"/>
  <c r="P56" i="172"/>
  <c r="Q56" i="172" s="1"/>
  <c r="P57" i="172"/>
  <c r="P58" i="172"/>
  <c r="P59" i="172"/>
  <c r="Q59" i="172" s="1"/>
  <c r="P60" i="172"/>
  <c r="P61" i="172"/>
  <c r="Q61" i="172" s="1"/>
  <c r="P62" i="172"/>
  <c r="P63" i="172"/>
  <c r="Q63" i="172" s="1"/>
  <c r="P64" i="172"/>
  <c r="P65" i="172"/>
  <c r="Q65" i="172" s="1"/>
  <c r="P66" i="172"/>
  <c r="P67" i="172"/>
  <c r="Q67" i="172" s="1"/>
  <c r="P68" i="172"/>
  <c r="P69" i="172"/>
  <c r="Q69" i="172" s="1"/>
  <c r="P70" i="172"/>
  <c r="P71" i="172"/>
  <c r="P72" i="172"/>
  <c r="I75" i="172"/>
  <c r="P75" i="172"/>
  <c r="I76" i="172"/>
  <c r="P76" i="172"/>
  <c r="I77" i="172"/>
  <c r="P77" i="172"/>
  <c r="I78" i="172"/>
  <c r="P78" i="172"/>
  <c r="I79" i="172"/>
  <c r="P79" i="172"/>
  <c r="I80" i="172"/>
  <c r="P80" i="172"/>
  <c r="I81" i="172"/>
  <c r="P81" i="172"/>
  <c r="C83" i="172"/>
  <c r="D83" i="172"/>
  <c r="E83" i="172"/>
  <c r="F83" i="172"/>
  <c r="G83" i="172"/>
  <c r="H83" i="172"/>
  <c r="J83" i="172"/>
  <c r="K83" i="172"/>
  <c r="L83" i="172"/>
  <c r="M83" i="172"/>
  <c r="N83" i="172"/>
  <c r="O83" i="172"/>
  <c r="I84" i="172"/>
  <c r="P84" i="172"/>
  <c r="I85" i="172"/>
  <c r="P85" i="172"/>
  <c r="I86" i="172"/>
  <c r="P86" i="172"/>
  <c r="I87" i="172"/>
  <c r="P87" i="172"/>
  <c r="I88" i="172"/>
  <c r="P88" i="172"/>
  <c r="I89" i="172"/>
  <c r="P89" i="172"/>
  <c r="I90" i="172"/>
  <c r="P90" i="172"/>
  <c r="C91" i="172"/>
  <c r="D91" i="172"/>
  <c r="E91" i="172"/>
  <c r="H91" i="172"/>
  <c r="J91" i="172"/>
  <c r="K91" i="172"/>
  <c r="L91" i="172"/>
  <c r="M91" i="172"/>
  <c r="N91" i="172"/>
  <c r="O91" i="172"/>
  <c r="J24" i="170"/>
  <c r="I24" i="170"/>
  <c r="H24" i="170"/>
  <c r="G24" i="170"/>
  <c r="F24" i="170"/>
  <c r="E24" i="170"/>
  <c r="D24" i="170"/>
  <c r="C24" i="170"/>
  <c r="C25" i="170" s="1"/>
  <c r="B24" i="170"/>
  <c r="E16" i="170"/>
  <c r="F16" i="170"/>
  <c r="E14" i="170"/>
  <c r="D14" i="170"/>
  <c r="C14" i="170"/>
  <c r="B14" i="170"/>
  <c r="B61" i="170" s="1"/>
  <c r="J8" i="170"/>
  <c r="I8" i="170"/>
  <c r="H8" i="170"/>
  <c r="G8" i="170"/>
  <c r="F8" i="170"/>
  <c r="E8" i="170"/>
  <c r="D8" i="170"/>
  <c r="C8" i="170"/>
  <c r="B8" i="170"/>
  <c r="J4" i="170"/>
  <c r="I4" i="170"/>
  <c r="H4" i="170"/>
  <c r="G4" i="170"/>
  <c r="F4" i="170"/>
  <c r="E4" i="170"/>
  <c r="D4" i="170"/>
  <c r="C4" i="170"/>
  <c r="P5" i="172"/>
  <c r="P6" i="172"/>
  <c r="P7" i="172"/>
  <c r="P8" i="172"/>
  <c r="P9" i="172"/>
  <c r="P10" i="172"/>
  <c r="P11" i="172"/>
  <c r="P12" i="172"/>
  <c r="P13" i="172"/>
  <c r="P14" i="172"/>
  <c r="P15" i="172"/>
  <c r="P16" i="172"/>
  <c r="P17" i="172"/>
  <c r="P18" i="172"/>
  <c r="P19" i="172"/>
  <c r="P20" i="172"/>
  <c r="P21" i="172"/>
  <c r="P22" i="172"/>
  <c r="P23" i="172"/>
  <c r="P24" i="172"/>
  <c r="P25" i="172"/>
  <c r="P26" i="172"/>
  <c r="P27" i="172"/>
  <c r="P28" i="172"/>
  <c r="P29" i="172"/>
  <c r="P30" i="172"/>
  <c r="P31" i="172"/>
  <c r="P32" i="172"/>
  <c r="P33" i="172"/>
  <c r="P34" i="172"/>
  <c r="P35" i="172"/>
  <c r="P36" i="172"/>
  <c r="P37" i="172"/>
  <c r="P38" i="172"/>
  <c r="P39" i="172"/>
  <c r="P40" i="172"/>
  <c r="P41" i="172"/>
  <c r="P42" i="172"/>
  <c r="P43" i="172"/>
  <c r="P44" i="172"/>
  <c r="P45" i="172"/>
  <c r="AU47" i="171"/>
  <c r="AT47" i="171"/>
  <c r="AS47" i="171"/>
  <c r="AR47" i="171"/>
  <c r="AQ47" i="171"/>
  <c r="AP47" i="171"/>
  <c r="AO47" i="171"/>
  <c r="AN47" i="171"/>
  <c r="AU46" i="171"/>
  <c r="J42" i="171" s="1"/>
  <c r="AT46" i="171"/>
  <c r="I42" i="171" s="1"/>
  <c r="AS46" i="171"/>
  <c r="H42" i="171" s="1"/>
  <c r="AR46" i="171"/>
  <c r="G42" i="171" s="1"/>
  <c r="AQ46" i="171"/>
  <c r="F42" i="171" s="1"/>
  <c r="AP46" i="171"/>
  <c r="E42" i="171" s="1"/>
  <c r="AO46" i="171"/>
  <c r="D42" i="171" s="1"/>
  <c r="AN46" i="171"/>
  <c r="C42" i="171" s="1"/>
  <c r="AM46" i="171"/>
  <c r="AU44" i="171"/>
  <c r="AT44" i="171"/>
  <c r="AS44" i="171"/>
  <c r="AR44" i="171"/>
  <c r="AQ44" i="171"/>
  <c r="AP44" i="171"/>
  <c r="AO44" i="171"/>
  <c r="AN44" i="171"/>
  <c r="AM44" i="171"/>
  <c r="AU43" i="171"/>
  <c r="AT43" i="171"/>
  <c r="AS43" i="171"/>
  <c r="AR43" i="171"/>
  <c r="AQ43" i="171"/>
  <c r="AP43" i="171"/>
  <c r="AO43" i="171"/>
  <c r="AN43" i="171"/>
  <c r="AM43" i="171"/>
  <c r="AU42" i="171"/>
  <c r="AT42" i="171"/>
  <c r="AS42" i="171"/>
  <c r="AR42" i="171"/>
  <c r="AQ42" i="171"/>
  <c r="AP42" i="171"/>
  <c r="AO42" i="171"/>
  <c r="AN42" i="171"/>
  <c r="AM42" i="171"/>
  <c r="B38" i="171" s="1"/>
  <c r="AU41" i="171"/>
  <c r="AT41" i="171"/>
  <c r="AS41" i="171"/>
  <c r="AR41" i="171"/>
  <c r="AQ41" i="171"/>
  <c r="AP41" i="171"/>
  <c r="AO41" i="171"/>
  <c r="AN41" i="171"/>
  <c r="AM41" i="171"/>
  <c r="AU40" i="171"/>
  <c r="AT40" i="171"/>
  <c r="AS40" i="171"/>
  <c r="AR40" i="171"/>
  <c r="AQ40" i="171"/>
  <c r="AP40" i="171"/>
  <c r="AO40" i="171"/>
  <c r="AN40" i="171"/>
  <c r="AM40" i="171"/>
  <c r="B36" i="171" s="1"/>
  <c r="AU39" i="171"/>
  <c r="AT39" i="171"/>
  <c r="AS39" i="171"/>
  <c r="AR39" i="171"/>
  <c r="AQ39" i="171"/>
  <c r="AP39" i="171"/>
  <c r="AO39" i="171"/>
  <c r="AN39" i="171"/>
  <c r="AM39" i="171"/>
  <c r="AU38" i="171"/>
  <c r="AT38" i="171"/>
  <c r="AS38" i="171"/>
  <c r="AR38" i="171"/>
  <c r="AQ38" i="171"/>
  <c r="AP38" i="171"/>
  <c r="AO38" i="171"/>
  <c r="AN38" i="171"/>
  <c r="AM38" i="171"/>
  <c r="AU37" i="171"/>
  <c r="AT37" i="171"/>
  <c r="AS37" i="171"/>
  <c r="AR37" i="171"/>
  <c r="AQ37" i="171"/>
  <c r="AP37" i="171"/>
  <c r="AO37" i="171"/>
  <c r="AN37" i="171"/>
  <c r="AM37" i="171"/>
  <c r="AU36" i="171"/>
  <c r="AT36" i="171"/>
  <c r="AS36" i="171"/>
  <c r="AR36" i="171"/>
  <c r="AQ36" i="171"/>
  <c r="AP36" i="171"/>
  <c r="AO36" i="171"/>
  <c r="AN36" i="171"/>
  <c r="AM36" i="171"/>
  <c r="AU35" i="171"/>
  <c r="AT35" i="171"/>
  <c r="AS35" i="171"/>
  <c r="AR35" i="171"/>
  <c r="AQ35" i="171"/>
  <c r="AP35" i="171"/>
  <c r="AO35" i="171"/>
  <c r="AN35" i="171"/>
  <c r="AM35" i="171"/>
  <c r="AU34" i="171"/>
  <c r="AT34" i="171"/>
  <c r="AS34" i="171"/>
  <c r="AR34" i="171"/>
  <c r="AQ34" i="171"/>
  <c r="AP34" i="171"/>
  <c r="AO34" i="171"/>
  <c r="AN34" i="171"/>
  <c r="AM34" i="171"/>
  <c r="AU33" i="171"/>
  <c r="AT33" i="171"/>
  <c r="AS33" i="171"/>
  <c r="AR33" i="171"/>
  <c r="AQ33" i="171"/>
  <c r="AP33" i="171"/>
  <c r="AO33" i="171"/>
  <c r="AN33" i="171"/>
  <c r="AM33" i="171"/>
  <c r="AU32" i="171"/>
  <c r="AT32" i="171"/>
  <c r="AS32" i="171"/>
  <c r="AR32" i="171"/>
  <c r="AQ32" i="171"/>
  <c r="AP32" i="171"/>
  <c r="AO32" i="171"/>
  <c r="AN32" i="171"/>
  <c r="AM32" i="171"/>
  <c r="AU31" i="171"/>
  <c r="AT31" i="171"/>
  <c r="AS31" i="171"/>
  <c r="AR31" i="171"/>
  <c r="AQ31" i="171"/>
  <c r="AP31" i="171"/>
  <c r="AO31" i="171"/>
  <c r="AN31" i="171"/>
  <c r="AM31" i="171"/>
  <c r="B30" i="171" s="1"/>
  <c r="AU30" i="171"/>
  <c r="AT30" i="171"/>
  <c r="AS30" i="171"/>
  <c r="AR30" i="171"/>
  <c r="AQ30" i="171"/>
  <c r="AP30" i="171"/>
  <c r="AO30" i="171"/>
  <c r="AN30" i="171"/>
  <c r="AM30" i="171"/>
  <c r="AU29" i="171"/>
  <c r="AT29" i="171"/>
  <c r="AS29" i="171"/>
  <c r="AR29" i="171"/>
  <c r="AQ29" i="171"/>
  <c r="AP29" i="171"/>
  <c r="AO29" i="171"/>
  <c r="AN29" i="171"/>
  <c r="AM29" i="171"/>
  <c r="AU28" i="171"/>
  <c r="AT28" i="171"/>
  <c r="AS28" i="171"/>
  <c r="AR28" i="171"/>
  <c r="AQ28" i="171"/>
  <c r="AP28" i="171"/>
  <c r="AO28" i="171"/>
  <c r="AN28" i="171"/>
  <c r="AM28" i="171"/>
  <c r="B28" i="171" s="1"/>
  <c r="AT23" i="171"/>
  <c r="AS23" i="171"/>
  <c r="AR23" i="171"/>
  <c r="AQ23" i="171"/>
  <c r="AP23" i="171"/>
  <c r="AO23" i="171"/>
  <c r="AN23" i="171"/>
  <c r="AM23" i="171"/>
  <c r="AL23" i="171"/>
  <c r="AT22" i="171"/>
  <c r="AS22" i="171"/>
  <c r="AR22" i="171"/>
  <c r="AQ22" i="171"/>
  <c r="AP22" i="171"/>
  <c r="AO22" i="171"/>
  <c r="AN22" i="171"/>
  <c r="AM22" i="171"/>
  <c r="AL22" i="171"/>
  <c r="AT21" i="171"/>
  <c r="AS21" i="171"/>
  <c r="AR21" i="171"/>
  <c r="AQ21" i="171"/>
  <c r="AP21" i="171"/>
  <c r="AO21" i="171"/>
  <c r="AN21" i="171"/>
  <c r="AM21" i="171"/>
  <c r="AL21" i="171"/>
  <c r="AT20" i="171"/>
  <c r="AS20" i="171"/>
  <c r="AR20" i="171"/>
  <c r="AQ20" i="171"/>
  <c r="AP20" i="171"/>
  <c r="AO20" i="171"/>
  <c r="AN20" i="171"/>
  <c r="AM20" i="171"/>
  <c r="AL20" i="171"/>
  <c r="AT19" i="171"/>
  <c r="AS19" i="171"/>
  <c r="AR19" i="171"/>
  <c r="AQ19" i="171"/>
  <c r="AP19" i="171"/>
  <c r="AO19" i="171"/>
  <c r="AN19" i="171"/>
  <c r="AM19" i="171"/>
  <c r="AL19" i="171"/>
  <c r="AT18" i="171"/>
  <c r="AS18" i="171"/>
  <c r="AR18" i="171"/>
  <c r="AQ18" i="171"/>
  <c r="AP18" i="171"/>
  <c r="AO18" i="171"/>
  <c r="AN18" i="171"/>
  <c r="AM18" i="171"/>
  <c r="AL18" i="171"/>
  <c r="AT17" i="171"/>
  <c r="AS17" i="171"/>
  <c r="AR17" i="171"/>
  <c r="AQ17" i="171"/>
  <c r="AP17" i="171"/>
  <c r="AO17" i="171"/>
  <c r="AN17" i="171"/>
  <c r="AM17" i="171"/>
  <c r="AL17" i="171"/>
  <c r="AT16" i="171"/>
  <c r="AS16" i="171"/>
  <c r="AR16" i="171"/>
  <c r="AQ16" i="171"/>
  <c r="AP16" i="171"/>
  <c r="AO16" i="171"/>
  <c r="AN16" i="171"/>
  <c r="AM16" i="171"/>
  <c r="AL16" i="171"/>
  <c r="AT15" i="171"/>
  <c r="AS15" i="171"/>
  <c r="AR15" i="171"/>
  <c r="AQ15" i="171"/>
  <c r="AP15" i="171"/>
  <c r="AO15" i="171"/>
  <c r="AN15" i="171"/>
  <c r="AM15" i="171"/>
  <c r="AL15" i="171"/>
  <c r="AT14" i="171"/>
  <c r="AS14" i="171"/>
  <c r="AR14" i="171"/>
  <c r="AQ14" i="171"/>
  <c r="AP14" i="171"/>
  <c r="AO14" i="171"/>
  <c r="AN14" i="171"/>
  <c r="AM14" i="171"/>
  <c r="AL14" i="171"/>
  <c r="AT13" i="171"/>
  <c r="AS13" i="171"/>
  <c r="AR13" i="171"/>
  <c r="AQ13" i="171"/>
  <c r="AP13" i="171"/>
  <c r="AO13" i="171"/>
  <c r="AN13" i="171"/>
  <c r="AM13" i="171"/>
  <c r="AL13" i="171"/>
  <c r="AT12" i="171"/>
  <c r="AS12" i="171"/>
  <c r="AR12" i="171"/>
  <c r="AQ12" i="171"/>
  <c r="AP12" i="171"/>
  <c r="AO12" i="171"/>
  <c r="AN12" i="171"/>
  <c r="AM12" i="171"/>
  <c r="AL12" i="171"/>
  <c r="AT11" i="171"/>
  <c r="AS11" i="171"/>
  <c r="AR11" i="171"/>
  <c r="AQ11" i="171"/>
  <c r="AP11" i="171"/>
  <c r="AO11" i="171"/>
  <c r="AN11" i="171"/>
  <c r="AM11" i="171"/>
  <c r="AL11" i="171"/>
  <c r="AT10" i="171"/>
  <c r="AS10" i="171"/>
  <c r="AR10" i="171"/>
  <c r="AQ10" i="171"/>
  <c r="AP10" i="171"/>
  <c r="AO10" i="171"/>
  <c r="AN10" i="171"/>
  <c r="AM10" i="171"/>
  <c r="AL10" i="171"/>
  <c r="AT9" i="171"/>
  <c r="AS9" i="171"/>
  <c r="AR9" i="171"/>
  <c r="AQ9" i="171"/>
  <c r="AP9" i="171"/>
  <c r="AO9" i="171"/>
  <c r="AN9" i="171"/>
  <c r="AM9" i="171"/>
  <c r="AL9" i="171"/>
  <c r="AT8" i="171"/>
  <c r="AS8" i="171"/>
  <c r="AR8" i="171"/>
  <c r="AQ8" i="171"/>
  <c r="AP8" i="171"/>
  <c r="AO8" i="171"/>
  <c r="AN8" i="171"/>
  <c r="AM8" i="171"/>
  <c r="AL8" i="171"/>
  <c r="AT7" i="171"/>
  <c r="AS7" i="171"/>
  <c r="AR7" i="171"/>
  <c r="AQ7" i="171"/>
  <c r="AP7" i="171"/>
  <c r="AO7" i="171"/>
  <c r="AN7" i="171"/>
  <c r="AM7" i="171"/>
  <c r="AL7" i="171"/>
  <c r="AT6" i="171"/>
  <c r="AS6" i="171"/>
  <c r="AR6" i="171"/>
  <c r="AQ6" i="171"/>
  <c r="AP6" i="171"/>
  <c r="AO6" i="171"/>
  <c r="AN6" i="171"/>
  <c r="AM6" i="171"/>
  <c r="AL6" i="171"/>
  <c r="B5" i="171" s="1"/>
  <c r="AN5" i="171"/>
  <c r="AM5" i="171"/>
  <c r="J62" i="170"/>
  <c r="J60" i="170"/>
  <c r="J58" i="170"/>
  <c r="J56" i="170"/>
  <c r="J54" i="170"/>
  <c r="J52" i="170"/>
  <c r="J50" i="170"/>
  <c r="J48" i="170"/>
  <c r="J46" i="170"/>
  <c r="J44" i="170"/>
  <c r="J42" i="170"/>
  <c r="J40" i="170"/>
  <c r="J38" i="170"/>
  <c r="J36" i="170"/>
  <c r="J34" i="170"/>
  <c r="J32" i="170"/>
  <c r="J30" i="170"/>
  <c r="J28" i="170"/>
  <c r="J26" i="170"/>
  <c r="I26" i="170"/>
  <c r="H26" i="170"/>
  <c r="G26" i="170"/>
  <c r="F26" i="170"/>
  <c r="E26" i="170"/>
  <c r="D26" i="170"/>
  <c r="C26" i="170"/>
  <c r="B26" i="170"/>
  <c r="B28" i="170"/>
  <c r="C28" i="170"/>
  <c r="D28" i="170"/>
  <c r="D29" i="170" s="1"/>
  <c r="E28" i="170"/>
  <c r="F28" i="170"/>
  <c r="G28" i="170"/>
  <c r="H28" i="170"/>
  <c r="I28" i="170"/>
  <c r="B30" i="170"/>
  <c r="C30" i="170"/>
  <c r="D30" i="170"/>
  <c r="E30" i="170"/>
  <c r="F30" i="170"/>
  <c r="G30" i="170"/>
  <c r="H30" i="170"/>
  <c r="I30" i="170"/>
  <c r="B32" i="170"/>
  <c r="C32" i="170"/>
  <c r="D32" i="170"/>
  <c r="D33" i="170" s="1"/>
  <c r="E32" i="170"/>
  <c r="F32" i="170"/>
  <c r="G32" i="170"/>
  <c r="H32" i="170"/>
  <c r="I32" i="170"/>
  <c r="B34" i="170"/>
  <c r="C34" i="170"/>
  <c r="D34" i="170"/>
  <c r="D35" i="170" s="1"/>
  <c r="E34" i="170"/>
  <c r="F34" i="170"/>
  <c r="G34" i="170"/>
  <c r="H34" i="170"/>
  <c r="I34" i="170"/>
  <c r="B36" i="170"/>
  <c r="C36" i="170"/>
  <c r="D36" i="170"/>
  <c r="E36" i="170"/>
  <c r="F36" i="170"/>
  <c r="G36" i="170"/>
  <c r="H36" i="170"/>
  <c r="I36" i="170"/>
  <c r="B38" i="170"/>
  <c r="C38" i="170"/>
  <c r="D38" i="170"/>
  <c r="E38" i="170"/>
  <c r="F38" i="170"/>
  <c r="G38" i="170"/>
  <c r="H38" i="170"/>
  <c r="I38" i="170"/>
  <c r="B40" i="170"/>
  <c r="C40" i="170"/>
  <c r="D40" i="170"/>
  <c r="E40" i="170"/>
  <c r="F40" i="170"/>
  <c r="G40" i="170"/>
  <c r="H40" i="170"/>
  <c r="I40" i="170"/>
  <c r="B42" i="170"/>
  <c r="C42" i="170"/>
  <c r="D42" i="170"/>
  <c r="E42" i="170"/>
  <c r="F42" i="170"/>
  <c r="G42" i="170"/>
  <c r="H42" i="170"/>
  <c r="I42" i="170"/>
  <c r="B44" i="170"/>
  <c r="C44" i="170"/>
  <c r="D44" i="170"/>
  <c r="E44" i="170"/>
  <c r="F44" i="170"/>
  <c r="G44" i="170"/>
  <c r="H44" i="170"/>
  <c r="I44" i="170"/>
  <c r="B46" i="170"/>
  <c r="C46" i="170"/>
  <c r="D46" i="170"/>
  <c r="D47" i="170" s="1"/>
  <c r="E46" i="170"/>
  <c r="F46" i="170"/>
  <c r="G46" i="170"/>
  <c r="H46" i="170"/>
  <c r="I46" i="170"/>
  <c r="B48" i="170"/>
  <c r="C48" i="170"/>
  <c r="D48" i="170"/>
  <c r="D49" i="170" s="1"/>
  <c r="E48" i="170"/>
  <c r="F48" i="170"/>
  <c r="G48" i="170"/>
  <c r="H48" i="170"/>
  <c r="I48" i="170"/>
  <c r="B50" i="170"/>
  <c r="C50" i="170"/>
  <c r="D50" i="170"/>
  <c r="D51" i="170" s="1"/>
  <c r="E50" i="170"/>
  <c r="F50" i="170"/>
  <c r="G50" i="170"/>
  <c r="H50" i="170"/>
  <c r="I50" i="170"/>
  <c r="B52" i="170"/>
  <c r="C52" i="170"/>
  <c r="D52" i="170"/>
  <c r="D53" i="170" s="1"/>
  <c r="E52" i="170"/>
  <c r="F52" i="170"/>
  <c r="G52" i="170"/>
  <c r="H52" i="170"/>
  <c r="I52" i="170"/>
  <c r="B54" i="170"/>
  <c r="C54" i="170"/>
  <c r="D54" i="170"/>
  <c r="E54" i="170"/>
  <c r="F54" i="170"/>
  <c r="G54" i="170"/>
  <c r="H54" i="170"/>
  <c r="I54" i="170"/>
  <c r="B56" i="170"/>
  <c r="C56" i="170"/>
  <c r="D56" i="170"/>
  <c r="E56" i="170"/>
  <c r="F56" i="170"/>
  <c r="G56" i="170"/>
  <c r="H56" i="170"/>
  <c r="I56" i="170"/>
  <c r="B58" i="170"/>
  <c r="C58" i="170"/>
  <c r="C59" i="170" s="1"/>
  <c r="D58" i="170"/>
  <c r="D59" i="170" s="1"/>
  <c r="E58" i="170"/>
  <c r="F58" i="170"/>
  <c r="G58" i="170"/>
  <c r="H58" i="170"/>
  <c r="I58" i="170"/>
  <c r="B60" i="170"/>
  <c r="C60" i="170"/>
  <c r="D60" i="170"/>
  <c r="E60" i="170"/>
  <c r="F60" i="170"/>
  <c r="G60" i="170"/>
  <c r="H60" i="170"/>
  <c r="I60" i="170"/>
  <c r="B62" i="170"/>
  <c r="C62" i="170"/>
  <c r="D62" i="170"/>
  <c r="D63" i="170" s="1"/>
  <c r="E62" i="170"/>
  <c r="F62" i="170"/>
  <c r="G62" i="170"/>
  <c r="H62" i="170"/>
  <c r="I62" i="170"/>
  <c r="J16" i="170"/>
  <c r="I16" i="170"/>
  <c r="H16" i="170"/>
  <c r="G16" i="170"/>
  <c r="D16" i="170"/>
  <c r="C16" i="170"/>
  <c r="B16" i="170"/>
  <c r="J14" i="170"/>
  <c r="I14" i="170"/>
  <c r="H14" i="170"/>
  <c r="G14" i="170"/>
  <c r="F14" i="170"/>
  <c r="J34" i="168"/>
  <c r="I34" i="168"/>
  <c r="H34" i="168"/>
  <c r="G34" i="168"/>
  <c r="F34" i="168"/>
  <c r="E34" i="168"/>
  <c r="J32" i="168"/>
  <c r="I32" i="168"/>
  <c r="H32" i="168"/>
  <c r="G32" i="168"/>
  <c r="F32" i="168"/>
  <c r="E32" i="168"/>
  <c r="D32" i="168"/>
  <c r="D44" i="168" s="1"/>
  <c r="C32" i="168"/>
  <c r="B32" i="168"/>
  <c r="J30" i="168"/>
  <c r="I30" i="168"/>
  <c r="H30" i="168"/>
  <c r="G30" i="168"/>
  <c r="F30" i="168"/>
  <c r="E30" i="168"/>
  <c r="D30" i="168"/>
  <c r="C30" i="168"/>
  <c r="B30" i="168"/>
  <c r="J28" i="168"/>
  <c r="I28" i="168"/>
  <c r="H28" i="168"/>
  <c r="G28" i="168"/>
  <c r="F28" i="168"/>
  <c r="E28" i="168"/>
  <c r="D28" i="168"/>
  <c r="C28" i="168"/>
  <c r="B28" i="168"/>
  <c r="J26" i="168"/>
  <c r="I26" i="168"/>
  <c r="H26" i="168"/>
  <c r="G26" i="168"/>
  <c r="F26" i="168"/>
  <c r="E26" i="168"/>
  <c r="D26" i="168"/>
  <c r="C26" i="168"/>
  <c r="B26" i="168"/>
  <c r="J24" i="168"/>
  <c r="I24" i="168"/>
  <c r="H24" i="168"/>
  <c r="G24" i="168"/>
  <c r="F24" i="168"/>
  <c r="E24" i="168"/>
  <c r="D24" i="168"/>
  <c r="C24" i="168"/>
  <c r="B24" i="168"/>
  <c r="J22" i="168"/>
  <c r="I22" i="168"/>
  <c r="H22" i="168"/>
  <c r="G22" i="168"/>
  <c r="F22" i="168"/>
  <c r="E22" i="168"/>
  <c r="D22" i="168"/>
  <c r="C22" i="168"/>
  <c r="B22" i="168"/>
  <c r="J20" i="168"/>
  <c r="I20" i="168"/>
  <c r="H20" i="168"/>
  <c r="G20" i="168"/>
  <c r="F20" i="168"/>
  <c r="E20" i="168"/>
  <c r="D20" i="168"/>
  <c r="C20" i="168"/>
  <c r="B20" i="168"/>
  <c r="J18" i="168"/>
  <c r="I18" i="168"/>
  <c r="H18" i="168"/>
  <c r="G18" i="168"/>
  <c r="F18" i="168"/>
  <c r="E18" i="168"/>
  <c r="D18" i="168"/>
  <c r="C18" i="168"/>
  <c r="B18" i="168"/>
  <c r="J16" i="168"/>
  <c r="I16" i="168"/>
  <c r="H16" i="168"/>
  <c r="G16" i="168"/>
  <c r="F16" i="168"/>
  <c r="E16" i="168"/>
  <c r="D16" i="168"/>
  <c r="C16" i="168"/>
  <c r="B16" i="168"/>
  <c r="J14" i="168"/>
  <c r="I14" i="168"/>
  <c r="H14" i="168"/>
  <c r="G14" i="168"/>
  <c r="F14" i="168"/>
  <c r="E14" i="168"/>
  <c r="D14" i="168"/>
  <c r="C14" i="168"/>
  <c r="B14" i="168"/>
  <c r="J12" i="168"/>
  <c r="I12" i="168"/>
  <c r="H12" i="168"/>
  <c r="G12" i="168"/>
  <c r="F12" i="168"/>
  <c r="E12" i="168"/>
  <c r="D12" i="168"/>
  <c r="C12" i="168"/>
  <c r="B12" i="168"/>
  <c r="J10" i="168"/>
  <c r="I10" i="168"/>
  <c r="H10" i="168"/>
  <c r="G10" i="168"/>
  <c r="F10" i="168"/>
  <c r="E10" i="168"/>
  <c r="D10" i="168"/>
  <c r="C10" i="168"/>
  <c r="B10" i="168"/>
  <c r="J8" i="168"/>
  <c r="I8" i="168"/>
  <c r="H8" i="168"/>
  <c r="G8" i="168"/>
  <c r="F8" i="168"/>
  <c r="E8" i="168"/>
  <c r="D8" i="168"/>
  <c r="C8" i="168"/>
  <c r="B8" i="168"/>
  <c r="J6" i="168"/>
  <c r="I6" i="168"/>
  <c r="H6" i="168"/>
  <c r="G6" i="168"/>
  <c r="F6" i="168"/>
  <c r="E6" i="168"/>
  <c r="D6" i="168"/>
  <c r="C6" i="168"/>
  <c r="B6" i="168"/>
  <c r="J4" i="168"/>
  <c r="I4" i="168"/>
  <c r="H4" i="168"/>
  <c r="G4" i="168"/>
  <c r="F4" i="168"/>
  <c r="E4" i="168"/>
  <c r="D4" i="168"/>
  <c r="C4" i="168"/>
  <c r="B4" i="168"/>
  <c r="C44" i="168"/>
  <c r="B30" i="161"/>
  <c r="C30" i="161"/>
  <c r="D30" i="161"/>
  <c r="E30" i="161"/>
  <c r="F30" i="161"/>
  <c r="G30" i="161"/>
  <c r="H30" i="161"/>
  <c r="I30" i="161"/>
  <c r="C32" i="161"/>
  <c r="D32" i="161"/>
  <c r="E32" i="161"/>
  <c r="F32" i="161"/>
  <c r="G32" i="161"/>
  <c r="H32" i="161"/>
  <c r="I32" i="161"/>
  <c r="J30" i="167"/>
  <c r="H30" i="167"/>
  <c r="G30" i="167"/>
  <c r="F30" i="167"/>
  <c r="E30" i="167"/>
  <c r="D30" i="167"/>
  <c r="I28" i="167"/>
  <c r="G28" i="167"/>
  <c r="F28" i="167"/>
  <c r="E28" i="167"/>
  <c r="D28" i="167"/>
  <c r="C28" i="167"/>
  <c r="J26" i="167"/>
  <c r="I26" i="167"/>
  <c r="H26" i="167"/>
  <c r="G26" i="167"/>
  <c r="F26" i="167"/>
  <c r="E26" i="167"/>
  <c r="D26" i="167"/>
  <c r="C26" i="167"/>
  <c r="J24" i="167"/>
  <c r="I24" i="167"/>
  <c r="H24" i="167"/>
  <c r="G24" i="167"/>
  <c r="F24" i="167"/>
  <c r="E24" i="167"/>
  <c r="D24" i="167"/>
  <c r="C24" i="167"/>
  <c r="J22" i="167"/>
  <c r="I22" i="167"/>
  <c r="H22" i="167"/>
  <c r="G22" i="167"/>
  <c r="F22" i="167"/>
  <c r="E22" i="167"/>
  <c r="D22" i="167"/>
  <c r="C22" i="167"/>
  <c r="J20" i="167"/>
  <c r="I20" i="167"/>
  <c r="H20" i="167"/>
  <c r="G20" i="167"/>
  <c r="F20" i="167"/>
  <c r="E20" i="167"/>
  <c r="D20" i="167"/>
  <c r="C20" i="167"/>
  <c r="I18" i="167"/>
  <c r="H18" i="167"/>
  <c r="G18" i="167"/>
  <c r="D18" i="167"/>
  <c r="J16" i="167"/>
  <c r="I16" i="167"/>
  <c r="H16" i="167"/>
  <c r="G16" i="167"/>
  <c r="F16" i="167"/>
  <c r="E16" i="167"/>
  <c r="D16" i="167"/>
  <c r="C16" i="167"/>
  <c r="J14" i="167"/>
  <c r="I14" i="167"/>
  <c r="H14" i="167"/>
  <c r="G14" i="167"/>
  <c r="F14" i="167"/>
  <c r="E14" i="167"/>
  <c r="C14" i="167"/>
  <c r="J12" i="167"/>
  <c r="I12" i="167"/>
  <c r="H12" i="167"/>
  <c r="G12" i="167"/>
  <c r="F12" i="167"/>
  <c r="E12" i="167"/>
  <c r="D12" i="167"/>
  <c r="J10" i="167"/>
  <c r="I10" i="167"/>
  <c r="H10" i="167"/>
  <c r="G10" i="167"/>
  <c r="F10" i="167"/>
  <c r="E10" i="167"/>
  <c r="D10" i="167"/>
  <c r="C10" i="167"/>
  <c r="J8" i="167"/>
  <c r="I8" i="167"/>
  <c r="H8" i="167"/>
  <c r="G8" i="167"/>
  <c r="G34" i="167" s="1"/>
  <c r="F8" i="167"/>
  <c r="E8" i="167"/>
  <c r="D8" i="167"/>
  <c r="C8" i="167"/>
  <c r="C4" i="167"/>
  <c r="B12" i="160"/>
  <c r="B10" i="160"/>
  <c r="B8" i="160"/>
  <c r="B6" i="160"/>
  <c r="J12" i="166"/>
  <c r="I12" i="166"/>
  <c r="H12" i="166"/>
  <c r="G12" i="166"/>
  <c r="F12" i="166"/>
  <c r="E12" i="166"/>
  <c r="D12" i="166"/>
  <c r="C12" i="166"/>
  <c r="B12" i="166"/>
  <c r="I10" i="166"/>
  <c r="H10" i="166"/>
  <c r="G10" i="166"/>
  <c r="F10" i="166"/>
  <c r="E10" i="166"/>
  <c r="D10" i="166"/>
  <c r="C10" i="166"/>
  <c r="B10" i="166"/>
  <c r="J8" i="166"/>
  <c r="I8" i="166"/>
  <c r="H8" i="166"/>
  <c r="G8" i="166"/>
  <c r="F8" i="166"/>
  <c r="E8" i="166"/>
  <c r="D8" i="166"/>
  <c r="C8" i="166"/>
  <c r="J6" i="166"/>
  <c r="I6" i="166"/>
  <c r="H6" i="166"/>
  <c r="G6" i="166"/>
  <c r="F6" i="166"/>
  <c r="E6" i="166"/>
  <c r="D6" i="166"/>
  <c r="C6" i="166"/>
  <c r="J28" i="165"/>
  <c r="I28" i="165"/>
  <c r="H28" i="165"/>
  <c r="G28" i="165"/>
  <c r="F28" i="165"/>
  <c r="E28" i="165"/>
  <c r="D28" i="165"/>
  <c r="C28" i="165"/>
  <c r="B28" i="165"/>
  <c r="J26" i="165"/>
  <c r="I26" i="165"/>
  <c r="H26" i="165"/>
  <c r="G26" i="165"/>
  <c r="F26" i="165"/>
  <c r="E26" i="165"/>
  <c r="D26" i="165"/>
  <c r="C26" i="165"/>
  <c r="J20" i="165"/>
  <c r="I20" i="165"/>
  <c r="H20" i="165"/>
  <c r="G20" i="165"/>
  <c r="F20" i="165"/>
  <c r="E20" i="165"/>
  <c r="D20" i="165"/>
  <c r="C20" i="165"/>
  <c r="B20" i="165"/>
  <c r="J18" i="165"/>
  <c r="I18" i="165"/>
  <c r="H18" i="165"/>
  <c r="G18" i="165"/>
  <c r="F18" i="165"/>
  <c r="E18" i="165"/>
  <c r="D18" i="165"/>
  <c r="C18" i="165"/>
  <c r="B18" i="165"/>
  <c r="B16" i="165"/>
  <c r="J16" i="165"/>
  <c r="I16" i="165"/>
  <c r="H16" i="165"/>
  <c r="G16" i="165"/>
  <c r="F16" i="165"/>
  <c r="E16" i="165"/>
  <c r="D16" i="165"/>
  <c r="C16" i="165"/>
  <c r="J14" i="165"/>
  <c r="I14" i="165"/>
  <c r="H14" i="165"/>
  <c r="G14" i="165"/>
  <c r="F14" i="165"/>
  <c r="E14" i="165"/>
  <c r="D14" i="165"/>
  <c r="C14" i="165"/>
  <c r="B14" i="165"/>
  <c r="J12" i="165"/>
  <c r="I12" i="165"/>
  <c r="H12" i="165"/>
  <c r="G12" i="165"/>
  <c r="F12" i="165"/>
  <c r="E12" i="165"/>
  <c r="D12" i="165"/>
  <c r="C12" i="165"/>
  <c r="B12" i="165"/>
  <c r="J10" i="165"/>
  <c r="I10" i="165"/>
  <c r="H10" i="165"/>
  <c r="G10" i="165"/>
  <c r="F10" i="165"/>
  <c r="E10" i="165"/>
  <c r="D10" i="165"/>
  <c r="C10" i="165"/>
  <c r="B10" i="165"/>
  <c r="J8" i="165"/>
  <c r="I8" i="165"/>
  <c r="H8" i="165"/>
  <c r="G8" i="165"/>
  <c r="F8" i="165"/>
  <c r="E8" i="165"/>
  <c r="D8" i="165"/>
  <c r="C8" i="165"/>
  <c r="B8" i="165"/>
  <c r="J6" i="165"/>
  <c r="I6" i="165"/>
  <c r="H6" i="165"/>
  <c r="G6" i="165"/>
  <c r="F6" i="165"/>
  <c r="E6" i="165"/>
  <c r="D6" i="165"/>
  <c r="C6" i="165"/>
  <c r="B6" i="165"/>
  <c r="G4" i="165"/>
  <c r="J4" i="165"/>
  <c r="I4" i="165"/>
  <c r="H4" i="165"/>
  <c r="F4" i="165"/>
  <c r="E4" i="165"/>
  <c r="D4" i="165"/>
  <c r="C4" i="165"/>
  <c r="B4" i="165"/>
  <c r="I62" i="164"/>
  <c r="H62" i="164"/>
  <c r="G62" i="164"/>
  <c r="F62" i="164"/>
  <c r="E62" i="164"/>
  <c r="D62" i="164"/>
  <c r="C62" i="164"/>
  <c r="B62" i="164"/>
  <c r="I60" i="164"/>
  <c r="H60" i="164"/>
  <c r="G60" i="164"/>
  <c r="F60" i="164"/>
  <c r="E60" i="164"/>
  <c r="D60" i="164"/>
  <c r="C60" i="164"/>
  <c r="B60" i="164"/>
  <c r="I58" i="164"/>
  <c r="H58" i="164"/>
  <c r="G58" i="164"/>
  <c r="F58" i="164"/>
  <c r="E58" i="164"/>
  <c r="D58" i="164"/>
  <c r="C58" i="164"/>
  <c r="B58" i="164"/>
  <c r="B56" i="164"/>
  <c r="E56" i="164"/>
  <c r="E54" i="164"/>
  <c r="E52" i="164"/>
  <c r="E50" i="164"/>
  <c r="E48" i="164"/>
  <c r="E46" i="164"/>
  <c r="E44" i="164"/>
  <c r="E42" i="164"/>
  <c r="E40" i="164"/>
  <c r="E38" i="164"/>
  <c r="E36" i="164"/>
  <c r="E34" i="164"/>
  <c r="E32" i="164"/>
  <c r="E30" i="164"/>
  <c r="E28" i="164"/>
  <c r="E26" i="164"/>
  <c r="E24" i="164"/>
  <c r="E16" i="164"/>
  <c r="E14" i="164"/>
  <c r="E43" i="164" s="1"/>
  <c r="E8" i="164"/>
  <c r="E6" i="164"/>
  <c r="E4" i="164"/>
  <c r="F4" i="164"/>
  <c r="G24" i="164"/>
  <c r="F24" i="164"/>
  <c r="H24" i="164"/>
  <c r="D24" i="164"/>
  <c r="I34" i="162"/>
  <c r="H34" i="162"/>
  <c r="G34" i="162"/>
  <c r="F34" i="162"/>
  <c r="E34" i="162"/>
  <c r="D34" i="162"/>
  <c r="C34" i="162"/>
  <c r="B34" i="162"/>
  <c r="I32" i="162"/>
  <c r="H32" i="162"/>
  <c r="G32" i="162"/>
  <c r="F32" i="162"/>
  <c r="E32" i="162"/>
  <c r="D32" i="162"/>
  <c r="C32" i="162"/>
  <c r="B32" i="162"/>
  <c r="I30" i="162"/>
  <c r="H30" i="162"/>
  <c r="G30" i="162"/>
  <c r="F30" i="162"/>
  <c r="E30" i="162"/>
  <c r="D30" i="162"/>
  <c r="C30" i="162"/>
  <c r="B30" i="162"/>
  <c r="I28" i="162"/>
  <c r="H28" i="162"/>
  <c r="H26" i="162"/>
  <c r="I26" i="162"/>
  <c r="G28" i="162"/>
  <c r="F28" i="162"/>
  <c r="E28" i="162"/>
  <c r="G26" i="162"/>
  <c r="F26" i="162"/>
  <c r="E26" i="162"/>
  <c r="I24" i="162"/>
  <c r="H24" i="162"/>
  <c r="G24" i="162"/>
  <c r="F24" i="162"/>
  <c r="E24" i="162"/>
  <c r="I22" i="162"/>
  <c r="H22" i="162"/>
  <c r="G22" i="162"/>
  <c r="F22" i="162"/>
  <c r="E22" i="162"/>
  <c r="I20" i="162"/>
  <c r="H20" i="162"/>
  <c r="G20" i="162"/>
  <c r="F20" i="162"/>
  <c r="E20" i="162"/>
  <c r="I18" i="162"/>
  <c r="H18" i="162"/>
  <c r="G18" i="162"/>
  <c r="F18" i="162"/>
  <c r="E18" i="162"/>
  <c r="I16" i="162"/>
  <c r="H16" i="162"/>
  <c r="G16" i="162"/>
  <c r="F16" i="162"/>
  <c r="E16" i="162"/>
  <c r="D16" i="162"/>
  <c r="C16" i="162"/>
  <c r="B16" i="162"/>
  <c r="I14" i="162"/>
  <c r="H14" i="162"/>
  <c r="G14" i="162"/>
  <c r="F14" i="162"/>
  <c r="E14" i="162"/>
  <c r="I12" i="162"/>
  <c r="H12" i="162"/>
  <c r="G12" i="162"/>
  <c r="F12" i="162"/>
  <c r="E12" i="162"/>
  <c r="I10" i="162"/>
  <c r="H10" i="162"/>
  <c r="G10" i="162"/>
  <c r="F10" i="162"/>
  <c r="E10" i="162"/>
  <c r="I8" i="162"/>
  <c r="H8" i="162"/>
  <c r="G8" i="162"/>
  <c r="F8" i="162"/>
  <c r="E8" i="162"/>
  <c r="B8" i="162"/>
  <c r="I6" i="162"/>
  <c r="H6" i="162"/>
  <c r="G6" i="162"/>
  <c r="F6" i="162"/>
  <c r="E6" i="162"/>
  <c r="I4" i="162"/>
  <c r="H4" i="162"/>
  <c r="F4" i="162"/>
  <c r="E4" i="162"/>
  <c r="D4" i="162"/>
  <c r="C4" i="162"/>
  <c r="B12" i="162"/>
  <c r="B10" i="162"/>
  <c r="B6" i="162"/>
  <c r="I28" i="161"/>
  <c r="H28" i="161"/>
  <c r="G28" i="161"/>
  <c r="F28" i="161"/>
  <c r="E28" i="161"/>
  <c r="D28" i="161"/>
  <c r="C28" i="161"/>
  <c r="B28" i="161"/>
  <c r="B26" i="161"/>
  <c r="I26" i="161"/>
  <c r="H26" i="161"/>
  <c r="G26" i="161"/>
  <c r="F26" i="161"/>
  <c r="E26" i="161"/>
  <c r="D26" i="161"/>
  <c r="C26" i="161"/>
  <c r="I24" i="161"/>
  <c r="H24" i="161"/>
  <c r="G24" i="161"/>
  <c r="F24" i="161"/>
  <c r="E24" i="161"/>
  <c r="D24" i="161"/>
  <c r="C24" i="161"/>
  <c r="B24" i="161"/>
  <c r="I22" i="161"/>
  <c r="H22" i="161"/>
  <c r="G22" i="161"/>
  <c r="F22" i="161"/>
  <c r="E22" i="161"/>
  <c r="D22" i="161"/>
  <c r="C22" i="161"/>
  <c r="B22" i="161"/>
  <c r="B20" i="161"/>
  <c r="I20" i="161"/>
  <c r="H20" i="161"/>
  <c r="G20" i="161"/>
  <c r="F20" i="161"/>
  <c r="E20" i="161"/>
  <c r="D20" i="161"/>
  <c r="C20" i="161"/>
  <c r="B18" i="161"/>
  <c r="I18" i="161"/>
  <c r="H18" i="161"/>
  <c r="G18" i="161"/>
  <c r="F18" i="161"/>
  <c r="E18" i="161"/>
  <c r="D18" i="161"/>
  <c r="C18" i="161"/>
  <c r="H16" i="161"/>
  <c r="G16" i="161"/>
  <c r="F16" i="161"/>
  <c r="E16" i="161"/>
  <c r="D16" i="161"/>
  <c r="C16" i="161"/>
  <c r="I14" i="161"/>
  <c r="H14" i="161"/>
  <c r="G14" i="161"/>
  <c r="F14" i="161"/>
  <c r="E14" i="161"/>
  <c r="D14" i="161"/>
  <c r="C14" i="161"/>
  <c r="I12" i="161"/>
  <c r="H12" i="161"/>
  <c r="G12" i="161"/>
  <c r="F12" i="161"/>
  <c r="E12" i="161"/>
  <c r="D12" i="161"/>
  <c r="C12" i="161"/>
  <c r="B12" i="161"/>
  <c r="I10" i="161"/>
  <c r="H10" i="161"/>
  <c r="G10" i="161"/>
  <c r="F10" i="161"/>
  <c r="E10" i="161"/>
  <c r="D10" i="161"/>
  <c r="C10" i="161"/>
  <c r="B10" i="161"/>
  <c r="G8" i="161"/>
  <c r="I8" i="161"/>
  <c r="H8" i="161"/>
  <c r="F8" i="161"/>
  <c r="E8" i="161"/>
  <c r="D8" i="161"/>
  <c r="C8" i="161"/>
  <c r="B8" i="161"/>
  <c r="C6" i="161"/>
  <c r="B6" i="161"/>
  <c r="I6" i="161"/>
  <c r="H6" i="161"/>
  <c r="G6" i="161"/>
  <c r="F6" i="161"/>
  <c r="E6" i="161"/>
  <c r="D6" i="161"/>
  <c r="I12" i="160"/>
  <c r="H12" i="160"/>
  <c r="G12" i="160"/>
  <c r="F12" i="160"/>
  <c r="E12" i="160"/>
  <c r="D12" i="160"/>
  <c r="I10" i="160"/>
  <c r="G10" i="160"/>
  <c r="F10" i="160"/>
  <c r="E10" i="160"/>
  <c r="D10" i="160"/>
  <c r="C10" i="160"/>
  <c r="I8" i="160"/>
  <c r="H8" i="160"/>
  <c r="G8" i="160"/>
  <c r="F8" i="160"/>
  <c r="E8" i="160"/>
  <c r="D8" i="160"/>
  <c r="C8" i="160"/>
  <c r="I6" i="160"/>
  <c r="H6" i="160"/>
  <c r="G6" i="160"/>
  <c r="F6" i="160"/>
  <c r="E6" i="160"/>
  <c r="D6" i="160"/>
  <c r="C6" i="160"/>
  <c r="H4" i="160"/>
  <c r="G4" i="160"/>
  <c r="F4" i="160"/>
  <c r="E4" i="160"/>
  <c r="C57" i="170" l="1"/>
  <c r="C53" i="170"/>
  <c r="J62" i="164"/>
  <c r="C35" i="170"/>
  <c r="D34" i="167"/>
  <c r="B37" i="170"/>
  <c r="B42" i="171"/>
  <c r="B44" i="171" s="1"/>
  <c r="AV46" i="171"/>
  <c r="J24" i="165"/>
  <c r="C51" i="170"/>
  <c r="J58" i="164"/>
  <c r="C34" i="167"/>
  <c r="C37" i="170"/>
  <c r="C31" i="170"/>
  <c r="B39" i="170"/>
  <c r="B38" i="162"/>
  <c r="F34" i="167"/>
  <c r="AV47" i="171"/>
  <c r="B32" i="171"/>
  <c r="B34" i="171"/>
  <c r="K40" i="171"/>
  <c r="K42" i="171"/>
  <c r="C39" i="170"/>
  <c r="G27" i="170"/>
  <c r="E25" i="170"/>
  <c r="C33" i="170"/>
  <c r="C63" i="170"/>
  <c r="C49" i="170"/>
  <c r="C47" i="170"/>
  <c r="C45" i="170"/>
  <c r="C43" i="170"/>
  <c r="D41" i="170"/>
  <c r="C29" i="170"/>
  <c r="B55" i="170"/>
  <c r="D61" i="170"/>
  <c r="B47" i="170"/>
  <c r="C55" i="170"/>
  <c r="B31" i="170"/>
  <c r="C61" i="170"/>
  <c r="C41" i="170"/>
  <c r="D39" i="170"/>
  <c r="C27" i="170"/>
  <c r="B33" i="170"/>
  <c r="B45" i="170"/>
  <c r="B43" i="170"/>
  <c r="B53" i="170"/>
  <c r="B29" i="170"/>
  <c r="B59" i="170"/>
  <c r="B35" i="170"/>
  <c r="B51" i="170"/>
  <c r="B41" i="170"/>
  <c r="B27" i="170"/>
  <c r="B63" i="170"/>
  <c r="B57" i="170"/>
  <c r="B49" i="170"/>
  <c r="G4" i="167"/>
  <c r="H44" i="168"/>
  <c r="F61" i="170"/>
  <c r="Q76" i="172"/>
  <c r="E41" i="170"/>
  <c r="E39" i="170"/>
  <c r="I44" i="168"/>
  <c r="E44" i="168"/>
  <c r="E45" i="170"/>
  <c r="E43" i="170"/>
  <c r="E57" i="170"/>
  <c r="E37" i="170"/>
  <c r="D36" i="168"/>
  <c r="D45" i="168" s="1"/>
  <c r="E42" i="168"/>
  <c r="C40" i="168"/>
  <c r="D36" i="171"/>
  <c r="H36" i="171"/>
  <c r="J28" i="171"/>
  <c r="F36" i="171"/>
  <c r="J36" i="171"/>
  <c r="E36" i="171"/>
  <c r="I36" i="171"/>
  <c r="B7" i="171"/>
  <c r="E31" i="170"/>
  <c r="E29" i="170"/>
  <c r="E63" i="170"/>
  <c r="E61" i="170"/>
  <c r="E59" i="170"/>
  <c r="E55" i="170"/>
  <c r="E53" i="170"/>
  <c r="E51" i="170"/>
  <c r="E49" i="170"/>
  <c r="E47" i="170"/>
  <c r="E35" i="170"/>
  <c r="E33" i="170"/>
  <c r="E27" i="170"/>
  <c r="E38" i="168"/>
  <c r="I38" i="168"/>
  <c r="H36" i="168"/>
  <c r="G40" i="168"/>
  <c r="G44" i="168"/>
  <c r="K26" i="165"/>
  <c r="E31" i="164"/>
  <c r="D28" i="171"/>
  <c r="H28" i="171"/>
  <c r="AV30" i="171"/>
  <c r="AV34" i="171"/>
  <c r="C34" i="171"/>
  <c r="G34" i="171"/>
  <c r="AV38" i="171"/>
  <c r="F38" i="171"/>
  <c r="J38" i="171"/>
  <c r="C11" i="171"/>
  <c r="D25" i="170"/>
  <c r="I42" i="168"/>
  <c r="I4" i="167"/>
  <c r="E4" i="167"/>
  <c r="H4" i="167"/>
  <c r="K8" i="166"/>
  <c r="D24" i="165"/>
  <c r="B4" i="161"/>
  <c r="Q89" i="172"/>
  <c r="Q79" i="172"/>
  <c r="Q80" i="172"/>
  <c r="Q90" i="172"/>
  <c r="Q88" i="172"/>
  <c r="Q84" i="172"/>
  <c r="Q87" i="172"/>
  <c r="AV31" i="171"/>
  <c r="AV35" i="171"/>
  <c r="D34" i="171"/>
  <c r="H34" i="171"/>
  <c r="AV39" i="171"/>
  <c r="AV43" i="171"/>
  <c r="AV28" i="171"/>
  <c r="C28" i="171"/>
  <c r="G28" i="171"/>
  <c r="F28" i="171"/>
  <c r="E28" i="171"/>
  <c r="I28" i="171"/>
  <c r="AV32" i="171"/>
  <c r="AV33" i="171"/>
  <c r="AV36" i="171"/>
  <c r="F34" i="171"/>
  <c r="J34" i="171"/>
  <c r="E34" i="171"/>
  <c r="I34" i="171"/>
  <c r="C36" i="171"/>
  <c r="G36" i="171"/>
  <c r="AV41" i="171"/>
  <c r="E38" i="171"/>
  <c r="I38" i="171"/>
  <c r="D38" i="171"/>
  <c r="H38" i="171"/>
  <c r="AV44" i="171"/>
  <c r="G38" i="171"/>
  <c r="B11" i="171"/>
  <c r="H25" i="170"/>
  <c r="D31" i="170"/>
  <c r="K24" i="170"/>
  <c r="G63" i="170"/>
  <c r="F57" i="170"/>
  <c r="G47" i="170"/>
  <c r="F43" i="170"/>
  <c r="G31" i="170"/>
  <c r="H29" i="170"/>
  <c r="G59" i="170"/>
  <c r="H49" i="170"/>
  <c r="H45" i="170"/>
  <c r="H33" i="170"/>
  <c r="G29" i="170"/>
  <c r="F27" i="170"/>
  <c r="F55" i="170"/>
  <c r="G49" i="170"/>
  <c r="H47" i="170"/>
  <c r="G45" i="170"/>
  <c r="H41" i="170"/>
  <c r="H39" i="170"/>
  <c r="G37" i="170"/>
  <c r="G33" i="170"/>
  <c r="G25" i="170"/>
  <c r="H63" i="170"/>
  <c r="H51" i="170"/>
  <c r="G39" i="170"/>
  <c r="C36" i="168"/>
  <c r="C45" i="168" s="1"/>
  <c r="D38" i="168"/>
  <c r="H38" i="168"/>
  <c r="C38" i="168"/>
  <c r="G38" i="168"/>
  <c r="F36" i="168"/>
  <c r="E36" i="168"/>
  <c r="I36" i="168"/>
  <c r="D40" i="168"/>
  <c r="H40" i="168"/>
  <c r="B40" i="168"/>
  <c r="F40" i="168"/>
  <c r="E40" i="168"/>
  <c r="I40" i="168"/>
  <c r="C42" i="168"/>
  <c r="G42" i="168"/>
  <c r="B42" i="168"/>
  <c r="F42" i="168"/>
  <c r="D42" i="168"/>
  <c r="H42" i="168"/>
  <c r="B44" i="168"/>
  <c r="F44" i="168"/>
  <c r="D4" i="167"/>
  <c r="K10" i="167"/>
  <c r="F4" i="167"/>
  <c r="E24" i="165"/>
  <c r="I24" i="165"/>
  <c r="B24" i="165"/>
  <c r="F24" i="165"/>
  <c r="H24" i="165"/>
  <c r="C24" i="165"/>
  <c r="G24" i="165"/>
  <c r="K18" i="165"/>
  <c r="E61" i="164"/>
  <c r="E39" i="164"/>
  <c r="E29" i="164"/>
  <c r="G14" i="160"/>
  <c r="H14" i="160"/>
  <c r="P83" i="172"/>
  <c r="Q86" i="172"/>
  <c r="I74" i="172"/>
  <c r="Q75" i="172"/>
  <c r="P74" i="172"/>
  <c r="I83" i="172"/>
  <c r="Q81" i="172"/>
  <c r="Q72" i="172"/>
  <c r="Q68" i="172"/>
  <c r="Q66" i="172"/>
  <c r="Q64" i="172"/>
  <c r="Q62" i="172"/>
  <c r="Q55" i="172"/>
  <c r="Q53" i="172"/>
  <c r="P48" i="172"/>
  <c r="Q78" i="172"/>
  <c r="Q57" i="172"/>
  <c r="Q77" i="172"/>
  <c r="Q71" i="172"/>
  <c r="Q58" i="172"/>
  <c r="Q49" i="172"/>
  <c r="I48" i="172"/>
  <c r="Q70" i="172"/>
  <c r="P91" i="172"/>
  <c r="Q85" i="172"/>
  <c r="Q54" i="172"/>
  <c r="Q52" i="172"/>
  <c r="Q60" i="172"/>
  <c r="AV37" i="171"/>
  <c r="AV29" i="171"/>
  <c r="C38" i="171"/>
  <c r="AV40" i="171"/>
  <c r="AV42" i="171"/>
  <c r="I31" i="170"/>
  <c r="F25" i="170"/>
  <c r="B25" i="170"/>
  <c r="I61" i="170"/>
  <c r="F59" i="170"/>
  <c r="I55" i="170"/>
  <c r="I53" i="170"/>
  <c r="F45" i="170"/>
  <c r="I41" i="170"/>
  <c r="F37" i="170"/>
  <c r="F31" i="170"/>
  <c r="I27" i="170"/>
  <c r="I49" i="170"/>
  <c r="I35" i="170"/>
  <c r="F63" i="170"/>
  <c r="H61" i="170"/>
  <c r="I59" i="170"/>
  <c r="I57" i="170"/>
  <c r="D57" i="170"/>
  <c r="H55" i="170"/>
  <c r="D55" i="170"/>
  <c r="H53" i="170"/>
  <c r="G53" i="170"/>
  <c r="G51" i="170"/>
  <c r="F49" i="170"/>
  <c r="F47" i="170"/>
  <c r="I43" i="170"/>
  <c r="D43" i="170"/>
  <c r="G41" i="170"/>
  <c r="F39" i="170"/>
  <c r="I37" i="170"/>
  <c r="H35" i="170"/>
  <c r="G35" i="170"/>
  <c r="F33" i="170"/>
  <c r="F29" i="170"/>
  <c r="H27" i="170"/>
  <c r="I25" i="170"/>
  <c r="D27" i="170"/>
  <c r="I51" i="170"/>
  <c r="I33" i="170"/>
  <c r="I63" i="170"/>
  <c r="G61" i="170"/>
  <c r="H59" i="170"/>
  <c r="H57" i="170"/>
  <c r="G57" i="170"/>
  <c r="G55" i="170"/>
  <c r="F53" i="170"/>
  <c r="F51" i="170"/>
  <c r="I47" i="170"/>
  <c r="I45" i="170"/>
  <c r="D45" i="170"/>
  <c r="H43" i="170"/>
  <c r="G43" i="170"/>
  <c r="F41" i="170"/>
  <c r="I39" i="170"/>
  <c r="H37" i="170"/>
  <c r="D37" i="170"/>
  <c r="F35" i="170"/>
  <c r="H31" i="170"/>
  <c r="I29" i="170"/>
  <c r="F38" i="168"/>
  <c r="B36" i="168"/>
  <c r="G36" i="168"/>
  <c r="J59" i="170"/>
  <c r="J61" i="170"/>
  <c r="K60" i="170"/>
  <c r="K58" i="170"/>
  <c r="B38" i="168"/>
  <c r="F14" i="160"/>
  <c r="I14" i="160"/>
  <c r="E14" i="160"/>
  <c r="E59" i="164"/>
  <c r="J60" i="164"/>
  <c r="D4" i="160"/>
  <c r="D14" i="160" s="1"/>
  <c r="C14" i="160"/>
  <c r="I29" i="165" l="1"/>
  <c r="I31" i="165"/>
  <c r="I23" i="165"/>
  <c r="C19" i="165"/>
  <c r="C23" i="165"/>
  <c r="C31" i="165"/>
  <c r="H19" i="165"/>
  <c r="H31" i="165"/>
  <c r="H23" i="165"/>
  <c r="K38" i="171"/>
  <c r="F19" i="165"/>
  <c r="F31" i="165"/>
  <c r="F23" i="165"/>
  <c r="K24" i="165"/>
  <c r="J23" i="165"/>
  <c r="J31" i="165"/>
  <c r="E15" i="165"/>
  <c r="E31" i="165"/>
  <c r="E23" i="165"/>
  <c r="G5" i="165"/>
  <c r="G31" i="165"/>
  <c r="G23" i="165"/>
  <c r="D29" i="165"/>
  <c r="D23" i="165"/>
  <c r="D31" i="165"/>
  <c r="E43" i="168"/>
  <c r="B27" i="165"/>
  <c r="B23" i="165"/>
  <c r="B31" i="165"/>
  <c r="K36" i="171"/>
  <c r="K34" i="171"/>
  <c r="I43" i="168"/>
  <c r="H45" i="168"/>
  <c r="B43" i="168"/>
  <c r="I9" i="165"/>
  <c r="C7" i="165"/>
  <c r="D7" i="165"/>
  <c r="Q48" i="172"/>
  <c r="D41" i="168"/>
  <c r="C43" i="168"/>
  <c r="C39" i="168"/>
  <c r="F41" i="168"/>
  <c r="I45" i="168"/>
  <c r="D17" i="165"/>
  <c r="C15" i="165"/>
  <c r="G39" i="168"/>
  <c r="D43" i="168"/>
  <c r="I41" i="168"/>
  <c r="I15" i="165"/>
  <c r="C21" i="165"/>
  <c r="F43" i="168"/>
  <c r="D39" i="168"/>
  <c r="F45" i="168"/>
  <c r="F11" i="165"/>
  <c r="F29" i="165"/>
  <c r="Q74" i="172"/>
  <c r="I39" i="168"/>
  <c r="F39" i="168"/>
  <c r="H39" i="168"/>
  <c r="C41" i="168"/>
  <c r="H41" i="168"/>
  <c r="H43" i="168"/>
  <c r="E5" i="165"/>
  <c r="F13" i="165"/>
  <c r="D21" i="165"/>
  <c r="D19" i="165"/>
  <c r="E19" i="165"/>
  <c r="D9" i="165"/>
  <c r="D13" i="165"/>
  <c r="E29" i="165"/>
  <c r="E45" i="168"/>
  <c r="G41" i="168"/>
  <c r="G43" i="168"/>
  <c r="C17" i="165"/>
  <c r="C11" i="165"/>
  <c r="I13" i="165"/>
  <c r="I27" i="165"/>
  <c r="C27" i="165"/>
  <c r="I19" i="165"/>
  <c r="I5" i="165"/>
  <c r="C9" i="165"/>
  <c r="I11" i="165"/>
  <c r="I17" i="165"/>
  <c r="C29" i="165"/>
  <c r="C5" i="165"/>
  <c r="C13" i="165"/>
  <c r="I7" i="165"/>
  <c r="B45" i="168"/>
  <c r="B41" i="168"/>
  <c r="F7" i="165"/>
  <c r="E27" i="165"/>
  <c r="E13" i="165"/>
  <c r="E21" i="165"/>
  <c r="E7" i="165"/>
  <c r="E9" i="165"/>
  <c r="H17" i="165"/>
  <c r="H5" i="165"/>
  <c r="H29" i="165"/>
  <c r="H13" i="165"/>
  <c r="F17" i="165"/>
  <c r="H9" i="165"/>
  <c r="H15" i="165"/>
  <c r="H21" i="165"/>
  <c r="F15" i="165"/>
  <c r="E17" i="165"/>
  <c r="F21" i="165"/>
  <c r="F9" i="165"/>
  <c r="H7" i="165"/>
  <c r="E11" i="165"/>
  <c r="F5" i="165"/>
  <c r="H11" i="165"/>
  <c r="H27" i="165"/>
  <c r="F27" i="165"/>
  <c r="Q83" i="172"/>
  <c r="E41" i="168"/>
  <c r="E39" i="168"/>
  <c r="B39" i="168"/>
  <c r="G29" i="165"/>
  <c r="G19" i="165"/>
  <c r="G27" i="165"/>
  <c r="G7" i="165"/>
  <c r="G15" i="165"/>
  <c r="G21" i="165"/>
  <c r="B29" i="165"/>
  <c r="G11" i="165"/>
  <c r="B11" i="165"/>
  <c r="G9" i="165"/>
  <c r="G13" i="165"/>
  <c r="G17" i="165"/>
  <c r="G45" i="168"/>
  <c r="J4" i="160"/>
  <c r="B14" i="160"/>
  <c r="J14" i="160" s="1"/>
  <c r="B7" i="165"/>
  <c r="D11" i="165"/>
  <c r="D15" i="165"/>
  <c r="D27" i="165"/>
  <c r="I21" i="165"/>
  <c r="B19" i="165"/>
  <c r="B15" i="165"/>
  <c r="D5" i="165"/>
  <c r="B9" i="165"/>
  <c r="B13" i="165"/>
  <c r="B17" i="165"/>
  <c r="B21" i="165"/>
  <c r="B5" i="165"/>
  <c r="K23" i="165" l="1"/>
  <c r="K31" i="165"/>
  <c r="I25" i="165"/>
  <c r="C25" i="165"/>
  <c r="E25" i="165"/>
  <c r="G25" i="165"/>
  <c r="H25" i="165"/>
  <c r="F25" i="165"/>
  <c r="D25" i="165"/>
  <c r="B5" i="160"/>
  <c r="B25" i="165"/>
  <c r="J6" i="160"/>
  <c r="J8" i="160"/>
  <c r="J10" i="160"/>
  <c r="J12" i="160"/>
  <c r="I28" i="159"/>
  <c r="H28" i="159"/>
  <c r="G28" i="159"/>
  <c r="F28" i="159"/>
  <c r="E28" i="159"/>
  <c r="D28" i="159"/>
  <c r="C28" i="159"/>
  <c r="B28" i="159"/>
  <c r="I26" i="159"/>
  <c r="H26" i="159"/>
  <c r="G26" i="159"/>
  <c r="F26" i="159"/>
  <c r="E26" i="159"/>
  <c r="D26" i="159"/>
  <c r="C26" i="159"/>
  <c r="B26" i="159"/>
  <c r="I20" i="159"/>
  <c r="H20" i="159"/>
  <c r="G20" i="159"/>
  <c r="F20" i="159"/>
  <c r="E20" i="159"/>
  <c r="D20" i="159"/>
  <c r="C20" i="159"/>
  <c r="B20" i="159"/>
  <c r="I18" i="159"/>
  <c r="H18" i="159"/>
  <c r="G18" i="159"/>
  <c r="F18" i="159"/>
  <c r="E18" i="159"/>
  <c r="D18" i="159"/>
  <c r="C18" i="159"/>
  <c r="B18" i="159"/>
  <c r="I16" i="159"/>
  <c r="H16" i="159"/>
  <c r="G16" i="159"/>
  <c r="F16" i="159"/>
  <c r="E16" i="159"/>
  <c r="D16" i="159"/>
  <c r="C16" i="159"/>
  <c r="B16" i="159"/>
  <c r="I14" i="159"/>
  <c r="H14" i="159"/>
  <c r="G14" i="159"/>
  <c r="F14" i="159"/>
  <c r="E14" i="159"/>
  <c r="D14" i="159"/>
  <c r="C14" i="159"/>
  <c r="B14" i="159"/>
  <c r="I12" i="159"/>
  <c r="H12" i="159"/>
  <c r="G12" i="159"/>
  <c r="F12" i="159"/>
  <c r="E12" i="159"/>
  <c r="D12" i="159"/>
  <c r="C12" i="159"/>
  <c r="B12" i="159"/>
  <c r="I10" i="159"/>
  <c r="H10" i="159"/>
  <c r="G10" i="159"/>
  <c r="F10" i="159"/>
  <c r="E10" i="159"/>
  <c r="D10" i="159"/>
  <c r="C10" i="159"/>
  <c r="B10" i="159"/>
  <c r="I8" i="159"/>
  <c r="H8" i="159"/>
  <c r="G8" i="159"/>
  <c r="F8" i="159"/>
  <c r="E8" i="159"/>
  <c r="D8" i="159"/>
  <c r="C8" i="159"/>
  <c r="B8" i="159"/>
  <c r="I6" i="159"/>
  <c r="H6" i="159"/>
  <c r="G6" i="159"/>
  <c r="F6" i="159"/>
  <c r="E6" i="159"/>
  <c r="D6" i="159"/>
  <c r="C6" i="159"/>
  <c r="B6" i="159"/>
  <c r="I4" i="159"/>
  <c r="H4" i="159"/>
  <c r="G4" i="159"/>
  <c r="F4" i="159"/>
  <c r="E4" i="159"/>
  <c r="D4" i="159"/>
  <c r="C4" i="159"/>
  <c r="B4" i="159"/>
  <c r="J12" i="159" l="1"/>
  <c r="J4" i="159"/>
  <c r="J6" i="159"/>
  <c r="J8" i="159"/>
  <c r="J10" i="159"/>
  <c r="J14" i="159"/>
  <c r="J16" i="159"/>
  <c r="J18" i="159"/>
  <c r="J20" i="159"/>
  <c r="C20" i="123"/>
  <c r="I45" i="172" l="1"/>
  <c r="I44" i="172"/>
  <c r="I43" i="172"/>
  <c r="Q43" i="172" s="1"/>
  <c r="I42" i="172"/>
  <c r="Q42" i="172" s="1"/>
  <c r="I41" i="172"/>
  <c r="I40" i="172"/>
  <c r="Q40" i="172" s="1"/>
  <c r="I39" i="172"/>
  <c r="Q39" i="172" s="1"/>
  <c r="I38" i="172"/>
  <c r="I37" i="172"/>
  <c r="I36" i="172"/>
  <c r="I35" i="172"/>
  <c r="Q35" i="172" s="1"/>
  <c r="I34" i="172"/>
  <c r="Q34" i="172" s="1"/>
  <c r="I33" i="172"/>
  <c r="I32" i="172"/>
  <c r="Q32" i="172" s="1"/>
  <c r="I31" i="172"/>
  <c r="I30" i="172"/>
  <c r="Q30" i="172" s="1"/>
  <c r="I29" i="172"/>
  <c r="Q29" i="172" s="1"/>
  <c r="I28" i="172"/>
  <c r="I27" i="172"/>
  <c r="Q27" i="172" s="1"/>
  <c r="I26" i="172"/>
  <c r="Q26" i="172" s="1"/>
  <c r="I25" i="172"/>
  <c r="I24" i="172"/>
  <c r="Q24" i="172" s="1"/>
  <c r="I23" i="172"/>
  <c r="Q23" i="172" s="1"/>
  <c r="I22" i="172"/>
  <c r="I21" i="172"/>
  <c r="Q21" i="172" s="1"/>
  <c r="I20" i="172"/>
  <c r="I19" i="172"/>
  <c r="Q19" i="172" s="1"/>
  <c r="I18" i="172"/>
  <c r="Q18" i="172" s="1"/>
  <c r="I17" i="172"/>
  <c r="I16" i="172"/>
  <c r="Q16" i="172" s="1"/>
  <c r="I15" i="172"/>
  <c r="Q15" i="172" s="1"/>
  <c r="I14" i="172"/>
  <c r="Q14" i="172" s="1"/>
  <c r="I13" i="172"/>
  <c r="Q13" i="172" s="1"/>
  <c r="I12" i="172"/>
  <c r="I11" i="172"/>
  <c r="Q11" i="172" s="1"/>
  <c r="I10" i="172"/>
  <c r="Q10" i="172" s="1"/>
  <c r="I9" i="172"/>
  <c r="I8" i="172"/>
  <c r="Q8" i="172" s="1"/>
  <c r="I7" i="172"/>
  <c r="Q7" i="172" s="1"/>
  <c r="I6" i="172"/>
  <c r="I5" i="172"/>
  <c r="J19" i="171"/>
  <c r="I19" i="171"/>
  <c r="H19" i="171"/>
  <c r="G19" i="171"/>
  <c r="D19" i="171"/>
  <c r="C19" i="171"/>
  <c r="B19" i="171"/>
  <c r="J17" i="171"/>
  <c r="I17" i="171"/>
  <c r="H17" i="171"/>
  <c r="E17" i="171"/>
  <c r="D17" i="171"/>
  <c r="C17" i="171"/>
  <c r="B17" i="171"/>
  <c r="F15" i="171"/>
  <c r="F19" i="171"/>
  <c r="E19" i="171"/>
  <c r="H15" i="171"/>
  <c r="J13" i="171"/>
  <c r="B13" i="171"/>
  <c r="G17" i="171"/>
  <c r="F17" i="171"/>
  <c r="H5" i="171"/>
  <c r="E18" i="170"/>
  <c r="H18" i="170"/>
  <c r="D18" i="170"/>
  <c r="G10" i="170"/>
  <c r="G9" i="170" s="1"/>
  <c r="J44" i="168"/>
  <c r="G14" i="166"/>
  <c r="I56" i="164"/>
  <c r="H56" i="164"/>
  <c r="G56" i="164"/>
  <c r="F56" i="164"/>
  <c r="D56" i="164"/>
  <c r="C56" i="164"/>
  <c r="I54" i="164"/>
  <c r="H54" i="164"/>
  <c r="G54" i="164"/>
  <c r="F54" i="164"/>
  <c r="D54" i="164"/>
  <c r="C54" i="164"/>
  <c r="B54" i="164"/>
  <c r="I52" i="164"/>
  <c r="H52" i="164"/>
  <c r="G52" i="164"/>
  <c r="F52" i="164"/>
  <c r="D52" i="164"/>
  <c r="C52" i="164"/>
  <c r="B52" i="164"/>
  <c r="I50" i="164"/>
  <c r="H50" i="164"/>
  <c r="G50" i="164"/>
  <c r="F50" i="164"/>
  <c r="D50" i="164"/>
  <c r="C50" i="164"/>
  <c r="B50" i="164"/>
  <c r="I48" i="164"/>
  <c r="H48" i="164"/>
  <c r="G48" i="164"/>
  <c r="F48" i="164"/>
  <c r="D48" i="164"/>
  <c r="C48" i="164"/>
  <c r="B48" i="164"/>
  <c r="I46" i="164"/>
  <c r="H46" i="164"/>
  <c r="G46" i="164"/>
  <c r="F46" i="164"/>
  <c r="D46" i="164"/>
  <c r="C46" i="164"/>
  <c r="B46" i="164"/>
  <c r="I44" i="164"/>
  <c r="H44" i="164"/>
  <c r="G44" i="164"/>
  <c r="F44" i="164"/>
  <c r="D44" i="164"/>
  <c r="C44" i="164"/>
  <c r="B44" i="164"/>
  <c r="I42" i="164"/>
  <c r="H42" i="164"/>
  <c r="G42" i="164"/>
  <c r="F42" i="164"/>
  <c r="D42" i="164"/>
  <c r="C42" i="164"/>
  <c r="B42" i="164"/>
  <c r="I40" i="164"/>
  <c r="H40" i="164"/>
  <c r="G40" i="164"/>
  <c r="F40" i="164"/>
  <c r="D40" i="164"/>
  <c r="C40" i="164"/>
  <c r="B40" i="164"/>
  <c r="I38" i="164"/>
  <c r="H38" i="164"/>
  <c r="G38" i="164"/>
  <c r="F38" i="164"/>
  <c r="D38" i="164"/>
  <c r="C38" i="164"/>
  <c r="B38" i="164"/>
  <c r="I36" i="164"/>
  <c r="H36" i="164"/>
  <c r="G36" i="164"/>
  <c r="F36" i="164"/>
  <c r="D36" i="164"/>
  <c r="C36" i="164"/>
  <c r="B36" i="164"/>
  <c r="I34" i="164"/>
  <c r="H34" i="164"/>
  <c r="G34" i="164"/>
  <c r="F34" i="164"/>
  <c r="D34" i="164"/>
  <c r="C34" i="164"/>
  <c r="B34" i="164"/>
  <c r="I32" i="164"/>
  <c r="H32" i="164"/>
  <c r="G32" i="164"/>
  <c r="F32" i="164"/>
  <c r="D32" i="164"/>
  <c r="C32" i="164"/>
  <c r="B32" i="164"/>
  <c r="I30" i="164"/>
  <c r="H30" i="164"/>
  <c r="G30" i="164"/>
  <c r="F30" i="164"/>
  <c r="D30" i="164"/>
  <c r="C30" i="164"/>
  <c r="B30" i="164"/>
  <c r="I28" i="164"/>
  <c r="H28" i="164"/>
  <c r="G28" i="164"/>
  <c r="F28" i="164"/>
  <c r="D28" i="164"/>
  <c r="C28" i="164"/>
  <c r="B28" i="164"/>
  <c r="I26" i="164"/>
  <c r="H26" i="164"/>
  <c r="G26" i="164"/>
  <c r="F26" i="164"/>
  <c r="D26" i="164"/>
  <c r="C26" i="164"/>
  <c r="B26" i="164"/>
  <c r="C24" i="164"/>
  <c r="I16" i="164"/>
  <c r="H16" i="164"/>
  <c r="G16" i="164"/>
  <c r="F16" i="164"/>
  <c r="D16" i="164"/>
  <c r="C16" i="164"/>
  <c r="I14" i="164"/>
  <c r="H14" i="164"/>
  <c r="G14" i="164"/>
  <c r="F14" i="164"/>
  <c r="D14" i="164"/>
  <c r="C14" i="164"/>
  <c r="C63" i="164" s="1"/>
  <c r="B14" i="164"/>
  <c r="B25" i="164" s="1"/>
  <c r="I8" i="164"/>
  <c r="H8" i="164"/>
  <c r="G8" i="164"/>
  <c r="F8" i="164"/>
  <c r="D8" i="164"/>
  <c r="C8" i="164"/>
  <c r="B8" i="164"/>
  <c r="I6" i="164"/>
  <c r="H6" i="164"/>
  <c r="G6" i="164"/>
  <c r="F6" i="164"/>
  <c r="D6" i="164"/>
  <c r="C6" i="164"/>
  <c r="B6" i="164"/>
  <c r="I4" i="164"/>
  <c r="H4" i="164"/>
  <c r="G4" i="164"/>
  <c r="D4" i="164"/>
  <c r="C4" i="164"/>
  <c r="B4" i="164"/>
  <c r="I44" i="162"/>
  <c r="E44" i="162"/>
  <c r="D28" i="162"/>
  <c r="C28" i="162"/>
  <c r="B28" i="162"/>
  <c r="D26" i="162"/>
  <c r="C26" i="162"/>
  <c r="B26" i="162"/>
  <c r="D24" i="162"/>
  <c r="C24" i="162"/>
  <c r="B24" i="162"/>
  <c r="G42" i="162"/>
  <c r="D22" i="162"/>
  <c r="C22" i="162"/>
  <c r="B22" i="162"/>
  <c r="D20" i="162"/>
  <c r="C20" i="162"/>
  <c r="B20" i="162"/>
  <c r="D18" i="162"/>
  <c r="C18" i="162"/>
  <c r="B18" i="162"/>
  <c r="D14" i="162"/>
  <c r="C14" i="162"/>
  <c r="B14" i="162"/>
  <c r="E40" i="162"/>
  <c r="D12" i="162"/>
  <c r="C12" i="162"/>
  <c r="G38" i="162"/>
  <c r="D10" i="162"/>
  <c r="C10" i="162"/>
  <c r="D8" i="162"/>
  <c r="C8" i="162"/>
  <c r="D6" i="162"/>
  <c r="C6" i="162"/>
  <c r="H4" i="161"/>
  <c r="G4" i="161"/>
  <c r="G34" i="161" s="1"/>
  <c r="D4" i="161"/>
  <c r="C4" i="161"/>
  <c r="C34" i="161" s="1"/>
  <c r="I7" i="160"/>
  <c r="H13" i="160"/>
  <c r="F7" i="160"/>
  <c r="F9" i="160"/>
  <c r="J28" i="159"/>
  <c r="J26" i="159"/>
  <c r="I27" i="159" l="1"/>
  <c r="I91" i="172"/>
  <c r="B33" i="164"/>
  <c r="B49" i="164"/>
  <c r="B31" i="164"/>
  <c r="B47" i="164"/>
  <c r="F27" i="164"/>
  <c r="F43" i="164"/>
  <c r="C38" i="162"/>
  <c r="I29" i="159"/>
  <c r="Q31" i="172"/>
  <c r="E30" i="171"/>
  <c r="E44" i="171" s="1"/>
  <c r="F13" i="171"/>
  <c r="D30" i="171"/>
  <c r="D44" i="171" s="1"/>
  <c r="G13" i="171"/>
  <c r="C13" i="171"/>
  <c r="J32" i="171"/>
  <c r="F9" i="171"/>
  <c r="D11" i="171"/>
  <c r="I11" i="171"/>
  <c r="J7" i="171"/>
  <c r="I9" i="171"/>
  <c r="E5" i="171"/>
  <c r="D7" i="171"/>
  <c r="G7" i="171"/>
  <c r="E15" i="171"/>
  <c r="F32" i="171"/>
  <c r="C5" i="171"/>
  <c r="H7" i="171"/>
  <c r="G9" i="171"/>
  <c r="F11" i="171"/>
  <c r="F30" i="171"/>
  <c r="F44" i="171" s="1"/>
  <c r="E32" i="171"/>
  <c r="D32" i="171"/>
  <c r="D5" i="171"/>
  <c r="I15" i="171"/>
  <c r="G30" i="171"/>
  <c r="D13" i="171"/>
  <c r="H13" i="171"/>
  <c r="J30" i="171"/>
  <c r="J44" i="171" s="1"/>
  <c r="F5" i="171"/>
  <c r="C7" i="171"/>
  <c r="I7" i="171"/>
  <c r="E13" i="171"/>
  <c r="I13" i="171"/>
  <c r="C30" i="171"/>
  <c r="I32" i="171"/>
  <c r="E15" i="170"/>
  <c r="E17" i="170"/>
  <c r="D15" i="170"/>
  <c r="D17" i="170"/>
  <c r="H15" i="170"/>
  <c r="H17" i="170"/>
  <c r="C10" i="170"/>
  <c r="C9" i="170" s="1"/>
  <c r="I18" i="170"/>
  <c r="J5" i="171"/>
  <c r="J15" i="171"/>
  <c r="F35" i="164"/>
  <c r="F51" i="164"/>
  <c r="E7" i="171"/>
  <c r="D9" i="171"/>
  <c r="H11" i="171"/>
  <c r="G27" i="164"/>
  <c r="H32" i="171"/>
  <c r="B27" i="164"/>
  <c r="K30" i="170"/>
  <c r="G5" i="171"/>
  <c r="I5" i="171"/>
  <c r="F7" i="171"/>
  <c r="E9" i="171"/>
  <c r="D15" i="171"/>
  <c r="Q22" i="172"/>
  <c r="G11" i="171"/>
  <c r="Q6" i="172"/>
  <c r="B41" i="164"/>
  <c r="B9" i="171"/>
  <c r="J9" i="171"/>
  <c r="J11" i="171"/>
  <c r="E11" i="171"/>
  <c r="I30" i="171"/>
  <c r="I44" i="171" s="1"/>
  <c r="C42" i="162"/>
  <c r="B15" i="171"/>
  <c r="H9" i="171"/>
  <c r="G31" i="164"/>
  <c r="B39" i="164"/>
  <c r="C9" i="171"/>
  <c r="Q38" i="172"/>
  <c r="C31" i="161"/>
  <c r="C33" i="161"/>
  <c r="G27" i="161"/>
  <c r="G31" i="161"/>
  <c r="G33" i="161"/>
  <c r="J4" i="167"/>
  <c r="K4" i="167" s="1"/>
  <c r="G5" i="166"/>
  <c r="G7" i="166"/>
  <c r="G9" i="166"/>
  <c r="G11" i="166"/>
  <c r="G13" i="166"/>
  <c r="H14" i="166"/>
  <c r="H57" i="164"/>
  <c r="H59" i="164"/>
  <c r="H61" i="164"/>
  <c r="I18" i="164"/>
  <c r="I15" i="164" s="1"/>
  <c r="I59" i="164"/>
  <c r="I61" i="164"/>
  <c r="C27" i="164"/>
  <c r="C29" i="164"/>
  <c r="C31" i="164"/>
  <c r="C33" i="164"/>
  <c r="C35" i="164"/>
  <c r="G35" i="164"/>
  <c r="C37" i="164"/>
  <c r="C39" i="164"/>
  <c r="G39" i="164"/>
  <c r="C43" i="164"/>
  <c r="G43" i="164"/>
  <c r="C45" i="164"/>
  <c r="C47" i="164"/>
  <c r="G47" i="164"/>
  <c r="C51" i="164"/>
  <c r="G51" i="164"/>
  <c r="C55" i="164"/>
  <c r="G55" i="164"/>
  <c r="C61" i="164"/>
  <c r="C59" i="164"/>
  <c r="F61" i="164"/>
  <c r="F59" i="164"/>
  <c r="C25" i="164"/>
  <c r="D61" i="164"/>
  <c r="D59" i="164"/>
  <c r="B61" i="164"/>
  <c r="B59" i="164"/>
  <c r="G59" i="164"/>
  <c r="G61" i="164"/>
  <c r="I17" i="164"/>
  <c r="H18" i="164"/>
  <c r="H17" i="164" s="1"/>
  <c r="H25" i="164"/>
  <c r="H27" i="164"/>
  <c r="H33" i="164"/>
  <c r="H35" i="164"/>
  <c r="H41" i="164"/>
  <c r="H43" i="164"/>
  <c r="H49" i="164"/>
  <c r="H51" i="164"/>
  <c r="H55" i="164"/>
  <c r="I29" i="164"/>
  <c r="I37" i="164"/>
  <c r="I45" i="164"/>
  <c r="I53" i="164"/>
  <c r="F63" i="164"/>
  <c r="I4" i="161"/>
  <c r="I34" i="161" s="1"/>
  <c r="G18" i="170"/>
  <c r="D57" i="164"/>
  <c r="D43" i="164"/>
  <c r="D35" i="164"/>
  <c r="D27" i="164"/>
  <c r="D55" i="164"/>
  <c r="C11" i="161"/>
  <c r="G32" i="171"/>
  <c r="C19" i="161"/>
  <c r="E53" i="164"/>
  <c r="E33" i="164"/>
  <c r="E49" i="164"/>
  <c r="E41" i="164"/>
  <c r="E25" i="164"/>
  <c r="C15" i="171"/>
  <c r="C27" i="161"/>
  <c r="H34" i="161"/>
  <c r="H30" i="171"/>
  <c r="I40" i="162"/>
  <c r="D34" i="161"/>
  <c r="D15" i="161" s="1"/>
  <c r="K16" i="168"/>
  <c r="K17" i="171"/>
  <c r="D39" i="164"/>
  <c r="E36" i="162"/>
  <c r="E35" i="162" s="1"/>
  <c r="G18" i="164"/>
  <c r="G15" i="164" s="1"/>
  <c r="F25" i="164"/>
  <c r="F29" i="164"/>
  <c r="F33" i="164"/>
  <c r="F37" i="164"/>
  <c r="C41" i="164"/>
  <c r="F41" i="164"/>
  <c r="F45" i="164"/>
  <c r="C49" i="164"/>
  <c r="F49" i="164"/>
  <c r="G53" i="164"/>
  <c r="F55" i="164"/>
  <c r="I14" i="166"/>
  <c r="I34" i="167"/>
  <c r="K6" i="168"/>
  <c r="J42" i="168"/>
  <c r="E10" i="170"/>
  <c r="E7" i="170" s="1"/>
  <c r="J43" i="170"/>
  <c r="K32" i="170"/>
  <c r="K44" i="170"/>
  <c r="Q17" i="172"/>
  <c r="Q20" i="172"/>
  <c r="Q33" i="172"/>
  <c r="Q36" i="172"/>
  <c r="K42" i="170"/>
  <c r="D25" i="164"/>
  <c r="G29" i="164"/>
  <c r="F31" i="164"/>
  <c r="D33" i="164"/>
  <c r="B35" i="164"/>
  <c r="G37" i="164"/>
  <c r="F39" i="164"/>
  <c r="D41" i="164"/>
  <c r="B43" i="164"/>
  <c r="G45" i="164"/>
  <c r="F47" i="164"/>
  <c r="D49" i="164"/>
  <c r="B51" i="164"/>
  <c r="E57" i="164"/>
  <c r="J34" i="167"/>
  <c r="J11" i="167" s="1"/>
  <c r="K8" i="168"/>
  <c r="F10" i="170"/>
  <c r="F7" i="170" s="1"/>
  <c r="J57" i="170"/>
  <c r="G15" i="171"/>
  <c r="C32" i="171"/>
  <c r="D47" i="164"/>
  <c r="K26" i="170"/>
  <c r="C14" i="166"/>
  <c r="K10" i="168"/>
  <c r="K28" i="170"/>
  <c r="K38" i="170"/>
  <c r="I49" i="164"/>
  <c r="J14" i="161"/>
  <c r="B10" i="164"/>
  <c r="B7" i="164" s="1"/>
  <c r="B63" i="164"/>
  <c r="H31" i="164"/>
  <c r="H39" i="164"/>
  <c r="H47" i="164"/>
  <c r="B53" i="164"/>
  <c r="G63" i="164"/>
  <c r="D14" i="166"/>
  <c r="J40" i="168"/>
  <c r="K40" i="168" s="1"/>
  <c r="K34" i="170"/>
  <c r="D31" i="164"/>
  <c r="F53" i="164"/>
  <c r="H34" i="167"/>
  <c r="K36" i="170"/>
  <c r="C7" i="161"/>
  <c r="F5" i="160"/>
  <c r="J22" i="161"/>
  <c r="I36" i="162"/>
  <c r="I35" i="162" s="1"/>
  <c r="C18" i="164"/>
  <c r="C15" i="164" s="1"/>
  <c r="G25" i="164"/>
  <c r="B29" i="164"/>
  <c r="I31" i="164"/>
  <c r="G33" i="164"/>
  <c r="B37" i="164"/>
  <c r="I39" i="164"/>
  <c r="G41" i="164"/>
  <c r="B45" i="164"/>
  <c r="G49" i="164"/>
  <c r="C53" i="164"/>
  <c r="B55" i="164"/>
  <c r="E14" i="166"/>
  <c r="E34" i="167"/>
  <c r="K14" i="168"/>
  <c r="Q9" i="172"/>
  <c r="Q12" i="172"/>
  <c r="Q25" i="172"/>
  <c r="Q28" i="172"/>
  <c r="Q41" i="172"/>
  <c r="Q44" i="172"/>
  <c r="I5" i="160"/>
  <c r="H9" i="160"/>
  <c r="H7" i="160"/>
  <c r="I9" i="160"/>
  <c r="H5" i="160"/>
  <c r="H11" i="160"/>
  <c r="F11" i="160"/>
  <c r="I13" i="160"/>
  <c r="I11" i="160"/>
  <c r="C5" i="159"/>
  <c r="C7" i="159"/>
  <c r="C9" i="159"/>
  <c r="C11" i="159"/>
  <c r="C19" i="159"/>
  <c r="C21" i="159"/>
  <c r="C27" i="159"/>
  <c r="C29" i="159"/>
  <c r="C17" i="159"/>
  <c r="C13" i="159"/>
  <c r="C15" i="159"/>
  <c r="H5" i="159"/>
  <c r="H13" i="159"/>
  <c r="H17" i="159"/>
  <c r="H15" i="159"/>
  <c r="H27" i="159"/>
  <c r="H21" i="159"/>
  <c r="H29" i="159"/>
  <c r="H19" i="159"/>
  <c r="C9" i="160"/>
  <c r="C11" i="160"/>
  <c r="C7" i="160"/>
  <c r="C5" i="160"/>
  <c r="I11" i="159"/>
  <c r="I7" i="159"/>
  <c r="I13" i="159"/>
  <c r="I5" i="159"/>
  <c r="I9" i="159"/>
  <c r="I15" i="159"/>
  <c r="I17" i="159"/>
  <c r="G13" i="160"/>
  <c r="G7" i="160"/>
  <c r="G11" i="160"/>
  <c r="G5" i="160"/>
  <c r="G9" i="160"/>
  <c r="H9" i="159"/>
  <c r="H7" i="159"/>
  <c r="H11" i="159"/>
  <c r="I19" i="159"/>
  <c r="I21" i="159"/>
  <c r="C13" i="160"/>
  <c r="F4" i="161"/>
  <c r="B40" i="162"/>
  <c r="J10" i="161"/>
  <c r="G11" i="161"/>
  <c r="C15" i="161"/>
  <c r="J18" i="161"/>
  <c r="G19" i="161"/>
  <c r="C25" i="161"/>
  <c r="G25" i="161"/>
  <c r="J28" i="161"/>
  <c r="B36" i="162"/>
  <c r="B5" i="162" s="1"/>
  <c r="F38" i="162"/>
  <c r="F36" i="162"/>
  <c r="F19" i="162" s="1"/>
  <c r="J4" i="162"/>
  <c r="J20" i="162"/>
  <c r="G7" i="161"/>
  <c r="J12" i="162"/>
  <c r="F13" i="160"/>
  <c r="E4" i="161"/>
  <c r="C5" i="161"/>
  <c r="J8" i="161"/>
  <c r="G9" i="161"/>
  <c r="C13" i="161"/>
  <c r="J16" i="161"/>
  <c r="G17" i="161"/>
  <c r="C21" i="161"/>
  <c r="G23" i="161"/>
  <c r="C29" i="161"/>
  <c r="G29" i="161"/>
  <c r="J32" i="161"/>
  <c r="D38" i="162"/>
  <c r="H38" i="162"/>
  <c r="J8" i="162"/>
  <c r="D42" i="162"/>
  <c r="J6" i="161"/>
  <c r="G15" i="161"/>
  <c r="F40" i="162"/>
  <c r="D13" i="160"/>
  <c r="E7" i="160"/>
  <c r="G5" i="161"/>
  <c r="C9" i="161"/>
  <c r="J12" i="161"/>
  <c r="G13" i="161"/>
  <c r="C17" i="161"/>
  <c r="J20" i="161"/>
  <c r="G21" i="161"/>
  <c r="C23" i="161"/>
  <c r="J24" i="161"/>
  <c r="J16" i="162"/>
  <c r="J24" i="162"/>
  <c r="J28" i="162"/>
  <c r="J32" i="162"/>
  <c r="H42" i="162"/>
  <c r="B44" i="162"/>
  <c r="F44" i="162"/>
  <c r="J6" i="164"/>
  <c r="F10" i="164"/>
  <c r="F5" i="164" s="1"/>
  <c r="J16" i="164"/>
  <c r="J28" i="164"/>
  <c r="J36" i="164"/>
  <c r="J44" i="164"/>
  <c r="J52" i="164"/>
  <c r="C36" i="162"/>
  <c r="G36" i="162"/>
  <c r="G39" i="162" s="1"/>
  <c r="E38" i="162"/>
  <c r="I38" i="162"/>
  <c r="C40" i="162"/>
  <c r="G40" i="162"/>
  <c r="E42" i="162"/>
  <c r="I42" i="162"/>
  <c r="C44" i="162"/>
  <c r="G44" i="162"/>
  <c r="G10" i="164"/>
  <c r="E47" i="164"/>
  <c r="I47" i="164"/>
  <c r="D51" i="164"/>
  <c r="E55" i="164"/>
  <c r="I55" i="164"/>
  <c r="I57" i="164"/>
  <c r="J26" i="161"/>
  <c r="J30" i="161"/>
  <c r="J6" i="162"/>
  <c r="J10" i="162"/>
  <c r="J14" i="162"/>
  <c r="J18" i="162"/>
  <c r="J22" i="162"/>
  <c r="J26" i="162"/>
  <c r="J30" i="162"/>
  <c r="J34" i="162"/>
  <c r="D36" i="162"/>
  <c r="D13" i="162" s="1"/>
  <c r="H36" i="162"/>
  <c r="H25" i="162" s="1"/>
  <c r="D40" i="162"/>
  <c r="H40" i="162"/>
  <c r="B42" i="162"/>
  <c r="F42" i="162"/>
  <c r="D44" i="162"/>
  <c r="H44" i="162"/>
  <c r="D10" i="164"/>
  <c r="D5" i="164" s="1"/>
  <c r="H10" i="164"/>
  <c r="H9" i="164" s="1"/>
  <c r="D18" i="164"/>
  <c r="D15" i="164" s="1"/>
  <c r="J24" i="164"/>
  <c r="I25" i="164"/>
  <c r="D29" i="164"/>
  <c r="H29" i="164"/>
  <c r="J32" i="164"/>
  <c r="I33" i="164"/>
  <c r="D37" i="164"/>
  <c r="H37" i="164"/>
  <c r="E37" i="164"/>
  <c r="J40" i="164"/>
  <c r="I41" i="164"/>
  <c r="D45" i="164"/>
  <c r="H45" i="164"/>
  <c r="E45" i="164"/>
  <c r="J48" i="164"/>
  <c r="D53" i="164"/>
  <c r="H53" i="164"/>
  <c r="D63" i="164"/>
  <c r="H63" i="164"/>
  <c r="E10" i="164"/>
  <c r="E7" i="164" s="1"/>
  <c r="I10" i="164"/>
  <c r="I7" i="164" s="1"/>
  <c r="C10" i="164"/>
  <c r="C7" i="164" s="1"/>
  <c r="E18" i="164"/>
  <c r="E17" i="164" s="1"/>
  <c r="E27" i="164"/>
  <c r="I27" i="164"/>
  <c r="E35" i="164"/>
  <c r="I35" i="164"/>
  <c r="I43" i="164"/>
  <c r="E51" i="164"/>
  <c r="I51" i="164"/>
  <c r="K8" i="165"/>
  <c r="K16" i="165"/>
  <c r="K6" i="165"/>
  <c r="K14" i="165"/>
  <c r="K6" i="166"/>
  <c r="B14" i="166"/>
  <c r="J4" i="164"/>
  <c r="J8" i="164"/>
  <c r="J14" i="164"/>
  <c r="B18" i="164"/>
  <c r="B17" i="164" s="1"/>
  <c r="F18" i="164"/>
  <c r="F17" i="164" s="1"/>
  <c r="J26" i="164"/>
  <c r="J30" i="164"/>
  <c r="J34" i="164"/>
  <c r="J38" i="164"/>
  <c r="J42" i="164"/>
  <c r="J46" i="164"/>
  <c r="J50" i="164"/>
  <c r="J54" i="164"/>
  <c r="B57" i="164"/>
  <c r="F57" i="164"/>
  <c r="J56" i="164"/>
  <c r="E63" i="164"/>
  <c r="I63" i="164"/>
  <c r="K4" i="165"/>
  <c r="K12" i="165"/>
  <c r="K20" i="165"/>
  <c r="K12" i="166"/>
  <c r="F14" i="166"/>
  <c r="C57" i="164"/>
  <c r="G57" i="164"/>
  <c r="K10" i="165"/>
  <c r="J27" i="165"/>
  <c r="K28" i="165"/>
  <c r="K10" i="166"/>
  <c r="J14" i="166"/>
  <c r="J11" i="166" s="1"/>
  <c r="K6" i="167"/>
  <c r="K8" i="167"/>
  <c r="K12" i="167"/>
  <c r="K14" i="167"/>
  <c r="K16" i="167"/>
  <c r="K18" i="167"/>
  <c r="K20" i="167"/>
  <c r="K22" i="167"/>
  <c r="K24" i="167"/>
  <c r="K26" i="167"/>
  <c r="K28" i="167"/>
  <c r="K30" i="167"/>
  <c r="K32" i="167"/>
  <c r="K20" i="168"/>
  <c r="J38" i="168"/>
  <c r="J36" i="168"/>
  <c r="J9" i="168" s="1"/>
  <c r="K18" i="168"/>
  <c r="K22" i="168"/>
  <c r="K4" i="168"/>
  <c r="K12" i="168"/>
  <c r="K24" i="168"/>
  <c r="K26" i="168"/>
  <c r="K28" i="168"/>
  <c r="K30" i="168"/>
  <c r="K32" i="168"/>
  <c r="K34" i="168"/>
  <c r="K4" i="170"/>
  <c r="B10" i="170"/>
  <c r="B5" i="170" s="1"/>
  <c r="G5" i="170"/>
  <c r="G7" i="170"/>
  <c r="D10" i="170"/>
  <c r="D7" i="170" s="1"/>
  <c r="H10" i="170"/>
  <c r="H9" i="170" s="1"/>
  <c r="I10" i="170"/>
  <c r="I9" i="170" s="1"/>
  <c r="J10" i="170"/>
  <c r="J9" i="170" s="1"/>
  <c r="B18" i="170"/>
  <c r="F18" i="170"/>
  <c r="J18" i="170"/>
  <c r="J17" i="170" s="1"/>
  <c r="J39" i="170"/>
  <c r="J63" i="170"/>
  <c r="K8" i="170"/>
  <c r="K14" i="170"/>
  <c r="K16" i="170"/>
  <c r="C18" i="170"/>
  <c r="J53" i="170"/>
  <c r="J25" i="170"/>
  <c r="J27" i="170"/>
  <c r="J29" i="170"/>
  <c r="J31" i="170"/>
  <c r="J33" i="170"/>
  <c r="J35" i="170"/>
  <c r="J37" i="170"/>
  <c r="J41" i="170"/>
  <c r="J45" i="170"/>
  <c r="J47" i="170"/>
  <c r="J49" i="170"/>
  <c r="J51" i="170"/>
  <c r="J55" i="170"/>
  <c r="K40" i="170"/>
  <c r="K46" i="170"/>
  <c r="K48" i="170"/>
  <c r="K50" i="170"/>
  <c r="K52" i="170"/>
  <c r="K54" i="170"/>
  <c r="K56" i="170"/>
  <c r="K62" i="170"/>
  <c r="K19" i="171"/>
  <c r="Q37" i="172"/>
  <c r="Q45" i="172"/>
  <c r="Q5" i="172"/>
  <c r="J33" i="164" l="1"/>
  <c r="J31" i="164"/>
  <c r="J25" i="164"/>
  <c r="K34" i="167"/>
  <c r="K21" i="167" s="1"/>
  <c r="K30" i="171"/>
  <c r="C44" i="171"/>
  <c r="C31" i="171" s="1"/>
  <c r="G44" i="171"/>
  <c r="G43" i="171" s="1"/>
  <c r="K32" i="171"/>
  <c r="H44" i="171"/>
  <c r="H43" i="171" s="1"/>
  <c r="H25" i="159"/>
  <c r="I25" i="159"/>
  <c r="C25" i="159"/>
  <c r="F13" i="159"/>
  <c r="E5" i="159"/>
  <c r="B19" i="159"/>
  <c r="G5" i="159"/>
  <c r="D15" i="159"/>
  <c r="Q91" i="172"/>
  <c r="J47" i="164"/>
  <c r="F29" i="159"/>
  <c r="F17" i="159"/>
  <c r="F15" i="159"/>
  <c r="F7" i="159"/>
  <c r="F27" i="159"/>
  <c r="F5" i="159"/>
  <c r="F19" i="159"/>
  <c r="H15" i="164"/>
  <c r="H19" i="164" s="1"/>
  <c r="B5" i="164"/>
  <c r="J51" i="164"/>
  <c r="E9" i="159"/>
  <c r="E19" i="159"/>
  <c r="F21" i="159"/>
  <c r="H5" i="170"/>
  <c r="F9" i="164"/>
  <c r="D21" i="159"/>
  <c r="B21" i="159"/>
  <c r="B13" i="159"/>
  <c r="B5" i="159"/>
  <c r="B11" i="159"/>
  <c r="B27" i="159"/>
  <c r="D5" i="159"/>
  <c r="B7" i="159"/>
  <c r="B29" i="159"/>
  <c r="B17" i="159"/>
  <c r="B9" i="159"/>
  <c r="B15" i="159"/>
  <c r="G11" i="159"/>
  <c r="K14" i="166"/>
  <c r="K11" i="166" s="1"/>
  <c r="E13" i="159"/>
  <c r="E17" i="159"/>
  <c r="J15" i="167"/>
  <c r="D31" i="171"/>
  <c r="B41" i="171"/>
  <c r="K13" i="171"/>
  <c r="K11" i="171"/>
  <c r="C21" i="171"/>
  <c r="C8" i="171" s="1"/>
  <c r="K7" i="171"/>
  <c r="J21" i="171"/>
  <c r="J8" i="171" s="1"/>
  <c r="K5" i="171"/>
  <c r="F21" i="171"/>
  <c r="F12" i="171" s="1"/>
  <c r="I21" i="171"/>
  <c r="I16" i="171" s="1"/>
  <c r="J29" i="171"/>
  <c r="E21" i="171"/>
  <c r="E18" i="171" s="1"/>
  <c r="F41" i="171"/>
  <c r="B21" i="171"/>
  <c r="B14" i="171" s="1"/>
  <c r="D21" i="171"/>
  <c r="D20" i="171" s="1"/>
  <c r="I37" i="171"/>
  <c r="K15" i="171"/>
  <c r="G21" i="171"/>
  <c r="G14" i="171" s="1"/>
  <c r="E5" i="170"/>
  <c r="C7" i="170"/>
  <c r="K59" i="170"/>
  <c r="K61" i="170"/>
  <c r="C5" i="170"/>
  <c r="K55" i="170"/>
  <c r="K53" i="170"/>
  <c r="C17" i="170"/>
  <c r="C15" i="170"/>
  <c r="G15" i="170"/>
  <c r="G17" i="170"/>
  <c r="B15" i="170"/>
  <c r="B17" i="170"/>
  <c r="I15" i="170"/>
  <c r="I17" i="170"/>
  <c r="F15" i="170"/>
  <c r="F17" i="170"/>
  <c r="K51" i="170"/>
  <c r="B9" i="170"/>
  <c r="F9" i="170"/>
  <c r="F5" i="170"/>
  <c r="E9" i="170"/>
  <c r="B7" i="170"/>
  <c r="J57" i="164"/>
  <c r="J35" i="164"/>
  <c r="G17" i="159"/>
  <c r="K9" i="171"/>
  <c r="E15" i="159"/>
  <c r="G27" i="159"/>
  <c r="H21" i="171"/>
  <c r="K28" i="171"/>
  <c r="E11" i="159"/>
  <c r="I19" i="164"/>
  <c r="B15" i="164"/>
  <c r="B19" i="164" s="1"/>
  <c r="I29" i="162"/>
  <c r="B5" i="168"/>
  <c r="B7" i="168"/>
  <c r="B9" i="168"/>
  <c r="B11" i="168"/>
  <c r="B13" i="168"/>
  <c r="B15" i="168"/>
  <c r="B17" i="168"/>
  <c r="B19" i="168"/>
  <c r="B21" i="168"/>
  <c r="B23" i="168"/>
  <c r="B25" i="168"/>
  <c r="B27" i="168"/>
  <c r="B29" i="168"/>
  <c r="B31" i="168"/>
  <c r="B33" i="168"/>
  <c r="B35" i="168"/>
  <c r="I23" i="168"/>
  <c r="I31" i="168"/>
  <c r="I19" i="168"/>
  <c r="I27" i="168"/>
  <c r="I35" i="168"/>
  <c r="I5" i="168"/>
  <c r="I7" i="168"/>
  <c r="I9" i="168"/>
  <c r="I11" i="168"/>
  <c r="I13" i="168"/>
  <c r="I15" i="168"/>
  <c r="I17" i="168"/>
  <c r="I25" i="168"/>
  <c r="I29" i="168"/>
  <c r="I33" i="168"/>
  <c r="I21" i="168"/>
  <c r="F5" i="168"/>
  <c r="F7" i="168"/>
  <c r="F9" i="168"/>
  <c r="F11" i="168"/>
  <c r="F13" i="168"/>
  <c r="F15" i="168"/>
  <c r="F17" i="168"/>
  <c r="F19" i="168"/>
  <c r="F21" i="168"/>
  <c r="F23" i="168"/>
  <c r="F25" i="168"/>
  <c r="F27" i="168"/>
  <c r="F29" i="168"/>
  <c r="F31" i="168"/>
  <c r="F33" i="168"/>
  <c r="F35" i="168"/>
  <c r="E5" i="168"/>
  <c r="E11" i="168"/>
  <c r="E17" i="168"/>
  <c r="E19" i="168"/>
  <c r="E25" i="168"/>
  <c r="E33" i="168"/>
  <c r="E7" i="168"/>
  <c r="E9" i="168"/>
  <c r="E13" i="168"/>
  <c r="E23" i="168"/>
  <c r="E21" i="168"/>
  <c r="E27" i="168"/>
  <c r="E31" i="168"/>
  <c r="E35" i="168"/>
  <c r="E15" i="168"/>
  <c r="E29" i="168"/>
  <c r="G5" i="168"/>
  <c r="G7" i="168"/>
  <c r="G9" i="168"/>
  <c r="G11" i="168"/>
  <c r="G13" i="168"/>
  <c r="G15" i="168"/>
  <c r="G17" i="168"/>
  <c r="G19" i="168"/>
  <c r="G21" i="168"/>
  <c r="G23" i="168"/>
  <c r="G25" i="168"/>
  <c r="G27" i="168"/>
  <c r="G29" i="168"/>
  <c r="G31" i="168"/>
  <c r="G33" i="168"/>
  <c r="G35" i="168"/>
  <c r="D5" i="168"/>
  <c r="D7" i="168"/>
  <c r="D9" i="168"/>
  <c r="D11" i="168"/>
  <c r="D13" i="168"/>
  <c r="D15" i="168"/>
  <c r="D17" i="168"/>
  <c r="D19" i="168"/>
  <c r="D21" i="168"/>
  <c r="D23" i="168"/>
  <c r="D25" i="168"/>
  <c r="D27" i="168"/>
  <c r="D29" i="168"/>
  <c r="D31" i="168"/>
  <c r="D33" i="168"/>
  <c r="D35" i="168"/>
  <c r="C5" i="168"/>
  <c r="C7" i="168"/>
  <c r="C9" i="168"/>
  <c r="C11" i="168"/>
  <c r="C13" i="168"/>
  <c r="C15" i="168"/>
  <c r="C17" i="168"/>
  <c r="C19" i="168"/>
  <c r="C21" i="168"/>
  <c r="C23" i="168"/>
  <c r="C25" i="168"/>
  <c r="C27" i="168"/>
  <c r="C29" i="168"/>
  <c r="C31" i="168"/>
  <c r="C33" i="168"/>
  <c r="C35" i="168"/>
  <c r="H5" i="168"/>
  <c r="H7" i="168"/>
  <c r="H9" i="168"/>
  <c r="H11" i="168"/>
  <c r="H13" i="168"/>
  <c r="H15" i="168"/>
  <c r="H17" i="168"/>
  <c r="H19" i="168"/>
  <c r="H21" i="168"/>
  <c r="H23" i="168"/>
  <c r="H25" i="168"/>
  <c r="H27" i="168"/>
  <c r="H29" i="168"/>
  <c r="H31" i="168"/>
  <c r="H33" i="168"/>
  <c r="H35" i="168"/>
  <c r="J23" i="168"/>
  <c r="J31" i="168"/>
  <c r="J19" i="168"/>
  <c r="I46" i="168"/>
  <c r="J27" i="168"/>
  <c r="J41" i="168"/>
  <c r="J45" i="168"/>
  <c r="H15" i="161"/>
  <c r="H31" i="161"/>
  <c r="H33" i="161"/>
  <c r="D19" i="161"/>
  <c r="D31" i="161"/>
  <c r="D33" i="161"/>
  <c r="I11" i="161"/>
  <c r="I31" i="161"/>
  <c r="I33" i="161"/>
  <c r="D29" i="161"/>
  <c r="J5" i="167"/>
  <c r="G7" i="167"/>
  <c r="G9" i="167"/>
  <c r="G11" i="167"/>
  <c r="G13" i="167"/>
  <c r="G15" i="167"/>
  <c r="G17" i="167"/>
  <c r="G19" i="167"/>
  <c r="G21" i="167"/>
  <c r="G23" i="167"/>
  <c r="G25" i="167"/>
  <c r="G27" i="167"/>
  <c r="G29" i="167"/>
  <c r="G31" i="167"/>
  <c r="G33" i="167"/>
  <c r="G5" i="167"/>
  <c r="E11" i="167"/>
  <c r="E13" i="167"/>
  <c r="E19" i="167"/>
  <c r="E23" i="167"/>
  <c r="E31" i="167"/>
  <c r="E9" i="167"/>
  <c r="E17" i="167"/>
  <c r="E21" i="167"/>
  <c r="E27" i="167"/>
  <c r="E29" i="167"/>
  <c r="E25" i="167"/>
  <c r="E5" i="167"/>
  <c r="E7" i="167"/>
  <c r="E33" i="167"/>
  <c r="E15" i="167"/>
  <c r="H9" i="167"/>
  <c r="H11" i="167"/>
  <c r="H15" i="167"/>
  <c r="H17" i="167"/>
  <c r="H19" i="167"/>
  <c r="H21" i="167"/>
  <c r="H23" i="167"/>
  <c r="H29" i="167"/>
  <c r="H33" i="167"/>
  <c r="H7" i="167"/>
  <c r="H25" i="167"/>
  <c r="H27" i="167"/>
  <c r="H31" i="167"/>
  <c r="H5" i="167"/>
  <c r="H13" i="167"/>
  <c r="B7" i="167"/>
  <c r="B9" i="167"/>
  <c r="B11" i="167"/>
  <c r="B13" i="167"/>
  <c r="B15" i="167"/>
  <c r="B17" i="167"/>
  <c r="B19" i="167"/>
  <c r="B21" i="167"/>
  <c r="B23" i="167"/>
  <c r="B25" i="167"/>
  <c r="B27" i="167"/>
  <c r="B29" i="167"/>
  <c r="B31" i="167"/>
  <c r="B33" i="167"/>
  <c r="B5" i="167"/>
  <c r="C7" i="167"/>
  <c r="C9" i="167"/>
  <c r="C11" i="167"/>
  <c r="C13" i="167"/>
  <c r="C15" i="167"/>
  <c r="C17" i="167"/>
  <c r="C19" i="167"/>
  <c r="C21" i="167"/>
  <c r="C23" i="167"/>
  <c r="C25" i="167"/>
  <c r="C27" i="167"/>
  <c r="C29" i="167"/>
  <c r="C31" i="167"/>
  <c r="C33" i="167"/>
  <c r="C5" i="167"/>
  <c r="F7" i="167"/>
  <c r="F9" i="167"/>
  <c r="F11" i="167"/>
  <c r="F13" i="167"/>
  <c r="F15" i="167"/>
  <c r="F17" i="167"/>
  <c r="F19" i="167"/>
  <c r="F21" i="167"/>
  <c r="F23" i="167"/>
  <c r="F25" i="167"/>
  <c r="F27" i="167"/>
  <c r="F29" i="167"/>
  <c r="F31" i="167"/>
  <c r="F33" i="167"/>
  <c r="F5" i="167"/>
  <c r="D7" i="167"/>
  <c r="D9" i="167"/>
  <c r="D13" i="167"/>
  <c r="D25" i="167"/>
  <c r="D27" i="167"/>
  <c r="D31" i="167"/>
  <c r="D11" i="167"/>
  <c r="D15" i="167"/>
  <c r="D17" i="167"/>
  <c r="D19" i="167"/>
  <c r="D21" i="167"/>
  <c r="D23" i="167"/>
  <c r="D29" i="167"/>
  <c r="D33" i="167"/>
  <c r="D5" i="167"/>
  <c r="I9" i="167"/>
  <c r="I15" i="167"/>
  <c r="I21" i="167"/>
  <c r="I25" i="167"/>
  <c r="I27" i="167"/>
  <c r="I29" i="167"/>
  <c r="I7" i="167"/>
  <c r="I11" i="167"/>
  <c r="I13" i="167"/>
  <c r="I17" i="167"/>
  <c r="I19" i="167"/>
  <c r="I23" i="167"/>
  <c r="I31" i="167"/>
  <c r="I33" i="167"/>
  <c r="I5" i="167"/>
  <c r="J21" i="167"/>
  <c r="J9" i="167"/>
  <c r="J31" i="167"/>
  <c r="J25" i="167"/>
  <c r="E5" i="166"/>
  <c r="E7" i="166"/>
  <c r="E9" i="166"/>
  <c r="E11" i="166"/>
  <c r="E13" i="166"/>
  <c r="D5" i="166"/>
  <c r="D7" i="166"/>
  <c r="D9" i="166"/>
  <c r="D11" i="166"/>
  <c r="D13" i="166"/>
  <c r="I5" i="166"/>
  <c r="I7" i="166"/>
  <c r="I9" i="166"/>
  <c r="I11" i="166"/>
  <c r="I13" i="166"/>
  <c r="B5" i="166"/>
  <c r="B7" i="166"/>
  <c r="B9" i="166"/>
  <c r="B13" i="166"/>
  <c r="B11" i="166"/>
  <c r="H5" i="166"/>
  <c r="H7" i="166"/>
  <c r="H9" i="166"/>
  <c r="H11" i="166"/>
  <c r="H13" i="166"/>
  <c r="F11" i="166"/>
  <c r="F5" i="166"/>
  <c r="F7" i="166"/>
  <c r="F9" i="166"/>
  <c r="F13" i="166"/>
  <c r="C5" i="166"/>
  <c r="C7" i="166"/>
  <c r="C9" i="166"/>
  <c r="C11" i="166"/>
  <c r="C13" i="166"/>
  <c r="J29" i="165"/>
  <c r="J59" i="164"/>
  <c r="J61" i="164"/>
  <c r="H5" i="164"/>
  <c r="J63" i="164"/>
  <c r="F15" i="164"/>
  <c r="F19" i="164" s="1"/>
  <c r="D17" i="164"/>
  <c r="D19" i="164" s="1"/>
  <c r="G17" i="164"/>
  <c r="G19" i="164" s="1"/>
  <c r="D7" i="164"/>
  <c r="C45" i="162"/>
  <c r="E25" i="162"/>
  <c r="E13" i="162"/>
  <c r="E29" i="162"/>
  <c r="E41" i="162"/>
  <c r="E5" i="162"/>
  <c r="E11" i="162"/>
  <c r="G45" i="162"/>
  <c r="F31" i="162"/>
  <c r="E27" i="162"/>
  <c r="B31" i="162"/>
  <c r="F7" i="162"/>
  <c r="E33" i="162"/>
  <c r="E19" i="162"/>
  <c r="E17" i="162"/>
  <c r="G41" i="162"/>
  <c r="E23" i="162"/>
  <c r="E43" i="162"/>
  <c r="F15" i="162"/>
  <c r="E15" i="162"/>
  <c r="E45" i="162"/>
  <c r="E7" i="162"/>
  <c r="B27" i="162"/>
  <c r="I11" i="162"/>
  <c r="I33" i="162"/>
  <c r="B9" i="162"/>
  <c r="I45" i="162"/>
  <c r="I21" i="162"/>
  <c r="B35" i="162"/>
  <c r="B23" i="162"/>
  <c r="B15" i="162"/>
  <c r="B19" i="162"/>
  <c r="F35" i="162"/>
  <c r="F25" i="162"/>
  <c r="F41" i="162"/>
  <c r="F5" i="162"/>
  <c r="F29" i="162"/>
  <c r="F23" i="162"/>
  <c r="F13" i="162"/>
  <c r="G21" i="162"/>
  <c r="F11" i="162"/>
  <c r="F9" i="162"/>
  <c r="F43" i="162"/>
  <c r="C41" i="162"/>
  <c r="H45" i="162"/>
  <c r="H41" i="162"/>
  <c r="G5" i="162"/>
  <c r="F45" i="162"/>
  <c r="F33" i="162"/>
  <c r="F27" i="162"/>
  <c r="F21" i="162"/>
  <c r="I7" i="162"/>
  <c r="B25" i="162"/>
  <c r="B17" i="162"/>
  <c r="B33" i="162"/>
  <c r="B7" i="162"/>
  <c r="B21" i="162"/>
  <c r="B11" i="162"/>
  <c r="D27" i="161"/>
  <c r="D9" i="161"/>
  <c r="D7" i="161"/>
  <c r="D21" i="161"/>
  <c r="H21" i="161"/>
  <c r="H25" i="161"/>
  <c r="H17" i="161"/>
  <c r="D5" i="161"/>
  <c r="D17" i="161"/>
  <c r="D11" i="161"/>
  <c r="D25" i="161"/>
  <c r="D13" i="161"/>
  <c r="D23" i="161"/>
  <c r="I17" i="161"/>
  <c r="I21" i="161"/>
  <c r="H9" i="161"/>
  <c r="I19" i="161"/>
  <c r="I27" i="161"/>
  <c r="I23" i="161"/>
  <c r="I15" i="161"/>
  <c r="I7" i="161"/>
  <c r="H27" i="161"/>
  <c r="H23" i="161"/>
  <c r="I13" i="161"/>
  <c r="H29" i="161"/>
  <c r="H5" i="161"/>
  <c r="H11" i="161"/>
  <c r="H7" i="161"/>
  <c r="H13" i="161"/>
  <c r="H19" i="161"/>
  <c r="C15" i="160"/>
  <c r="H15" i="160"/>
  <c r="I15" i="160"/>
  <c r="F15" i="160"/>
  <c r="K49" i="170"/>
  <c r="H19" i="170"/>
  <c r="J25" i="168"/>
  <c r="J19" i="167"/>
  <c r="I5" i="164"/>
  <c r="B9" i="164"/>
  <c r="I19" i="162"/>
  <c r="K47" i="170"/>
  <c r="D19" i="170"/>
  <c r="J29" i="167"/>
  <c r="J13" i="167"/>
  <c r="I9" i="162"/>
  <c r="I9" i="161"/>
  <c r="E29" i="159"/>
  <c r="E27" i="159"/>
  <c r="E21" i="162"/>
  <c r="E9" i="162"/>
  <c r="I17" i="162"/>
  <c r="I5" i="162"/>
  <c r="J23" i="167"/>
  <c r="I15" i="162"/>
  <c r="I23" i="162"/>
  <c r="J33" i="168"/>
  <c r="J35" i="168"/>
  <c r="J33" i="167"/>
  <c r="I43" i="162"/>
  <c r="I31" i="162"/>
  <c r="I27" i="162"/>
  <c r="K39" i="170"/>
  <c r="K44" i="168"/>
  <c r="C17" i="164"/>
  <c r="C19" i="164" s="1"/>
  <c r="K41" i="170"/>
  <c r="K63" i="170"/>
  <c r="J29" i="168"/>
  <c r="J7" i="167"/>
  <c r="J17" i="167"/>
  <c r="K57" i="170"/>
  <c r="K25" i="170"/>
  <c r="E19" i="170"/>
  <c r="J27" i="167"/>
  <c r="B29" i="162"/>
  <c r="F17" i="162"/>
  <c r="I25" i="162"/>
  <c r="I41" i="162"/>
  <c r="I13" i="162"/>
  <c r="E21" i="159"/>
  <c r="E7" i="159"/>
  <c r="E31" i="162"/>
  <c r="G15" i="159"/>
  <c r="G21" i="159"/>
  <c r="G9" i="159"/>
  <c r="D9" i="159"/>
  <c r="D7" i="159"/>
  <c r="D13" i="159"/>
  <c r="G29" i="159"/>
  <c r="D19" i="159"/>
  <c r="G19" i="159"/>
  <c r="G7" i="159"/>
  <c r="F9" i="159"/>
  <c r="F11" i="159"/>
  <c r="D27" i="159"/>
  <c r="G13" i="159"/>
  <c r="D11" i="159"/>
  <c r="D17" i="159"/>
  <c r="D29" i="159"/>
  <c r="E39" i="171"/>
  <c r="I5" i="170"/>
  <c r="I7" i="170"/>
  <c r="D9" i="170"/>
  <c r="G11" i="170"/>
  <c r="G46" i="168"/>
  <c r="K35" i="170"/>
  <c r="J46" i="168"/>
  <c r="J39" i="168"/>
  <c r="B46" i="168"/>
  <c r="K38" i="168"/>
  <c r="D46" i="168"/>
  <c r="J11" i="165"/>
  <c r="J21" i="165"/>
  <c r="J9" i="165"/>
  <c r="B43" i="162"/>
  <c r="J42" i="162"/>
  <c r="C35" i="162"/>
  <c r="C31" i="162"/>
  <c r="C27" i="162"/>
  <c r="C23" i="162"/>
  <c r="C7" i="162"/>
  <c r="C19" i="162"/>
  <c r="C15" i="162"/>
  <c r="C11" i="162"/>
  <c r="J53" i="164"/>
  <c r="D15" i="162"/>
  <c r="D9" i="162"/>
  <c r="H5" i="162"/>
  <c r="D33" i="162"/>
  <c r="D29" i="162"/>
  <c r="D25" i="162"/>
  <c r="H17" i="162"/>
  <c r="D7" i="162"/>
  <c r="C39" i="162"/>
  <c r="E34" i="161"/>
  <c r="H11" i="162"/>
  <c r="G35" i="161"/>
  <c r="D9" i="164"/>
  <c r="C33" i="162"/>
  <c r="C25" i="162"/>
  <c r="B39" i="162"/>
  <c r="B46" i="162"/>
  <c r="J38" i="162"/>
  <c r="E13" i="160"/>
  <c r="D5" i="160"/>
  <c r="D11" i="160"/>
  <c r="J7" i="170"/>
  <c r="K43" i="170"/>
  <c r="J5" i="170"/>
  <c r="K33" i="170"/>
  <c r="K27" i="170"/>
  <c r="K29" i="170"/>
  <c r="J13" i="168"/>
  <c r="J19" i="165"/>
  <c r="J5" i="168"/>
  <c r="J13" i="166"/>
  <c r="J5" i="166"/>
  <c r="J18" i="164"/>
  <c r="J17" i="164" s="1"/>
  <c r="J11" i="168"/>
  <c r="J9" i="166"/>
  <c r="J17" i="165"/>
  <c r="G5" i="164"/>
  <c r="G9" i="164"/>
  <c r="G7" i="164"/>
  <c r="I39" i="162"/>
  <c r="I46" i="162"/>
  <c r="J45" i="164"/>
  <c r="D5" i="162"/>
  <c r="H35" i="162"/>
  <c r="H31" i="162"/>
  <c r="H27" i="162"/>
  <c r="H23" i="162"/>
  <c r="C21" i="162"/>
  <c r="D17" i="162"/>
  <c r="H39" i="162"/>
  <c r="H46" i="162"/>
  <c r="C46" i="162"/>
  <c r="D21" i="162"/>
  <c r="G9" i="162"/>
  <c r="B34" i="161"/>
  <c r="J4" i="161"/>
  <c r="J34" i="161" s="1"/>
  <c r="G29" i="162"/>
  <c r="G43" i="162"/>
  <c r="G17" i="162"/>
  <c r="F39" i="162"/>
  <c r="F46" i="162"/>
  <c r="B41" i="162"/>
  <c r="J40" i="162"/>
  <c r="D9" i="160"/>
  <c r="E5" i="160"/>
  <c r="G15" i="160"/>
  <c r="E11" i="160"/>
  <c r="E9" i="160"/>
  <c r="J15" i="170"/>
  <c r="J19" i="170" s="1"/>
  <c r="H7" i="170"/>
  <c r="C46" i="168"/>
  <c r="J43" i="168"/>
  <c r="K42" i="168"/>
  <c r="F46" i="168"/>
  <c r="E46" i="168"/>
  <c r="H46" i="168"/>
  <c r="J7" i="168"/>
  <c r="G15" i="166"/>
  <c r="J5" i="165"/>
  <c r="J43" i="164"/>
  <c r="J27" i="164"/>
  <c r="J7" i="166"/>
  <c r="J7" i="165"/>
  <c r="J17" i="168"/>
  <c r="E15" i="164"/>
  <c r="E19" i="164" s="1"/>
  <c r="J49" i="164"/>
  <c r="D45" i="162"/>
  <c r="D41" i="162"/>
  <c r="C5" i="162"/>
  <c r="I9" i="164"/>
  <c r="E39" i="162"/>
  <c r="E46" i="162"/>
  <c r="J37" i="164"/>
  <c r="B45" i="162"/>
  <c r="J44" i="162"/>
  <c r="G13" i="162"/>
  <c r="C35" i="161"/>
  <c r="D11" i="162"/>
  <c r="D35" i="162"/>
  <c r="D31" i="162"/>
  <c r="D27" i="162"/>
  <c r="D43" i="162"/>
  <c r="H7" i="162"/>
  <c r="C29" i="162"/>
  <c r="C43" i="162"/>
  <c r="H19" i="162"/>
  <c r="C17" i="162"/>
  <c r="H13" i="162"/>
  <c r="J36" i="162"/>
  <c r="J27" i="162" s="1"/>
  <c r="I29" i="161"/>
  <c r="I25" i="161"/>
  <c r="F7" i="164"/>
  <c r="F11" i="164" s="1"/>
  <c r="B13" i="162"/>
  <c r="F34" i="161"/>
  <c r="D7" i="160"/>
  <c r="K18" i="170"/>
  <c r="K17" i="170" s="1"/>
  <c r="K45" i="170"/>
  <c r="D5" i="170"/>
  <c r="K10" i="170"/>
  <c r="K5" i="170" s="1"/>
  <c r="K37" i="170"/>
  <c r="K36" i="168"/>
  <c r="K23" i="168" s="1"/>
  <c r="K31" i="170"/>
  <c r="J21" i="168"/>
  <c r="J15" i="168"/>
  <c r="J13" i="165"/>
  <c r="J55" i="164"/>
  <c r="J39" i="164"/>
  <c r="J10" i="164"/>
  <c r="J5" i="164" s="1"/>
  <c r="K13" i="165"/>
  <c r="J15" i="165"/>
  <c r="C9" i="164"/>
  <c r="C5" i="164"/>
  <c r="E5" i="164"/>
  <c r="J41" i="164"/>
  <c r="H7" i="164"/>
  <c r="E9" i="164"/>
  <c r="G35" i="162"/>
  <c r="G31" i="162"/>
  <c r="G27" i="162"/>
  <c r="G23" i="162"/>
  <c r="G19" i="162"/>
  <c r="G11" i="162"/>
  <c r="G7" i="162"/>
  <c r="G15" i="162"/>
  <c r="J29" i="164"/>
  <c r="H43" i="162"/>
  <c r="H15" i="162"/>
  <c r="C13" i="162"/>
  <c r="H9" i="162"/>
  <c r="H21" i="162"/>
  <c r="C9" i="162"/>
  <c r="H33" i="162"/>
  <c r="H29" i="162"/>
  <c r="D23" i="162"/>
  <c r="D39" i="162"/>
  <c r="D46" i="162"/>
  <c r="G46" i="162"/>
  <c r="G33" i="162"/>
  <c r="G25" i="162"/>
  <c r="D19" i="162"/>
  <c r="I5" i="161"/>
  <c r="K44" i="171" l="1"/>
  <c r="H11" i="164"/>
  <c r="F20" i="171"/>
  <c r="B39" i="171"/>
  <c r="H11" i="170"/>
  <c r="E25" i="159"/>
  <c r="B25" i="159"/>
  <c r="G25" i="159"/>
  <c r="D25" i="159"/>
  <c r="F25" i="159"/>
  <c r="B11" i="164"/>
  <c r="J31" i="171"/>
  <c r="I8" i="171"/>
  <c r="B10" i="171"/>
  <c r="J35" i="171"/>
  <c r="B33" i="171"/>
  <c r="D6" i="171"/>
  <c r="B43" i="171"/>
  <c r="D8" i="171"/>
  <c r="F8" i="171"/>
  <c r="F16" i="171"/>
  <c r="I19" i="170"/>
  <c r="G19" i="170"/>
  <c r="E11" i="170"/>
  <c r="K39" i="171"/>
  <c r="D10" i="171"/>
  <c r="F14" i="171"/>
  <c r="F10" i="171"/>
  <c r="I20" i="171"/>
  <c r="F6" i="171"/>
  <c r="C11" i="170"/>
  <c r="K5" i="166"/>
  <c r="F11" i="170"/>
  <c r="G37" i="171"/>
  <c r="F31" i="171"/>
  <c r="F43" i="171"/>
  <c r="F33" i="171"/>
  <c r="F29" i="171"/>
  <c r="D43" i="171"/>
  <c r="B29" i="171"/>
  <c r="D37" i="171"/>
  <c r="D35" i="171"/>
  <c r="D39" i="171"/>
  <c r="D33" i="171"/>
  <c r="D29" i="171"/>
  <c r="D41" i="171"/>
  <c r="B37" i="171"/>
  <c r="B31" i="171"/>
  <c r="F35" i="171"/>
  <c r="F37" i="171"/>
  <c r="F39" i="171"/>
  <c r="C14" i="171"/>
  <c r="C6" i="171"/>
  <c r="C10" i="171"/>
  <c r="C18" i="171"/>
  <c r="B18" i="171"/>
  <c r="B35" i="171"/>
  <c r="I31" i="171"/>
  <c r="G31" i="171"/>
  <c r="G41" i="171"/>
  <c r="I39" i="171"/>
  <c r="J39" i="171"/>
  <c r="I43" i="171"/>
  <c r="C20" i="171"/>
  <c r="F18" i="171"/>
  <c r="D12" i="171"/>
  <c r="C16" i="171"/>
  <c r="C12" i="171"/>
  <c r="B12" i="171"/>
  <c r="J12" i="171"/>
  <c r="J16" i="171"/>
  <c r="G33" i="171"/>
  <c r="C39" i="171"/>
  <c r="J10" i="171"/>
  <c r="J20" i="171"/>
  <c r="I35" i="171"/>
  <c r="B20" i="171"/>
  <c r="E20" i="171"/>
  <c r="J18" i="171"/>
  <c r="E14" i="171"/>
  <c r="J14" i="171"/>
  <c r="J6" i="171"/>
  <c r="E16" i="171"/>
  <c r="J37" i="171"/>
  <c r="I14" i="171"/>
  <c r="J43" i="171"/>
  <c r="G29" i="171"/>
  <c r="I6" i="171"/>
  <c r="E8" i="171"/>
  <c r="I12" i="171"/>
  <c r="I10" i="171"/>
  <c r="J41" i="171"/>
  <c r="I18" i="171"/>
  <c r="G35" i="171"/>
  <c r="J33" i="171"/>
  <c r="G39" i="171"/>
  <c r="E10" i="171"/>
  <c r="K21" i="171"/>
  <c r="K6" i="171" s="1"/>
  <c r="G6" i="171"/>
  <c r="G10" i="171"/>
  <c r="I33" i="171"/>
  <c r="G18" i="171"/>
  <c r="G8" i="171"/>
  <c r="G20" i="171"/>
  <c r="G16" i="171"/>
  <c r="B6" i="171"/>
  <c r="I29" i="171"/>
  <c r="B8" i="171"/>
  <c r="G12" i="171"/>
  <c r="D14" i="171"/>
  <c r="D18" i="171"/>
  <c r="I41" i="171"/>
  <c r="B16" i="171"/>
  <c r="D16" i="171"/>
  <c r="E6" i="171"/>
  <c r="E12" i="171"/>
  <c r="F19" i="170"/>
  <c r="B11" i="170"/>
  <c r="B19" i="170"/>
  <c r="H33" i="171"/>
  <c r="H29" i="171"/>
  <c r="H35" i="171"/>
  <c r="H39" i="171"/>
  <c r="H20" i="171"/>
  <c r="H6" i="171"/>
  <c r="H14" i="171"/>
  <c r="H10" i="171"/>
  <c r="H8" i="171"/>
  <c r="H18" i="171"/>
  <c r="H16" i="171"/>
  <c r="H12" i="171"/>
  <c r="H37" i="171"/>
  <c r="H41" i="171"/>
  <c r="D11" i="164"/>
  <c r="C41" i="171"/>
  <c r="C43" i="171"/>
  <c r="C35" i="171"/>
  <c r="C37" i="171"/>
  <c r="H31" i="171"/>
  <c r="C33" i="171"/>
  <c r="K15" i="170"/>
  <c r="K19" i="170" s="1"/>
  <c r="J11" i="170"/>
  <c r="C29" i="171"/>
  <c r="I37" i="168"/>
  <c r="H37" i="168"/>
  <c r="C37" i="168"/>
  <c r="D37" i="168"/>
  <c r="G37" i="168"/>
  <c r="E37" i="168"/>
  <c r="F37" i="168"/>
  <c r="B37" i="168"/>
  <c r="K27" i="168"/>
  <c r="K33" i="168"/>
  <c r="E5" i="161"/>
  <c r="E31" i="161"/>
  <c r="E33" i="161"/>
  <c r="B31" i="161"/>
  <c r="B33" i="161"/>
  <c r="F31" i="161"/>
  <c r="F33" i="161"/>
  <c r="K19" i="167"/>
  <c r="K33" i="167"/>
  <c r="K23" i="167"/>
  <c r="F35" i="167"/>
  <c r="K5" i="167"/>
  <c r="K9" i="167"/>
  <c r="K31" i="167"/>
  <c r="K29" i="167"/>
  <c r="K11" i="167"/>
  <c r="E35" i="167"/>
  <c r="B35" i="167"/>
  <c r="C35" i="167"/>
  <c r="H35" i="167"/>
  <c r="D35" i="167"/>
  <c r="I35" i="167"/>
  <c r="H15" i="166"/>
  <c r="E15" i="166"/>
  <c r="I15" i="166"/>
  <c r="C15" i="166"/>
  <c r="D15" i="166"/>
  <c r="B15" i="166"/>
  <c r="K11" i="165"/>
  <c r="C11" i="164"/>
  <c r="I11" i="164"/>
  <c r="F37" i="162"/>
  <c r="E37" i="162"/>
  <c r="B37" i="162"/>
  <c r="H35" i="161"/>
  <c r="D35" i="161"/>
  <c r="K27" i="167"/>
  <c r="J35" i="167"/>
  <c r="K7" i="167"/>
  <c r="G35" i="167"/>
  <c r="I37" i="162"/>
  <c r="K13" i="167"/>
  <c r="K7" i="165"/>
  <c r="J13" i="162"/>
  <c r="G37" i="162"/>
  <c r="J17" i="162"/>
  <c r="K17" i="165"/>
  <c r="J21" i="162"/>
  <c r="K17" i="167"/>
  <c r="K41" i="168"/>
  <c r="D11" i="170"/>
  <c r="I35" i="161"/>
  <c r="K15" i="167"/>
  <c r="J19" i="162"/>
  <c r="K25" i="167"/>
  <c r="J9" i="162"/>
  <c r="J29" i="162"/>
  <c r="K21" i="168"/>
  <c r="J19" i="159"/>
  <c r="J29" i="159"/>
  <c r="J15" i="159"/>
  <c r="J27" i="159"/>
  <c r="J21" i="159"/>
  <c r="J5" i="159"/>
  <c r="J7" i="159"/>
  <c r="J13" i="159"/>
  <c r="J11" i="159"/>
  <c r="J9" i="159"/>
  <c r="J17" i="159"/>
  <c r="J15" i="162"/>
  <c r="J25" i="165"/>
  <c r="K29" i="165"/>
  <c r="E15" i="160"/>
  <c r="B11" i="161"/>
  <c r="B27" i="161"/>
  <c r="B9" i="161"/>
  <c r="B23" i="161"/>
  <c r="B13" i="161"/>
  <c r="B25" i="161"/>
  <c r="B7" i="161"/>
  <c r="B15" i="161"/>
  <c r="B19" i="161"/>
  <c r="B29" i="161"/>
  <c r="B17" i="161"/>
  <c r="B21" i="161"/>
  <c r="J35" i="162"/>
  <c r="J15" i="164"/>
  <c r="J19" i="164" s="1"/>
  <c r="K13" i="168"/>
  <c r="K7" i="170"/>
  <c r="J39" i="162"/>
  <c r="H37" i="162"/>
  <c r="J7" i="162"/>
  <c r="K7" i="166"/>
  <c r="K39" i="168"/>
  <c r="K9" i="170"/>
  <c r="F7" i="161"/>
  <c r="F19" i="161"/>
  <c r="F29" i="161"/>
  <c r="F17" i="161"/>
  <c r="F21" i="161"/>
  <c r="F11" i="161"/>
  <c r="F15" i="161"/>
  <c r="F27" i="161"/>
  <c r="F9" i="161"/>
  <c r="F13" i="161"/>
  <c r="F25" i="161"/>
  <c r="F23" i="161"/>
  <c r="C37" i="162"/>
  <c r="D37" i="162"/>
  <c r="E43" i="171"/>
  <c r="E31" i="171"/>
  <c r="E35" i="171"/>
  <c r="E33" i="171"/>
  <c r="E37" i="171"/>
  <c r="E29" i="171"/>
  <c r="E41" i="171"/>
  <c r="K13" i="166"/>
  <c r="F5" i="161"/>
  <c r="J11" i="162"/>
  <c r="K27" i="165"/>
  <c r="K19" i="165"/>
  <c r="K35" i="168"/>
  <c r="J5" i="162"/>
  <c r="J25" i="162"/>
  <c r="J7" i="164"/>
  <c r="J31" i="162"/>
  <c r="J9" i="164"/>
  <c r="K21" i="165"/>
  <c r="K43" i="168"/>
  <c r="K5" i="168"/>
  <c r="B5" i="161"/>
  <c r="G11" i="164"/>
  <c r="K15" i="165"/>
  <c r="J37" i="168"/>
  <c r="C19" i="170"/>
  <c r="J33" i="162"/>
  <c r="J23" i="162"/>
  <c r="K5" i="165"/>
  <c r="I11" i="170"/>
  <c r="K9" i="166"/>
  <c r="E11" i="164"/>
  <c r="K11" i="168"/>
  <c r="K9" i="168"/>
  <c r="K15" i="168"/>
  <c r="K17" i="168"/>
  <c r="K7" i="168"/>
  <c r="J45" i="162"/>
  <c r="K9" i="165"/>
  <c r="F15" i="166"/>
  <c r="K29" i="168"/>
  <c r="J41" i="162"/>
  <c r="K19" i="168"/>
  <c r="K31" i="168"/>
  <c r="D15" i="160"/>
  <c r="E29" i="161"/>
  <c r="E25" i="161"/>
  <c r="E23" i="161"/>
  <c r="E17" i="161"/>
  <c r="E15" i="161"/>
  <c r="E27" i="161"/>
  <c r="E19" i="161"/>
  <c r="E13" i="161"/>
  <c r="E9" i="161"/>
  <c r="E7" i="161"/>
  <c r="E11" i="161"/>
  <c r="E21" i="161"/>
  <c r="J43" i="162"/>
  <c r="K45" i="168"/>
  <c r="K25" i="168"/>
  <c r="J25" i="159" l="1"/>
  <c r="F22" i="171"/>
  <c r="D45" i="171"/>
  <c r="B45" i="171"/>
  <c r="F45" i="171"/>
  <c r="C22" i="171"/>
  <c r="J45" i="171"/>
  <c r="J22" i="171"/>
  <c r="H45" i="171"/>
  <c r="I45" i="171"/>
  <c r="G45" i="171"/>
  <c r="B22" i="171"/>
  <c r="E22" i="171"/>
  <c r="I22" i="171"/>
  <c r="K10" i="171"/>
  <c r="G22" i="171"/>
  <c r="K16" i="171"/>
  <c r="K20" i="171"/>
  <c r="K14" i="171"/>
  <c r="D22" i="171"/>
  <c r="K12" i="171"/>
  <c r="K18" i="171"/>
  <c r="K8" i="171"/>
  <c r="K29" i="171"/>
  <c r="K33" i="171"/>
  <c r="K41" i="171"/>
  <c r="K37" i="171"/>
  <c r="K35" i="171"/>
  <c r="K43" i="171"/>
  <c r="H22" i="171"/>
  <c r="K31" i="171"/>
  <c r="C45" i="171"/>
  <c r="K35" i="167"/>
  <c r="B35" i="161"/>
  <c r="F35" i="161"/>
  <c r="K11" i="170"/>
  <c r="K15" i="166"/>
  <c r="J11" i="164"/>
  <c r="E35" i="161"/>
  <c r="E45" i="171"/>
  <c r="K37" i="168"/>
  <c r="J37" i="162"/>
  <c r="J15" i="161"/>
  <c r="J23" i="161"/>
  <c r="J19" i="161"/>
  <c r="J17" i="161"/>
  <c r="J21" i="161"/>
  <c r="J25" i="161"/>
  <c r="J33" i="161"/>
  <c r="J31" i="161"/>
  <c r="J27" i="161"/>
  <c r="J29" i="161"/>
  <c r="J13" i="161"/>
  <c r="J9" i="161"/>
  <c r="J11" i="161"/>
  <c r="J7" i="161"/>
  <c r="J5" i="161"/>
  <c r="K25" i="165"/>
  <c r="K22" i="171" l="1"/>
  <c r="K45" i="171"/>
  <c r="J35" i="161"/>
  <c r="I32" i="155" l="1"/>
  <c r="I33" i="155"/>
  <c r="I34" i="155"/>
  <c r="C67" i="114" l="1"/>
  <c r="E67" i="114"/>
  <c r="G67" i="114"/>
  <c r="I67" i="114"/>
  <c r="C68" i="114"/>
  <c r="E68" i="114"/>
  <c r="G68" i="114"/>
  <c r="I68" i="114"/>
  <c r="C69" i="114"/>
  <c r="E69" i="114"/>
  <c r="G69" i="114"/>
  <c r="I69" i="114"/>
  <c r="C32" i="114"/>
  <c r="E32" i="114"/>
  <c r="G32" i="114"/>
  <c r="I32" i="114"/>
  <c r="C33" i="114"/>
  <c r="E33" i="114"/>
  <c r="G33" i="114"/>
  <c r="I33" i="114"/>
  <c r="C34" i="114"/>
  <c r="E34" i="114"/>
  <c r="G34" i="114"/>
  <c r="I34" i="114"/>
  <c r="K34" i="114" l="1"/>
  <c r="K32" i="114"/>
  <c r="K67" i="114"/>
  <c r="K33" i="114"/>
  <c r="K68" i="114"/>
  <c r="K69" i="114"/>
  <c r="C65" i="113"/>
  <c r="E65" i="113"/>
  <c r="G65" i="113"/>
  <c r="I65" i="113"/>
  <c r="C66" i="113"/>
  <c r="E66" i="113"/>
  <c r="G66" i="113"/>
  <c r="I66" i="113"/>
  <c r="C67" i="113"/>
  <c r="E67" i="113"/>
  <c r="G67" i="113"/>
  <c r="I67" i="113"/>
  <c r="C31" i="113"/>
  <c r="E31" i="113"/>
  <c r="G31" i="113"/>
  <c r="I31" i="113"/>
  <c r="C32" i="113"/>
  <c r="E32" i="113"/>
  <c r="G32" i="113"/>
  <c r="I32" i="113"/>
  <c r="C33" i="113"/>
  <c r="E33" i="113"/>
  <c r="G33" i="113"/>
  <c r="I33" i="113"/>
  <c r="C31" i="150"/>
  <c r="E31" i="150"/>
  <c r="C32" i="150"/>
  <c r="E32" i="150"/>
  <c r="C33" i="150"/>
  <c r="E33" i="150"/>
  <c r="K66" i="113" l="1"/>
  <c r="K31" i="113"/>
  <c r="K65" i="113"/>
  <c r="K67" i="113"/>
  <c r="K33" i="113"/>
  <c r="K32" i="113"/>
  <c r="G65" i="150"/>
  <c r="G66" i="150"/>
  <c r="G67" i="150"/>
  <c r="C65" i="150"/>
  <c r="E65" i="150"/>
  <c r="C66" i="150"/>
  <c r="E66" i="150"/>
  <c r="C67" i="150"/>
  <c r="E67" i="150"/>
  <c r="G31" i="150"/>
  <c r="G32" i="150"/>
  <c r="I38" i="85" l="1"/>
  <c r="I39" i="85"/>
  <c r="C38" i="85"/>
  <c r="C39" i="85"/>
  <c r="D38" i="85"/>
  <c r="D39" i="85"/>
  <c r="D40" i="85"/>
  <c r="D42" i="81"/>
  <c r="D41" i="81"/>
  <c r="D21" i="81"/>
  <c r="B20" i="80" l="1"/>
  <c r="B9" i="80"/>
  <c r="C20" i="99"/>
  <c r="B9" i="99"/>
  <c r="B20" i="99"/>
  <c r="B9" i="89"/>
  <c r="C42" i="104"/>
  <c r="H42" i="104"/>
  <c r="K34" i="155" s="1"/>
  <c r="H41" i="104"/>
  <c r="K33" i="155" s="1"/>
  <c r="C41" i="104"/>
  <c r="H40" i="104"/>
  <c r="K32" i="155" s="1"/>
  <c r="C40" i="104"/>
  <c r="I20" i="100"/>
  <c r="M122" i="175" s="1"/>
  <c r="H20" i="100"/>
  <c r="L122" i="175" s="1"/>
  <c r="C20" i="100"/>
  <c r="K122" i="175" s="1"/>
  <c r="G72" i="175" s="1"/>
  <c r="F16" i="95"/>
  <c r="H72" i="175" l="1"/>
  <c r="J20" i="100"/>
  <c r="H40" i="95"/>
  <c r="J38" i="85" s="1"/>
  <c r="H41" i="95"/>
  <c r="J39" i="85" s="1"/>
  <c r="C41" i="95"/>
  <c r="J33" i="155" s="1"/>
  <c r="C40" i="95"/>
  <c r="J32" i="155" s="1"/>
  <c r="H20" i="90"/>
  <c r="L60" i="175" s="1"/>
  <c r="I20" i="90"/>
  <c r="M60" i="175" s="1"/>
  <c r="C20" i="90"/>
  <c r="C19" i="90"/>
  <c r="K59" i="175" s="1"/>
  <c r="G35" i="175" s="1"/>
  <c r="H36" i="175" l="1"/>
  <c r="G21" i="81"/>
  <c r="K60" i="175"/>
  <c r="G36" i="175" s="1"/>
  <c r="J20" i="90"/>
  <c r="G42" i="81" s="1"/>
  <c r="C20" i="89"/>
  <c r="B20" i="89"/>
  <c r="B5" i="89"/>
  <c r="E11" i="113" l="1"/>
  <c r="E10" i="113"/>
  <c r="F31" i="113" l="1"/>
  <c r="M65" i="156" s="1"/>
  <c r="F32" i="113"/>
  <c r="M66" i="156" s="1"/>
  <c r="F33" i="113"/>
  <c r="M67" i="156" s="1"/>
  <c r="F10" i="79"/>
  <c r="F9" i="79"/>
  <c r="F8" i="79"/>
  <c r="F7" i="79"/>
  <c r="F6" i="79"/>
  <c r="E12" i="121" l="1"/>
  <c r="E11" i="121"/>
  <c r="E10" i="121"/>
  <c r="E9" i="121"/>
  <c r="E8" i="121"/>
  <c r="E7" i="121"/>
  <c r="E6" i="121"/>
  <c r="E5" i="121"/>
  <c r="E4" i="121"/>
  <c r="G12" i="121" l="1"/>
  <c r="G11" i="121"/>
  <c r="G10" i="121"/>
  <c r="G9" i="121"/>
  <c r="G8" i="121"/>
  <c r="G7" i="121"/>
  <c r="G6" i="121"/>
  <c r="G5" i="121"/>
  <c r="G4" i="121"/>
  <c r="E45" i="113" l="1"/>
  <c r="E44" i="113"/>
  <c r="F66" i="113" l="1"/>
  <c r="M66" i="174" s="1"/>
  <c r="F65" i="113"/>
  <c r="M65" i="174" s="1"/>
  <c r="F67" i="113"/>
  <c r="M67" i="174" s="1"/>
  <c r="E32" i="122"/>
  <c r="E33" i="122" l="1"/>
  <c r="C32" i="122"/>
  <c r="G28" i="120" l="1"/>
  <c r="G27" i="120"/>
  <c r="G26" i="120"/>
  <c r="G25" i="120"/>
  <c r="G24" i="120"/>
  <c r="G23" i="120"/>
  <c r="G22" i="120"/>
  <c r="G21" i="120"/>
  <c r="G20" i="120"/>
  <c r="C30" i="121" l="1"/>
  <c r="G31" i="121" l="1"/>
  <c r="G30" i="121"/>
  <c r="E31" i="121"/>
  <c r="E30" i="121"/>
  <c r="C31" i="121"/>
  <c r="G16" i="122" l="1"/>
  <c r="C33" i="122"/>
  <c r="I30" i="122"/>
  <c r="I29" i="122"/>
  <c r="I28" i="122"/>
  <c r="I27" i="122"/>
  <c r="I26" i="122"/>
  <c r="I25" i="122"/>
  <c r="I24" i="122"/>
  <c r="I23" i="122"/>
  <c r="I22" i="122"/>
  <c r="I10" i="122"/>
  <c r="I5" i="122"/>
  <c r="E64" i="150" l="1"/>
  <c r="E63" i="150"/>
  <c r="E62" i="150"/>
  <c r="E61" i="150"/>
  <c r="E60" i="150"/>
  <c r="E59" i="150"/>
  <c r="E58" i="150"/>
  <c r="E57" i="150"/>
  <c r="E56" i="150"/>
  <c r="E55" i="150"/>
  <c r="E54" i="150"/>
  <c r="E53" i="150"/>
  <c r="E52" i="150"/>
  <c r="E51" i="150"/>
  <c r="E50" i="150"/>
  <c r="E49" i="150"/>
  <c r="E48" i="150"/>
  <c r="C64" i="150"/>
  <c r="C63" i="150"/>
  <c r="C62" i="150"/>
  <c r="C61" i="150"/>
  <c r="C60" i="150"/>
  <c r="C59" i="150"/>
  <c r="C58" i="150"/>
  <c r="C57" i="150"/>
  <c r="C56" i="150"/>
  <c r="C55" i="150"/>
  <c r="C54" i="150"/>
  <c r="C53" i="150"/>
  <c r="C52" i="150"/>
  <c r="C51" i="150"/>
  <c r="C50" i="150"/>
  <c r="C49" i="150"/>
  <c r="C48" i="150"/>
  <c r="E45" i="150"/>
  <c r="E44" i="150"/>
  <c r="C45" i="150"/>
  <c r="C44" i="150"/>
  <c r="E40" i="150"/>
  <c r="E39" i="150"/>
  <c r="E38" i="150"/>
  <c r="C40" i="150"/>
  <c r="C39" i="150"/>
  <c r="C38" i="150"/>
  <c r="E30" i="150"/>
  <c r="E29" i="150"/>
  <c r="E28" i="150"/>
  <c r="E27" i="150"/>
  <c r="E26" i="150"/>
  <c r="E25" i="150"/>
  <c r="E24" i="150"/>
  <c r="E23" i="150"/>
  <c r="E22" i="150"/>
  <c r="E21" i="150"/>
  <c r="E20" i="150"/>
  <c r="E19" i="150"/>
  <c r="E18" i="150"/>
  <c r="E17" i="150"/>
  <c r="E16" i="150"/>
  <c r="E15" i="150"/>
  <c r="E14" i="150"/>
  <c r="C30" i="150"/>
  <c r="C29" i="150"/>
  <c r="C28" i="150"/>
  <c r="C27" i="150"/>
  <c r="C26" i="150"/>
  <c r="C25" i="150"/>
  <c r="C24" i="150"/>
  <c r="C23" i="150"/>
  <c r="C22" i="150"/>
  <c r="C21" i="150"/>
  <c r="C20" i="150"/>
  <c r="C19" i="150"/>
  <c r="C18" i="150"/>
  <c r="C17" i="150"/>
  <c r="C16" i="150"/>
  <c r="C15" i="150"/>
  <c r="C14" i="150"/>
  <c r="E11" i="150"/>
  <c r="E10" i="150"/>
  <c r="C11" i="150"/>
  <c r="C10" i="150"/>
  <c r="E6" i="150"/>
  <c r="E5" i="150"/>
  <c r="E4" i="150"/>
  <c r="C6" i="150"/>
  <c r="C5" i="150"/>
  <c r="C4" i="150"/>
  <c r="D21" i="150" l="1"/>
  <c r="F32" i="150"/>
  <c r="M22" i="156" s="1"/>
  <c r="F31" i="150"/>
  <c r="M21" i="156" s="1"/>
  <c r="F33" i="150"/>
  <c r="M23" i="156" s="1"/>
  <c r="D32" i="150"/>
  <c r="L22" i="156" s="1"/>
  <c r="D31" i="150"/>
  <c r="L21" i="156" s="1"/>
  <c r="D33" i="150"/>
  <c r="L23" i="156" s="1"/>
  <c r="F65" i="150"/>
  <c r="M21" i="174" s="1"/>
  <c r="F66" i="150"/>
  <c r="M22" i="174" s="1"/>
  <c r="F67" i="150"/>
  <c r="M23" i="174" s="1"/>
  <c r="D67" i="150"/>
  <c r="L23" i="174" s="1"/>
  <c r="D65" i="150"/>
  <c r="L21" i="174" s="1"/>
  <c r="D66" i="150"/>
  <c r="L22" i="174" s="1"/>
  <c r="E5" i="114"/>
  <c r="E7" i="114"/>
  <c r="E6" i="114"/>
  <c r="I31" i="123" l="1"/>
  <c r="I30" i="123"/>
  <c r="G31" i="123"/>
  <c r="G30" i="123"/>
  <c r="E31" i="123"/>
  <c r="E30" i="123"/>
  <c r="C31" i="123"/>
  <c r="C30" i="123"/>
  <c r="I28" i="123"/>
  <c r="I27" i="123"/>
  <c r="I26" i="123"/>
  <c r="I25" i="123"/>
  <c r="I24" i="123"/>
  <c r="I23" i="123"/>
  <c r="I22" i="123"/>
  <c r="I21" i="123"/>
  <c r="I20" i="123"/>
  <c r="G28" i="123"/>
  <c r="G27" i="123"/>
  <c r="G26" i="123"/>
  <c r="G25" i="123"/>
  <c r="G24" i="123"/>
  <c r="G23" i="123"/>
  <c r="G22" i="123"/>
  <c r="G21" i="123"/>
  <c r="G20" i="123"/>
  <c r="E28" i="123"/>
  <c r="E27" i="123"/>
  <c r="E26" i="123"/>
  <c r="E25" i="123"/>
  <c r="E24" i="123"/>
  <c r="E23" i="123"/>
  <c r="E22" i="123"/>
  <c r="E21" i="123"/>
  <c r="E20" i="123"/>
  <c r="C28" i="123"/>
  <c r="C27" i="123"/>
  <c r="C26" i="123"/>
  <c r="C25" i="123"/>
  <c r="C24" i="123"/>
  <c r="C23" i="123"/>
  <c r="C22" i="123"/>
  <c r="C21" i="123"/>
  <c r="I15" i="123"/>
  <c r="I14" i="123"/>
  <c r="G15" i="123"/>
  <c r="G14" i="123"/>
  <c r="E15" i="123"/>
  <c r="E14" i="123"/>
  <c r="C15" i="123"/>
  <c r="C14" i="123"/>
  <c r="I12" i="123"/>
  <c r="I11" i="123"/>
  <c r="I10" i="123"/>
  <c r="I9" i="123"/>
  <c r="I8" i="123"/>
  <c r="I7" i="123"/>
  <c r="I6" i="123"/>
  <c r="I5" i="123"/>
  <c r="I4" i="123"/>
  <c r="G12" i="123"/>
  <c r="G11" i="123"/>
  <c r="G10" i="123"/>
  <c r="G9" i="123"/>
  <c r="G8" i="123"/>
  <c r="G7" i="123"/>
  <c r="G6" i="123"/>
  <c r="G5" i="123"/>
  <c r="G4" i="123"/>
  <c r="E12" i="123"/>
  <c r="E11" i="123"/>
  <c r="E10" i="123"/>
  <c r="E9" i="123"/>
  <c r="E8" i="123"/>
  <c r="E7" i="123"/>
  <c r="E6" i="123"/>
  <c r="E5" i="123"/>
  <c r="E4" i="123"/>
  <c r="C12" i="123"/>
  <c r="C11" i="123"/>
  <c r="C10" i="123"/>
  <c r="C9" i="123"/>
  <c r="C8" i="123"/>
  <c r="C7" i="123"/>
  <c r="C6" i="123"/>
  <c r="C5" i="123"/>
  <c r="C4" i="123"/>
  <c r="I33" i="122"/>
  <c r="I32" i="122"/>
  <c r="G33" i="122"/>
  <c r="G32" i="122"/>
  <c r="G30" i="122"/>
  <c r="G29" i="122"/>
  <c r="G28" i="122"/>
  <c r="G27" i="122"/>
  <c r="G26" i="122"/>
  <c r="G25" i="122"/>
  <c r="G24" i="122"/>
  <c r="G23" i="122"/>
  <c r="G22" i="122"/>
  <c r="E30" i="122"/>
  <c r="E29" i="122"/>
  <c r="E28" i="122"/>
  <c r="E27" i="122"/>
  <c r="E26" i="122"/>
  <c r="E25" i="122"/>
  <c r="E24" i="122"/>
  <c r="E23" i="122"/>
  <c r="E22" i="122"/>
  <c r="C30" i="122"/>
  <c r="C29" i="122"/>
  <c r="C28" i="122"/>
  <c r="C27" i="122"/>
  <c r="C26" i="122"/>
  <c r="C25" i="122"/>
  <c r="C24" i="122"/>
  <c r="C23" i="122"/>
  <c r="C22" i="122"/>
  <c r="I16" i="122"/>
  <c r="I15" i="122"/>
  <c r="G15" i="122"/>
  <c r="E16" i="122"/>
  <c r="E15" i="122"/>
  <c r="C16" i="122"/>
  <c r="C15" i="122"/>
  <c r="I13" i="122"/>
  <c r="I12" i="122"/>
  <c r="I11" i="122"/>
  <c r="I9" i="122"/>
  <c r="I8" i="122"/>
  <c r="I7" i="122"/>
  <c r="I6" i="122"/>
  <c r="G13" i="122"/>
  <c r="G12" i="122"/>
  <c r="G11" i="122"/>
  <c r="G10" i="122"/>
  <c r="G9" i="122"/>
  <c r="G8" i="122"/>
  <c r="G7" i="122"/>
  <c r="G6" i="122"/>
  <c r="G5" i="122"/>
  <c r="E13" i="122"/>
  <c r="E12" i="122"/>
  <c r="E11" i="122"/>
  <c r="E10" i="122"/>
  <c r="E9" i="122"/>
  <c r="E8" i="122"/>
  <c r="E7" i="122"/>
  <c r="E6" i="122"/>
  <c r="E5" i="122"/>
  <c r="C13" i="122"/>
  <c r="C12" i="122"/>
  <c r="C11" i="122"/>
  <c r="C10" i="122"/>
  <c r="C9" i="122"/>
  <c r="C8" i="122"/>
  <c r="C7" i="122"/>
  <c r="C6" i="122"/>
  <c r="C5" i="122"/>
  <c r="I31" i="121"/>
  <c r="I30" i="121"/>
  <c r="I28" i="121"/>
  <c r="I27" i="121"/>
  <c r="I26" i="121"/>
  <c r="I25" i="121"/>
  <c r="I24" i="121"/>
  <c r="I23" i="121"/>
  <c r="I22" i="121"/>
  <c r="I21" i="121"/>
  <c r="I20" i="121"/>
  <c r="G20" i="121"/>
  <c r="E28" i="121"/>
  <c r="E27" i="121"/>
  <c r="E26" i="121"/>
  <c r="E25" i="121"/>
  <c r="E24" i="121"/>
  <c r="E23" i="121"/>
  <c r="E22" i="121"/>
  <c r="E21" i="121"/>
  <c r="E20" i="121"/>
  <c r="C28" i="121"/>
  <c r="C27" i="121"/>
  <c r="C26" i="121"/>
  <c r="C25" i="121"/>
  <c r="C24" i="121"/>
  <c r="C23" i="121"/>
  <c r="C22" i="121"/>
  <c r="C21" i="121"/>
  <c r="C20" i="121"/>
  <c r="I15" i="121"/>
  <c r="I14" i="121"/>
  <c r="G15" i="121"/>
  <c r="G14" i="121"/>
  <c r="E15" i="121"/>
  <c r="E14" i="121"/>
  <c r="C15" i="121"/>
  <c r="C14" i="121"/>
  <c r="I12" i="121"/>
  <c r="I11" i="121"/>
  <c r="I10" i="121"/>
  <c r="I9" i="121"/>
  <c r="I8" i="121"/>
  <c r="I7" i="121"/>
  <c r="I6" i="121"/>
  <c r="I5" i="121"/>
  <c r="I4" i="121"/>
  <c r="C12" i="121"/>
  <c r="C11" i="121"/>
  <c r="C10" i="121"/>
  <c r="C9" i="121"/>
  <c r="C8" i="121"/>
  <c r="C7" i="121"/>
  <c r="C6" i="121"/>
  <c r="C5" i="121"/>
  <c r="C4" i="121"/>
  <c r="G31" i="120"/>
  <c r="G30" i="120"/>
  <c r="E31" i="120"/>
  <c r="E30" i="120"/>
  <c r="C31" i="120"/>
  <c r="C30" i="120"/>
  <c r="I31" i="120"/>
  <c r="I30" i="120"/>
  <c r="I28" i="120"/>
  <c r="I27" i="120"/>
  <c r="I26" i="120"/>
  <c r="I25" i="120"/>
  <c r="I24" i="120"/>
  <c r="I23" i="120"/>
  <c r="I22" i="120"/>
  <c r="I21" i="120"/>
  <c r="I20" i="120"/>
  <c r="E28" i="120"/>
  <c r="E27" i="120"/>
  <c r="E26" i="120"/>
  <c r="E25" i="120"/>
  <c r="E24" i="120"/>
  <c r="E23" i="120"/>
  <c r="E22" i="120"/>
  <c r="E21" i="120"/>
  <c r="E20" i="120"/>
  <c r="C28" i="120"/>
  <c r="C27" i="120"/>
  <c r="C26" i="120"/>
  <c r="C25" i="120"/>
  <c r="C24" i="120"/>
  <c r="C23" i="120"/>
  <c r="C22" i="120"/>
  <c r="C21" i="120"/>
  <c r="C20" i="120"/>
  <c r="I15" i="120"/>
  <c r="G15" i="120"/>
  <c r="G14" i="120"/>
  <c r="E15" i="120"/>
  <c r="E14" i="120"/>
  <c r="C15" i="120"/>
  <c r="I12" i="120"/>
  <c r="I11" i="120"/>
  <c r="I10" i="120"/>
  <c r="I9" i="120"/>
  <c r="I8" i="120"/>
  <c r="I7" i="120"/>
  <c r="I6" i="120"/>
  <c r="I5" i="120"/>
  <c r="I4" i="120"/>
  <c r="G12" i="120"/>
  <c r="G11" i="120"/>
  <c r="G10" i="120"/>
  <c r="G9" i="120"/>
  <c r="G8" i="120"/>
  <c r="G7" i="120"/>
  <c r="G6" i="120"/>
  <c r="G5" i="120"/>
  <c r="G4" i="120"/>
  <c r="E12" i="120"/>
  <c r="E11" i="120"/>
  <c r="E10" i="120"/>
  <c r="E9" i="120"/>
  <c r="E8" i="120"/>
  <c r="E7" i="120"/>
  <c r="E6" i="120"/>
  <c r="E5" i="120"/>
  <c r="E4" i="120"/>
  <c r="C12" i="120"/>
  <c r="C11" i="120"/>
  <c r="C10" i="120"/>
  <c r="C9" i="120"/>
  <c r="C8" i="120"/>
  <c r="C7" i="120"/>
  <c r="C6" i="120"/>
  <c r="C5" i="120"/>
  <c r="C4" i="120"/>
  <c r="I66" i="114"/>
  <c r="I65" i="114"/>
  <c r="I64" i="114"/>
  <c r="I63" i="114"/>
  <c r="I62" i="114"/>
  <c r="I61" i="114"/>
  <c r="I60" i="114"/>
  <c r="I59" i="114"/>
  <c r="I58" i="114"/>
  <c r="I57" i="114"/>
  <c r="I56" i="114"/>
  <c r="I55" i="114"/>
  <c r="I54" i="114"/>
  <c r="I53" i="114"/>
  <c r="I52" i="114"/>
  <c r="I51" i="114"/>
  <c r="C66" i="114"/>
  <c r="C65" i="114"/>
  <c r="C64" i="114"/>
  <c r="C63" i="114"/>
  <c r="C62" i="114"/>
  <c r="C61" i="114"/>
  <c r="C60" i="114"/>
  <c r="C59" i="114"/>
  <c r="C58" i="114"/>
  <c r="C57" i="114"/>
  <c r="C56" i="114"/>
  <c r="C55" i="114"/>
  <c r="C54" i="114"/>
  <c r="C53" i="114"/>
  <c r="C52" i="114"/>
  <c r="C51" i="114"/>
  <c r="C50" i="114"/>
  <c r="I47" i="114"/>
  <c r="I46" i="114"/>
  <c r="C47" i="114"/>
  <c r="C46" i="114"/>
  <c r="I42" i="114"/>
  <c r="I41" i="114"/>
  <c r="I40" i="114"/>
  <c r="C42" i="114"/>
  <c r="C41" i="114"/>
  <c r="C40" i="114"/>
  <c r="I31" i="114"/>
  <c r="I30" i="114"/>
  <c r="I29" i="114"/>
  <c r="I28" i="114"/>
  <c r="I27" i="114"/>
  <c r="I26" i="114"/>
  <c r="I25" i="114"/>
  <c r="I24" i="114"/>
  <c r="I23" i="114"/>
  <c r="I22" i="114"/>
  <c r="I21" i="114"/>
  <c r="I20" i="114"/>
  <c r="I19" i="114"/>
  <c r="I18" i="114"/>
  <c r="I17" i="114"/>
  <c r="I16" i="114"/>
  <c r="I15" i="114"/>
  <c r="C31" i="114"/>
  <c r="C30" i="114"/>
  <c r="C29" i="114"/>
  <c r="C28" i="114"/>
  <c r="C27" i="114"/>
  <c r="C26" i="114"/>
  <c r="C25" i="114"/>
  <c r="C24" i="114"/>
  <c r="C23" i="114"/>
  <c r="C22" i="114"/>
  <c r="C21" i="114"/>
  <c r="C20" i="114"/>
  <c r="C19" i="114"/>
  <c r="C18" i="114"/>
  <c r="C17" i="114"/>
  <c r="C16" i="114"/>
  <c r="C15" i="114"/>
  <c r="I12" i="114"/>
  <c r="I11" i="114"/>
  <c r="C12" i="114"/>
  <c r="C11" i="114"/>
  <c r="I7" i="114"/>
  <c r="I6" i="114"/>
  <c r="I5" i="114"/>
  <c r="C7" i="114"/>
  <c r="C6" i="114"/>
  <c r="C5" i="114"/>
  <c r="I64" i="113"/>
  <c r="I63" i="113"/>
  <c r="I62" i="113"/>
  <c r="I61" i="113"/>
  <c r="I60" i="113"/>
  <c r="I59" i="113"/>
  <c r="I58" i="113"/>
  <c r="I57" i="113"/>
  <c r="I56" i="113"/>
  <c r="I55" i="113"/>
  <c r="I54" i="113"/>
  <c r="I53" i="113"/>
  <c r="I52" i="113"/>
  <c r="I51" i="113"/>
  <c r="I50" i="113"/>
  <c r="I49" i="113"/>
  <c r="I48" i="113"/>
  <c r="G64" i="113"/>
  <c r="G63" i="113"/>
  <c r="G62" i="113"/>
  <c r="G61" i="113"/>
  <c r="G60" i="113"/>
  <c r="G59" i="113"/>
  <c r="G58" i="113"/>
  <c r="G57" i="113"/>
  <c r="G56" i="113"/>
  <c r="G55" i="113"/>
  <c r="G54" i="113"/>
  <c r="G53" i="113"/>
  <c r="G52" i="113"/>
  <c r="G51" i="113"/>
  <c r="G50" i="113"/>
  <c r="G49" i="113"/>
  <c r="G48" i="113"/>
  <c r="E64" i="113"/>
  <c r="E63" i="113"/>
  <c r="E62" i="113"/>
  <c r="E61" i="113"/>
  <c r="E60" i="113"/>
  <c r="E59" i="113"/>
  <c r="E58" i="113"/>
  <c r="E57" i="113"/>
  <c r="E56" i="113"/>
  <c r="E55" i="113"/>
  <c r="E54" i="113"/>
  <c r="E53" i="113"/>
  <c r="E52" i="113"/>
  <c r="E51" i="113"/>
  <c r="E50" i="113"/>
  <c r="E49" i="113"/>
  <c r="E48" i="113"/>
  <c r="C64" i="113"/>
  <c r="C63" i="113"/>
  <c r="C62" i="113"/>
  <c r="C61" i="113"/>
  <c r="C60" i="113"/>
  <c r="C59" i="113"/>
  <c r="C58" i="113"/>
  <c r="C57" i="113"/>
  <c r="C56" i="113"/>
  <c r="C55" i="113"/>
  <c r="C54" i="113"/>
  <c r="C53" i="113"/>
  <c r="C52" i="113"/>
  <c r="C51" i="113"/>
  <c r="C50" i="113"/>
  <c r="C49" i="113"/>
  <c r="C48" i="113"/>
  <c r="I45" i="113"/>
  <c r="I44" i="113"/>
  <c r="G45" i="113"/>
  <c r="G44" i="113"/>
  <c r="C45" i="113"/>
  <c r="C44" i="113"/>
  <c r="I40" i="113"/>
  <c r="I39" i="113"/>
  <c r="I38" i="113"/>
  <c r="G40" i="113"/>
  <c r="G39" i="113"/>
  <c r="G38" i="113"/>
  <c r="E40" i="113"/>
  <c r="E39" i="113"/>
  <c r="E38" i="113"/>
  <c r="C40" i="113"/>
  <c r="C39" i="113"/>
  <c r="C38" i="113"/>
  <c r="I30" i="113"/>
  <c r="I29" i="113"/>
  <c r="I28" i="113"/>
  <c r="I27" i="113"/>
  <c r="I26" i="113"/>
  <c r="I25" i="113"/>
  <c r="I24" i="113"/>
  <c r="I23" i="113"/>
  <c r="I22" i="113"/>
  <c r="I21" i="113"/>
  <c r="I20" i="113"/>
  <c r="I19" i="113"/>
  <c r="I18" i="113"/>
  <c r="I17" i="113"/>
  <c r="I16" i="113"/>
  <c r="I15" i="113"/>
  <c r="I14" i="113"/>
  <c r="G30" i="113"/>
  <c r="G29" i="113"/>
  <c r="G28" i="113"/>
  <c r="G27" i="113"/>
  <c r="G26" i="113"/>
  <c r="G25" i="113"/>
  <c r="G24" i="113"/>
  <c r="G23" i="113"/>
  <c r="G22" i="113"/>
  <c r="G21" i="113"/>
  <c r="G20" i="113"/>
  <c r="G19" i="113"/>
  <c r="G18" i="113"/>
  <c r="G17" i="113"/>
  <c r="G16" i="113"/>
  <c r="G15" i="113"/>
  <c r="G14" i="113"/>
  <c r="E30" i="113"/>
  <c r="E29" i="113"/>
  <c r="E28" i="113"/>
  <c r="E27" i="113"/>
  <c r="E26" i="113"/>
  <c r="E25" i="113"/>
  <c r="E24" i="113"/>
  <c r="E23" i="113"/>
  <c r="E22" i="113"/>
  <c r="E21" i="113"/>
  <c r="E20" i="113"/>
  <c r="E19" i="113"/>
  <c r="E18" i="113"/>
  <c r="E17" i="113"/>
  <c r="E16" i="113"/>
  <c r="E15" i="113"/>
  <c r="E14" i="113"/>
  <c r="C30" i="113"/>
  <c r="C29" i="113"/>
  <c r="C28" i="113"/>
  <c r="C27" i="113"/>
  <c r="C26" i="113"/>
  <c r="C25" i="113"/>
  <c r="C24" i="113"/>
  <c r="C23" i="113"/>
  <c r="C22" i="113"/>
  <c r="C21" i="113"/>
  <c r="C20" i="113"/>
  <c r="C19" i="113"/>
  <c r="C18" i="113"/>
  <c r="C17" i="113"/>
  <c r="C16" i="113"/>
  <c r="C15" i="113"/>
  <c r="C14" i="113"/>
  <c r="I11" i="113"/>
  <c r="I10" i="113"/>
  <c r="G11" i="113"/>
  <c r="G10" i="113"/>
  <c r="C11" i="113"/>
  <c r="C10" i="113"/>
  <c r="I6" i="113"/>
  <c r="I5" i="113"/>
  <c r="I4" i="113"/>
  <c r="G6" i="113"/>
  <c r="G5" i="113"/>
  <c r="G4" i="113"/>
  <c r="E6" i="113"/>
  <c r="E5" i="113"/>
  <c r="E4" i="113"/>
  <c r="C6" i="113"/>
  <c r="C5" i="113"/>
  <c r="C4" i="113"/>
  <c r="G28" i="121"/>
  <c r="G27" i="121"/>
  <c r="G26" i="121"/>
  <c r="G25" i="121"/>
  <c r="G24" i="121"/>
  <c r="G23" i="121"/>
  <c r="G22" i="121"/>
  <c r="G21" i="121"/>
  <c r="E11" i="114"/>
  <c r="K51" i="113" l="1"/>
  <c r="K53" i="113"/>
  <c r="K30" i="113"/>
  <c r="K50" i="113"/>
  <c r="K58" i="113"/>
  <c r="K59" i="113"/>
  <c r="K61" i="113"/>
  <c r="K4" i="120"/>
  <c r="C13" i="120"/>
  <c r="K5" i="120"/>
  <c r="E13" i="120"/>
  <c r="G13" i="120"/>
  <c r="I13" i="120"/>
  <c r="D33" i="113"/>
  <c r="L67" i="156" s="1"/>
  <c r="D31" i="113"/>
  <c r="L65" i="156" s="1"/>
  <c r="D32" i="113"/>
  <c r="L66" i="156" s="1"/>
  <c r="H67" i="113"/>
  <c r="N67" i="174" s="1"/>
  <c r="H65" i="113"/>
  <c r="N65" i="174" s="1"/>
  <c r="H66" i="113"/>
  <c r="N66" i="174" s="1"/>
  <c r="K52" i="113"/>
  <c r="K60" i="113"/>
  <c r="J33" i="114"/>
  <c r="J32" i="114"/>
  <c r="J34" i="114"/>
  <c r="D66" i="113"/>
  <c r="L66" i="174" s="1"/>
  <c r="D67" i="113"/>
  <c r="L67" i="174" s="1"/>
  <c r="D65" i="113"/>
  <c r="L65" i="174" s="1"/>
  <c r="H31" i="113"/>
  <c r="N65" i="156" s="1"/>
  <c r="H33" i="113"/>
  <c r="N67" i="156" s="1"/>
  <c r="H32" i="113"/>
  <c r="N66" i="156" s="1"/>
  <c r="J66" i="113"/>
  <c r="O66" i="174" s="1"/>
  <c r="J67" i="113"/>
  <c r="O67" i="174" s="1"/>
  <c r="J65" i="113"/>
  <c r="O65" i="174" s="1"/>
  <c r="K54" i="113"/>
  <c r="K62" i="113"/>
  <c r="K55" i="113"/>
  <c r="K63" i="113"/>
  <c r="J31" i="113"/>
  <c r="O65" i="156" s="1"/>
  <c r="J32" i="113"/>
  <c r="O66" i="156" s="1"/>
  <c r="J33" i="113"/>
  <c r="O67" i="156" s="1"/>
  <c r="K48" i="113"/>
  <c r="K47" i="113"/>
  <c r="K56" i="113"/>
  <c r="K64" i="113"/>
  <c r="D33" i="114"/>
  <c r="D32" i="114"/>
  <c r="D34" i="114"/>
  <c r="F34" i="114"/>
  <c r="F32" i="114"/>
  <c r="F33" i="114"/>
  <c r="K49" i="113"/>
  <c r="K57" i="113"/>
  <c r="J68" i="114"/>
  <c r="J67" i="114"/>
  <c r="J69" i="114"/>
  <c r="D67" i="114"/>
  <c r="D68" i="114"/>
  <c r="D69" i="114"/>
  <c r="K20" i="123"/>
  <c r="I14" i="122"/>
  <c r="J14" i="122" s="1"/>
  <c r="I29" i="121"/>
  <c r="J20" i="121" s="1"/>
  <c r="E50" i="114"/>
  <c r="G50" i="114"/>
  <c r="E51" i="114"/>
  <c r="G51" i="114"/>
  <c r="E52" i="114"/>
  <c r="G52" i="114"/>
  <c r="E53" i="114"/>
  <c r="G53" i="114"/>
  <c r="E54" i="114"/>
  <c r="G54" i="114"/>
  <c r="E55" i="114"/>
  <c r="G55" i="114"/>
  <c r="E56" i="114"/>
  <c r="G56" i="114"/>
  <c r="E57" i="114"/>
  <c r="G57" i="114"/>
  <c r="E58" i="114"/>
  <c r="G58" i="114"/>
  <c r="E59" i="114"/>
  <c r="G59" i="114"/>
  <c r="E60" i="114"/>
  <c r="G60" i="114"/>
  <c r="E61" i="114"/>
  <c r="G61" i="114"/>
  <c r="E62" i="114"/>
  <c r="G62" i="114"/>
  <c r="E63" i="114"/>
  <c r="G63" i="114"/>
  <c r="E64" i="114"/>
  <c r="G64" i="114"/>
  <c r="E65" i="114"/>
  <c r="G65" i="114"/>
  <c r="E66" i="114"/>
  <c r="G66" i="114"/>
  <c r="E46" i="114"/>
  <c r="G46" i="114"/>
  <c r="E47" i="114"/>
  <c r="G47" i="114"/>
  <c r="E40" i="114"/>
  <c r="G40" i="114"/>
  <c r="E41" i="114"/>
  <c r="G41" i="114"/>
  <c r="E42" i="114"/>
  <c r="G42" i="114"/>
  <c r="E15" i="114"/>
  <c r="F15" i="114" s="1"/>
  <c r="G15" i="114"/>
  <c r="E16" i="114"/>
  <c r="G16" i="114"/>
  <c r="E17" i="114"/>
  <c r="G17" i="114"/>
  <c r="E18" i="114"/>
  <c r="G18" i="114"/>
  <c r="E19" i="114"/>
  <c r="G19" i="114"/>
  <c r="E20" i="114"/>
  <c r="G20" i="114"/>
  <c r="E21" i="114"/>
  <c r="G21" i="114"/>
  <c r="E22" i="114"/>
  <c r="G22" i="114"/>
  <c r="E23" i="114"/>
  <c r="G23" i="114"/>
  <c r="E24" i="114"/>
  <c r="G24" i="114"/>
  <c r="E25" i="114"/>
  <c r="G25" i="114"/>
  <c r="E26" i="114"/>
  <c r="G26" i="114"/>
  <c r="E27" i="114"/>
  <c r="G27" i="114"/>
  <c r="E28" i="114"/>
  <c r="G28" i="114"/>
  <c r="E29" i="114"/>
  <c r="G29" i="114"/>
  <c r="E30" i="114"/>
  <c r="G30" i="114"/>
  <c r="E31" i="114"/>
  <c r="G31" i="114"/>
  <c r="G11" i="114"/>
  <c r="E12" i="114"/>
  <c r="G12" i="114"/>
  <c r="G5" i="114"/>
  <c r="G6" i="114"/>
  <c r="G7" i="114"/>
  <c r="J49" i="113"/>
  <c r="O49" i="174" s="1"/>
  <c r="J45" i="113"/>
  <c r="J15" i="113"/>
  <c r="O49" i="156" s="1"/>
  <c r="J11" i="113"/>
  <c r="C7" i="113"/>
  <c r="I41" i="113"/>
  <c r="J38" i="113" s="1"/>
  <c r="K18" i="114" l="1"/>
  <c r="K66" i="114"/>
  <c r="K28" i="114"/>
  <c r="K62" i="114"/>
  <c r="K26" i="114"/>
  <c r="K17" i="114"/>
  <c r="K60" i="114"/>
  <c r="K22" i="114"/>
  <c r="K59" i="114"/>
  <c r="K19" i="114"/>
  <c r="K23" i="114"/>
  <c r="K52" i="114"/>
  <c r="K58" i="114"/>
  <c r="K54" i="114"/>
  <c r="K48" i="114"/>
  <c r="K27" i="114"/>
  <c r="K64" i="114"/>
  <c r="K25" i="114"/>
  <c r="K31" i="114"/>
  <c r="K56" i="114"/>
  <c r="K30" i="114"/>
  <c r="K29" i="114"/>
  <c r="K21" i="114"/>
  <c r="K24" i="114"/>
  <c r="K20" i="114"/>
  <c r="K16" i="114"/>
  <c r="K65" i="114"/>
  <c r="K61" i="114"/>
  <c r="K57" i="114"/>
  <c r="K63" i="114"/>
  <c r="K55" i="114"/>
  <c r="K51" i="114"/>
  <c r="K15" i="114"/>
  <c r="H34" i="114"/>
  <c r="H33" i="114"/>
  <c r="H32" i="114"/>
  <c r="K53" i="114"/>
  <c r="K39" i="114"/>
  <c r="K50" i="114"/>
  <c r="F52" i="114"/>
  <c r="F68" i="114"/>
  <c r="F69" i="114"/>
  <c r="F67" i="114"/>
  <c r="H68" i="114"/>
  <c r="H69" i="114"/>
  <c r="H67" i="114"/>
  <c r="G8" i="114"/>
  <c r="H5" i="114" s="1"/>
  <c r="J16" i="122"/>
  <c r="J31" i="121"/>
  <c r="K4" i="123"/>
  <c r="K5" i="122"/>
  <c r="K13" i="122"/>
  <c r="K26" i="121"/>
  <c r="K20" i="121"/>
  <c r="K10" i="121"/>
  <c r="K20" i="120"/>
  <c r="K6" i="120"/>
  <c r="F46" i="114"/>
  <c r="F11" i="114"/>
  <c r="J52" i="113"/>
  <c r="O52" i="174" s="1"/>
  <c r="J50" i="113"/>
  <c r="O50" i="174" s="1"/>
  <c r="H57" i="113"/>
  <c r="N57" i="174" s="1"/>
  <c r="H55" i="113"/>
  <c r="N55" i="174" s="1"/>
  <c r="H21" i="113"/>
  <c r="N55" i="156" s="1"/>
  <c r="E13" i="123"/>
  <c r="F4" i="123" s="1"/>
  <c r="E31" i="122"/>
  <c r="F31" i="122" s="1"/>
  <c r="K22" i="122"/>
  <c r="I31" i="122"/>
  <c r="J31" i="122" s="1"/>
  <c r="K26" i="122"/>
  <c r="K24" i="122"/>
  <c r="K11" i="122"/>
  <c r="K7" i="122"/>
  <c r="E14" i="122"/>
  <c r="F14" i="122" s="1"/>
  <c r="K9" i="122"/>
  <c r="K22" i="121"/>
  <c r="K21" i="121"/>
  <c r="K24" i="121"/>
  <c r="I13" i="121"/>
  <c r="J4" i="121" s="1"/>
  <c r="K4" i="121"/>
  <c r="K8" i="121"/>
  <c r="K6" i="121"/>
  <c r="K24" i="120"/>
  <c r="K22" i="120"/>
  <c r="F22" i="114"/>
  <c r="F65" i="114"/>
  <c r="F61" i="114"/>
  <c r="F55" i="114"/>
  <c r="I43" i="114"/>
  <c r="J41" i="114" s="1"/>
  <c r="F18" i="114"/>
  <c r="F30" i="114"/>
  <c r="F26" i="114"/>
  <c r="J63" i="114"/>
  <c r="J59" i="114"/>
  <c r="J51" i="114"/>
  <c r="J66" i="114"/>
  <c r="F64" i="114"/>
  <c r="J62" i="114"/>
  <c r="F60" i="114"/>
  <c r="J58" i="114"/>
  <c r="J57" i="114"/>
  <c r="F53" i="114"/>
  <c r="J50" i="114"/>
  <c r="J52" i="114"/>
  <c r="J65" i="114"/>
  <c r="F63" i="114"/>
  <c r="J61" i="114"/>
  <c r="F59" i="114"/>
  <c r="J56" i="114"/>
  <c r="J55" i="114"/>
  <c r="F51" i="114"/>
  <c r="F66" i="114"/>
  <c r="J64" i="114"/>
  <c r="F62" i="114"/>
  <c r="J60" i="114"/>
  <c r="F57" i="114"/>
  <c r="J54" i="114"/>
  <c r="J53" i="114"/>
  <c r="F50" i="114"/>
  <c r="F47" i="114"/>
  <c r="J47" i="114"/>
  <c r="J46" i="114"/>
  <c r="J24" i="114"/>
  <c r="J20" i="114"/>
  <c r="J31" i="114"/>
  <c r="F29" i="114"/>
  <c r="J27" i="114"/>
  <c r="F25" i="114"/>
  <c r="J23" i="114"/>
  <c r="F21" i="114"/>
  <c r="J19" i="114"/>
  <c r="F17" i="114"/>
  <c r="J15" i="114"/>
  <c r="J28" i="114"/>
  <c r="J16" i="114"/>
  <c r="J30" i="114"/>
  <c r="F28" i="114"/>
  <c r="J26" i="114"/>
  <c r="F24" i="114"/>
  <c r="J22" i="114"/>
  <c r="F20" i="114"/>
  <c r="J18" i="114"/>
  <c r="F16" i="114"/>
  <c r="F31" i="114"/>
  <c r="J29" i="114"/>
  <c r="F27" i="114"/>
  <c r="J25" i="114"/>
  <c r="F23" i="114"/>
  <c r="J21" i="114"/>
  <c r="F19" i="114"/>
  <c r="J17" i="114"/>
  <c r="F12" i="114"/>
  <c r="E8" i="114"/>
  <c r="F6" i="114" s="1"/>
  <c r="I8" i="114"/>
  <c r="J5" i="114" s="1"/>
  <c r="J12" i="114"/>
  <c r="J11" i="114"/>
  <c r="J64" i="113"/>
  <c r="O64" i="174" s="1"/>
  <c r="J62" i="113"/>
  <c r="O62" i="174" s="1"/>
  <c r="H53" i="113"/>
  <c r="N53" i="174" s="1"/>
  <c r="H51" i="113"/>
  <c r="N51" i="174" s="1"/>
  <c r="J48" i="113"/>
  <c r="O48" i="174" s="1"/>
  <c r="H63" i="113"/>
  <c r="N63" i="174" s="1"/>
  <c r="J60" i="113"/>
  <c r="O60" i="174" s="1"/>
  <c r="J58" i="113"/>
  <c r="O58" i="174" s="1"/>
  <c r="H49" i="113"/>
  <c r="H61" i="113"/>
  <c r="N61" i="174" s="1"/>
  <c r="H59" i="113"/>
  <c r="N59" i="174" s="1"/>
  <c r="J56" i="113"/>
  <c r="O56" i="174" s="1"/>
  <c r="J54" i="113"/>
  <c r="O54" i="174" s="1"/>
  <c r="F48" i="113"/>
  <c r="M48" i="174" s="1"/>
  <c r="D64" i="113"/>
  <c r="L64" i="174" s="1"/>
  <c r="F63" i="113"/>
  <c r="M63" i="174" s="1"/>
  <c r="D62" i="113"/>
  <c r="L62" i="174" s="1"/>
  <c r="F61" i="113"/>
  <c r="M61" i="174" s="1"/>
  <c r="D60" i="113"/>
  <c r="L60" i="174" s="1"/>
  <c r="F59" i="113"/>
  <c r="M59" i="174" s="1"/>
  <c r="D58" i="113"/>
  <c r="L58" i="174" s="1"/>
  <c r="F57" i="113"/>
  <c r="M57" i="174" s="1"/>
  <c r="D56" i="113"/>
  <c r="L56" i="174" s="1"/>
  <c r="F55" i="113"/>
  <c r="M55" i="174" s="1"/>
  <c r="D54" i="113"/>
  <c r="L54" i="174" s="1"/>
  <c r="F53" i="113"/>
  <c r="M53" i="174" s="1"/>
  <c r="D52" i="113"/>
  <c r="L52" i="174" s="1"/>
  <c r="F51" i="113"/>
  <c r="M51" i="174" s="1"/>
  <c r="D50" i="113"/>
  <c r="L50" i="174" s="1"/>
  <c r="F49" i="113"/>
  <c r="M49" i="174" s="1"/>
  <c r="D48" i="113"/>
  <c r="L48" i="174" s="1"/>
  <c r="H64" i="113"/>
  <c r="N64" i="174" s="1"/>
  <c r="J63" i="113"/>
  <c r="O63" i="174" s="1"/>
  <c r="H62" i="113"/>
  <c r="N62" i="174" s="1"/>
  <c r="J61" i="113"/>
  <c r="O61" i="174" s="1"/>
  <c r="H60" i="113"/>
  <c r="N60" i="174" s="1"/>
  <c r="J59" i="113"/>
  <c r="O59" i="174" s="1"/>
  <c r="H58" i="113"/>
  <c r="N58" i="174" s="1"/>
  <c r="J57" i="113"/>
  <c r="O57" i="174" s="1"/>
  <c r="H56" i="113"/>
  <c r="N56" i="174" s="1"/>
  <c r="J55" i="113"/>
  <c r="O55" i="174" s="1"/>
  <c r="H54" i="113"/>
  <c r="N54" i="174" s="1"/>
  <c r="J53" i="113"/>
  <c r="O53" i="174" s="1"/>
  <c r="H52" i="113"/>
  <c r="N52" i="174" s="1"/>
  <c r="J51" i="113"/>
  <c r="O51" i="174" s="1"/>
  <c r="H50" i="113"/>
  <c r="N50" i="174" s="1"/>
  <c r="H48" i="113"/>
  <c r="N48" i="174" s="1"/>
  <c r="F44" i="113"/>
  <c r="F64" i="113"/>
  <c r="M64" i="174" s="1"/>
  <c r="D63" i="113"/>
  <c r="L63" i="174" s="1"/>
  <c r="F62" i="113"/>
  <c r="M62" i="174" s="1"/>
  <c r="D61" i="113"/>
  <c r="L61" i="174" s="1"/>
  <c r="F60" i="113"/>
  <c r="M60" i="174" s="1"/>
  <c r="D59" i="113"/>
  <c r="L59" i="174" s="1"/>
  <c r="F58" i="113"/>
  <c r="M58" i="174" s="1"/>
  <c r="D57" i="113"/>
  <c r="L57" i="174" s="1"/>
  <c r="F56" i="113"/>
  <c r="M56" i="174" s="1"/>
  <c r="D55" i="113"/>
  <c r="L55" i="174" s="1"/>
  <c r="F54" i="113"/>
  <c r="M54" i="174" s="1"/>
  <c r="D53" i="113"/>
  <c r="L53" i="174" s="1"/>
  <c r="F52" i="113"/>
  <c r="M52" i="174" s="1"/>
  <c r="D51" i="113"/>
  <c r="L51" i="174" s="1"/>
  <c r="F50" i="113"/>
  <c r="M50" i="174" s="1"/>
  <c r="D49" i="113"/>
  <c r="L49" i="174" s="1"/>
  <c r="H45" i="113"/>
  <c r="J44" i="113"/>
  <c r="F45" i="113"/>
  <c r="D44" i="113"/>
  <c r="J40" i="113"/>
  <c r="J39" i="113"/>
  <c r="H44" i="113"/>
  <c r="D45" i="113"/>
  <c r="J28" i="113"/>
  <c r="O62" i="156" s="1"/>
  <c r="J16" i="113"/>
  <c r="O50" i="156" s="1"/>
  <c r="H29" i="113"/>
  <c r="N63" i="156" s="1"/>
  <c r="J26" i="113"/>
  <c r="O60" i="156" s="1"/>
  <c r="J24" i="113"/>
  <c r="O58" i="156" s="1"/>
  <c r="H19" i="113"/>
  <c r="N53" i="156" s="1"/>
  <c r="H17" i="113"/>
  <c r="N51" i="156" s="1"/>
  <c r="J14" i="113"/>
  <c r="O48" i="156" s="1"/>
  <c r="H27" i="113"/>
  <c r="N61" i="156" s="1"/>
  <c r="H25" i="113"/>
  <c r="N59" i="156" s="1"/>
  <c r="J22" i="113"/>
  <c r="O56" i="156" s="1"/>
  <c r="H15" i="113"/>
  <c r="N49" i="156" s="1"/>
  <c r="J30" i="113"/>
  <c r="O64" i="156" s="1"/>
  <c r="J18" i="113"/>
  <c r="O52" i="156" s="1"/>
  <c r="H23" i="113"/>
  <c r="N57" i="156" s="1"/>
  <c r="J20" i="113"/>
  <c r="O54" i="156" s="1"/>
  <c r="F14" i="113"/>
  <c r="M48" i="156" s="1"/>
  <c r="D30" i="113"/>
  <c r="L64" i="156" s="1"/>
  <c r="F29" i="113"/>
  <c r="M63" i="156" s="1"/>
  <c r="D28" i="113"/>
  <c r="L62" i="156" s="1"/>
  <c r="F27" i="113"/>
  <c r="M61" i="156" s="1"/>
  <c r="D26" i="113"/>
  <c r="L60" i="156" s="1"/>
  <c r="F25" i="113"/>
  <c r="M59" i="156" s="1"/>
  <c r="D24" i="113"/>
  <c r="L58" i="156" s="1"/>
  <c r="F23" i="113"/>
  <c r="M57" i="156" s="1"/>
  <c r="D22" i="113"/>
  <c r="L56" i="156" s="1"/>
  <c r="F21" i="113"/>
  <c r="M55" i="156" s="1"/>
  <c r="D20" i="113"/>
  <c r="L54" i="156" s="1"/>
  <c r="F19" i="113"/>
  <c r="M53" i="156" s="1"/>
  <c r="D18" i="113"/>
  <c r="L52" i="156" s="1"/>
  <c r="F17" i="113"/>
  <c r="M51" i="156" s="1"/>
  <c r="D16" i="113"/>
  <c r="L50" i="156" s="1"/>
  <c r="F15" i="113"/>
  <c r="M49" i="156" s="1"/>
  <c r="D14" i="113"/>
  <c r="L48" i="156" s="1"/>
  <c r="H30" i="113"/>
  <c r="N64" i="156" s="1"/>
  <c r="J29" i="113"/>
  <c r="O63" i="156" s="1"/>
  <c r="H28" i="113"/>
  <c r="N62" i="156" s="1"/>
  <c r="J27" i="113"/>
  <c r="O61" i="156" s="1"/>
  <c r="H26" i="113"/>
  <c r="N60" i="156" s="1"/>
  <c r="J25" i="113"/>
  <c r="O59" i="156" s="1"/>
  <c r="H24" i="113"/>
  <c r="N58" i="156" s="1"/>
  <c r="J23" i="113"/>
  <c r="O57" i="156" s="1"/>
  <c r="H22" i="113"/>
  <c r="N56" i="156" s="1"/>
  <c r="J21" i="113"/>
  <c r="O55" i="156" s="1"/>
  <c r="H20" i="113"/>
  <c r="N54" i="156" s="1"/>
  <c r="J19" i="113"/>
  <c r="O53" i="156" s="1"/>
  <c r="H18" i="113"/>
  <c r="N52" i="156" s="1"/>
  <c r="J17" i="113"/>
  <c r="O51" i="156" s="1"/>
  <c r="H16" i="113"/>
  <c r="N50" i="156" s="1"/>
  <c r="H14" i="113"/>
  <c r="N48" i="156" s="1"/>
  <c r="F30" i="113"/>
  <c r="M64" i="156" s="1"/>
  <c r="D29" i="113"/>
  <c r="L63" i="156" s="1"/>
  <c r="F28" i="113"/>
  <c r="M62" i="156" s="1"/>
  <c r="D27" i="113"/>
  <c r="L61" i="156" s="1"/>
  <c r="F26" i="113"/>
  <c r="M60" i="156" s="1"/>
  <c r="D25" i="113"/>
  <c r="L59" i="156" s="1"/>
  <c r="F24" i="113"/>
  <c r="M58" i="156" s="1"/>
  <c r="D23" i="113"/>
  <c r="L57" i="156" s="1"/>
  <c r="F22" i="113"/>
  <c r="M56" i="156" s="1"/>
  <c r="D21" i="113"/>
  <c r="L55" i="156" s="1"/>
  <c r="F20" i="113"/>
  <c r="M54" i="156" s="1"/>
  <c r="D19" i="113"/>
  <c r="L53" i="156" s="1"/>
  <c r="F18" i="113"/>
  <c r="M52" i="156" s="1"/>
  <c r="D17" i="113"/>
  <c r="L51" i="156" s="1"/>
  <c r="F16" i="113"/>
  <c r="M50" i="156" s="1"/>
  <c r="D15" i="113"/>
  <c r="L49" i="156" s="1"/>
  <c r="J10" i="113"/>
  <c r="H11" i="113"/>
  <c r="E7" i="113"/>
  <c r="F5" i="113" s="1"/>
  <c r="D6" i="113"/>
  <c r="D5" i="113"/>
  <c r="D4" i="113"/>
  <c r="F11" i="113"/>
  <c r="D10" i="113"/>
  <c r="H10" i="113"/>
  <c r="D11" i="113"/>
  <c r="F10" i="113"/>
  <c r="D11" i="114"/>
  <c r="D27" i="114"/>
  <c r="D21" i="114"/>
  <c r="D19" i="114"/>
  <c r="D46" i="114"/>
  <c r="D66" i="114"/>
  <c r="D56" i="114"/>
  <c r="D54" i="114"/>
  <c r="D52" i="114"/>
  <c r="D50" i="114"/>
  <c r="H11" i="114"/>
  <c r="H31" i="114"/>
  <c r="H29" i="114"/>
  <c r="H27" i="114"/>
  <c r="H25" i="114"/>
  <c r="H23" i="114"/>
  <c r="H21" i="114"/>
  <c r="H19" i="114"/>
  <c r="H17" i="114"/>
  <c r="H15" i="114"/>
  <c r="H46" i="114"/>
  <c r="H66" i="114"/>
  <c r="H64" i="114"/>
  <c r="H62" i="114"/>
  <c r="H60" i="114"/>
  <c r="H58" i="114"/>
  <c r="H56" i="114"/>
  <c r="H54" i="114"/>
  <c r="H52" i="114"/>
  <c r="H50" i="114"/>
  <c r="D25" i="114"/>
  <c r="D15" i="114"/>
  <c r="D64" i="114"/>
  <c r="D62" i="114"/>
  <c r="D58" i="114"/>
  <c r="C43" i="114"/>
  <c r="D30" i="114"/>
  <c r="D28" i="114"/>
  <c r="D24" i="114"/>
  <c r="D20" i="114"/>
  <c r="D18" i="114"/>
  <c r="D16" i="114"/>
  <c r="D47" i="114"/>
  <c r="D65" i="114"/>
  <c r="D63" i="114"/>
  <c r="D61" i="114"/>
  <c r="D59" i="114"/>
  <c r="F58" i="114"/>
  <c r="D57" i="114"/>
  <c r="F56" i="114"/>
  <c r="D55" i="114"/>
  <c r="F54" i="114"/>
  <c r="D53" i="114"/>
  <c r="D51" i="114"/>
  <c r="D31" i="114"/>
  <c r="D29" i="114"/>
  <c r="D23" i="114"/>
  <c r="D17" i="114"/>
  <c r="D60" i="114"/>
  <c r="C8" i="114"/>
  <c r="D6" i="114" s="1"/>
  <c r="D12" i="114"/>
  <c r="D26" i="114"/>
  <c r="D22" i="114"/>
  <c r="H12" i="114"/>
  <c r="H30" i="114"/>
  <c r="H28" i="114"/>
  <c r="H26" i="114"/>
  <c r="H24" i="114"/>
  <c r="H22" i="114"/>
  <c r="H20" i="114"/>
  <c r="H18" i="114"/>
  <c r="H16" i="114"/>
  <c r="H47" i="114"/>
  <c r="H65" i="114"/>
  <c r="H63" i="114"/>
  <c r="H61" i="114"/>
  <c r="H59" i="114"/>
  <c r="H57" i="114"/>
  <c r="H55" i="114"/>
  <c r="H53" i="114"/>
  <c r="H51" i="114"/>
  <c r="K14" i="120"/>
  <c r="K30" i="120"/>
  <c r="K30" i="121"/>
  <c r="E29" i="121"/>
  <c r="F20" i="121" s="1"/>
  <c r="J21" i="121"/>
  <c r="J23" i="121"/>
  <c r="K5" i="121"/>
  <c r="J27" i="121"/>
  <c r="E13" i="121"/>
  <c r="F4" i="121" s="1"/>
  <c r="K12" i="121"/>
  <c r="K28" i="121"/>
  <c r="J25" i="121"/>
  <c r="J8" i="122"/>
  <c r="J10" i="122"/>
  <c r="J6" i="122"/>
  <c r="K23" i="122"/>
  <c r="J12" i="122"/>
  <c r="K30" i="123"/>
  <c r="K6" i="123"/>
  <c r="K24" i="123"/>
  <c r="K22" i="123"/>
  <c r="K8" i="123"/>
  <c r="K26" i="123"/>
  <c r="K14" i="123"/>
  <c r="I13" i="123"/>
  <c r="J10" i="123" s="1"/>
  <c r="I29" i="123"/>
  <c r="J26" i="123" s="1"/>
  <c r="E29" i="123"/>
  <c r="F20" i="123" s="1"/>
  <c r="K28" i="123"/>
  <c r="K31" i="123"/>
  <c r="K27" i="123"/>
  <c r="K23" i="123"/>
  <c r="G29" i="123"/>
  <c r="H30" i="123" s="1"/>
  <c r="C29" i="123"/>
  <c r="D26" i="123" s="1"/>
  <c r="K25" i="123"/>
  <c r="K21" i="123"/>
  <c r="K10" i="123"/>
  <c r="G13" i="123"/>
  <c r="H4" i="123" s="1"/>
  <c r="C13" i="123"/>
  <c r="D4" i="123" s="1"/>
  <c r="K9" i="123"/>
  <c r="K5" i="123"/>
  <c r="K12" i="123"/>
  <c r="K15" i="123"/>
  <c r="K11" i="123"/>
  <c r="K7" i="123"/>
  <c r="K30" i="122"/>
  <c r="C31" i="122"/>
  <c r="K27" i="122"/>
  <c r="K32" i="122"/>
  <c r="K28" i="122"/>
  <c r="K33" i="122"/>
  <c r="G31" i="122"/>
  <c r="H30" i="122" s="1"/>
  <c r="K29" i="122"/>
  <c r="K25" i="122"/>
  <c r="K15" i="122"/>
  <c r="J15" i="122"/>
  <c r="J13" i="122"/>
  <c r="J11" i="122"/>
  <c r="C14" i="122"/>
  <c r="D11" i="122" s="1"/>
  <c r="K12" i="122"/>
  <c r="K8" i="122"/>
  <c r="K6" i="122"/>
  <c r="J9" i="122"/>
  <c r="J7" i="122"/>
  <c r="J5" i="122"/>
  <c r="K16" i="122"/>
  <c r="G14" i="122"/>
  <c r="H7" i="122" s="1"/>
  <c r="K10" i="122"/>
  <c r="G29" i="121"/>
  <c r="H24" i="121" s="1"/>
  <c r="C29" i="121"/>
  <c r="D22" i="121" s="1"/>
  <c r="K25" i="121"/>
  <c r="J30" i="121"/>
  <c r="J28" i="121"/>
  <c r="J26" i="121"/>
  <c r="J24" i="121"/>
  <c r="J22" i="121"/>
  <c r="K31" i="121"/>
  <c r="K27" i="121"/>
  <c r="K23" i="121"/>
  <c r="G13" i="121"/>
  <c r="H6" i="121" s="1"/>
  <c r="C13" i="121"/>
  <c r="K9" i="121"/>
  <c r="K7" i="121"/>
  <c r="K14" i="121"/>
  <c r="K15" i="121"/>
  <c r="K11" i="121"/>
  <c r="K31" i="120"/>
  <c r="K28" i="120"/>
  <c r="K25" i="120"/>
  <c r="K21" i="120"/>
  <c r="K26" i="120"/>
  <c r="K27" i="120"/>
  <c r="K23" i="120"/>
  <c r="K15" i="120"/>
  <c r="K8" i="120"/>
  <c r="K9" i="120"/>
  <c r="K12" i="120"/>
  <c r="K10" i="120"/>
  <c r="K11" i="120"/>
  <c r="K7" i="120"/>
  <c r="E43" i="114"/>
  <c r="F41" i="114" s="1"/>
  <c r="G43" i="114"/>
  <c r="H42" i="114" s="1"/>
  <c r="C41" i="113"/>
  <c r="D40" i="113" s="1"/>
  <c r="I7" i="113"/>
  <c r="J6" i="113" s="1"/>
  <c r="G41" i="113"/>
  <c r="H40" i="113" s="1"/>
  <c r="G7" i="113"/>
  <c r="H6" i="113" s="1"/>
  <c r="E41" i="113"/>
  <c r="F38" i="113" s="1"/>
  <c r="I40" i="85"/>
  <c r="I37" i="85"/>
  <c r="I36" i="85"/>
  <c r="I35" i="85"/>
  <c r="I34" i="85"/>
  <c r="I33" i="85"/>
  <c r="I32" i="85"/>
  <c r="I31" i="85"/>
  <c r="I30" i="85"/>
  <c r="I29" i="85"/>
  <c r="I28" i="85"/>
  <c r="I27" i="85"/>
  <c r="I26" i="85"/>
  <c r="I25" i="85"/>
  <c r="I24" i="85"/>
  <c r="I23" i="85"/>
  <c r="I22" i="85"/>
  <c r="I21" i="85"/>
  <c r="C40" i="85"/>
  <c r="C37" i="85"/>
  <c r="C36" i="85"/>
  <c r="C35" i="85"/>
  <c r="C34" i="85"/>
  <c r="C33" i="85"/>
  <c r="C32" i="85"/>
  <c r="C31" i="85"/>
  <c r="C30" i="85"/>
  <c r="C29" i="85"/>
  <c r="C28" i="85"/>
  <c r="C27" i="85"/>
  <c r="C26" i="85"/>
  <c r="C25" i="85"/>
  <c r="C24" i="85"/>
  <c r="C23" i="85"/>
  <c r="C22" i="85"/>
  <c r="C21" i="85"/>
  <c r="B6" i="82"/>
  <c r="C39" i="104"/>
  <c r="C38" i="104"/>
  <c r="C37" i="104"/>
  <c r="C36" i="104"/>
  <c r="C35" i="104"/>
  <c r="C34" i="104"/>
  <c r="C33" i="104"/>
  <c r="C32" i="104"/>
  <c r="C31" i="104"/>
  <c r="C30" i="104"/>
  <c r="C29" i="104"/>
  <c r="C28" i="104"/>
  <c r="C27" i="104"/>
  <c r="C26" i="104"/>
  <c r="C25" i="104"/>
  <c r="C24" i="104"/>
  <c r="C23" i="104"/>
  <c r="C42" i="95"/>
  <c r="J34" i="155" s="1"/>
  <c r="C39" i="95"/>
  <c r="C38" i="95"/>
  <c r="C37" i="95"/>
  <c r="C36" i="95"/>
  <c r="C35" i="95"/>
  <c r="C34" i="95"/>
  <c r="C33" i="95"/>
  <c r="C32" i="95"/>
  <c r="C31" i="95"/>
  <c r="C30" i="95"/>
  <c r="C29" i="95"/>
  <c r="C28" i="95"/>
  <c r="C27" i="95"/>
  <c r="C26" i="95"/>
  <c r="C25" i="95"/>
  <c r="C24" i="95"/>
  <c r="C23" i="95"/>
  <c r="H7" i="114" l="1"/>
  <c r="H6" i="114"/>
  <c r="J29" i="122"/>
  <c r="D14" i="121"/>
  <c r="D8" i="121"/>
  <c r="F15" i="123"/>
  <c r="F25" i="122"/>
  <c r="K13" i="120"/>
  <c r="J32" i="122"/>
  <c r="J33" i="122"/>
  <c r="D41" i="114"/>
  <c r="K42" i="114"/>
  <c r="F23" i="122"/>
  <c r="J22" i="122"/>
  <c r="J23" i="122"/>
  <c r="J25" i="122"/>
  <c r="J27" i="122"/>
  <c r="J26" i="122"/>
  <c r="J24" i="122"/>
  <c r="J28" i="122"/>
  <c r="J30" i="122"/>
  <c r="F8" i="123"/>
  <c r="F10" i="123"/>
  <c r="F9" i="123"/>
  <c r="J14" i="123"/>
  <c r="F14" i="121"/>
  <c r="J11" i="121"/>
  <c r="F6" i="121"/>
  <c r="F10" i="121"/>
  <c r="F5" i="114"/>
  <c r="F7" i="114"/>
  <c r="F15" i="122"/>
  <c r="F6" i="122"/>
  <c r="F10" i="122"/>
  <c r="F9" i="122"/>
  <c r="F16" i="122"/>
  <c r="F6" i="113"/>
  <c r="F24" i="123"/>
  <c r="J8" i="123"/>
  <c r="D12" i="121"/>
  <c r="H28" i="121"/>
  <c r="F22" i="123"/>
  <c r="F12" i="123"/>
  <c r="F11" i="123"/>
  <c r="F14" i="123"/>
  <c r="F7" i="123"/>
  <c r="F6" i="123"/>
  <c r="F5" i="123"/>
  <c r="F26" i="122"/>
  <c r="F29" i="122"/>
  <c r="F32" i="122"/>
  <c r="F27" i="122"/>
  <c r="F24" i="122"/>
  <c r="F30" i="122"/>
  <c r="F28" i="122"/>
  <c r="F13" i="122"/>
  <c r="F12" i="122"/>
  <c r="H20" i="121"/>
  <c r="H30" i="121"/>
  <c r="K29" i="121"/>
  <c r="L24" i="121" s="1"/>
  <c r="J10" i="121"/>
  <c r="J7" i="121"/>
  <c r="J5" i="121"/>
  <c r="J6" i="121"/>
  <c r="J14" i="121"/>
  <c r="J42" i="114"/>
  <c r="J30" i="123"/>
  <c r="J20" i="123"/>
  <c r="J22" i="123"/>
  <c r="J21" i="123"/>
  <c r="J24" i="123"/>
  <c r="F30" i="123"/>
  <c r="F27" i="123"/>
  <c r="F22" i="122"/>
  <c r="F33" i="122"/>
  <c r="F5" i="122"/>
  <c r="F8" i="122"/>
  <c r="F11" i="122"/>
  <c r="F7" i="122"/>
  <c r="D20" i="121"/>
  <c r="F22" i="121"/>
  <c r="F26" i="121"/>
  <c r="F30" i="121"/>
  <c r="H22" i="121"/>
  <c r="F23" i="121"/>
  <c r="F25" i="121"/>
  <c r="J29" i="121"/>
  <c r="F24" i="121"/>
  <c r="F28" i="121"/>
  <c r="F21" i="121"/>
  <c r="F31" i="121"/>
  <c r="F8" i="121"/>
  <c r="F12" i="121"/>
  <c r="F11" i="121"/>
  <c r="F15" i="121"/>
  <c r="J8" i="121"/>
  <c r="J12" i="121"/>
  <c r="H10" i="121"/>
  <c r="J15" i="121"/>
  <c r="J9" i="121"/>
  <c r="J40" i="114"/>
  <c r="J6" i="114"/>
  <c r="H8" i="114"/>
  <c r="J7" i="114"/>
  <c r="D38" i="113"/>
  <c r="F40" i="113"/>
  <c r="F4" i="113"/>
  <c r="H5" i="113"/>
  <c r="D42" i="114"/>
  <c r="D40" i="114"/>
  <c r="D7" i="114"/>
  <c r="F42" i="114"/>
  <c r="D5" i="114"/>
  <c r="H14" i="121"/>
  <c r="H4" i="121"/>
  <c r="F5" i="121"/>
  <c r="D4" i="121"/>
  <c r="F7" i="121"/>
  <c r="H8" i="121"/>
  <c r="F9" i="121"/>
  <c r="F27" i="121"/>
  <c r="D15" i="122"/>
  <c r="D7" i="122"/>
  <c r="J28" i="123"/>
  <c r="F25" i="123"/>
  <c r="F21" i="123"/>
  <c r="H12" i="123"/>
  <c r="J5" i="123"/>
  <c r="J15" i="123"/>
  <c r="J11" i="123"/>
  <c r="D6" i="123"/>
  <c r="J9" i="123"/>
  <c r="D14" i="123"/>
  <c r="J4" i="123"/>
  <c r="J12" i="123"/>
  <c r="H6" i="123"/>
  <c r="J7" i="123"/>
  <c r="J6" i="123"/>
  <c r="H14" i="123"/>
  <c r="J25" i="123"/>
  <c r="J31" i="123"/>
  <c r="F23" i="123"/>
  <c r="F28" i="123"/>
  <c r="F26" i="123"/>
  <c r="D22" i="123"/>
  <c r="J23" i="123"/>
  <c r="J27" i="123"/>
  <c r="F31" i="123"/>
  <c r="H21" i="123"/>
  <c r="H27" i="123"/>
  <c r="H31" i="123"/>
  <c r="H23" i="123"/>
  <c r="H25" i="123"/>
  <c r="K29" i="123"/>
  <c r="L21" i="123" s="1"/>
  <c r="H24" i="123"/>
  <c r="H20" i="123"/>
  <c r="D28" i="123"/>
  <c r="D24" i="123"/>
  <c r="H26" i="123"/>
  <c r="H28" i="123"/>
  <c r="H22" i="123"/>
  <c r="D23" i="123"/>
  <c r="D25" i="123"/>
  <c r="D21" i="123"/>
  <c r="D27" i="123"/>
  <c r="D31" i="123"/>
  <c r="D20" i="123"/>
  <c r="D30" i="123"/>
  <c r="K13" i="123"/>
  <c r="L5" i="123" s="1"/>
  <c r="D5" i="123"/>
  <c r="D7" i="123"/>
  <c r="D9" i="123"/>
  <c r="D15" i="123"/>
  <c r="D11" i="123"/>
  <c r="H8" i="123"/>
  <c r="D12" i="123"/>
  <c r="H5" i="123"/>
  <c r="H7" i="123"/>
  <c r="H11" i="123"/>
  <c r="H9" i="123"/>
  <c r="H15" i="123"/>
  <c r="D10" i="123"/>
  <c r="H10" i="123"/>
  <c r="D8" i="123"/>
  <c r="D23" i="122"/>
  <c r="D25" i="122"/>
  <c r="D27" i="122"/>
  <c r="D31" i="122"/>
  <c r="D29" i="122"/>
  <c r="D33" i="122"/>
  <c r="H26" i="122"/>
  <c r="D26" i="122"/>
  <c r="H24" i="122"/>
  <c r="H23" i="122"/>
  <c r="H25" i="122"/>
  <c r="H29" i="122"/>
  <c r="H33" i="122"/>
  <c r="H27" i="122"/>
  <c r="H31" i="122"/>
  <c r="D30" i="122"/>
  <c r="H22" i="122"/>
  <c r="K31" i="122"/>
  <c r="H28" i="122"/>
  <c r="D22" i="122"/>
  <c r="D28" i="122"/>
  <c r="D24" i="122"/>
  <c r="D32" i="122"/>
  <c r="H32" i="122"/>
  <c r="H15" i="122"/>
  <c r="H9" i="122"/>
  <c r="D13" i="122"/>
  <c r="D9" i="122"/>
  <c r="H10" i="122"/>
  <c r="H12" i="122"/>
  <c r="H14" i="122"/>
  <c r="H6" i="122"/>
  <c r="H8" i="122"/>
  <c r="H16" i="122"/>
  <c r="K14" i="122"/>
  <c r="L15" i="122" s="1"/>
  <c r="H13" i="122"/>
  <c r="H5" i="122"/>
  <c r="D6" i="122"/>
  <c r="D8" i="122"/>
  <c r="D12" i="122"/>
  <c r="D14" i="122"/>
  <c r="D16" i="122"/>
  <c r="D10" i="122"/>
  <c r="D5" i="122"/>
  <c r="H11" i="122"/>
  <c r="D21" i="121"/>
  <c r="D23" i="121"/>
  <c r="D25" i="121"/>
  <c r="D27" i="121"/>
  <c r="D31" i="121"/>
  <c r="D30" i="121"/>
  <c r="D24" i="121"/>
  <c r="D26" i="121"/>
  <c r="H21" i="121"/>
  <c r="H23" i="121"/>
  <c r="H25" i="121"/>
  <c r="H27" i="121"/>
  <c r="H31" i="121"/>
  <c r="D28" i="121"/>
  <c r="H26" i="121"/>
  <c r="K13" i="121"/>
  <c r="L7" i="121" s="1"/>
  <c r="D5" i="121"/>
  <c r="D7" i="121"/>
  <c r="D9" i="121"/>
  <c r="D11" i="121"/>
  <c r="D15" i="121"/>
  <c r="D10" i="121"/>
  <c r="D6" i="121"/>
  <c r="H5" i="121"/>
  <c r="H7" i="121"/>
  <c r="H9" i="121"/>
  <c r="H11" i="121"/>
  <c r="H15" i="121"/>
  <c r="H12" i="121"/>
  <c r="H40" i="114"/>
  <c r="F40" i="114"/>
  <c r="H41" i="114"/>
  <c r="D39" i="113"/>
  <c r="H38" i="113"/>
  <c r="H39" i="113"/>
  <c r="F39" i="113"/>
  <c r="J5" i="113"/>
  <c r="J4" i="113"/>
  <c r="H4" i="113"/>
  <c r="J41" i="113"/>
  <c r="D7" i="113"/>
  <c r="F41" i="113" l="1"/>
  <c r="L14" i="121"/>
  <c r="D41" i="113"/>
  <c r="F8" i="114"/>
  <c r="L26" i="121"/>
  <c r="F7" i="113"/>
  <c r="F13" i="123"/>
  <c r="L15" i="123"/>
  <c r="J43" i="114"/>
  <c r="L25" i="121"/>
  <c r="L22" i="121"/>
  <c r="L27" i="121"/>
  <c r="L30" i="121"/>
  <c r="L23" i="121"/>
  <c r="L28" i="121"/>
  <c r="L21" i="121"/>
  <c r="L31" i="121"/>
  <c r="L20" i="121"/>
  <c r="J8" i="114"/>
  <c r="H7" i="113"/>
  <c r="J29" i="123"/>
  <c r="L16" i="122"/>
  <c r="L12" i="122"/>
  <c r="L10" i="122"/>
  <c r="L8" i="122"/>
  <c r="L6" i="122"/>
  <c r="D29" i="121"/>
  <c r="F29" i="121"/>
  <c r="J13" i="121"/>
  <c r="F13" i="121"/>
  <c r="D13" i="121"/>
  <c r="D43" i="114"/>
  <c r="D8" i="114"/>
  <c r="J7" i="113"/>
  <c r="F43" i="114"/>
  <c r="H29" i="121"/>
  <c r="H13" i="121"/>
  <c r="L25" i="123"/>
  <c r="H13" i="123"/>
  <c r="L28" i="123"/>
  <c r="F29" i="123"/>
  <c r="L12" i="123"/>
  <c r="L31" i="123"/>
  <c r="L27" i="123"/>
  <c r="D13" i="123"/>
  <c r="L11" i="123"/>
  <c r="J13" i="123"/>
  <c r="L26" i="123"/>
  <c r="L24" i="123"/>
  <c r="L22" i="123"/>
  <c r="L30" i="123"/>
  <c r="L20" i="123"/>
  <c r="D29" i="123"/>
  <c r="L23" i="123"/>
  <c r="H29" i="123"/>
  <c r="L9" i="123"/>
  <c r="L14" i="123"/>
  <c r="L6" i="123"/>
  <c r="L4" i="123"/>
  <c r="L8" i="123"/>
  <c r="L10" i="123"/>
  <c r="L7" i="123"/>
  <c r="L31" i="122"/>
  <c r="L22" i="122"/>
  <c r="L26" i="122"/>
  <c r="L23" i="122"/>
  <c r="L24" i="122"/>
  <c r="L30" i="122"/>
  <c r="L27" i="122"/>
  <c r="L28" i="122"/>
  <c r="L32" i="122"/>
  <c r="L29" i="122"/>
  <c r="L33" i="122"/>
  <c r="L25" i="122"/>
  <c r="L14" i="122"/>
  <c r="L11" i="122"/>
  <c r="L9" i="122"/>
  <c r="L13" i="122"/>
  <c r="L5" i="122"/>
  <c r="L7" i="122"/>
  <c r="L6" i="121"/>
  <c r="L10" i="121"/>
  <c r="L12" i="121"/>
  <c r="L5" i="121"/>
  <c r="L8" i="121"/>
  <c r="L4" i="121"/>
  <c r="L11" i="121"/>
  <c r="L9" i="121"/>
  <c r="L15" i="121"/>
  <c r="H43" i="114"/>
  <c r="H41" i="113"/>
  <c r="O51" i="151"/>
  <c r="O50" i="151"/>
  <c r="O49" i="151"/>
  <c r="O48" i="151"/>
  <c r="O47" i="151"/>
  <c r="O46" i="151"/>
  <c r="N51" i="151"/>
  <c r="N50" i="151"/>
  <c r="N49" i="151"/>
  <c r="N48" i="151"/>
  <c r="N47" i="151"/>
  <c r="N46" i="151"/>
  <c r="P33" i="151"/>
  <c r="P32" i="151"/>
  <c r="P31" i="151"/>
  <c r="P30" i="151"/>
  <c r="P29" i="151"/>
  <c r="P28" i="151"/>
  <c r="P27" i="151"/>
  <c r="P26" i="151"/>
  <c r="O33" i="151"/>
  <c r="O32" i="151"/>
  <c r="O31" i="151"/>
  <c r="O30" i="151"/>
  <c r="Q30" i="151" s="1"/>
  <c r="O29" i="151"/>
  <c r="O28" i="151"/>
  <c r="O27" i="151"/>
  <c r="O26" i="151"/>
  <c r="N33" i="151"/>
  <c r="N32" i="151"/>
  <c r="N31" i="151"/>
  <c r="N30" i="151"/>
  <c r="N29" i="151"/>
  <c r="N28" i="151"/>
  <c r="N27" i="151"/>
  <c r="N26" i="151"/>
  <c r="P25" i="151"/>
  <c r="O25" i="151"/>
  <c r="N25" i="151"/>
  <c r="O6" i="151"/>
  <c r="P6" i="151"/>
  <c r="O7" i="151"/>
  <c r="P7" i="151"/>
  <c r="O8" i="151"/>
  <c r="P8" i="151"/>
  <c r="O9" i="151"/>
  <c r="P9" i="151"/>
  <c r="O10" i="151"/>
  <c r="P10" i="151"/>
  <c r="O11" i="151"/>
  <c r="P11" i="151"/>
  <c r="O12" i="151"/>
  <c r="P12" i="151"/>
  <c r="O13" i="151"/>
  <c r="P13" i="151"/>
  <c r="P5" i="151"/>
  <c r="O5" i="151"/>
  <c r="N6" i="151"/>
  <c r="N7" i="151"/>
  <c r="N8" i="151"/>
  <c r="N9" i="151"/>
  <c r="N10" i="151"/>
  <c r="N11" i="151"/>
  <c r="N12" i="151"/>
  <c r="N5" i="151"/>
  <c r="Q33" i="151" l="1"/>
  <c r="Q26" i="151"/>
  <c r="Q29" i="151"/>
  <c r="L29" i="121"/>
  <c r="Q32" i="151"/>
  <c r="Q8" i="151"/>
  <c r="Q13" i="151"/>
  <c r="Q11" i="151"/>
  <c r="Q7" i="151"/>
  <c r="Q12" i="151"/>
  <c r="Q10" i="151"/>
  <c r="Q6" i="151"/>
  <c r="L13" i="123"/>
  <c r="L29" i="123"/>
  <c r="L13" i="121"/>
  <c r="Q31" i="151"/>
  <c r="Q27" i="151"/>
  <c r="Q28" i="151"/>
  <c r="Q9" i="151"/>
  <c r="Q25" i="151"/>
  <c r="Q5" i="151"/>
  <c r="I31" i="155"/>
  <c r="I30" i="155"/>
  <c r="I29" i="155"/>
  <c r="I28" i="155"/>
  <c r="I27" i="155"/>
  <c r="I26" i="155"/>
  <c r="I25" i="155"/>
  <c r="I24" i="155"/>
  <c r="I23" i="155"/>
  <c r="I22" i="155"/>
  <c r="I21" i="155"/>
  <c r="I20" i="155"/>
  <c r="I19" i="155"/>
  <c r="I18" i="155"/>
  <c r="I17" i="155"/>
  <c r="I16" i="155"/>
  <c r="I15" i="155"/>
  <c r="I10" i="155"/>
  <c r="P12" i="155" s="1"/>
  <c r="I9" i="155"/>
  <c r="C3" i="155" s="1"/>
  <c r="I5" i="155"/>
  <c r="P10" i="155" s="1"/>
  <c r="I4" i="155"/>
  <c r="P9" i="155" s="1"/>
  <c r="I3" i="155"/>
  <c r="P11" i="155" l="1"/>
  <c r="P13" i="155" s="1"/>
  <c r="Q11" i="155" l="1"/>
  <c r="Q12" i="155"/>
  <c r="Q13" i="155"/>
  <c r="Q9" i="155"/>
  <c r="Q10" i="155"/>
  <c r="I19" i="100"/>
  <c r="I18" i="100"/>
  <c r="I17" i="100"/>
  <c r="I16" i="100"/>
  <c r="I15" i="100"/>
  <c r="I14" i="100"/>
  <c r="I13" i="100"/>
  <c r="Q35" i="152" l="1"/>
  <c r="M121" i="175"/>
  <c r="Q34" i="152"/>
  <c r="M120" i="175"/>
  <c r="Q33" i="152"/>
  <c r="M119" i="175"/>
  <c r="Q30" i="152"/>
  <c r="M116" i="175"/>
  <c r="Q29" i="152"/>
  <c r="M115" i="175"/>
  <c r="Q31" i="152"/>
  <c r="M117" i="175"/>
  <c r="Q32" i="152"/>
  <c r="M118" i="175"/>
  <c r="D7" i="82"/>
  <c r="D8" i="82"/>
  <c r="D9" i="82"/>
  <c r="D10" i="82"/>
  <c r="D11" i="82"/>
  <c r="D12" i="82"/>
  <c r="D13" i="82"/>
  <c r="D14" i="82"/>
  <c r="D15" i="82"/>
  <c r="D16" i="82"/>
  <c r="D17" i="82"/>
  <c r="D18" i="82"/>
  <c r="D19" i="82"/>
  <c r="D20" i="82"/>
  <c r="D21" i="82"/>
  <c r="D6" i="82"/>
  <c r="B7" i="82"/>
  <c r="B8" i="82"/>
  <c r="B9" i="82"/>
  <c r="B10" i="82"/>
  <c r="B11" i="82"/>
  <c r="B12" i="82"/>
  <c r="B13" i="82"/>
  <c r="B14" i="82"/>
  <c r="B15" i="82"/>
  <c r="B16" i="82"/>
  <c r="B17" i="82"/>
  <c r="B18" i="82"/>
  <c r="B19" i="82"/>
  <c r="B20" i="82"/>
  <c r="B21" i="82"/>
  <c r="G6" i="91"/>
  <c r="M27" i="175" s="1"/>
  <c r="G7" i="91"/>
  <c r="M28" i="175" s="1"/>
  <c r="G8" i="91"/>
  <c r="M29" i="175" s="1"/>
  <c r="G9" i="91"/>
  <c r="M30" i="175" s="1"/>
  <c r="G10" i="91"/>
  <c r="M31" i="175" s="1"/>
  <c r="G11" i="91"/>
  <c r="M32" i="175" s="1"/>
  <c r="G12" i="91"/>
  <c r="M33" i="175" s="1"/>
  <c r="G13" i="91"/>
  <c r="M34" i="175" s="1"/>
  <c r="G14" i="91"/>
  <c r="M35" i="175" s="1"/>
  <c r="G15" i="91"/>
  <c r="M36" i="175" s="1"/>
  <c r="G16" i="91"/>
  <c r="M37" i="175" s="1"/>
  <c r="G17" i="91"/>
  <c r="M38" i="175" s="1"/>
  <c r="G18" i="91"/>
  <c r="M39" i="175" s="1"/>
  <c r="G19" i="91"/>
  <c r="M40" i="175" s="1"/>
  <c r="G20" i="91"/>
  <c r="M41" i="175" s="1"/>
  <c r="G5" i="91"/>
  <c r="M26" i="175" s="1"/>
  <c r="F6" i="91"/>
  <c r="L27" i="175" s="1"/>
  <c r="F7" i="91"/>
  <c r="L28" i="175" s="1"/>
  <c r="F8" i="91"/>
  <c r="L29" i="175" s="1"/>
  <c r="F9" i="91"/>
  <c r="L30" i="175" s="1"/>
  <c r="F10" i="91"/>
  <c r="L31" i="175" s="1"/>
  <c r="F11" i="91"/>
  <c r="L32" i="175" s="1"/>
  <c r="F12" i="91"/>
  <c r="L33" i="175" s="1"/>
  <c r="F13" i="91"/>
  <c r="L34" i="175" s="1"/>
  <c r="F14" i="91"/>
  <c r="L35" i="175" s="1"/>
  <c r="F15" i="91"/>
  <c r="L36" i="175" s="1"/>
  <c r="F16" i="91"/>
  <c r="L37" i="175" s="1"/>
  <c r="F17" i="91"/>
  <c r="L38" i="175" s="1"/>
  <c r="F18" i="91"/>
  <c r="L39" i="175" s="1"/>
  <c r="F19" i="91"/>
  <c r="L40" i="175" s="1"/>
  <c r="F20" i="91"/>
  <c r="L41" i="175" s="1"/>
  <c r="C25" i="175" s="1"/>
  <c r="F5" i="91"/>
  <c r="L26" i="175" s="1"/>
  <c r="B6" i="91"/>
  <c r="K27" i="175" s="1"/>
  <c r="B7" i="91"/>
  <c r="K28" i="175" s="1"/>
  <c r="B8" i="91"/>
  <c r="K29" i="175" s="1"/>
  <c r="B9" i="91"/>
  <c r="K30" i="175" s="1"/>
  <c r="B10" i="91"/>
  <c r="K31" i="175" s="1"/>
  <c r="B11" i="91"/>
  <c r="K32" i="175" s="1"/>
  <c r="B12" i="91"/>
  <c r="K33" i="175" s="1"/>
  <c r="B13" i="91"/>
  <c r="K34" i="175" s="1"/>
  <c r="B14" i="91"/>
  <c r="K35" i="175" s="1"/>
  <c r="B15" i="91"/>
  <c r="K36" i="175" s="1"/>
  <c r="B16" i="91"/>
  <c r="K37" i="175" s="1"/>
  <c r="B17" i="91"/>
  <c r="K38" i="175" s="1"/>
  <c r="B18" i="91"/>
  <c r="K39" i="175" s="1"/>
  <c r="B19" i="91"/>
  <c r="K40" i="175" s="1"/>
  <c r="B24" i="175" s="1"/>
  <c r="B20" i="91"/>
  <c r="K41" i="175" s="1"/>
  <c r="B25" i="175" s="1"/>
  <c r="B5" i="91"/>
  <c r="K26" i="175" s="1"/>
  <c r="D35" i="81"/>
  <c r="D36" i="81"/>
  <c r="D37" i="81"/>
  <c r="D38" i="81"/>
  <c r="D39" i="81"/>
  <c r="D40" i="81"/>
  <c r="D34" i="81"/>
  <c r="D33" i="81"/>
  <c r="D32" i="81"/>
  <c r="D31" i="81"/>
  <c r="D29" i="81"/>
  <c r="D30" i="81"/>
  <c r="D28" i="81"/>
  <c r="D14" i="81"/>
  <c r="D15" i="81"/>
  <c r="D16" i="81"/>
  <c r="D17" i="81"/>
  <c r="D18" i="81"/>
  <c r="D19" i="81"/>
  <c r="D20" i="81"/>
  <c r="D12" i="81"/>
  <c r="D13" i="81"/>
  <c r="D11" i="81"/>
  <c r="D10" i="81"/>
  <c r="D9" i="81"/>
  <c r="D8" i="81"/>
  <c r="D7" i="81"/>
  <c r="B19" i="80"/>
  <c r="B18" i="80"/>
  <c r="B17" i="80"/>
  <c r="B16" i="80"/>
  <c r="B8" i="80"/>
  <c r="F5" i="79"/>
  <c r="B6" i="79"/>
  <c r="B7" i="79"/>
  <c r="B8" i="79"/>
  <c r="B9" i="79"/>
  <c r="B10" i="79"/>
  <c r="B5" i="79"/>
  <c r="B21" i="80" l="1"/>
  <c r="C23" i="175"/>
  <c r="B21" i="175"/>
  <c r="C21" i="175"/>
  <c r="C24" i="175"/>
  <c r="C22" i="175"/>
  <c r="B23" i="175"/>
  <c r="B22" i="175"/>
  <c r="D43" i="81"/>
  <c r="D22" i="81"/>
  <c r="B25" i="82"/>
  <c r="N6" i="158" s="1"/>
  <c r="P49" i="152"/>
  <c r="P55" i="152"/>
  <c r="P51" i="152"/>
  <c r="P47" i="152"/>
  <c r="P50" i="152"/>
  <c r="P54" i="152"/>
  <c r="P57" i="152"/>
  <c r="P53" i="152"/>
  <c r="P48" i="152"/>
  <c r="P56" i="152"/>
  <c r="P52" i="152"/>
  <c r="O57" i="152"/>
  <c r="O53" i="152"/>
  <c r="O47" i="152"/>
  <c r="O48" i="152"/>
  <c r="O56" i="152"/>
  <c r="O52" i="152"/>
  <c r="O50" i="152"/>
  <c r="O55" i="152"/>
  <c r="O51" i="152"/>
  <c r="O49" i="152"/>
  <c r="O54" i="152"/>
  <c r="B26" i="82"/>
  <c r="N7" i="158" s="1"/>
  <c r="B22" i="82"/>
  <c r="C6" i="82" s="1"/>
  <c r="B24" i="82"/>
  <c r="N5" i="158" s="1"/>
  <c r="B23" i="82"/>
  <c r="N4" i="158" s="1"/>
  <c r="N20" i="158" s="1"/>
  <c r="D27" i="81"/>
  <c r="P46" i="152" s="1"/>
  <c r="D6" i="81"/>
  <c r="O46" i="152" s="1"/>
  <c r="I12" i="100"/>
  <c r="I11" i="100"/>
  <c r="I10" i="100"/>
  <c r="I9" i="100"/>
  <c r="I8" i="100"/>
  <c r="M110" i="175" s="1"/>
  <c r="I7" i="100"/>
  <c r="M109" i="175" s="1"/>
  <c r="I6" i="100"/>
  <c r="M108" i="175" s="1"/>
  <c r="H13" i="100"/>
  <c r="H14" i="100"/>
  <c r="H15" i="100"/>
  <c r="H16" i="100"/>
  <c r="H17" i="100"/>
  <c r="H18" i="100"/>
  <c r="H19" i="100"/>
  <c r="H12" i="100"/>
  <c r="H11" i="100"/>
  <c r="H10" i="100"/>
  <c r="H9" i="100"/>
  <c r="H8" i="100"/>
  <c r="L110" i="175" s="1"/>
  <c r="H7" i="100"/>
  <c r="L109" i="175" s="1"/>
  <c r="H6" i="100"/>
  <c r="L108" i="175" s="1"/>
  <c r="C6" i="100"/>
  <c r="K108" i="175" s="1"/>
  <c r="G58" i="175" s="1"/>
  <c r="C13" i="100"/>
  <c r="K115" i="175" s="1"/>
  <c r="G65" i="175" s="1"/>
  <c r="C14" i="100"/>
  <c r="K116" i="175" s="1"/>
  <c r="G66" i="175" s="1"/>
  <c r="C15" i="100"/>
  <c r="K117" i="175" s="1"/>
  <c r="G67" i="175" s="1"/>
  <c r="C16" i="100"/>
  <c r="K118" i="175" s="1"/>
  <c r="G68" i="175" s="1"/>
  <c r="C17" i="100"/>
  <c r="K119" i="175" s="1"/>
  <c r="G69" i="175" s="1"/>
  <c r="C18" i="100"/>
  <c r="K120" i="175" s="1"/>
  <c r="G70" i="175" s="1"/>
  <c r="C19" i="100"/>
  <c r="K121" i="175" s="1"/>
  <c r="G71" i="175" s="1"/>
  <c r="C12" i="100"/>
  <c r="K114" i="175" s="1"/>
  <c r="G64" i="175" s="1"/>
  <c r="C11" i="100"/>
  <c r="K113" i="175" s="1"/>
  <c r="G63" i="175" s="1"/>
  <c r="C10" i="100"/>
  <c r="K112" i="175" s="1"/>
  <c r="G62" i="175" s="1"/>
  <c r="C9" i="100"/>
  <c r="K111" i="175" s="1"/>
  <c r="G61" i="175" s="1"/>
  <c r="C8" i="100"/>
  <c r="K110" i="175" s="1"/>
  <c r="G60" i="175" s="1"/>
  <c r="C7" i="100"/>
  <c r="K109" i="175" s="1"/>
  <c r="G59" i="175" s="1"/>
  <c r="C18" i="99"/>
  <c r="C19" i="99"/>
  <c r="C17" i="99"/>
  <c r="C16" i="99"/>
  <c r="B19" i="99"/>
  <c r="B18" i="99"/>
  <c r="B17" i="99"/>
  <c r="B16" i="99"/>
  <c r="B16" i="89"/>
  <c r="B5" i="99"/>
  <c r="B8" i="99"/>
  <c r="B7" i="99"/>
  <c r="B6" i="99"/>
  <c r="G16" i="98"/>
  <c r="M78" i="175" s="1"/>
  <c r="G6" i="98"/>
  <c r="M68" i="175" s="1"/>
  <c r="G7" i="98"/>
  <c r="M69" i="175" s="1"/>
  <c r="G8" i="98"/>
  <c r="M70" i="175" s="1"/>
  <c r="G9" i="98"/>
  <c r="M71" i="175" s="1"/>
  <c r="G10" i="98"/>
  <c r="M72" i="175" s="1"/>
  <c r="G11" i="98"/>
  <c r="M73" i="175" s="1"/>
  <c r="G12" i="98"/>
  <c r="M74" i="175" s="1"/>
  <c r="G13" i="98"/>
  <c r="M75" i="175" s="1"/>
  <c r="G5" i="98"/>
  <c r="M67" i="175" s="1"/>
  <c r="F6" i="98"/>
  <c r="L68" i="175" s="1"/>
  <c r="F7" i="98"/>
  <c r="L69" i="175" s="1"/>
  <c r="C44" i="175" s="1"/>
  <c r="F8" i="98"/>
  <c r="L70" i="175" s="1"/>
  <c r="F9" i="98"/>
  <c r="L71" i="175" s="1"/>
  <c r="F10" i="98"/>
  <c r="L72" i="175" s="1"/>
  <c r="F11" i="98"/>
  <c r="L73" i="175" s="1"/>
  <c r="F12" i="98"/>
  <c r="L74" i="175" s="1"/>
  <c r="F13" i="98"/>
  <c r="L75" i="175" s="1"/>
  <c r="F5" i="98"/>
  <c r="L67" i="175" s="1"/>
  <c r="B6" i="98"/>
  <c r="K68" i="175" s="1"/>
  <c r="B43" i="175" s="1"/>
  <c r="B7" i="98"/>
  <c r="K69" i="175" s="1"/>
  <c r="B44" i="175" s="1"/>
  <c r="B8" i="98"/>
  <c r="K70" i="175" s="1"/>
  <c r="B45" i="175" s="1"/>
  <c r="B9" i="98"/>
  <c r="K71" i="175" s="1"/>
  <c r="B46" i="175" s="1"/>
  <c r="B10" i="98"/>
  <c r="K72" i="175" s="1"/>
  <c r="B47" i="175" s="1"/>
  <c r="B11" i="98"/>
  <c r="K73" i="175" s="1"/>
  <c r="B48" i="175" s="1"/>
  <c r="B12" i="98"/>
  <c r="K74" i="175" s="1"/>
  <c r="B49" i="175" s="1"/>
  <c r="B13" i="98"/>
  <c r="K75" i="175" s="1"/>
  <c r="B50" i="175" s="1"/>
  <c r="B5" i="98"/>
  <c r="K67" i="175" s="1"/>
  <c r="B42" i="175" s="1"/>
  <c r="B5" i="88"/>
  <c r="G6" i="88"/>
  <c r="M4" i="175" s="1"/>
  <c r="G7" i="88"/>
  <c r="M5" i="175" s="1"/>
  <c r="G8" i="88"/>
  <c r="M6" i="175" s="1"/>
  <c r="G9" i="88"/>
  <c r="M7" i="175" s="1"/>
  <c r="G10" i="88"/>
  <c r="M8" i="175" s="1"/>
  <c r="G11" i="88"/>
  <c r="M9" i="175" s="1"/>
  <c r="G12" i="88"/>
  <c r="M10" i="175" s="1"/>
  <c r="G13" i="88"/>
  <c r="M11" i="175" s="1"/>
  <c r="G5" i="88"/>
  <c r="F6" i="88"/>
  <c r="L4" i="175" s="1"/>
  <c r="F7" i="88"/>
  <c r="L5" i="175" s="1"/>
  <c r="F8" i="88"/>
  <c r="L6" i="175" s="1"/>
  <c r="C7" i="175" s="1"/>
  <c r="F9" i="88"/>
  <c r="L7" i="175" s="1"/>
  <c r="F10" i="88"/>
  <c r="L8" i="175" s="1"/>
  <c r="F11" i="88"/>
  <c r="L9" i="175" s="1"/>
  <c r="C10" i="175" s="1"/>
  <c r="F12" i="88"/>
  <c r="L10" i="175" s="1"/>
  <c r="F13" i="88"/>
  <c r="L11" i="175" s="1"/>
  <c r="F5" i="88"/>
  <c r="B6" i="88"/>
  <c r="K4" i="175" s="1"/>
  <c r="B5" i="175" s="1"/>
  <c r="B7" i="88"/>
  <c r="K5" i="175" s="1"/>
  <c r="B6" i="175" s="1"/>
  <c r="B8" i="88"/>
  <c r="K6" i="175" s="1"/>
  <c r="B7" i="175" s="1"/>
  <c r="B9" i="88"/>
  <c r="K7" i="175" s="1"/>
  <c r="B8" i="175" s="1"/>
  <c r="B10" i="88"/>
  <c r="K8" i="175" s="1"/>
  <c r="B9" i="175" s="1"/>
  <c r="B11" i="88"/>
  <c r="K9" i="175" s="1"/>
  <c r="B10" i="175" s="1"/>
  <c r="B12" i="88"/>
  <c r="K10" i="175" s="1"/>
  <c r="B11" i="175" s="1"/>
  <c r="B13" i="88"/>
  <c r="K11" i="175" s="1"/>
  <c r="B12" i="175" s="1"/>
  <c r="I13" i="90"/>
  <c r="I14" i="90"/>
  <c r="I15" i="90"/>
  <c r="I16" i="90"/>
  <c r="I17" i="90"/>
  <c r="I18" i="90"/>
  <c r="I19" i="90"/>
  <c r="I12" i="90"/>
  <c r="I11" i="90"/>
  <c r="I10" i="90"/>
  <c r="I9" i="90"/>
  <c r="I8" i="90"/>
  <c r="M48" i="175" s="1"/>
  <c r="I7" i="90"/>
  <c r="M47" i="175" s="1"/>
  <c r="I6" i="90"/>
  <c r="M46" i="175" s="1"/>
  <c r="H22" i="175" s="1"/>
  <c r="H13" i="90"/>
  <c r="H14" i="90"/>
  <c r="H15" i="90"/>
  <c r="H16" i="90"/>
  <c r="H17" i="90"/>
  <c r="H18" i="90"/>
  <c r="H19" i="90"/>
  <c r="H12" i="90"/>
  <c r="H11" i="90"/>
  <c r="H10" i="90"/>
  <c r="H9" i="90"/>
  <c r="H8" i="90"/>
  <c r="L48" i="175" s="1"/>
  <c r="H7" i="90"/>
  <c r="L47" i="175" s="1"/>
  <c r="C18" i="90"/>
  <c r="K58" i="175" s="1"/>
  <c r="G34" i="175" s="1"/>
  <c r="C17" i="90"/>
  <c r="K57" i="175" s="1"/>
  <c r="G33" i="175" s="1"/>
  <c r="C16" i="90"/>
  <c r="K56" i="175" s="1"/>
  <c r="G32" i="175" s="1"/>
  <c r="C15" i="90"/>
  <c r="K55" i="175" s="1"/>
  <c r="G31" i="175" s="1"/>
  <c r="C14" i="90"/>
  <c r="K54" i="175" s="1"/>
  <c r="G30" i="175" s="1"/>
  <c r="C13" i="90"/>
  <c r="K53" i="175" s="1"/>
  <c r="G29" i="175" s="1"/>
  <c r="C12" i="90"/>
  <c r="K52" i="175" s="1"/>
  <c r="G28" i="175" s="1"/>
  <c r="C11" i="90"/>
  <c r="K51" i="175" s="1"/>
  <c r="G27" i="175" s="1"/>
  <c r="C10" i="90"/>
  <c r="K50" i="175" s="1"/>
  <c r="G26" i="175" s="1"/>
  <c r="C9" i="90"/>
  <c r="K49" i="175" s="1"/>
  <c r="G25" i="175" s="1"/>
  <c r="C8" i="90"/>
  <c r="K48" i="175" s="1"/>
  <c r="G24" i="175" s="1"/>
  <c r="C7" i="90"/>
  <c r="K47" i="175" s="1"/>
  <c r="G23" i="175" s="1"/>
  <c r="C6" i="90"/>
  <c r="K46" i="175" s="1"/>
  <c r="G22" i="175" s="1"/>
  <c r="L3" i="175" l="1"/>
  <c r="F15" i="88"/>
  <c r="M3" i="175"/>
  <c r="G15" i="88"/>
  <c r="K3" i="175"/>
  <c r="B4" i="175" s="1"/>
  <c r="B15" i="88"/>
  <c r="C50" i="175"/>
  <c r="C48" i="175"/>
  <c r="H23" i="175"/>
  <c r="H24" i="175"/>
  <c r="H58" i="175"/>
  <c r="H59" i="175"/>
  <c r="H60" i="175"/>
  <c r="C46" i="175"/>
  <c r="C45" i="175"/>
  <c r="C6" i="175"/>
  <c r="C8" i="175"/>
  <c r="C12" i="175"/>
  <c r="Q6" i="152"/>
  <c r="M49" i="175"/>
  <c r="P31" i="152"/>
  <c r="R31" i="152" s="1"/>
  <c r="L117" i="175"/>
  <c r="H67" i="175" s="1"/>
  <c r="Q11" i="152"/>
  <c r="M54" i="175"/>
  <c r="P30" i="152"/>
  <c r="R30" i="152" s="1"/>
  <c r="L116" i="175"/>
  <c r="H66" i="175" s="1"/>
  <c r="P6" i="152"/>
  <c r="R6" i="152" s="1"/>
  <c r="L49" i="175"/>
  <c r="H25" i="175" s="1"/>
  <c r="Q8" i="152"/>
  <c r="M51" i="175"/>
  <c r="Q10" i="152"/>
  <c r="M53" i="175"/>
  <c r="C49" i="175"/>
  <c r="P27" i="152"/>
  <c r="L113" i="175"/>
  <c r="P29" i="152"/>
  <c r="R29" i="152" s="1"/>
  <c r="L115" i="175"/>
  <c r="H65" i="175" s="1"/>
  <c r="P7" i="152"/>
  <c r="L50" i="175"/>
  <c r="P11" i="152"/>
  <c r="L54" i="175"/>
  <c r="Q9" i="152"/>
  <c r="M52" i="175"/>
  <c r="C4" i="175"/>
  <c r="C5" i="175"/>
  <c r="C47" i="175"/>
  <c r="P28" i="152"/>
  <c r="L114" i="175"/>
  <c r="Q12" i="152"/>
  <c r="M55" i="175"/>
  <c r="P25" i="152"/>
  <c r="L111" i="175"/>
  <c r="P13" i="152"/>
  <c r="L56" i="175"/>
  <c r="P8" i="152"/>
  <c r="R8" i="152" s="1"/>
  <c r="L51" i="175"/>
  <c r="P10" i="152"/>
  <c r="L53" i="175"/>
  <c r="Q16" i="152"/>
  <c r="M59" i="175"/>
  <c r="P35" i="152"/>
  <c r="R35" i="152" s="1"/>
  <c r="L121" i="175"/>
  <c r="H71" i="175" s="1"/>
  <c r="Q27" i="152"/>
  <c r="M113" i="175"/>
  <c r="P12" i="152"/>
  <c r="R12" i="152" s="1"/>
  <c r="L55" i="175"/>
  <c r="P9" i="152"/>
  <c r="L52" i="175"/>
  <c r="Q15" i="152"/>
  <c r="M58" i="175"/>
  <c r="P34" i="152"/>
  <c r="R34" i="152" s="1"/>
  <c r="L120" i="175"/>
  <c r="H70" i="175" s="1"/>
  <c r="Q7" i="152"/>
  <c r="M50" i="175"/>
  <c r="Q28" i="152"/>
  <c r="M114" i="175"/>
  <c r="P16" i="152"/>
  <c r="L59" i="175"/>
  <c r="Q14" i="152"/>
  <c r="M57" i="175"/>
  <c r="C11" i="175"/>
  <c r="P33" i="152"/>
  <c r="R33" i="152" s="1"/>
  <c r="L119" i="175"/>
  <c r="H69" i="175" s="1"/>
  <c r="Q25" i="152"/>
  <c r="R25" i="152" s="1"/>
  <c r="M111" i="175"/>
  <c r="P14" i="152"/>
  <c r="L57" i="175"/>
  <c r="P26" i="152"/>
  <c r="L112" i="175"/>
  <c r="P15" i="152"/>
  <c r="L58" i="175"/>
  <c r="Q13" i="152"/>
  <c r="M56" i="175"/>
  <c r="C9" i="175"/>
  <c r="C42" i="175"/>
  <c r="C43" i="175"/>
  <c r="P32" i="152"/>
  <c r="R32" i="152" s="1"/>
  <c r="L118" i="175"/>
  <c r="H68" i="175" s="1"/>
  <c r="Q26" i="152"/>
  <c r="M112" i="175"/>
  <c r="I21" i="100"/>
  <c r="M123" i="175" s="1"/>
  <c r="C21" i="100"/>
  <c r="K123" i="175" s="1"/>
  <c r="G73" i="175" s="1"/>
  <c r="C21" i="90"/>
  <c r="K61" i="175" s="1"/>
  <c r="G37" i="175" s="1"/>
  <c r="N21" i="158"/>
  <c r="H21" i="100"/>
  <c r="L123" i="175" s="1"/>
  <c r="I21" i="90"/>
  <c r="M61" i="175" s="1"/>
  <c r="H21" i="90"/>
  <c r="L61" i="175" s="1"/>
  <c r="C17" i="82"/>
  <c r="N7" i="153"/>
  <c r="C26" i="82"/>
  <c r="C11" i="82"/>
  <c r="C8" i="82"/>
  <c r="C10" i="82"/>
  <c r="C21" i="82"/>
  <c r="C7" i="82"/>
  <c r="C20" i="82"/>
  <c r="N4" i="153"/>
  <c r="C23" i="82"/>
  <c r="C15" i="82"/>
  <c r="C12" i="82"/>
  <c r="C9" i="82"/>
  <c r="C18" i="82"/>
  <c r="C14" i="82"/>
  <c r="N5" i="153"/>
  <c r="C24" i="82"/>
  <c r="C19" i="82"/>
  <c r="C16" i="82"/>
  <c r="C13" i="82"/>
  <c r="N6" i="153"/>
  <c r="C25" i="82"/>
  <c r="O28" i="152"/>
  <c r="O32" i="152"/>
  <c r="O25" i="152"/>
  <c r="O35" i="152"/>
  <c r="O31" i="152"/>
  <c r="O26" i="152"/>
  <c r="O34" i="152"/>
  <c r="O30" i="152"/>
  <c r="O27" i="152"/>
  <c r="O33" i="152"/>
  <c r="O29" i="152"/>
  <c r="O14" i="152"/>
  <c r="O7" i="152"/>
  <c r="O11" i="152"/>
  <c r="O15" i="152"/>
  <c r="O8" i="152"/>
  <c r="O16" i="152"/>
  <c r="O6" i="152"/>
  <c r="O10" i="152"/>
  <c r="O12" i="152"/>
  <c r="O9" i="152"/>
  <c r="O13" i="152"/>
  <c r="I5" i="100"/>
  <c r="H5" i="100"/>
  <c r="C5" i="100"/>
  <c r="K107" i="175" s="1"/>
  <c r="G57" i="175" s="1"/>
  <c r="C18" i="89"/>
  <c r="C19" i="89"/>
  <c r="B18" i="89"/>
  <c r="B19" i="89"/>
  <c r="B17" i="89"/>
  <c r="C17" i="89"/>
  <c r="C16" i="89"/>
  <c r="B6" i="89"/>
  <c r="B8" i="89"/>
  <c r="B7" i="89"/>
  <c r="R26" i="152" l="1"/>
  <c r="H29" i="175"/>
  <c r="C14" i="88"/>
  <c r="C18" i="88"/>
  <c r="R16" i="152"/>
  <c r="H31" i="175"/>
  <c r="H62" i="175"/>
  <c r="H35" i="175"/>
  <c r="R13" i="152"/>
  <c r="R14" i="152"/>
  <c r="H64" i="175"/>
  <c r="R27" i="152"/>
  <c r="H73" i="175"/>
  <c r="R28" i="152"/>
  <c r="H28" i="175"/>
  <c r="R15" i="152"/>
  <c r="R10" i="152"/>
  <c r="H30" i="175"/>
  <c r="H27" i="175"/>
  <c r="R11" i="152"/>
  <c r="H32" i="175"/>
  <c r="R9" i="152"/>
  <c r="R7" i="152"/>
  <c r="H26" i="175"/>
  <c r="Q24" i="152"/>
  <c r="M107" i="175"/>
  <c r="P24" i="152"/>
  <c r="L107" i="175"/>
  <c r="H61" i="175"/>
  <c r="H33" i="175"/>
  <c r="H37" i="175"/>
  <c r="H34" i="175"/>
  <c r="H63" i="175"/>
  <c r="B10" i="89"/>
  <c r="O24" i="152"/>
  <c r="J15" i="155"/>
  <c r="R24" i="152" l="1"/>
  <c r="H57" i="175"/>
  <c r="F12" i="79"/>
  <c r="B12" i="79"/>
  <c r="F13" i="79" l="1"/>
  <c r="B13" i="79"/>
  <c r="H9" i="98"/>
  <c r="H13" i="98"/>
  <c r="F16" i="98"/>
  <c r="L78" i="175" s="1"/>
  <c r="C53" i="175" s="1"/>
  <c r="H6" i="98"/>
  <c r="H7" i="98"/>
  <c r="H8" i="98"/>
  <c r="H10" i="98"/>
  <c r="H11" i="98"/>
  <c r="H12" i="98"/>
  <c r="H5" i="98"/>
  <c r="B16" i="98"/>
  <c r="K78" i="175" s="1"/>
  <c r="B53" i="175" s="1"/>
  <c r="C5" i="90"/>
  <c r="G17" i="88"/>
  <c r="F17" i="88"/>
  <c r="H7" i="88"/>
  <c r="H6" i="88"/>
  <c r="B17" i="88"/>
  <c r="L15" i="175" l="1"/>
  <c r="H17" i="88"/>
  <c r="F16" i="88"/>
  <c r="K15" i="175"/>
  <c r="B16" i="175" s="1"/>
  <c r="B16" i="88"/>
  <c r="M15" i="175"/>
  <c r="G16" i="88"/>
  <c r="C16" i="175"/>
  <c r="O5" i="152"/>
  <c r="K45" i="175"/>
  <c r="G21" i="175" s="1"/>
  <c r="H11" i="88"/>
  <c r="H5" i="88"/>
  <c r="H10" i="88"/>
  <c r="H13" i="88"/>
  <c r="H9" i="88"/>
  <c r="H12" i="88"/>
  <c r="H8" i="88"/>
  <c r="H15" i="88" l="1"/>
  <c r="H16" i="88"/>
  <c r="I17" i="88"/>
  <c r="A21" i="104"/>
  <c r="A21" i="95"/>
  <c r="I14" i="88" l="1"/>
  <c r="I18" i="88"/>
  <c r="I6" i="88"/>
  <c r="I7" i="88"/>
  <c r="I9" i="88"/>
  <c r="I10" i="88"/>
  <c r="I12" i="88"/>
  <c r="I5" i="88"/>
  <c r="I11" i="88"/>
  <c r="I8" i="88"/>
  <c r="I13" i="88"/>
  <c r="J18" i="90"/>
  <c r="J19" i="90"/>
  <c r="H23" i="104"/>
  <c r="K15" i="155" s="1"/>
  <c r="H24" i="104"/>
  <c r="K16" i="155" s="1"/>
  <c r="H25" i="104"/>
  <c r="K17" i="155" s="1"/>
  <c r="H26" i="104"/>
  <c r="K18" i="155" s="1"/>
  <c r="H27" i="104"/>
  <c r="K19" i="155" s="1"/>
  <c r="H28" i="104"/>
  <c r="K20" i="155" s="1"/>
  <c r="H29" i="104"/>
  <c r="K21" i="155" s="1"/>
  <c r="H30" i="104"/>
  <c r="K22" i="155" s="1"/>
  <c r="H31" i="104"/>
  <c r="K23" i="155" s="1"/>
  <c r="H32" i="104"/>
  <c r="K24" i="155" s="1"/>
  <c r="H33" i="104"/>
  <c r="K25" i="155" s="1"/>
  <c r="H34" i="104"/>
  <c r="K26" i="155" s="1"/>
  <c r="H35" i="104"/>
  <c r="K27" i="155" s="1"/>
  <c r="H36" i="104"/>
  <c r="K28" i="155" s="1"/>
  <c r="H37" i="104"/>
  <c r="K29" i="155" s="1"/>
  <c r="H38" i="104"/>
  <c r="K30" i="155" s="1"/>
  <c r="H39" i="104"/>
  <c r="K31" i="155" s="1"/>
  <c r="G41" i="81" l="1"/>
  <c r="G40" i="81"/>
  <c r="H5" i="90"/>
  <c r="P5" i="152" l="1"/>
  <c r="L45" i="175"/>
  <c r="I5" i="90"/>
  <c r="Q5" i="152" l="1"/>
  <c r="R5" i="152" s="1"/>
  <c r="M45" i="175"/>
  <c r="H21" i="175"/>
  <c r="J5" i="100"/>
  <c r="D20" i="90" l="1"/>
  <c r="K13" i="175"/>
  <c r="B14" i="175" s="1"/>
  <c r="L14" i="175" l="1"/>
  <c r="L13" i="175"/>
  <c r="D10" i="90"/>
  <c r="D18" i="90"/>
  <c r="D19" i="90"/>
  <c r="D13" i="90"/>
  <c r="D8" i="90"/>
  <c r="D16" i="90"/>
  <c r="D17" i="90"/>
  <c r="D7" i="90"/>
  <c r="D6" i="90"/>
  <c r="D11" i="90"/>
  <c r="D9" i="90"/>
  <c r="D15" i="90"/>
  <c r="D14" i="90"/>
  <c r="D12" i="90"/>
  <c r="C17" i="88"/>
  <c r="C12" i="88"/>
  <c r="C7" i="88"/>
  <c r="C8" i="88"/>
  <c r="C10" i="88"/>
  <c r="C5" i="88"/>
  <c r="C11" i="88"/>
  <c r="C6" i="88"/>
  <c r="C13" i="88"/>
  <c r="C9" i="88"/>
  <c r="F15" i="150"/>
  <c r="M5" i="156" s="1"/>
  <c r="G64" i="150"/>
  <c r="G62" i="150"/>
  <c r="G58" i="150"/>
  <c r="G54" i="150"/>
  <c r="F54" i="150"/>
  <c r="M10" i="174" s="1"/>
  <c r="G50" i="150"/>
  <c r="G48" i="150"/>
  <c r="F49" i="150"/>
  <c r="M5" i="174" s="1"/>
  <c r="G45" i="150"/>
  <c r="G40" i="150"/>
  <c r="G38" i="150"/>
  <c r="G33" i="150"/>
  <c r="G30" i="150"/>
  <c r="G29" i="150"/>
  <c r="G26" i="150"/>
  <c r="G22" i="150"/>
  <c r="G21" i="150"/>
  <c r="G18" i="150"/>
  <c r="G17" i="150"/>
  <c r="G15" i="150"/>
  <c r="G14" i="150"/>
  <c r="G11" i="150"/>
  <c r="G5" i="150"/>
  <c r="C16" i="88" l="1"/>
  <c r="K14" i="175"/>
  <c r="B15" i="175" s="1"/>
  <c r="D21" i="90"/>
  <c r="F63" i="150"/>
  <c r="M19" i="174" s="1"/>
  <c r="F58" i="150"/>
  <c r="M14" i="174" s="1"/>
  <c r="F50" i="150"/>
  <c r="M6" i="174" s="1"/>
  <c r="F53" i="150"/>
  <c r="M9" i="174" s="1"/>
  <c r="F59" i="150"/>
  <c r="M15" i="174" s="1"/>
  <c r="F64" i="150"/>
  <c r="M20" i="174" s="1"/>
  <c r="F55" i="150"/>
  <c r="M11" i="174" s="1"/>
  <c r="F61" i="150"/>
  <c r="M17" i="174" s="1"/>
  <c r="F48" i="150"/>
  <c r="M4" i="174" s="1"/>
  <c r="F51" i="150"/>
  <c r="M7" i="174" s="1"/>
  <c r="F56" i="150"/>
  <c r="M12" i="174" s="1"/>
  <c r="F62" i="150"/>
  <c r="M18" i="174" s="1"/>
  <c r="F30" i="150"/>
  <c r="M20" i="156" s="1"/>
  <c r="F14" i="150"/>
  <c r="M4" i="156" s="1"/>
  <c r="G16" i="150"/>
  <c r="G20" i="150"/>
  <c r="G24" i="150"/>
  <c r="G28" i="150"/>
  <c r="G4" i="150"/>
  <c r="G6" i="150"/>
  <c r="F57" i="150"/>
  <c r="M13" i="174" s="1"/>
  <c r="G19" i="150"/>
  <c r="G23" i="150"/>
  <c r="G25" i="150"/>
  <c r="G27" i="150"/>
  <c r="G44" i="150"/>
  <c r="D44" i="150"/>
  <c r="G10" i="150"/>
  <c r="G47" i="150"/>
  <c r="D64" i="150"/>
  <c r="L20" i="174" s="1"/>
  <c r="G61" i="150"/>
  <c r="G57" i="150"/>
  <c r="G55" i="150"/>
  <c r="G53" i="150"/>
  <c r="G49" i="150"/>
  <c r="G60" i="150"/>
  <c r="G56" i="150"/>
  <c r="G52" i="150"/>
  <c r="F52" i="150"/>
  <c r="M8" i="174" s="1"/>
  <c r="F60" i="150"/>
  <c r="M16" i="174" s="1"/>
  <c r="G59" i="150"/>
  <c r="G51" i="150"/>
  <c r="E41" i="150"/>
  <c r="F39" i="150" s="1"/>
  <c r="G39" i="150"/>
  <c r="D50" i="150"/>
  <c r="L6" i="174" s="1"/>
  <c r="D62" i="150"/>
  <c r="L18" i="174" s="1"/>
  <c r="C41" i="150"/>
  <c r="D39" i="150" s="1"/>
  <c r="D49" i="150"/>
  <c r="L5" i="174" s="1"/>
  <c r="D53" i="150"/>
  <c r="L9" i="174" s="1"/>
  <c r="D57" i="150"/>
  <c r="L13" i="174" s="1"/>
  <c r="D61" i="150"/>
  <c r="L17" i="174" s="1"/>
  <c r="D52" i="150"/>
  <c r="L8" i="174" s="1"/>
  <c r="D56" i="150"/>
  <c r="L12" i="174" s="1"/>
  <c r="D60" i="150"/>
  <c r="L16" i="174" s="1"/>
  <c r="D58" i="150"/>
  <c r="L14" i="174" s="1"/>
  <c r="D45" i="150"/>
  <c r="D51" i="150"/>
  <c r="L7" i="174" s="1"/>
  <c r="D55" i="150"/>
  <c r="L11" i="174" s="1"/>
  <c r="D59" i="150"/>
  <c r="L15" i="174" s="1"/>
  <c r="D63" i="150"/>
  <c r="L19" i="174" s="1"/>
  <c r="F10" i="150"/>
  <c r="F11" i="150"/>
  <c r="F16" i="150"/>
  <c r="M6" i="156" s="1"/>
  <c r="F17" i="150"/>
  <c r="M7" i="156" s="1"/>
  <c r="F18" i="150"/>
  <c r="M8" i="156" s="1"/>
  <c r="F19" i="150"/>
  <c r="M9" i="156" s="1"/>
  <c r="F20" i="150"/>
  <c r="M10" i="156" s="1"/>
  <c r="F21" i="150"/>
  <c r="M11" i="156" s="1"/>
  <c r="F23" i="150"/>
  <c r="M13" i="156" s="1"/>
  <c r="F25" i="150"/>
  <c r="M15" i="156" s="1"/>
  <c r="F27" i="150"/>
  <c r="M17" i="156" s="1"/>
  <c r="F29" i="150"/>
  <c r="M19" i="156" s="1"/>
  <c r="C7" i="150"/>
  <c r="F44" i="150"/>
  <c r="F22" i="150"/>
  <c r="M12" i="156" s="1"/>
  <c r="F24" i="150"/>
  <c r="M14" i="156" s="1"/>
  <c r="F26" i="150"/>
  <c r="M16" i="156" s="1"/>
  <c r="F28" i="150"/>
  <c r="M18" i="156" s="1"/>
  <c r="F45" i="150"/>
  <c r="E7" i="150"/>
  <c r="F4" i="150" s="1"/>
  <c r="D11" i="150"/>
  <c r="D28" i="150"/>
  <c r="L18" i="156" s="1"/>
  <c r="D40" i="150" l="1"/>
  <c r="G63" i="150"/>
  <c r="D48" i="150"/>
  <c r="L4" i="174" s="1"/>
  <c r="D54" i="150"/>
  <c r="L10" i="174" s="1"/>
  <c r="D26" i="150"/>
  <c r="L16" i="156" s="1"/>
  <c r="D16" i="150"/>
  <c r="L6" i="156" s="1"/>
  <c r="D29" i="150"/>
  <c r="L19" i="156" s="1"/>
  <c r="D15" i="150"/>
  <c r="L5" i="156" s="1"/>
  <c r="D10" i="150"/>
  <c r="D24" i="150"/>
  <c r="L14" i="156" s="1"/>
  <c r="D14" i="150"/>
  <c r="L4" i="156" s="1"/>
  <c r="L11" i="156"/>
  <c r="D22" i="150"/>
  <c r="L12" i="156" s="1"/>
  <c r="D20" i="150"/>
  <c r="L10" i="156" s="1"/>
  <c r="D17" i="150"/>
  <c r="L7" i="156" s="1"/>
  <c r="D18" i="150"/>
  <c r="L8" i="156" s="1"/>
  <c r="D30" i="150"/>
  <c r="L20" i="156" s="1"/>
  <c r="D5" i="150"/>
  <c r="G7" i="150"/>
  <c r="D27" i="150"/>
  <c r="L17" i="156" s="1"/>
  <c r="D25" i="150"/>
  <c r="L15" i="156" s="1"/>
  <c r="D23" i="150"/>
  <c r="L13" i="156" s="1"/>
  <c r="D19" i="150"/>
  <c r="L9" i="156" s="1"/>
  <c r="D38" i="150"/>
  <c r="F40" i="150"/>
  <c r="G41" i="150"/>
  <c r="F38" i="150"/>
  <c r="D4" i="150"/>
  <c r="D6" i="150"/>
  <c r="F5" i="150"/>
  <c r="F6" i="150"/>
  <c r="D41" i="150" l="1"/>
  <c r="F41" i="150"/>
  <c r="F7" i="150"/>
  <c r="D7" i="150"/>
  <c r="C29" i="120" l="1"/>
  <c r="E29" i="120"/>
  <c r="G29" i="120"/>
  <c r="I29" i="120"/>
  <c r="H15" i="120" l="1"/>
  <c r="H14" i="120"/>
  <c r="H30" i="120"/>
  <c r="H31" i="120"/>
  <c r="J31" i="120"/>
  <c r="J30" i="120"/>
  <c r="F30" i="120"/>
  <c r="F31" i="120"/>
  <c r="D15" i="120"/>
  <c r="D14" i="120"/>
  <c r="D31" i="120"/>
  <c r="D30" i="120"/>
  <c r="F14" i="120"/>
  <c r="F15" i="120"/>
  <c r="J15" i="120"/>
  <c r="J14" i="120"/>
  <c r="H25" i="120"/>
  <c r="H27" i="120"/>
  <c r="H21" i="120"/>
  <c r="H23" i="120"/>
  <c r="H28" i="120"/>
  <c r="H20" i="120"/>
  <c r="H22" i="120"/>
  <c r="H26" i="120"/>
  <c r="H24" i="120"/>
  <c r="F20" i="120"/>
  <c r="F28" i="120"/>
  <c r="F22" i="120"/>
  <c r="F24" i="120"/>
  <c r="F26" i="120"/>
  <c r="F25" i="120"/>
  <c r="F23" i="120"/>
  <c r="F21" i="120"/>
  <c r="F27" i="120"/>
  <c r="J22" i="120"/>
  <c r="J24" i="120"/>
  <c r="J26" i="120"/>
  <c r="J20" i="120"/>
  <c r="J28" i="120"/>
  <c r="J25" i="120"/>
  <c r="J21" i="120"/>
  <c r="J27" i="120"/>
  <c r="J23" i="120"/>
  <c r="D21" i="120"/>
  <c r="D23" i="120"/>
  <c r="D25" i="120"/>
  <c r="D27" i="120"/>
  <c r="D26" i="120"/>
  <c r="D22" i="120"/>
  <c r="D20" i="120"/>
  <c r="D28" i="120"/>
  <c r="D24" i="120"/>
  <c r="F8" i="120"/>
  <c r="F12" i="120"/>
  <c r="F4" i="120"/>
  <c r="F6" i="120"/>
  <c r="F10" i="120"/>
  <c r="F11" i="120"/>
  <c r="F9" i="120"/>
  <c r="F5" i="120"/>
  <c r="F7" i="120"/>
  <c r="J4" i="120"/>
  <c r="J6" i="120"/>
  <c r="J10" i="120"/>
  <c r="J8" i="120"/>
  <c r="J12" i="120"/>
  <c r="J7" i="120"/>
  <c r="J11" i="120"/>
  <c r="J9" i="120"/>
  <c r="J5" i="120"/>
  <c r="D9" i="120"/>
  <c r="D5" i="120"/>
  <c r="D7" i="120"/>
  <c r="D11" i="120"/>
  <c r="D8" i="120"/>
  <c r="D12" i="120"/>
  <c r="D6" i="120"/>
  <c r="D10" i="120"/>
  <c r="D4" i="120"/>
  <c r="H5" i="120"/>
  <c r="H7" i="120"/>
  <c r="H11" i="120"/>
  <c r="H9" i="120"/>
  <c r="H8" i="120"/>
  <c r="H4" i="120"/>
  <c r="H6" i="120"/>
  <c r="H12" i="120"/>
  <c r="H10" i="120"/>
  <c r="K45" i="113"/>
  <c r="K11" i="114"/>
  <c r="K22" i="113"/>
  <c r="K39" i="113"/>
  <c r="K38" i="113"/>
  <c r="K21" i="113"/>
  <c r="K41" i="114"/>
  <c r="K6" i="114"/>
  <c r="K5" i="114"/>
  <c r="K40" i="113"/>
  <c r="K25" i="113"/>
  <c r="K49" i="114"/>
  <c r="K40" i="114"/>
  <c r="K26" i="113"/>
  <c r="K17" i="113"/>
  <c r="K14" i="113"/>
  <c r="K4" i="113"/>
  <c r="K46" i="114"/>
  <c r="K12" i="114"/>
  <c r="K29" i="113"/>
  <c r="K18" i="113"/>
  <c r="K6" i="113"/>
  <c r="K7" i="114"/>
  <c r="K15" i="113"/>
  <c r="K44" i="113"/>
  <c r="K28" i="113"/>
  <c r="K24" i="113"/>
  <c r="K20" i="113"/>
  <c r="K16" i="113"/>
  <c r="K27" i="113"/>
  <c r="K23" i="113"/>
  <c r="K19" i="113"/>
  <c r="K10" i="113"/>
  <c r="K45" i="114"/>
  <c r="K11" i="113"/>
  <c r="K5" i="113"/>
  <c r="K29" i="120"/>
  <c r="L15" i="120" l="1"/>
  <c r="L14" i="120"/>
  <c r="L31" i="120"/>
  <c r="L30" i="120"/>
  <c r="L24" i="120"/>
  <c r="L20" i="120"/>
  <c r="L22" i="120"/>
  <c r="L21" i="120"/>
  <c r="L25" i="120"/>
  <c r="L23" i="120"/>
  <c r="L26" i="120"/>
  <c r="L27" i="120"/>
  <c r="L28" i="120"/>
  <c r="L6" i="120"/>
  <c r="L4" i="120"/>
  <c r="L5" i="120"/>
  <c r="L7" i="120"/>
  <c r="L11" i="120"/>
  <c r="L10" i="120"/>
  <c r="L9" i="120"/>
  <c r="L8" i="120"/>
  <c r="L12" i="120"/>
  <c r="J29" i="120"/>
  <c r="J13" i="120"/>
  <c r="H13" i="120"/>
  <c r="F29" i="120"/>
  <c r="D13" i="120"/>
  <c r="D29" i="120"/>
  <c r="H29" i="120"/>
  <c r="F13" i="120"/>
  <c r="K7" i="113"/>
  <c r="K8" i="114"/>
  <c r="K41" i="113"/>
  <c r="L29" i="120" l="1"/>
  <c r="L13" i="120"/>
  <c r="D7" i="85" l="1"/>
  <c r="D6" i="85"/>
  <c r="D5" i="85"/>
  <c r="H8" i="85" l="1"/>
  <c r="B8" i="85"/>
  <c r="D8" i="85"/>
  <c r="E5" i="85" s="1"/>
  <c r="G8" i="104"/>
  <c r="F8" i="104"/>
  <c r="B8" i="104"/>
  <c r="H7" i="104"/>
  <c r="H6" i="104"/>
  <c r="H5" i="104"/>
  <c r="E7" i="85" l="1"/>
  <c r="I7" i="85"/>
  <c r="I5" i="85"/>
  <c r="I6" i="85"/>
  <c r="C5" i="85"/>
  <c r="C7" i="85"/>
  <c r="C6" i="85"/>
  <c r="K3" i="155"/>
  <c r="K5" i="155"/>
  <c r="R10" i="155" s="1"/>
  <c r="K4" i="155"/>
  <c r="R9" i="155" s="1"/>
  <c r="C6" i="104"/>
  <c r="C7" i="104"/>
  <c r="C5" i="104"/>
  <c r="E6" i="85"/>
  <c r="H8" i="104"/>
  <c r="I7" i="104" s="1"/>
  <c r="G8" i="95"/>
  <c r="F8" i="95"/>
  <c r="B8" i="95"/>
  <c r="H7" i="95"/>
  <c r="H6" i="95"/>
  <c r="H5" i="95"/>
  <c r="I6" i="104" l="1"/>
  <c r="L4" i="155" s="1"/>
  <c r="I5" i="104"/>
  <c r="L3" i="155" s="1"/>
  <c r="J6" i="85"/>
  <c r="J7" i="85"/>
  <c r="I6" i="155"/>
  <c r="C5" i="95"/>
  <c r="J3" i="155" s="1"/>
  <c r="C7" i="95"/>
  <c r="J5" i="155" s="1"/>
  <c r="C6" i="95"/>
  <c r="J4" i="155" s="1"/>
  <c r="K6" i="155"/>
  <c r="J5" i="85"/>
  <c r="L5" i="155"/>
  <c r="H8" i="95"/>
  <c r="I5" i="95" s="1"/>
  <c r="I6" i="95" l="1"/>
  <c r="I7" i="95"/>
  <c r="J8" i="85"/>
  <c r="K5" i="85" s="1"/>
  <c r="K6" i="85" l="1"/>
  <c r="K7" i="85"/>
  <c r="E21" i="81" l="1"/>
  <c r="E42" i="81"/>
  <c r="E11" i="81"/>
  <c r="E15" i="81"/>
  <c r="E9" i="81"/>
  <c r="E17" i="81"/>
  <c r="E20" i="81"/>
  <c r="E10" i="81"/>
  <c r="E8" i="81"/>
  <c r="E18" i="81"/>
  <c r="E7" i="81"/>
  <c r="E19" i="81"/>
  <c r="E12" i="81"/>
  <c r="E16" i="81"/>
  <c r="E13" i="81"/>
  <c r="E14" i="81"/>
  <c r="B10" i="80"/>
  <c r="C5" i="80" l="1"/>
  <c r="C9" i="80"/>
  <c r="C6" i="80"/>
  <c r="C8" i="80"/>
  <c r="C7" i="80"/>
  <c r="C20" i="80"/>
  <c r="C19" i="80"/>
  <c r="C16" i="80"/>
  <c r="C17" i="80"/>
  <c r="C18" i="80"/>
  <c r="C10" i="80" l="1"/>
  <c r="C21" i="80"/>
  <c r="D26" i="82"/>
  <c r="N12" i="158" s="1"/>
  <c r="D25" i="82"/>
  <c r="N11" i="158" s="1"/>
  <c r="D24" i="82"/>
  <c r="N10" i="158" s="1"/>
  <c r="D23" i="82"/>
  <c r="N9" i="158" s="1"/>
  <c r="N23" i="158" s="1"/>
  <c r="N24" i="158" l="1"/>
  <c r="N11" i="153"/>
  <c r="N12" i="153"/>
  <c r="N10" i="153"/>
  <c r="N9" i="153"/>
  <c r="F11" i="79"/>
  <c r="G9" i="79" l="1"/>
  <c r="G13" i="79"/>
  <c r="G8" i="79"/>
  <c r="G7" i="79"/>
  <c r="G10" i="79"/>
  <c r="G6" i="79"/>
  <c r="G5" i="79"/>
  <c r="G12" i="79"/>
  <c r="H15" i="85"/>
  <c r="B15" i="85"/>
  <c r="D37" i="85"/>
  <c r="D36" i="85"/>
  <c r="D35" i="85"/>
  <c r="D34" i="85"/>
  <c r="D33" i="85"/>
  <c r="D32" i="85"/>
  <c r="D31" i="85"/>
  <c r="D30" i="85"/>
  <c r="D29" i="85"/>
  <c r="D28" i="85"/>
  <c r="D27" i="85"/>
  <c r="D26" i="85"/>
  <c r="D25" i="85"/>
  <c r="D24" i="85"/>
  <c r="D23" i="85"/>
  <c r="D22" i="85"/>
  <c r="D21" i="85"/>
  <c r="D14" i="85"/>
  <c r="D13" i="85"/>
  <c r="B23" i="84"/>
  <c r="E22" i="84"/>
  <c r="E21" i="84"/>
  <c r="E20" i="84"/>
  <c r="E19" i="84"/>
  <c r="E18" i="84"/>
  <c r="E17" i="84"/>
  <c r="E11" i="84"/>
  <c r="E10" i="84"/>
  <c r="E9" i="84"/>
  <c r="E8" i="84"/>
  <c r="E7" i="84"/>
  <c r="E6" i="84"/>
  <c r="B12" i="84"/>
  <c r="D22" i="82"/>
  <c r="G21" i="82"/>
  <c r="G20" i="82"/>
  <c r="G19" i="82"/>
  <c r="G18" i="82"/>
  <c r="G17" i="82"/>
  <c r="G16" i="82"/>
  <c r="G15" i="82"/>
  <c r="G14" i="82"/>
  <c r="G13" i="82"/>
  <c r="G12" i="82"/>
  <c r="G11" i="82"/>
  <c r="G10" i="82"/>
  <c r="G9" i="82"/>
  <c r="G8" i="82"/>
  <c r="G7" i="82"/>
  <c r="G6" i="82"/>
  <c r="G20" i="81"/>
  <c r="G19" i="81"/>
  <c r="G18" i="81"/>
  <c r="G17" i="81"/>
  <c r="G16" i="81"/>
  <c r="G15" i="81"/>
  <c r="G14" i="81"/>
  <c r="G13" i="81"/>
  <c r="G12" i="81"/>
  <c r="G11" i="81"/>
  <c r="G10" i="81"/>
  <c r="G9" i="81"/>
  <c r="G8" i="81"/>
  <c r="G7" i="81"/>
  <c r="B11" i="79"/>
  <c r="G22" i="81" l="1"/>
  <c r="E40" i="85"/>
  <c r="E38" i="85"/>
  <c r="E39" i="85"/>
  <c r="I13" i="85"/>
  <c r="I14" i="85"/>
  <c r="C13" i="85"/>
  <c r="C14" i="85"/>
  <c r="C19" i="84"/>
  <c r="C21" i="84"/>
  <c r="C22" i="84"/>
  <c r="C18" i="84"/>
  <c r="C17" i="84"/>
  <c r="C20" i="84"/>
  <c r="C10" i="84"/>
  <c r="C6" i="84"/>
  <c r="C11" i="84"/>
  <c r="C9" i="84"/>
  <c r="C8" i="84"/>
  <c r="C7" i="84"/>
  <c r="E34" i="85"/>
  <c r="E30" i="85"/>
  <c r="E26" i="85"/>
  <c r="E22" i="85"/>
  <c r="E36" i="85"/>
  <c r="E28" i="85"/>
  <c r="E35" i="85"/>
  <c r="E23" i="85"/>
  <c r="E37" i="85"/>
  <c r="E33" i="85"/>
  <c r="E29" i="85"/>
  <c r="E25" i="85"/>
  <c r="E21" i="85"/>
  <c r="E32" i="85"/>
  <c r="E24" i="85"/>
  <c r="E31" i="85"/>
  <c r="E27" i="85"/>
  <c r="E10" i="82"/>
  <c r="E9" i="82"/>
  <c r="E16" i="82"/>
  <c r="E19" i="82"/>
  <c r="E20" i="82"/>
  <c r="E21" i="82"/>
  <c r="E6" i="82"/>
  <c r="E12" i="82"/>
  <c r="E15" i="82"/>
  <c r="E18" i="82"/>
  <c r="E17" i="82"/>
  <c r="E14" i="82"/>
  <c r="E8" i="82"/>
  <c r="E11" i="82"/>
  <c r="E13" i="82"/>
  <c r="E7" i="82"/>
  <c r="E25" i="82"/>
  <c r="E24" i="82"/>
  <c r="E26" i="82"/>
  <c r="E23" i="82"/>
  <c r="C5" i="79"/>
  <c r="C9" i="79"/>
  <c r="C7" i="79"/>
  <c r="C8" i="79"/>
  <c r="C10" i="79"/>
  <c r="C6" i="79"/>
  <c r="C12" i="79"/>
  <c r="C13" i="79"/>
  <c r="G26" i="82"/>
  <c r="C8" i="85"/>
  <c r="I8" i="85"/>
  <c r="G23" i="82"/>
  <c r="G24" i="82"/>
  <c r="G25" i="82"/>
  <c r="E23" i="84"/>
  <c r="F18" i="84" s="1"/>
  <c r="G11" i="79"/>
  <c r="D15" i="85"/>
  <c r="E13" i="85" s="1"/>
  <c r="E12" i="84"/>
  <c r="F9" i="84" s="1"/>
  <c r="F22" i="84" l="1"/>
  <c r="F20" i="84"/>
  <c r="F21" i="84"/>
  <c r="F19" i="84"/>
  <c r="F17" i="84"/>
  <c r="E14" i="85"/>
  <c r="F11" i="84"/>
  <c r="F7" i="84"/>
  <c r="F8" i="84"/>
  <c r="F6" i="84"/>
  <c r="F10" i="84"/>
  <c r="E8" i="85"/>
  <c r="E22" i="82"/>
  <c r="C11" i="79"/>
  <c r="G16" i="104" l="1"/>
  <c r="F16" i="104"/>
  <c r="B16" i="104"/>
  <c r="H15" i="104"/>
  <c r="K10" i="155" s="1"/>
  <c r="R12" i="155" s="1"/>
  <c r="H14" i="104"/>
  <c r="B11" i="102"/>
  <c r="P113" i="175" s="1"/>
  <c r="B63" i="175" s="1"/>
  <c r="D20" i="100"/>
  <c r="J19" i="100"/>
  <c r="J18" i="100"/>
  <c r="J17" i="100"/>
  <c r="J16" i="100"/>
  <c r="J15" i="100"/>
  <c r="J14" i="100"/>
  <c r="J13" i="100"/>
  <c r="J12" i="100"/>
  <c r="J11" i="100"/>
  <c r="J10" i="100"/>
  <c r="J9" i="100"/>
  <c r="J8" i="100"/>
  <c r="J7" i="100"/>
  <c r="J6" i="100"/>
  <c r="C21" i="99"/>
  <c r="B21" i="99"/>
  <c r="D20" i="99"/>
  <c r="D19" i="99"/>
  <c r="D18" i="99"/>
  <c r="D17" i="99"/>
  <c r="D16" i="99"/>
  <c r="B10" i="99"/>
  <c r="H16" i="98"/>
  <c r="G14" i="98"/>
  <c r="F14" i="98"/>
  <c r="B14" i="98"/>
  <c r="K76" i="175" s="1"/>
  <c r="B51" i="175" s="1"/>
  <c r="H42" i="95"/>
  <c r="J40" i="85" s="1"/>
  <c r="H39" i="95"/>
  <c r="J37" i="85" s="1"/>
  <c r="J31" i="155"/>
  <c r="H38" i="95"/>
  <c r="J36" i="85" s="1"/>
  <c r="J30" i="155"/>
  <c r="H37" i="95"/>
  <c r="J35" i="85" s="1"/>
  <c r="J29" i="155"/>
  <c r="H36" i="95"/>
  <c r="J34" i="85" s="1"/>
  <c r="J28" i="155"/>
  <c r="H35" i="95"/>
  <c r="J33" i="85" s="1"/>
  <c r="J27" i="155"/>
  <c r="H34" i="95"/>
  <c r="J32" i="85" s="1"/>
  <c r="J26" i="155"/>
  <c r="H33" i="95"/>
  <c r="J31" i="85" s="1"/>
  <c r="J25" i="155"/>
  <c r="H32" i="95"/>
  <c r="J30" i="85" s="1"/>
  <c r="J24" i="155"/>
  <c r="H31" i="95"/>
  <c r="J29" i="85" s="1"/>
  <c r="J23" i="155"/>
  <c r="H30" i="95"/>
  <c r="J28" i="85" s="1"/>
  <c r="J22" i="155"/>
  <c r="H29" i="95"/>
  <c r="J27" i="85" s="1"/>
  <c r="J21" i="155"/>
  <c r="H28" i="95"/>
  <c r="J26" i="85" s="1"/>
  <c r="J20" i="155"/>
  <c r="H27" i="95"/>
  <c r="J25" i="85" s="1"/>
  <c r="J19" i="155"/>
  <c r="H26" i="95"/>
  <c r="J24" i="85" s="1"/>
  <c r="J18" i="155"/>
  <c r="H25" i="95"/>
  <c r="J23" i="85" s="1"/>
  <c r="J17" i="155"/>
  <c r="H24" i="95"/>
  <c r="J22" i="85" s="1"/>
  <c r="J16" i="155"/>
  <c r="J21" i="85"/>
  <c r="G16" i="95"/>
  <c r="B16" i="95"/>
  <c r="H15" i="95"/>
  <c r="H14" i="95"/>
  <c r="I23" i="95" s="1"/>
  <c r="B11" i="93"/>
  <c r="P51" i="175" s="1"/>
  <c r="B36" i="175" s="1"/>
  <c r="G25" i="91"/>
  <c r="F25" i="91"/>
  <c r="B25" i="91"/>
  <c r="O7" i="158" s="1"/>
  <c r="G24" i="91"/>
  <c r="F24" i="91"/>
  <c r="B24" i="91"/>
  <c r="O6" i="158" s="1"/>
  <c r="G23" i="91"/>
  <c r="F23" i="91"/>
  <c r="B23" i="91"/>
  <c r="O5" i="158" s="1"/>
  <c r="G22" i="91"/>
  <c r="F22" i="91"/>
  <c r="B22" i="91"/>
  <c r="O4" i="158" s="1"/>
  <c r="G21" i="91"/>
  <c r="M42" i="175" s="1"/>
  <c r="F21" i="91"/>
  <c r="L42" i="175" s="1"/>
  <c r="B21" i="91"/>
  <c r="K42" i="175" s="1"/>
  <c r="B26" i="175" s="1"/>
  <c r="H20" i="91"/>
  <c r="H19" i="91"/>
  <c r="H18" i="91"/>
  <c r="H17" i="91"/>
  <c r="H16" i="91"/>
  <c r="H15" i="91"/>
  <c r="H14" i="91"/>
  <c r="H13" i="91"/>
  <c r="H12" i="91"/>
  <c r="H11" i="91"/>
  <c r="H10" i="91"/>
  <c r="H9" i="91"/>
  <c r="H8" i="91"/>
  <c r="H7" i="91"/>
  <c r="H6" i="91"/>
  <c r="H5" i="91"/>
  <c r="J17" i="90"/>
  <c r="J16" i="90"/>
  <c r="J15" i="90"/>
  <c r="J14" i="90"/>
  <c r="J13" i="90"/>
  <c r="J12" i="90"/>
  <c r="J11" i="90"/>
  <c r="J10" i="90"/>
  <c r="J9" i="90"/>
  <c r="J8" i="90"/>
  <c r="J7" i="90"/>
  <c r="J6" i="90"/>
  <c r="J5" i="90"/>
  <c r="G6" i="81"/>
  <c r="C21" i="89"/>
  <c r="B21" i="89"/>
  <c r="D20" i="89"/>
  <c r="D19" i="89"/>
  <c r="D18" i="89"/>
  <c r="D17" i="89"/>
  <c r="D16" i="89"/>
  <c r="C26" i="175" l="1"/>
  <c r="M13" i="175"/>
  <c r="C14" i="175" s="1"/>
  <c r="G15" i="98"/>
  <c r="M77" i="175" s="1"/>
  <c r="M76" i="175"/>
  <c r="F15" i="98"/>
  <c r="L77" i="175" s="1"/>
  <c r="L76" i="175"/>
  <c r="M32" i="155"/>
  <c r="M34" i="155"/>
  <c r="M33" i="155"/>
  <c r="J21" i="90"/>
  <c r="I42" i="104"/>
  <c r="L34" i="155" s="1"/>
  <c r="I41" i="104"/>
  <c r="L33" i="155" s="1"/>
  <c r="I40" i="104"/>
  <c r="L32" i="155" s="1"/>
  <c r="J21" i="100"/>
  <c r="K20" i="100" s="1"/>
  <c r="I41" i="95"/>
  <c r="I40" i="95"/>
  <c r="Q6" i="158"/>
  <c r="M6" i="158"/>
  <c r="P6" i="158" s="1"/>
  <c r="M5" i="158"/>
  <c r="Q5" i="158"/>
  <c r="M4" i="158"/>
  <c r="Q4" i="158"/>
  <c r="Q7" i="158"/>
  <c r="M7" i="158"/>
  <c r="P7" i="158" s="1"/>
  <c r="M15" i="155"/>
  <c r="I38" i="104"/>
  <c r="L30" i="155" s="1"/>
  <c r="I34" i="104"/>
  <c r="L26" i="155" s="1"/>
  <c r="I30" i="104"/>
  <c r="L22" i="155" s="1"/>
  <c r="I26" i="104"/>
  <c r="L18" i="155" s="1"/>
  <c r="I35" i="104"/>
  <c r="L27" i="155" s="1"/>
  <c r="I27" i="104"/>
  <c r="L19" i="155" s="1"/>
  <c r="I37" i="104"/>
  <c r="L29" i="155" s="1"/>
  <c r="I33" i="104"/>
  <c r="L25" i="155" s="1"/>
  <c r="I29" i="104"/>
  <c r="L21" i="155" s="1"/>
  <c r="I25" i="104"/>
  <c r="L17" i="155" s="1"/>
  <c r="I31" i="104"/>
  <c r="L23" i="155" s="1"/>
  <c r="I36" i="104"/>
  <c r="L28" i="155" s="1"/>
  <c r="I32" i="104"/>
  <c r="L24" i="155" s="1"/>
  <c r="I28" i="104"/>
  <c r="L20" i="155" s="1"/>
  <c r="I24" i="104"/>
  <c r="L16" i="155" s="1"/>
  <c r="I39" i="104"/>
  <c r="L31" i="155" s="1"/>
  <c r="I23" i="104"/>
  <c r="L15" i="155" s="1"/>
  <c r="C15" i="104"/>
  <c r="C14" i="104"/>
  <c r="C9" i="102"/>
  <c r="Q111" i="175" s="1"/>
  <c r="C61" i="175" s="1"/>
  <c r="C5" i="102"/>
  <c r="Q107" i="175" s="1"/>
  <c r="C57" i="175" s="1"/>
  <c r="C10" i="102"/>
  <c r="Q112" i="175" s="1"/>
  <c r="C62" i="175" s="1"/>
  <c r="C6" i="102"/>
  <c r="Q108" i="175" s="1"/>
  <c r="C58" i="175" s="1"/>
  <c r="C8" i="102"/>
  <c r="Q110" i="175" s="1"/>
  <c r="C60" i="175" s="1"/>
  <c r="C7" i="102"/>
  <c r="Q109" i="175" s="1"/>
  <c r="C59" i="175" s="1"/>
  <c r="E21" i="95"/>
  <c r="I37" i="95"/>
  <c r="I33" i="95"/>
  <c r="I29" i="95"/>
  <c r="I25" i="95"/>
  <c r="I35" i="95"/>
  <c r="I27" i="95"/>
  <c r="I38" i="95"/>
  <c r="I30" i="95"/>
  <c r="I42" i="95"/>
  <c r="I36" i="95"/>
  <c r="I32" i="95"/>
  <c r="I28" i="95"/>
  <c r="I24" i="95"/>
  <c r="I39" i="95"/>
  <c r="I31" i="95"/>
  <c r="I34" i="95"/>
  <c r="I26" i="95"/>
  <c r="J14" i="85"/>
  <c r="I11" i="155"/>
  <c r="C14" i="95"/>
  <c r="J9" i="155" s="1"/>
  <c r="C15" i="95"/>
  <c r="J10" i="155" s="1"/>
  <c r="C9" i="93"/>
  <c r="Q49" i="175" s="1"/>
  <c r="C34" i="175" s="1"/>
  <c r="C5" i="93"/>
  <c r="Q45" i="175" s="1"/>
  <c r="C30" i="175" s="1"/>
  <c r="C7" i="93"/>
  <c r="Q47" i="175" s="1"/>
  <c r="C32" i="175" s="1"/>
  <c r="C6" i="93"/>
  <c r="Q46" i="175" s="1"/>
  <c r="C31" i="175" s="1"/>
  <c r="C8" i="93"/>
  <c r="Q48" i="175" s="1"/>
  <c r="C33" i="175" s="1"/>
  <c r="C10" i="93"/>
  <c r="Q50" i="175" s="1"/>
  <c r="C35" i="175" s="1"/>
  <c r="D8" i="100"/>
  <c r="D16" i="100"/>
  <c r="D11" i="100"/>
  <c r="D13" i="100"/>
  <c r="D6" i="100"/>
  <c r="D19" i="100"/>
  <c r="D10" i="100"/>
  <c r="D14" i="100"/>
  <c r="D9" i="100"/>
  <c r="D18" i="100"/>
  <c r="D12" i="100"/>
  <c r="D7" i="100"/>
  <c r="D17" i="100"/>
  <c r="D15" i="100"/>
  <c r="D5" i="100"/>
  <c r="C8" i="99"/>
  <c r="C7" i="99"/>
  <c r="C9" i="99"/>
  <c r="C6" i="99"/>
  <c r="C5" i="99"/>
  <c r="C16" i="98"/>
  <c r="C11" i="98"/>
  <c r="C10" i="98"/>
  <c r="C9" i="98"/>
  <c r="C7" i="98"/>
  <c r="C6" i="98"/>
  <c r="C8" i="98"/>
  <c r="C12" i="98"/>
  <c r="C5" i="98"/>
  <c r="C13" i="98"/>
  <c r="O4" i="153"/>
  <c r="C22" i="91"/>
  <c r="C5" i="91"/>
  <c r="C19" i="91"/>
  <c r="C14" i="91"/>
  <c r="C13" i="91"/>
  <c r="C11" i="91"/>
  <c r="C12" i="91"/>
  <c r="C8" i="91"/>
  <c r="C7" i="91"/>
  <c r="C9" i="91"/>
  <c r="C15" i="91"/>
  <c r="C10" i="91"/>
  <c r="C20" i="91"/>
  <c r="C16" i="91"/>
  <c r="C6" i="91"/>
  <c r="C18" i="91"/>
  <c r="C17" i="91"/>
  <c r="O7" i="153"/>
  <c r="C25" i="91"/>
  <c r="O6" i="153"/>
  <c r="C24" i="91"/>
  <c r="O5" i="153"/>
  <c r="C23" i="91"/>
  <c r="G31" i="81"/>
  <c r="G32" i="81"/>
  <c r="G27" i="81"/>
  <c r="G39" i="81"/>
  <c r="G28" i="81"/>
  <c r="G36" i="81"/>
  <c r="G29" i="81"/>
  <c r="G33" i="81"/>
  <c r="G37" i="81"/>
  <c r="G35" i="81"/>
  <c r="G30" i="81"/>
  <c r="G34" i="81"/>
  <c r="G38" i="81"/>
  <c r="E21" i="104"/>
  <c r="K9" i="155"/>
  <c r="E3" i="155" s="1"/>
  <c r="M16" i="155"/>
  <c r="D4" i="155"/>
  <c r="D8" i="155"/>
  <c r="D7" i="155"/>
  <c r="D6" i="155"/>
  <c r="D5" i="155"/>
  <c r="M19" i="155"/>
  <c r="M23" i="155"/>
  <c r="M29" i="155"/>
  <c r="M18" i="155"/>
  <c r="M22" i="155"/>
  <c r="M26" i="155"/>
  <c r="M28" i="155"/>
  <c r="M20" i="155"/>
  <c r="M24" i="155"/>
  <c r="M30" i="155"/>
  <c r="M17" i="155"/>
  <c r="M21" i="155"/>
  <c r="M25" i="155"/>
  <c r="M27" i="155"/>
  <c r="M31" i="155"/>
  <c r="D21" i="89"/>
  <c r="E16" i="89" s="1"/>
  <c r="C8" i="104"/>
  <c r="J13" i="85"/>
  <c r="B15" i="98"/>
  <c r="D21" i="99"/>
  <c r="E16" i="99" s="1"/>
  <c r="H25" i="91"/>
  <c r="O12" i="158" s="1"/>
  <c r="H21" i="91"/>
  <c r="I8" i="91" s="1"/>
  <c r="H23" i="91"/>
  <c r="O10" i="158" s="1"/>
  <c r="H16" i="104"/>
  <c r="I14" i="104" s="1"/>
  <c r="H14" i="98"/>
  <c r="H16" i="95"/>
  <c r="I15" i="95" s="1"/>
  <c r="H22" i="91"/>
  <c r="O9" i="158" s="1"/>
  <c r="H24" i="91"/>
  <c r="O11" i="158" s="1"/>
  <c r="H15" i="98" l="1"/>
  <c r="C51" i="175"/>
  <c r="C52" i="175"/>
  <c r="C15" i="98"/>
  <c r="K77" i="175"/>
  <c r="B52" i="175" s="1"/>
  <c r="I16" i="88"/>
  <c r="M14" i="175"/>
  <c r="C15" i="175" s="1"/>
  <c r="G43" i="81"/>
  <c r="N32" i="155"/>
  <c r="D21" i="100"/>
  <c r="N33" i="155"/>
  <c r="K39" i="85"/>
  <c r="K38" i="85"/>
  <c r="N34" i="155"/>
  <c r="N15" i="155"/>
  <c r="K40" i="85"/>
  <c r="K5" i="100"/>
  <c r="M10" i="158"/>
  <c r="Q10" i="158"/>
  <c r="M11" i="158"/>
  <c r="P11" i="158" s="1"/>
  <c r="Q11" i="158"/>
  <c r="M9" i="158"/>
  <c r="Q9" i="158"/>
  <c r="Q12" i="158"/>
  <c r="M12" i="158"/>
  <c r="P12" i="158" s="1"/>
  <c r="P5" i="158"/>
  <c r="M21" i="158"/>
  <c r="P4" i="158"/>
  <c r="M20" i="158"/>
  <c r="K17" i="90"/>
  <c r="K20" i="90"/>
  <c r="M7" i="153"/>
  <c r="P7" i="153" s="1"/>
  <c r="Q7" i="153"/>
  <c r="M6" i="153"/>
  <c r="P6" i="153" s="1"/>
  <c r="Q6" i="153"/>
  <c r="M4" i="153"/>
  <c r="P4" i="153" s="1"/>
  <c r="Q4" i="153"/>
  <c r="M5" i="153"/>
  <c r="P5" i="153" s="1"/>
  <c r="Q5" i="153"/>
  <c r="E19" i="89"/>
  <c r="E18" i="89"/>
  <c r="E17" i="89"/>
  <c r="E20" i="89"/>
  <c r="N16" i="155"/>
  <c r="K11" i="155"/>
  <c r="I15" i="104"/>
  <c r="L10" i="155" s="1"/>
  <c r="C11" i="102"/>
  <c r="Q113" i="175" s="1"/>
  <c r="C63" i="175" s="1"/>
  <c r="I14" i="95"/>
  <c r="K34" i="85"/>
  <c r="K30" i="85"/>
  <c r="K26" i="85"/>
  <c r="K22" i="85"/>
  <c r="K32" i="85"/>
  <c r="K24" i="85"/>
  <c r="K31" i="85"/>
  <c r="K27" i="85"/>
  <c r="K37" i="85"/>
  <c r="K33" i="85"/>
  <c r="K29" i="85"/>
  <c r="K25" i="85"/>
  <c r="K21" i="85"/>
  <c r="K36" i="85"/>
  <c r="K28" i="85"/>
  <c r="K35" i="85"/>
  <c r="K23" i="85"/>
  <c r="K8" i="100"/>
  <c r="K14" i="100"/>
  <c r="K17" i="100"/>
  <c r="K11" i="100"/>
  <c r="K10" i="100"/>
  <c r="K15" i="100"/>
  <c r="K16" i="100"/>
  <c r="K9" i="100"/>
  <c r="K7" i="100"/>
  <c r="K6" i="100"/>
  <c r="K12" i="100"/>
  <c r="K19" i="100"/>
  <c r="K18" i="100"/>
  <c r="K13" i="100"/>
  <c r="E18" i="99"/>
  <c r="E20" i="99"/>
  <c r="E19" i="99"/>
  <c r="E17" i="99"/>
  <c r="I16" i="98"/>
  <c r="I8" i="98"/>
  <c r="I5" i="98"/>
  <c r="I10" i="98"/>
  <c r="I13" i="98"/>
  <c r="I7" i="98"/>
  <c r="I6" i="98"/>
  <c r="I11" i="98"/>
  <c r="I12" i="98"/>
  <c r="I9" i="98"/>
  <c r="I15" i="98"/>
  <c r="O12" i="153"/>
  <c r="Q12" i="153" s="1"/>
  <c r="I25" i="91"/>
  <c r="I19" i="91"/>
  <c r="I10" i="91"/>
  <c r="I17" i="91"/>
  <c r="I20" i="91"/>
  <c r="O10" i="153"/>
  <c r="I23" i="91"/>
  <c r="I15" i="91"/>
  <c r="I6" i="91"/>
  <c r="I13" i="91"/>
  <c r="I16" i="91"/>
  <c r="O11" i="153"/>
  <c r="I24" i="91"/>
  <c r="I11" i="91"/>
  <c r="I18" i="91"/>
  <c r="I9" i="91"/>
  <c r="I12" i="91"/>
  <c r="O9" i="153"/>
  <c r="Q9" i="153" s="1"/>
  <c r="I22" i="91"/>
  <c r="I7" i="91"/>
  <c r="I14" i="91"/>
  <c r="I5" i="91"/>
  <c r="K14" i="90"/>
  <c r="K12" i="90"/>
  <c r="K11" i="90"/>
  <c r="K13" i="90"/>
  <c r="K19" i="90"/>
  <c r="K18" i="90"/>
  <c r="K16" i="90"/>
  <c r="K8" i="90"/>
  <c r="K15" i="90"/>
  <c r="K7" i="90"/>
  <c r="K6" i="90"/>
  <c r="K5" i="90"/>
  <c r="K9" i="90"/>
  <c r="K10" i="90"/>
  <c r="N21" i="155"/>
  <c r="N28" i="155"/>
  <c r="N26" i="155"/>
  <c r="N17" i="155"/>
  <c r="N18" i="155"/>
  <c r="N29" i="155"/>
  <c r="R11" i="155"/>
  <c r="N25" i="155"/>
  <c r="N22" i="155"/>
  <c r="N23" i="155"/>
  <c r="N19" i="155"/>
  <c r="N24" i="155"/>
  <c r="N20" i="155"/>
  <c r="N31" i="155"/>
  <c r="F6" i="155"/>
  <c r="F4" i="155"/>
  <c r="F8" i="155"/>
  <c r="F5" i="155"/>
  <c r="F7" i="155"/>
  <c r="N30" i="155"/>
  <c r="N27" i="155"/>
  <c r="C7" i="155"/>
  <c r="C4" i="155"/>
  <c r="C8" i="155"/>
  <c r="C5" i="155"/>
  <c r="C6" i="155"/>
  <c r="L9" i="155"/>
  <c r="I8" i="104"/>
  <c r="L6" i="155" s="1"/>
  <c r="C8" i="95"/>
  <c r="J6" i="155" s="1"/>
  <c r="I8" i="95"/>
  <c r="J15" i="85"/>
  <c r="K14" i="85" s="1"/>
  <c r="C16" i="104"/>
  <c r="C16" i="95"/>
  <c r="J11" i="155" s="1"/>
  <c r="C11" i="93"/>
  <c r="Q51" i="175" s="1"/>
  <c r="C36" i="175" s="1"/>
  <c r="C21" i="91"/>
  <c r="D5" i="90"/>
  <c r="C10" i="99"/>
  <c r="C14" i="98"/>
  <c r="C15" i="88"/>
  <c r="K21" i="90" l="1"/>
  <c r="K21" i="100"/>
  <c r="P9" i="158"/>
  <c r="M23" i="158"/>
  <c r="P10" i="158"/>
  <c r="M24" i="158"/>
  <c r="O20" i="158"/>
  <c r="Q20" i="158" s="1"/>
  <c r="O21" i="158"/>
  <c r="Q21" i="158" s="1"/>
  <c r="M12" i="153"/>
  <c r="P12" i="153" s="1"/>
  <c r="M10" i="153"/>
  <c r="P10" i="153" s="1"/>
  <c r="Q10" i="153"/>
  <c r="M11" i="153"/>
  <c r="P11" i="153" s="1"/>
  <c r="Q11" i="153"/>
  <c r="M9" i="153"/>
  <c r="P9" i="153" s="1"/>
  <c r="K13" i="85"/>
  <c r="E6" i="155"/>
  <c r="E4" i="155"/>
  <c r="R13" i="155"/>
  <c r="E8" i="155"/>
  <c r="E5" i="155"/>
  <c r="E7" i="155"/>
  <c r="K8" i="85"/>
  <c r="E21" i="99"/>
  <c r="I16" i="104"/>
  <c r="L11" i="155" s="1"/>
  <c r="I14" i="98"/>
  <c r="I16" i="95"/>
  <c r="I21" i="91"/>
  <c r="I15" i="88"/>
  <c r="E21" i="89"/>
  <c r="P20" i="158" l="1"/>
  <c r="P21" i="158"/>
  <c r="S12" i="155"/>
  <c r="S13" i="155"/>
  <c r="S11" i="155"/>
  <c r="S9" i="155"/>
  <c r="S10" i="155"/>
  <c r="O24" i="158"/>
  <c r="Q24" i="158" s="1"/>
  <c r="O23" i="158"/>
  <c r="Q23" i="158" s="1"/>
  <c r="K15" i="85"/>
  <c r="P23" i="158" l="1"/>
  <c r="P24" i="158"/>
  <c r="G22" i="82"/>
  <c r="H43" i="81"/>
  <c r="H21" i="81" l="1"/>
  <c r="H42" i="81"/>
  <c r="E30" i="81"/>
  <c r="E39" i="81"/>
  <c r="E31" i="81"/>
  <c r="E32" i="81"/>
  <c r="E36" i="81"/>
  <c r="E29" i="81"/>
  <c r="E38" i="81"/>
  <c r="E37" i="81"/>
  <c r="E33" i="81"/>
  <c r="E35" i="81"/>
  <c r="E28" i="81"/>
  <c r="E40" i="81"/>
  <c r="E34" i="81"/>
  <c r="E41" i="81"/>
  <c r="H20" i="82"/>
  <c r="H9" i="82"/>
  <c r="H7" i="82"/>
  <c r="H6" i="82"/>
  <c r="H14" i="82"/>
  <c r="H21" i="82"/>
  <c r="H11" i="82"/>
  <c r="H13" i="82"/>
  <c r="H15" i="82"/>
  <c r="H10" i="82"/>
  <c r="H19" i="82"/>
  <c r="H17" i="82"/>
  <c r="H8" i="82"/>
  <c r="H16" i="82"/>
  <c r="H12" i="82"/>
  <c r="H18" i="82"/>
  <c r="H25" i="82"/>
  <c r="H23" i="82"/>
  <c r="H24" i="82"/>
  <c r="H26" i="82"/>
  <c r="H14" i="81"/>
  <c r="H10" i="81"/>
  <c r="H18" i="81"/>
  <c r="H13" i="81"/>
  <c r="H7" i="81"/>
  <c r="H8" i="81"/>
  <c r="H11" i="81"/>
  <c r="H15" i="81"/>
  <c r="H16" i="81"/>
  <c r="H12" i="81"/>
  <c r="H19" i="81"/>
  <c r="H9" i="81"/>
  <c r="H17" i="81"/>
  <c r="H20" i="81"/>
  <c r="H41" i="81"/>
  <c r="H40" i="81"/>
  <c r="H39" i="81"/>
  <c r="H36" i="81"/>
  <c r="H37" i="81"/>
  <c r="H31" i="81"/>
  <c r="H35" i="81"/>
  <c r="H30" i="81"/>
  <c r="H28" i="81"/>
  <c r="H29" i="81"/>
  <c r="H34" i="81"/>
  <c r="H32" i="81"/>
  <c r="H33" i="81"/>
  <c r="H38" i="81"/>
  <c r="C12" i="84"/>
  <c r="C23" i="84"/>
  <c r="C15" i="85"/>
  <c r="I15" i="85"/>
  <c r="E15" i="85"/>
  <c r="C22" i="82"/>
  <c r="F23" i="84" l="1"/>
  <c r="E27" i="81"/>
  <c r="E6" i="81"/>
  <c r="E22" i="81"/>
  <c r="F12" i="84"/>
  <c r="H22" i="82"/>
  <c r="H27" i="81"/>
  <c r="H6" i="81"/>
  <c r="H22" i="81"/>
  <c r="E43" i="81"/>
  <c r="C7" i="89" l="1"/>
  <c r="C5" i="89"/>
  <c r="C6" i="89"/>
  <c r="C9" i="89"/>
  <c r="C8" i="89"/>
  <c r="C10" i="89" l="1"/>
  <c r="J5" i="160"/>
  <c r="J7" i="160"/>
  <c r="J9" i="160"/>
  <c r="J11" i="160"/>
  <c r="J13" i="160"/>
  <c r="B13" i="160"/>
  <c r="J15" i="160" l="1"/>
  <c r="B7" i="160"/>
  <c r="B11" i="160"/>
  <c r="B9" i="160"/>
  <c r="B15" i="160" l="1"/>
</calcChain>
</file>

<file path=xl/sharedStrings.xml><?xml version="1.0" encoding="utf-8"?>
<sst xmlns="http://purl.oclc.org/ooxml/spreadsheetml/main" count="4655" uniqueCount="656">
  <si>
    <t>人数</t>
    <rPh sb="0" eb="2">
      <t>ニンズウ</t>
    </rPh>
    <phoneticPr fontId="2"/>
  </si>
  <si>
    <t>割合</t>
    <rPh sb="0" eb="2">
      <t>ワリアイ</t>
    </rPh>
    <phoneticPr fontId="2"/>
  </si>
  <si>
    <t>19歳以下</t>
  </si>
  <si>
    <t>20歳代</t>
  </si>
  <si>
    <t>30歳代</t>
  </si>
  <si>
    <t>40歳代</t>
  </si>
  <si>
    <t>50歳代</t>
  </si>
  <si>
    <t>60歳代</t>
  </si>
  <si>
    <t>70歳代</t>
  </si>
  <si>
    <t>80歳代</t>
  </si>
  <si>
    <t>90歳以上</t>
  </si>
  <si>
    <t>総計</t>
    <rPh sb="0" eb="2">
      <t>ソウケイ</t>
    </rPh>
    <phoneticPr fontId="2"/>
  </si>
  <si>
    <t>計</t>
    <rPh sb="0" eb="1">
      <t>ケイ</t>
    </rPh>
    <phoneticPr fontId="2"/>
  </si>
  <si>
    <t>〔全状態像〕</t>
    <rPh sb="1" eb="2">
      <t>ゼン</t>
    </rPh>
    <rPh sb="2" eb="4">
      <t>ジョウタイ</t>
    </rPh>
    <rPh sb="4" eb="5">
      <t>ゾウ</t>
    </rPh>
    <phoneticPr fontId="2"/>
  </si>
  <si>
    <t>措置入院・緊急措置入院</t>
  </si>
  <si>
    <t>医療保護入院</t>
  </si>
  <si>
    <t>任意入院</t>
  </si>
  <si>
    <t>応急入院</t>
  </si>
  <si>
    <t>その他</t>
  </si>
  <si>
    <t>アルツハイマー病の認知症・血管性認知症以外の、
症状性を含む器質性精神障害（F02-F09）</t>
  </si>
  <si>
    <t>精神作用物質使用による精神及び行動の障害（F1）</t>
  </si>
  <si>
    <t>統合失調症、統合失調症型障害及び妄想性障害（F2）</t>
  </si>
  <si>
    <t>気分（感情）障害（F3）</t>
  </si>
  <si>
    <t>心理的発達の障害（F8）</t>
  </si>
  <si>
    <t>神経症性障害、ストレス関連障害及び身体表現性障害（F4）</t>
    <phoneticPr fontId="2"/>
  </si>
  <si>
    <t>生理的障害及び身体的要因に関連した行動症候群（F5）</t>
    <phoneticPr fontId="2"/>
  </si>
  <si>
    <t>2年～3年未満</t>
    <phoneticPr fontId="2"/>
  </si>
  <si>
    <t>3年～4年未満</t>
    <phoneticPr fontId="2"/>
  </si>
  <si>
    <t>寛解</t>
  </si>
  <si>
    <t>院内寛解</t>
  </si>
  <si>
    <t>軽度</t>
  </si>
  <si>
    <t>中等度</t>
  </si>
  <si>
    <t>重度</t>
  </si>
  <si>
    <t>最重度</t>
  </si>
  <si>
    <t>退院阻害要因がある</t>
    <rPh sb="0" eb="2">
      <t>タイイン</t>
    </rPh>
    <rPh sb="2" eb="4">
      <t>ソガイ</t>
    </rPh>
    <rPh sb="4" eb="6">
      <t>ヨウイン</t>
    </rPh>
    <phoneticPr fontId="2"/>
  </si>
  <si>
    <t>退院阻害要因はない</t>
  </si>
  <si>
    <t>退院予定</t>
  </si>
  <si>
    <t>回答数</t>
    <rPh sb="0" eb="2">
      <t>カイトウ</t>
    </rPh>
    <rPh sb="2" eb="3">
      <t>スウ</t>
    </rPh>
    <phoneticPr fontId="2"/>
  </si>
  <si>
    <t>反社会的行動が予測される</t>
  </si>
  <si>
    <t>退院意欲が乏しい</t>
  </si>
  <si>
    <t>現実認識が乏しい</t>
  </si>
  <si>
    <t>退院による環境変化への不安が強い</t>
  </si>
  <si>
    <t>援助者との対人関係がもてない</t>
  </si>
  <si>
    <t>家事（食事・洗濯・金銭管理など）ができない</t>
  </si>
  <si>
    <t>家族がいない、本人をサポートする機能が実質ない</t>
  </si>
  <si>
    <t>家族から退院に反対がある</t>
  </si>
  <si>
    <t>住まいの確保ができない</t>
  </si>
  <si>
    <t>生活費の確保ができない</t>
  </si>
  <si>
    <t>日常生活を支える制度がない</t>
  </si>
  <si>
    <t>救急診療体制がない</t>
  </si>
  <si>
    <t>退院に向けてサポートする人的資源が乏しい</t>
  </si>
  <si>
    <t>退院後サポート・マネジメントする人的資源が乏しい</t>
  </si>
  <si>
    <t>住所地と入院先の距離があり支援体制をとりにくい</t>
  </si>
  <si>
    <t>その他の退院阻害要因がある</t>
  </si>
  <si>
    <t>【退院阻害要因の有無】</t>
    <phoneticPr fontId="2"/>
  </si>
  <si>
    <t>【退院阻害要因（複数回答）】</t>
    <phoneticPr fontId="2"/>
  </si>
  <si>
    <t>1年未満（再掲）</t>
    <rPh sb="5" eb="7">
      <t>サイケイ</t>
    </rPh>
    <phoneticPr fontId="2"/>
  </si>
  <si>
    <t>1年以上5年未満（再掲）</t>
    <rPh sb="2" eb="4">
      <t>イジョウ</t>
    </rPh>
    <rPh sb="9" eb="11">
      <t>サイケイ</t>
    </rPh>
    <phoneticPr fontId="2"/>
  </si>
  <si>
    <t>5年以上10年未満（再掲）</t>
    <rPh sb="1" eb="2">
      <t>ネン</t>
    </rPh>
    <rPh sb="2" eb="4">
      <t>イジョウ</t>
    </rPh>
    <rPh sb="10" eb="12">
      <t>サイケイ</t>
    </rPh>
    <phoneticPr fontId="2"/>
  </si>
  <si>
    <t>10年以上（再掲）</t>
    <rPh sb="6" eb="8">
      <t>サイケイ</t>
    </rPh>
    <phoneticPr fontId="2"/>
  </si>
  <si>
    <t>1ヶ月未満</t>
  </si>
  <si>
    <t>20年以上</t>
  </si>
  <si>
    <t>合計</t>
    <rPh sb="0" eb="2">
      <t>ゴウケイ</t>
    </rPh>
    <phoneticPr fontId="2"/>
  </si>
  <si>
    <t>データ貼り付け箇所</t>
    <rPh sb="3" eb="4">
      <t>ハ</t>
    </rPh>
    <rPh sb="5" eb="6">
      <t>ツ</t>
    </rPh>
    <rPh sb="7" eb="9">
      <t>カショ</t>
    </rPh>
    <phoneticPr fontId="2"/>
  </si>
  <si>
    <t>在院期間区分</t>
    <rPh sb="0" eb="2">
      <t>ザイイン</t>
    </rPh>
    <rPh sb="2" eb="4">
      <t>キカン</t>
    </rPh>
    <rPh sb="4" eb="6">
      <t>クブン</t>
    </rPh>
    <phoneticPr fontId="2"/>
  </si>
  <si>
    <t>年齢階層</t>
    <rPh sb="0" eb="2">
      <t>ネンレイ</t>
    </rPh>
    <rPh sb="2" eb="4">
      <t>カイソウ</t>
    </rPh>
    <phoneticPr fontId="2"/>
  </si>
  <si>
    <t>病識がなく通院服薬の中断が予測される</t>
    <phoneticPr fontId="2"/>
  </si>
  <si>
    <t>てんかん（症状性を含む器質性障害(F0)に属さないもの）</t>
  </si>
  <si>
    <t>アルツハイマー病の認知症・血管性認知症以外の、症状性を含む器質性精神障害（F02-F09）</t>
  </si>
  <si>
    <t>1年未満</t>
    <phoneticPr fontId="2"/>
  </si>
  <si>
    <t>1年以上
5年未満</t>
    <phoneticPr fontId="2"/>
  </si>
  <si>
    <t>5年以上
10年未満</t>
    <phoneticPr fontId="2"/>
  </si>
  <si>
    <t>10年以上</t>
    <phoneticPr fontId="2"/>
  </si>
  <si>
    <t>統合失調症、統合失調症型障害及び妄想性障害（F2）</t>
    <phoneticPr fontId="2"/>
  </si>
  <si>
    <t>【年齢階層×在院期間区分】〔統合失調症、統合失調症型障害及び妄想性障害（F2）〕</t>
    <rPh sb="14" eb="19">
      <t>トウゴウシッチョウショウ</t>
    </rPh>
    <rPh sb="20" eb="25">
      <t>トウゴウシッチョウショウ</t>
    </rPh>
    <rPh sb="25" eb="26">
      <t>ガタ</t>
    </rPh>
    <rPh sb="26" eb="28">
      <t>ショウガイ</t>
    </rPh>
    <rPh sb="28" eb="29">
      <t>オヨ</t>
    </rPh>
    <rPh sb="30" eb="33">
      <t>モウソウセイ</t>
    </rPh>
    <rPh sb="33" eb="35">
      <t>ショウガイ</t>
    </rPh>
    <phoneticPr fontId="2"/>
  </si>
  <si>
    <t>【年齢階層×在院期間区分】〔統合失調症、統合失調症型障害及び妄想性障害（F2）〕&amp;〔寛解・院内寛解群〕</t>
    <rPh sb="14" eb="19">
      <t>トウゴウシッチョウショウ</t>
    </rPh>
    <rPh sb="20" eb="25">
      <t>トウゴウシッチョウショウ</t>
    </rPh>
    <rPh sb="25" eb="26">
      <t>ガタ</t>
    </rPh>
    <rPh sb="26" eb="28">
      <t>ショウガイ</t>
    </rPh>
    <rPh sb="28" eb="29">
      <t>オヨ</t>
    </rPh>
    <rPh sb="30" eb="33">
      <t>モウソウセイ</t>
    </rPh>
    <rPh sb="33" eb="35">
      <t>ショウガイ</t>
    </rPh>
    <phoneticPr fontId="2"/>
  </si>
  <si>
    <t>気分（感情）障害（F3）</t>
    <phoneticPr fontId="2"/>
  </si>
  <si>
    <t>【退院阻害要因×年齢階層】</t>
    <rPh sb="1" eb="3">
      <t>タイイン</t>
    </rPh>
    <rPh sb="3" eb="5">
      <t>ソガイ</t>
    </rPh>
    <rPh sb="5" eb="7">
      <t>ヨウイン</t>
    </rPh>
    <rPh sb="8" eb="10">
      <t>ネンレイ</t>
    </rPh>
    <rPh sb="10" eb="12">
      <t>カイソウ</t>
    </rPh>
    <phoneticPr fontId="2"/>
  </si>
  <si>
    <t>【退院阻害要因×在院期間区分】</t>
    <rPh sb="1" eb="3">
      <t>タイイン</t>
    </rPh>
    <rPh sb="3" eb="5">
      <t>ソガイ</t>
    </rPh>
    <rPh sb="5" eb="7">
      <t>ヨウイン</t>
    </rPh>
    <rPh sb="8" eb="10">
      <t>ザイイン</t>
    </rPh>
    <rPh sb="10" eb="12">
      <t>キカン</t>
    </rPh>
    <rPh sb="12" eb="14">
      <t>クブン</t>
    </rPh>
    <phoneticPr fontId="2"/>
  </si>
  <si>
    <t>【退院阻害要因×在院期間区分】〔寛解・院内寛解群〕</t>
    <rPh sb="16" eb="18">
      <t>カンカイ</t>
    </rPh>
    <rPh sb="19" eb="21">
      <t>インナイ</t>
    </rPh>
    <rPh sb="21" eb="23">
      <t>カンカイ</t>
    </rPh>
    <rPh sb="23" eb="24">
      <t>グン</t>
    </rPh>
    <phoneticPr fontId="2"/>
  </si>
  <si>
    <t>【退院阻害要因×疾患名区分（F0,F2,F3）】</t>
    <rPh sb="1" eb="3">
      <t>タイイン</t>
    </rPh>
    <rPh sb="3" eb="5">
      <t>ソガイ</t>
    </rPh>
    <rPh sb="5" eb="7">
      <t>ヨウイン</t>
    </rPh>
    <rPh sb="8" eb="10">
      <t>シッカン</t>
    </rPh>
    <rPh sb="10" eb="11">
      <t>メイ</t>
    </rPh>
    <rPh sb="11" eb="13">
      <t>クブン</t>
    </rPh>
    <phoneticPr fontId="2"/>
  </si>
  <si>
    <t>疾患名区分</t>
    <rPh sb="0" eb="2">
      <t>シッカン</t>
    </rPh>
    <rPh sb="2" eb="3">
      <t>メイ</t>
    </rPh>
    <rPh sb="3" eb="5">
      <t>クブン</t>
    </rPh>
    <phoneticPr fontId="2"/>
  </si>
  <si>
    <t>【退院阻害要因×疾患名区分（F0,F2,F3）】〔寛解・院内寛解群〕</t>
    <rPh sb="25" eb="27">
      <t>カンカイ</t>
    </rPh>
    <rPh sb="28" eb="30">
      <t>インナイ</t>
    </rPh>
    <rPh sb="30" eb="32">
      <t>カンカイ</t>
    </rPh>
    <rPh sb="32" eb="33">
      <t>グン</t>
    </rPh>
    <phoneticPr fontId="2"/>
  </si>
  <si>
    <t>心理的発達の障害（F8）</t>
    <phoneticPr fontId="2"/>
  </si>
  <si>
    <t>【年齢区分（在院期間１年以上）】</t>
    <rPh sb="6" eb="8">
      <t>ザイイン</t>
    </rPh>
    <rPh sb="8" eb="10">
      <t>キカン</t>
    </rPh>
    <rPh sb="11" eb="12">
      <t>ネン</t>
    </rPh>
    <rPh sb="12" eb="14">
      <t>イジョウ</t>
    </rPh>
    <phoneticPr fontId="2"/>
  </si>
  <si>
    <t>【退院阻害要因の有無（在院期間１年以上）】</t>
    <phoneticPr fontId="2"/>
  </si>
  <si>
    <t>【退院阻害要因（複数回答）（在院期間１年以上）】</t>
    <phoneticPr fontId="2"/>
  </si>
  <si>
    <t>【退院阻害要因×年齢階層】〔寛解・院内寛解群〕</t>
    <rPh sb="14" eb="16">
      <t>カンカイ</t>
    </rPh>
    <rPh sb="17" eb="19">
      <t>インナイ</t>
    </rPh>
    <rPh sb="19" eb="21">
      <t>カンカイ</t>
    </rPh>
    <rPh sb="21" eb="22">
      <t>グン</t>
    </rPh>
    <phoneticPr fontId="2"/>
  </si>
  <si>
    <t>65歳以上</t>
    <rPh sb="2" eb="5">
      <t>サイイジョウ</t>
    </rPh>
    <phoneticPr fontId="2"/>
  </si>
  <si>
    <t>65歳以上（再掲）</t>
    <rPh sb="2" eb="3">
      <t>サイ</t>
    </rPh>
    <rPh sb="3" eb="5">
      <t>イジョウ</t>
    </rPh>
    <rPh sb="6" eb="8">
      <t>サイケイ</t>
    </rPh>
    <phoneticPr fontId="2"/>
  </si>
  <si>
    <t>65歳未満（再掲）</t>
    <rPh sb="2" eb="3">
      <t>サイ</t>
    </rPh>
    <rPh sb="3" eb="5">
      <t>ミマン</t>
    </rPh>
    <rPh sb="6" eb="8">
      <t>サイケイ</t>
    </rPh>
    <phoneticPr fontId="2"/>
  </si>
  <si>
    <t>65歳以上（再掲）</t>
    <rPh sb="2" eb="5">
      <t>サイイジョウ</t>
    </rPh>
    <rPh sb="6" eb="8">
      <t>サイケイ</t>
    </rPh>
    <phoneticPr fontId="2"/>
  </si>
  <si>
    <t>65歳未満（再掲）</t>
    <rPh sb="2" eb="5">
      <t>サイミマン</t>
    </rPh>
    <rPh sb="6" eb="8">
      <t>サイケイ</t>
    </rPh>
    <phoneticPr fontId="2"/>
  </si>
  <si>
    <t>65歳未満（再掲）</t>
    <rPh sb="3" eb="5">
      <t>ミマン</t>
    </rPh>
    <rPh sb="6" eb="8">
      <t>サイケイ</t>
    </rPh>
    <phoneticPr fontId="2"/>
  </si>
  <si>
    <t>65歳～69歳</t>
    <rPh sb="2" eb="3">
      <t>サイ</t>
    </rPh>
    <rPh sb="6" eb="7">
      <t>サイ</t>
    </rPh>
    <phoneticPr fontId="2"/>
  </si>
  <si>
    <t>70歳～74歳</t>
    <rPh sb="2" eb="3">
      <t>サイ</t>
    </rPh>
    <rPh sb="6" eb="7">
      <t>サイ</t>
    </rPh>
    <phoneticPr fontId="2"/>
  </si>
  <si>
    <t>75歳～79歳</t>
    <rPh sb="2" eb="3">
      <t>サイ</t>
    </rPh>
    <rPh sb="6" eb="7">
      <t>サイ</t>
    </rPh>
    <phoneticPr fontId="2"/>
  </si>
  <si>
    <t>80歳～84歳</t>
    <rPh sb="2" eb="3">
      <t>サイ</t>
    </rPh>
    <rPh sb="6" eb="7">
      <t>サイ</t>
    </rPh>
    <phoneticPr fontId="2"/>
  </si>
  <si>
    <t>85歳～89歳</t>
    <rPh sb="2" eb="3">
      <t>サイ</t>
    </rPh>
    <rPh sb="6" eb="7">
      <t>サイ</t>
    </rPh>
    <phoneticPr fontId="2"/>
  </si>
  <si>
    <t>措置入院・緊急措置入院</t>
    <rPh sb="0" eb="2">
      <t>ソチ</t>
    </rPh>
    <rPh sb="2" eb="4">
      <t>ニュウイン</t>
    </rPh>
    <rPh sb="5" eb="7">
      <t>キンキュウ</t>
    </rPh>
    <rPh sb="7" eb="9">
      <t>ソチ</t>
    </rPh>
    <rPh sb="9" eb="11">
      <t>ニュウイン</t>
    </rPh>
    <phoneticPr fontId="2"/>
  </si>
  <si>
    <t>医療保護入院</t>
    <rPh sb="0" eb="2">
      <t>イリョウ</t>
    </rPh>
    <rPh sb="2" eb="4">
      <t>ホゴ</t>
    </rPh>
    <rPh sb="4" eb="6">
      <t>ニュウイン</t>
    </rPh>
    <phoneticPr fontId="2"/>
  </si>
  <si>
    <t>任意入院</t>
    <rPh sb="0" eb="2">
      <t>ニンイ</t>
    </rPh>
    <rPh sb="2" eb="4">
      <t>ニュウイン</t>
    </rPh>
    <phoneticPr fontId="2"/>
  </si>
  <si>
    <t>応急入院</t>
    <rPh sb="0" eb="2">
      <t>オウキュウ</t>
    </rPh>
    <rPh sb="2" eb="4">
      <t>ニュウイン</t>
    </rPh>
    <phoneticPr fontId="2"/>
  </si>
  <si>
    <t>その他</t>
    <rPh sb="2" eb="3">
      <t>タ</t>
    </rPh>
    <phoneticPr fontId="2"/>
  </si>
  <si>
    <t>うち寛解・院内寛解群</t>
    <rPh sb="2" eb="4">
      <t>カンカイ</t>
    </rPh>
    <rPh sb="5" eb="7">
      <t>インナイ</t>
    </rPh>
    <rPh sb="7" eb="9">
      <t>カンカイ</t>
    </rPh>
    <rPh sb="9" eb="10">
      <t>グン</t>
    </rPh>
    <phoneticPr fontId="2"/>
  </si>
  <si>
    <t>(再掲：患者全体)</t>
    <rPh sb="1" eb="3">
      <t>サイケイ</t>
    </rPh>
    <rPh sb="4" eb="6">
      <t>カンジャ</t>
    </rPh>
    <rPh sb="6" eb="8">
      <t>ゼンタイ</t>
    </rPh>
    <phoneticPr fontId="2"/>
  </si>
  <si>
    <t>血管性認知症を含む器質性精神障害（F01）</t>
    <phoneticPr fontId="2"/>
  </si>
  <si>
    <t>神経症性障害、ストレス関連障害及び身体表現性障害（F4）</t>
    <phoneticPr fontId="2"/>
  </si>
  <si>
    <t>生理的障害及び身体的要因に関連した行動症候群（F5）</t>
    <phoneticPr fontId="2"/>
  </si>
  <si>
    <t>65歳以上全体</t>
    <rPh sb="2" eb="5">
      <t>サイイジョウ</t>
    </rPh>
    <rPh sb="5" eb="7">
      <t>ゼンタイ</t>
    </rPh>
    <phoneticPr fontId="2"/>
  </si>
  <si>
    <t xml:space="preserve">退院阻害要因がある  </t>
    <rPh sb="0" eb="2">
      <t>タイイン</t>
    </rPh>
    <rPh sb="2" eb="4">
      <t>ソガイ</t>
    </rPh>
    <rPh sb="4" eb="6">
      <t>ヨウイン</t>
    </rPh>
    <phoneticPr fontId="2"/>
  </si>
  <si>
    <t>退院阻害要因はない</t>
    <phoneticPr fontId="2"/>
  </si>
  <si>
    <t>【年齢区分】</t>
    <phoneticPr fontId="2"/>
  </si>
  <si>
    <t>〔寛解・院内寛解群〕</t>
    <phoneticPr fontId="2"/>
  </si>
  <si>
    <t>寛解</t>
    <phoneticPr fontId="2"/>
  </si>
  <si>
    <t>寛解</t>
    <phoneticPr fontId="2"/>
  </si>
  <si>
    <t>院内寛解</t>
    <phoneticPr fontId="2"/>
  </si>
  <si>
    <t>院内寛解</t>
    <phoneticPr fontId="2"/>
  </si>
  <si>
    <t>【入院形態区分】</t>
    <phoneticPr fontId="2"/>
  </si>
  <si>
    <t>【疾患名区分】</t>
    <phoneticPr fontId="2"/>
  </si>
  <si>
    <t>症状性を含む器質性精神障害（F0）</t>
    <phoneticPr fontId="2"/>
  </si>
  <si>
    <t>アルツハイマー病の認知症を含む器質性精神障害（F00）</t>
    <phoneticPr fontId="2"/>
  </si>
  <si>
    <t>血管性認知症を含む器質性精神障害（F01）</t>
    <phoneticPr fontId="2"/>
  </si>
  <si>
    <t>てんかん（症状性を含む器質性障害(F0)に属さないもの）</t>
    <phoneticPr fontId="2"/>
  </si>
  <si>
    <t>【在院期間区分】</t>
    <phoneticPr fontId="2"/>
  </si>
  <si>
    <t>〔寛解・院内寛解群〕</t>
    <phoneticPr fontId="2"/>
  </si>
  <si>
    <t>寛解</t>
    <phoneticPr fontId="2"/>
  </si>
  <si>
    <t>院内寛解</t>
    <phoneticPr fontId="2"/>
  </si>
  <si>
    <t>1ヶ月未満</t>
    <phoneticPr fontId="2"/>
  </si>
  <si>
    <t>1ヶ月～3ヶ月未満</t>
    <phoneticPr fontId="2"/>
  </si>
  <si>
    <t>1ヶ月～3ヶ月未満</t>
    <phoneticPr fontId="2"/>
  </si>
  <si>
    <t>3ヶ月～6ヶ月未満</t>
    <phoneticPr fontId="2"/>
  </si>
  <si>
    <t>6ヶ月～1年未満</t>
    <phoneticPr fontId="2"/>
  </si>
  <si>
    <t>1年～1年6ヶ月未満</t>
    <phoneticPr fontId="2"/>
  </si>
  <si>
    <t>1年6ヶ月～2年未満</t>
    <phoneticPr fontId="2"/>
  </si>
  <si>
    <t>2年～3年未満</t>
    <phoneticPr fontId="2"/>
  </si>
  <si>
    <t>4年～5年未満</t>
    <phoneticPr fontId="2"/>
  </si>
  <si>
    <t>5年～6年未満</t>
    <phoneticPr fontId="2"/>
  </si>
  <si>
    <t>6年～7年未満</t>
    <phoneticPr fontId="2"/>
  </si>
  <si>
    <t>7年～8年未満</t>
    <phoneticPr fontId="2"/>
  </si>
  <si>
    <t>8年～9年未満</t>
    <phoneticPr fontId="2"/>
  </si>
  <si>
    <t>9年～10年未満</t>
    <phoneticPr fontId="2"/>
  </si>
  <si>
    <t>10年～20年未満</t>
    <phoneticPr fontId="2"/>
  </si>
  <si>
    <t>20年以上</t>
    <phoneticPr fontId="2"/>
  </si>
  <si>
    <t>【状態像区分】</t>
    <phoneticPr fontId="2"/>
  </si>
  <si>
    <t>病識がなく通院服薬の中断が予測される</t>
    <phoneticPr fontId="2"/>
  </si>
  <si>
    <t>〔寛解・院内寛解群〕</t>
    <phoneticPr fontId="2"/>
  </si>
  <si>
    <t>寛解</t>
    <phoneticPr fontId="2"/>
  </si>
  <si>
    <t>院内寛解</t>
    <phoneticPr fontId="2"/>
  </si>
  <si>
    <t>【入院形態区分（在院期間１年以上）】</t>
    <phoneticPr fontId="2"/>
  </si>
  <si>
    <t>〔寛解・院内寛解群〕</t>
    <phoneticPr fontId="2"/>
  </si>
  <si>
    <t>寛解</t>
    <phoneticPr fontId="2"/>
  </si>
  <si>
    <t>院内寛解</t>
    <phoneticPr fontId="2"/>
  </si>
  <si>
    <t>【疾患名区分（在院期間１年以上）】</t>
    <phoneticPr fontId="2"/>
  </si>
  <si>
    <t>〔寛解・院内寛解群〕</t>
    <phoneticPr fontId="2"/>
  </si>
  <si>
    <t>【状態像区分（在院期間１年以上）】</t>
    <phoneticPr fontId="2"/>
  </si>
  <si>
    <t>65歳未満</t>
    <rPh sb="2" eb="3">
      <t>サイ</t>
    </rPh>
    <rPh sb="3" eb="5">
      <t>ミマン</t>
    </rPh>
    <phoneticPr fontId="2"/>
  </si>
  <si>
    <t>【年齢階層×在院期間区分】〔気分（感情）障害（F３）〕</t>
    <rPh sb="14" eb="16">
      <t>キブン</t>
    </rPh>
    <rPh sb="17" eb="19">
      <t>カンジョウ</t>
    </rPh>
    <rPh sb="20" eb="22">
      <t>ショウガイ</t>
    </rPh>
    <phoneticPr fontId="2"/>
  </si>
  <si>
    <t>【年齢階層×在院期間区分】〔気分（感情）障害（Ｆ３）〕&amp;〔寛解・院内寛解群〕</t>
    <rPh sb="14" eb="16">
      <t>キブン</t>
    </rPh>
    <rPh sb="17" eb="19">
      <t>カンジョウ</t>
    </rPh>
    <rPh sb="20" eb="21">
      <t>ショウ</t>
    </rPh>
    <rPh sb="21" eb="22">
      <t>ガイ</t>
    </rPh>
    <phoneticPr fontId="2"/>
  </si>
  <si>
    <t>病識がなく通院服薬の中断が予測される</t>
    <phoneticPr fontId="2"/>
  </si>
  <si>
    <t>　総計</t>
    <rPh sb="1" eb="2">
      <t>ソウ</t>
    </rPh>
    <rPh sb="2" eb="3">
      <t>ケイ</t>
    </rPh>
    <phoneticPr fontId="2"/>
  </si>
  <si>
    <t>　総計</t>
    <rPh sb="1" eb="3">
      <t>ソウケイ</t>
    </rPh>
    <phoneticPr fontId="2"/>
  </si>
  <si>
    <t>90歳～</t>
    <rPh sb="2" eb="3">
      <t>サイ</t>
    </rPh>
    <phoneticPr fontId="2"/>
  </si>
  <si>
    <t>【年齢階層×在院期間区分】〔アルツハイマー病型認知症及び血管性認知症（F00-F01）〕</t>
    <rPh sb="21" eb="22">
      <t>ビョウ</t>
    </rPh>
    <rPh sb="22" eb="23">
      <t>ガタ</t>
    </rPh>
    <rPh sb="23" eb="26">
      <t>ニンチショウ</t>
    </rPh>
    <rPh sb="26" eb="27">
      <t>オヨ</t>
    </rPh>
    <phoneticPr fontId="2"/>
  </si>
  <si>
    <t>【年齢階層×在院期間区分】〔アルツハイマー病型認知症及び血管性認知症（F00-F01）〕&amp;〔寛解・院内寛解群〕</t>
    <phoneticPr fontId="2"/>
  </si>
  <si>
    <t>【年齢階層×在院期間区分】</t>
    <phoneticPr fontId="2"/>
  </si>
  <si>
    <t>合計 / 反社会的行動が予測される</t>
  </si>
  <si>
    <t>合計 / 退院意欲が乏しい</t>
  </si>
  <si>
    <t>合計 / 現実認識が乏しい</t>
  </si>
  <si>
    <t>合計 / 退院による環境変化への不安が強い</t>
  </si>
  <si>
    <t>合計 / 援助者との対人関係がもてない</t>
  </si>
  <si>
    <t>合計 / 家事（食事,洗濯,金銭管理など）ができない</t>
  </si>
  <si>
    <t>合計 / 家族がいない、本人をサポートする機能が実質ない</t>
  </si>
  <si>
    <t>合計 / 家族から退院に反対がある</t>
  </si>
  <si>
    <t>合計 / 住まいの確保ができない</t>
  </si>
  <si>
    <t>合計 / 生活費の確保ができない</t>
  </si>
  <si>
    <t>合計 / 日常生活を支える制度がない</t>
  </si>
  <si>
    <t>合計 / 救急診療体制がない</t>
  </si>
  <si>
    <t>合計 / 退院に向けてサポートする人的資源が乏しい</t>
  </si>
  <si>
    <t>合計 / 退院後サポート・マネジメントする人的資源が乏しい</t>
  </si>
  <si>
    <t>合計 / 住所地と入院先の距離があり支援体制をとりにくい</t>
  </si>
  <si>
    <t>合計 / その他の退院阻害要因がある</t>
  </si>
  <si>
    <t>01_1ヶ月未満</t>
  </si>
  <si>
    <t>02_1ヶ月～3ヶ月未満</t>
  </si>
  <si>
    <t>03_3ヶ月～6ヶ月未満</t>
  </si>
  <si>
    <t>04_6ヶ月～1年未満</t>
  </si>
  <si>
    <t>05_1年～1年6ヶ月未満</t>
  </si>
  <si>
    <t>06_1年6ヶ月～2年未満</t>
  </si>
  <si>
    <t>07_2年～3年未満</t>
  </si>
  <si>
    <t>08_3年～4年未満</t>
  </si>
  <si>
    <t>09_4年～5年未満</t>
  </si>
  <si>
    <t>10_5年～6年未満</t>
  </si>
  <si>
    <t>11_6年～7年未満</t>
  </si>
  <si>
    <t>12_7年～8年未満</t>
  </si>
  <si>
    <t>13_8年～9年未満</t>
  </si>
  <si>
    <t>14_9年～10年未満</t>
  </si>
  <si>
    <t>15_10年～20年未満</t>
  </si>
  <si>
    <t>16_ 20年以上</t>
  </si>
  <si>
    <t>アルツハイマー病型認知症及び血管性認知症（F00-F01）</t>
    <phoneticPr fontId="2"/>
  </si>
  <si>
    <t>左記以外の症状性を含む器質性精神障害（F02-F09）</t>
    <rPh sb="0" eb="2">
      <t>サキ</t>
    </rPh>
    <phoneticPr fontId="2"/>
  </si>
  <si>
    <t>アルコール覚せい剤を除く精神作用物質使用による精神及び行動の障害※</t>
  </si>
  <si>
    <t>覚せい剤による精神及び行動の障害※</t>
  </si>
  <si>
    <t>75歳未満（再掲）</t>
    <rPh sb="2" eb="3">
      <t>サイ</t>
    </rPh>
    <rPh sb="3" eb="5">
      <t>ミマン</t>
    </rPh>
    <rPh sb="6" eb="8">
      <t>サイケイ</t>
    </rPh>
    <phoneticPr fontId="2"/>
  </si>
  <si>
    <t>75歳以上（再掲）</t>
    <rPh sb="2" eb="3">
      <t>サイ</t>
    </rPh>
    <rPh sb="3" eb="5">
      <t>イジョウ</t>
    </rPh>
    <rPh sb="6" eb="8">
      <t>サイケイ</t>
    </rPh>
    <phoneticPr fontId="2"/>
  </si>
  <si>
    <t>【年齢区分（65歳以上在院患者）】</t>
    <rPh sb="8" eb="11">
      <t>サイイジョウ</t>
    </rPh>
    <rPh sb="11" eb="13">
      <t>ザイイン</t>
    </rPh>
    <rPh sb="13" eb="15">
      <t>カンジャ</t>
    </rPh>
    <phoneticPr fontId="2"/>
  </si>
  <si>
    <t>【入院形態区分（65歳以上在院患者）】</t>
    <rPh sb="1" eb="3">
      <t>ニュウイン</t>
    </rPh>
    <rPh sb="3" eb="5">
      <t>ケイタイ</t>
    </rPh>
    <rPh sb="10" eb="13">
      <t>サイイジョウ</t>
    </rPh>
    <rPh sb="13" eb="15">
      <t>ザイイン</t>
    </rPh>
    <rPh sb="15" eb="17">
      <t>カンジャ</t>
    </rPh>
    <phoneticPr fontId="2"/>
  </si>
  <si>
    <t>【在院期間区分（65歳以上在院患者）】</t>
    <rPh sb="1" eb="3">
      <t>ザイイン</t>
    </rPh>
    <rPh sb="3" eb="5">
      <t>キカン</t>
    </rPh>
    <rPh sb="5" eb="7">
      <t>クブン</t>
    </rPh>
    <rPh sb="10" eb="13">
      <t>サイイジョウ</t>
    </rPh>
    <rPh sb="13" eb="15">
      <t>ザイイン</t>
    </rPh>
    <rPh sb="15" eb="17">
      <t>カンジャ</t>
    </rPh>
    <phoneticPr fontId="2"/>
  </si>
  <si>
    <t>1ヶ月～3ヶ月未満</t>
  </si>
  <si>
    <t>3ヶ月～6ヶ月未満</t>
  </si>
  <si>
    <t>6ヶ月～1年未満</t>
  </si>
  <si>
    <t>1年～1年6ヶ月未満</t>
  </si>
  <si>
    <t>1年6ヶ月～2年未満</t>
  </si>
  <si>
    <t>2年～3年未満</t>
  </si>
  <si>
    <t>3年～4年未満</t>
  </si>
  <si>
    <t>4年～5年未満</t>
  </si>
  <si>
    <t>5年～6年未満</t>
  </si>
  <si>
    <t>6年～7年未満</t>
  </si>
  <si>
    <t>7年～8年未満</t>
  </si>
  <si>
    <t>8年～9年未満</t>
  </si>
  <si>
    <t>9年～10年未満</t>
  </si>
  <si>
    <t>10年～20年未満</t>
  </si>
  <si>
    <t>【状態像区分（65歳以上在院患者）】</t>
    <rPh sb="1" eb="3">
      <t>ジョウタイ</t>
    </rPh>
    <rPh sb="3" eb="4">
      <t>ゾウ</t>
    </rPh>
    <rPh sb="4" eb="6">
      <t>クブン</t>
    </rPh>
    <rPh sb="9" eb="12">
      <t>サイイジョウ</t>
    </rPh>
    <rPh sb="12" eb="14">
      <t>ザイイン</t>
    </rPh>
    <rPh sb="14" eb="16">
      <t>カンジャ</t>
    </rPh>
    <phoneticPr fontId="2"/>
  </si>
  <si>
    <t>〔全在院期間〕</t>
    <rPh sb="1" eb="2">
      <t>ゼン</t>
    </rPh>
    <rPh sb="2" eb="4">
      <t>ザイイン</t>
    </rPh>
    <rPh sb="4" eb="6">
      <t>キカン</t>
    </rPh>
    <phoneticPr fontId="2"/>
  </si>
  <si>
    <t>〔1年以上在院患者〕</t>
    <rPh sb="2" eb="5">
      <t>ネンイジョウ</t>
    </rPh>
    <rPh sb="5" eb="7">
      <t>ザイイン</t>
    </rPh>
    <rPh sb="7" eb="9">
      <t>カンジャ</t>
    </rPh>
    <phoneticPr fontId="2"/>
  </si>
  <si>
    <t>病識がなく通院服薬の中断が予測される</t>
  </si>
  <si>
    <t>人数</t>
  </si>
  <si>
    <t>割合</t>
  </si>
  <si>
    <t>〔寛解・院内寛解群〕</t>
    <phoneticPr fontId="2"/>
  </si>
  <si>
    <t>【疾患名区分（65歳以上在院患者）】</t>
    <rPh sb="1" eb="3">
      <t>シッカン</t>
    </rPh>
    <rPh sb="3" eb="4">
      <t>メイ</t>
    </rPh>
    <rPh sb="9" eb="12">
      <t>サイイジョウ</t>
    </rPh>
    <rPh sb="12" eb="14">
      <t>ザイイン</t>
    </rPh>
    <rPh sb="14" eb="16">
      <t>カンジャ</t>
    </rPh>
    <phoneticPr fontId="2"/>
  </si>
  <si>
    <t>〔アルツハイマー病型認知症・血管性認知症以外の症状性を含む器質性精神障害（F02-F09）〕&amp;〔寛解・院内寛解群〕</t>
    <rPh sb="8" eb="9">
      <t>ビョウ</t>
    </rPh>
    <rPh sb="9" eb="10">
      <t>ガタ</t>
    </rPh>
    <rPh sb="10" eb="13">
      <t>ニンチショウ</t>
    </rPh>
    <phoneticPr fontId="2"/>
  </si>
  <si>
    <t>【退院予定の有無】</t>
    <rPh sb="3" eb="5">
      <t>ヨテイ</t>
    </rPh>
    <phoneticPr fontId="2"/>
  </si>
  <si>
    <t>病状（主症状）が落ち着き、入院によらない形で治療ができるまで回復</t>
    <rPh sb="0" eb="2">
      <t>ビョウジョウ</t>
    </rPh>
    <rPh sb="3" eb="4">
      <t>シュ</t>
    </rPh>
    <rPh sb="4" eb="6">
      <t>ショウジョウ</t>
    </rPh>
    <rPh sb="8" eb="9">
      <t>オ</t>
    </rPh>
    <rPh sb="10" eb="11">
      <t>ツ</t>
    </rPh>
    <rPh sb="13" eb="15">
      <t>ニュウイン</t>
    </rPh>
    <rPh sb="20" eb="21">
      <t>カタチ</t>
    </rPh>
    <rPh sb="22" eb="24">
      <t>チリョウ</t>
    </rPh>
    <rPh sb="30" eb="32">
      <t>カイフク</t>
    </rPh>
    <phoneticPr fontId="2"/>
  </si>
  <si>
    <t>病状（主症状）が不安定で入院による治療が必要</t>
    <rPh sb="0" eb="2">
      <t>ビョウジョウ</t>
    </rPh>
    <rPh sb="8" eb="11">
      <t>フアンテイ</t>
    </rPh>
    <rPh sb="12" eb="14">
      <t>ニュウイン</t>
    </rPh>
    <rPh sb="17" eb="19">
      <t>チリョウ</t>
    </rPh>
    <rPh sb="20" eb="22">
      <t>ヒツヨウ</t>
    </rPh>
    <phoneticPr fontId="2"/>
  </si>
  <si>
    <t>退院予定</t>
    <rPh sb="0" eb="2">
      <t>タイイン</t>
    </rPh>
    <rPh sb="2" eb="4">
      <t>ヨテイ</t>
    </rPh>
    <phoneticPr fontId="2"/>
  </si>
  <si>
    <t>病状は落ち着いているが、ときどき不安定な病状が見られ、そのことが退院を阻害する要因になっている</t>
    <rPh sb="0" eb="2">
      <t>ビョウジョウ</t>
    </rPh>
    <rPh sb="3" eb="4">
      <t>オ</t>
    </rPh>
    <rPh sb="5" eb="6">
      <t>ツ</t>
    </rPh>
    <rPh sb="16" eb="19">
      <t>フアンテイ</t>
    </rPh>
    <rPh sb="20" eb="22">
      <t>ビョウジョウ</t>
    </rPh>
    <rPh sb="23" eb="24">
      <t>ミ</t>
    </rPh>
    <rPh sb="32" eb="34">
      <t>タイイン</t>
    </rPh>
    <rPh sb="35" eb="37">
      <t>ソガイ</t>
    </rPh>
    <rPh sb="39" eb="41">
      <t>ヨウイン</t>
    </rPh>
    <phoneticPr fontId="2"/>
  </si>
  <si>
    <t>病状は落ち着いているが、ときどき不安定な病状が見られ、そのことが退院を阻害する要因になっている</t>
    <phoneticPr fontId="2"/>
  </si>
  <si>
    <t>【退院予定の有無（在院期間１年以上）】</t>
    <rPh sb="3" eb="5">
      <t>ヨテイ</t>
    </rPh>
    <phoneticPr fontId="2"/>
  </si>
  <si>
    <t>【退院予定の有無（65歳以上在院患者）】</t>
    <rPh sb="3" eb="5">
      <t>ヨテイ</t>
    </rPh>
    <rPh sb="11" eb="14">
      <t>サイイジョウ</t>
    </rPh>
    <rPh sb="14" eb="16">
      <t>ザイイン</t>
    </rPh>
    <rPh sb="16" eb="18">
      <t>カンジャ</t>
    </rPh>
    <phoneticPr fontId="2"/>
  </si>
  <si>
    <t>病状は落ち着いているが、ときどき不安定な病状が見られ、そのことが退院を阻害する要因になっている</t>
    <phoneticPr fontId="2"/>
  </si>
  <si>
    <t>退院阻害要因</t>
  </si>
  <si>
    <t>退院予定の有無</t>
    <rPh sb="0" eb="2">
      <t>タイイン</t>
    </rPh>
    <rPh sb="2" eb="4">
      <t>ヨテイ</t>
    </rPh>
    <rPh sb="5" eb="7">
      <t>ウム</t>
    </rPh>
    <phoneticPr fontId="2"/>
  </si>
  <si>
    <t>病状（主症状）が不安定で入院による治療が必要</t>
    <rPh sb="0" eb="2">
      <t>ビョウジョウ</t>
    </rPh>
    <rPh sb="3" eb="4">
      <t>シュ</t>
    </rPh>
    <rPh sb="4" eb="6">
      <t>ショウジョウ</t>
    </rPh>
    <rPh sb="8" eb="11">
      <t>フアンテイ</t>
    </rPh>
    <rPh sb="12" eb="14">
      <t>ニュウイン</t>
    </rPh>
    <rPh sb="17" eb="19">
      <t>チリョウ</t>
    </rPh>
    <rPh sb="20" eb="22">
      <t>ヒツヨウ</t>
    </rPh>
    <phoneticPr fontId="2"/>
  </si>
  <si>
    <t>退院阻害要因</t>
    <phoneticPr fontId="2"/>
  </si>
  <si>
    <t>病状は落ち着いているが、ときどき不安定な病状が見られ、そのことが退院を阻害する要因になっている</t>
    <phoneticPr fontId="2"/>
  </si>
  <si>
    <t>退院予定の有無</t>
    <phoneticPr fontId="2"/>
  </si>
  <si>
    <t>家族が退院に反対している</t>
    <rPh sb="3" eb="5">
      <t>タイイン</t>
    </rPh>
    <rPh sb="6" eb="8">
      <t>ハンタイ</t>
    </rPh>
    <phoneticPr fontId="2"/>
  </si>
  <si>
    <t>家族が退院に反対している</t>
    <phoneticPr fontId="2"/>
  </si>
  <si>
    <t>住所地と入院先の距離があり支援体制がとりにくい</t>
    <phoneticPr fontId="2"/>
  </si>
  <si>
    <t>家族が退院に反対している</t>
    <rPh sb="0" eb="2">
      <t>カゾク</t>
    </rPh>
    <rPh sb="3" eb="5">
      <t>タイイン</t>
    </rPh>
    <rPh sb="6" eb="8">
      <t>ハンタイ</t>
    </rPh>
    <phoneticPr fontId="2"/>
  </si>
  <si>
    <t>精神遅滞〔知的障害〕（F7）</t>
    <phoneticPr fontId="2"/>
  </si>
  <si>
    <t>病状は落ち着いているが、ときどき不安定な病状が見られ、そのことが退院を阻害する要因になっている</t>
    <phoneticPr fontId="2"/>
  </si>
  <si>
    <t>精神作用物質使用による精神及び行動の障害（F1）</t>
    <phoneticPr fontId="2"/>
  </si>
  <si>
    <t>統合失調症、統合失調症型障害及び妄想性障害（F2）</t>
    <phoneticPr fontId="2"/>
  </si>
  <si>
    <t>神経症性障害、ストレス関連障害及び身体表現性障害（F4）</t>
  </si>
  <si>
    <t>生理的障害及び身体的要因に関連した行動症候群（F5）</t>
  </si>
  <si>
    <t>精神遅滞〔知的障害〕（F7）</t>
  </si>
  <si>
    <t>成人のパーソナリティ及び行動の障害（F6)</t>
    <phoneticPr fontId="2"/>
  </si>
  <si>
    <t>精神遅滞〔知的障害〕（F7)</t>
    <phoneticPr fontId="2"/>
  </si>
  <si>
    <t>小児期及び青年期に通常発症する行動及び情緒の障害及び特定不能の精神障害（F9)</t>
    <phoneticPr fontId="2"/>
  </si>
  <si>
    <t>成人のパーソナリティ及び行動の障害（F6)</t>
  </si>
  <si>
    <t>小児期及び青年期に通常発症する行動及び情緒の障害及び特定不能の精神障害（F9)</t>
  </si>
  <si>
    <t>成人のパーソナリティ及び行動の障害（F6)</t>
    <phoneticPr fontId="2"/>
  </si>
  <si>
    <t>総計</t>
  </si>
  <si>
    <t>　＜複数回答＞</t>
    <rPh sb="2" eb="4">
      <t>フクスウ</t>
    </rPh>
    <rPh sb="4" eb="6">
      <t>カイトウ</t>
    </rPh>
    <phoneticPr fontId="2"/>
  </si>
  <si>
    <t>　＜複数回答＞</t>
    <phoneticPr fontId="2"/>
  </si>
  <si>
    <t>65歳以上</t>
    <rPh sb="2" eb="3">
      <t>サイ</t>
    </rPh>
    <rPh sb="3" eb="5">
      <t>イジョウ</t>
    </rPh>
    <phoneticPr fontId="2"/>
  </si>
  <si>
    <t>年齢</t>
    <rPh sb="0" eb="2">
      <t>ネンレイ</t>
    </rPh>
    <phoneticPr fontId="2"/>
  </si>
  <si>
    <t>65歳未満</t>
    <rPh sb="2" eb="5">
      <t>サイミマン</t>
    </rPh>
    <phoneticPr fontId="2"/>
  </si>
  <si>
    <t>症状性を含む器質性精神障害（F０）</t>
    <phoneticPr fontId="2"/>
  </si>
  <si>
    <t>アルツハイマー病の認知症を含む器質性精神障害（F00）</t>
    <phoneticPr fontId="2"/>
  </si>
  <si>
    <t>1年以上5年未満</t>
    <phoneticPr fontId="2"/>
  </si>
  <si>
    <t>5年以上10年未満</t>
    <phoneticPr fontId="2"/>
  </si>
  <si>
    <t>統合失調症、統合失調症型障害及び妄想性障害（F2）</t>
    <phoneticPr fontId="2"/>
  </si>
  <si>
    <t>割合には「退院阻害要因がある」それぞれの人数に対する割合を表示しています。</t>
    <rPh sb="0" eb="2">
      <t>ワリアイ</t>
    </rPh>
    <rPh sb="5" eb="7">
      <t>タイイン</t>
    </rPh>
    <rPh sb="7" eb="9">
      <t>ソガイ</t>
    </rPh>
    <rPh sb="9" eb="11">
      <t>ヨウイン</t>
    </rPh>
    <rPh sb="20" eb="22">
      <t>ニンズウ</t>
    </rPh>
    <rPh sb="23" eb="24">
      <t>タイ</t>
    </rPh>
    <rPh sb="26" eb="28">
      <t>ワリアイ</t>
    </rPh>
    <rPh sb="29" eb="31">
      <t>ヒョウジ</t>
    </rPh>
    <phoneticPr fontId="2"/>
  </si>
  <si>
    <t>割合には「退院阻害要因がある」それぞれの人数に対する割合を表示しています。</t>
    <phoneticPr fontId="2"/>
  </si>
  <si>
    <t>寛解・院内寛解</t>
    <rPh sb="0" eb="2">
      <t>カンカイ</t>
    </rPh>
    <rPh sb="3" eb="5">
      <t>インナイ</t>
    </rPh>
    <rPh sb="5" eb="7">
      <t>カンカイ</t>
    </rPh>
    <phoneticPr fontId="2"/>
  </si>
  <si>
    <t>寛解</t>
    <rPh sb="0" eb="2">
      <t>カンカイ</t>
    </rPh>
    <phoneticPr fontId="2"/>
  </si>
  <si>
    <t>院内寛解</t>
    <rPh sb="0" eb="2">
      <t>インナイ</t>
    </rPh>
    <rPh sb="2" eb="4">
      <t>カンカイ</t>
    </rPh>
    <phoneticPr fontId="2"/>
  </si>
  <si>
    <t>患者全体</t>
    <rPh sb="0" eb="2">
      <t>カンジャ</t>
    </rPh>
    <rPh sb="2" eb="4">
      <t>ゼンタイ</t>
    </rPh>
    <phoneticPr fontId="2"/>
  </si>
  <si>
    <t>合計</t>
    <rPh sb="0" eb="2">
      <t>ゴウケイ</t>
    </rPh>
    <phoneticPr fontId="2"/>
  </si>
  <si>
    <t>寛解・院内寛解群</t>
    <rPh sb="0" eb="2">
      <t>カンカイ</t>
    </rPh>
    <rPh sb="3" eb="5">
      <t>インナイ</t>
    </rPh>
    <rPh sb="5" eb="7">
      <t>カンカイ</t>
    </rPh>
    <rPh sb="7" eb="8">
      <t>グン</t>
    </rPh>
    <phoneticPr fontId="2"/>
  </si>
  <si>
    <t>入院形態</t>
    <rPh sb="0" eb="2">
      <t>ニュウイン</t>
    </rPh>
    <rPh sb="2" eb="4">
      <t>ケイタイ</t>
    </rPh>
    <phoneticPr fontId="2"/>
  </si>
  <si>
    <t>院内寛解</t>
    <rPh sb="0" eb="2">
      <t>インナイ</t>
    </rPh>
    <phoneticPr fontId="2"/>
  </si>
  <si>
    <t>疾患名</t>
    <rPh sb="0" eb="2">
      <t>シッカン</t>
    </rPh>
    <rPh sb="2" eb="3">
      <t>メイ</t>
    </rPh>
    <phoneticPr fontId="2"/>
  </si>
  <si>
    <t>F01血管性認知症</t>
  </si>
  <si>
    <t>F02-09上記以外の症状性を含む器質性精神障害</t>
  </si>
  <si>
    <t>F10アルコール使用による精神及び行動の障害</t>
  </si>
  <si>
    <t>F2統合失調症、統合失調症型障害及び妄想性障害</t>
  </si>
  <si>
    <t>F30‐31　躁病エピソード・双極性感情障害［躁うつ病］</t>
  </si>
  <si>
    <t>F32-39　その他の気分障害</t>
  </si>
  <si>
    <t>F4神経症性障害、ストレス関連障害及び身体表現性障害</t>
  </si>
  <si>
    <t>F5生理的障害及び身体的要因に関連した行動症候群</t>
  </si>
  <si>
    <t>F7精神遅滞〔知的障害〕</t>
  </si>
  <si>
    <t>F8心理的発達の障害</t>
  </si>
  <si>
    <t>てんかん（F0に属さないものを計上する）</t>
  </si>
  <si>
    <t>F00アルツハイマー病型認知症</t>
  </si>
  <si>
    <t>F6成人のパーソナリティ及び行動の障害</t>
  </si>
  <si>
    <t>F9小児期及び青年期に通常発症する行動及び情緒の障害及び特定不能の精神障害</t>
  </si>
  <si>
    <t>年齢区分</t>
    <rPh sb="0" eb="2">
      <t>ネンレイ</t>
    </rPh>
    <rPh sb="2" eb="4">
      <t>クブン</t>
    </rPh>
    <phoneticPr fontId="2"/>
  </si>
  <si>
    <t>在院期間</t>
    <rPh sb="0" eb="2">
      <t>ザイイン</t>
    </rPh>
    <rPh sb="2" eb="4">
      <t>キカン</t>
    </rPh>
    <phoneticPr fontId="2"/>
  </si>
  <si>
    <t>65-69歳</t>
  </si>
  <si>
    <t>70-74歳</t>
  </si>
  <si>
    <t>75-79歳</t>
  </si>
  <si>
    <t>80-84歳</t>
  </si>
  <si>
    <t>85-89歳</t>
  </si>
  <si>
    <t>寛解・院内寛解</t>
    <rPh sb="3" eb="7">
      <t>インナイカンカイ</t>
    </rPh>
    <phoneticPr fontId="2"/>
  </si>
  <si>
    <t>65歳未満</t>
  </si>
  <si>
    <t>65歳以上</t>
  </si>
  <si>
    <t>列1</t>
  </si>
  <si>
    <t>合計 / 病状は落ち着いているが、ときどき不安定な病状が見られ、そのことが退院を阻害する要因になっている</t>
  </si>
  <si>
    <t>合計 / 病識がなく通院服薬の中断が予測される</t>
  </si>
  <si>
    <t>〔アルツハイマー病型認知症・血管性認知症以外の症状性を含む器質性精神障害（F02-F09）〕</t>
  </si>
  <si>
    <t>アルコール覚せい剤を除く精神作用物質使用による精神及び行動の障害※</t>
    <phoneticPr fontId="2"/>
  </si>
  <si>
    <t>覚せい剤による精神及び行動の障害※</t>
    <phoneticPr fontId="2"/>
  </si>
  <si>
    <t>F1</t>
    <phoneticPr fontId="2"/>
  </si>
  <si>
    <t>F2</t>
  </si>
  <si>
    <t>F3</t>
  </si>
  <si>
    <t>F4</t>
  </si>
  <si>
    <t>F5</t>
  </si>
  <si>
    <t>F6</t>
  </si>
  <si>
    <t>F7</t>
  </si>
  <si>
    <t>F8</t>
  </si>
  <si>
    <t>F9</t>
  </si>
  <si>
    <t>てんかん</t>
    <phoneticPr fontId="2"/>
  </si>
  <si>
    <t>その他</t>
    <rPh sb="2" eb="3">
      <t>タ</t>
    </rPh>
    <phoneticPr fontId="2"/>
  </si>
  <si>
    <t>F0</t>
    <phoneticPr fontId="2"/>
  </si>
  <si>
    <t>1年以上5年未満</t>
    <rPh sb="2" eb="4">
      <t>イジョウ</t>
    </rPh>
    <phoneticPr fontId="2"/>
  </si>
  <si>
    <t>5年以上10年未満</t>
    <rPh sb="1" eb="2">
      <t>ネン</t>
    </rPh>
    <rPh sb="2" eb="4">
      <t>イジョウ</t>
    </rPh>
    <phoneticPr fontId="2"/>
  </si>
  <si>
    <t>寛解・院内寛解群</t>
    <rPh sb="0" eb="2">
      <t>カンカイ</t>
    </rPh>
    <rPh sb="3" eb="8">
      <t>インナイカンカイグン</t>
    </rPh>
    <phoneticPr fontId="2"/>
  </si>
  <si>
    <t>【在院期間　※自動入力】</t>
    <rPh sb="1" eb="3">
      <t>ザイイン</t>
    </rPh>
    <rPh sb="3" eb="5">
      <t>キカン</t>
    </rPh>
    <rPh sb="7" eb="9">
      <t>ジドウ</t>
    </rPh>
    <rPh sb="9" eb="11">
      <t>ニュウリョク</t>
    </rPh>
    <phoneticPr fontId="2"/>
  </si>
  <si>
    <t>全在院患者</t>
    <rPh sb="0" eb="1">
      <t>ゼン</t>
    </rPh>
    <rPh sb="1" eb="3">
      <t>ザイイン</t>
    </rPh>
    <rPh sb="3" eb="5">
      <t>カンジャ</t>
    </rPh>
    <phoneticPr fontId="2"/>
  </si>
  <si>
    <t>在院1年以上寛解・院内寛解群</t>
  </si>
  <si>
    <t>病状は落ち着いているが、ときどき不安定な病状が見られ、そのことが退院を阻害する要因になっている</t>
    <rPh sb="0" eb="2">
      <t>ビョウジョウ</t>
    </rPh>
    <rPh sb="3" eb="4">
      <t>オ</t>
    </rPh>
    <rPh sb="5" eb="6">
      <t>ツ</t>
    </rPh>
    <rPh sb="16" eb="19">
      <t>フアンテイ</t>
    </rPh>
    <rPh sb="20" eb="22">
      <t>ビョウジョウ</t>
    </rPh>
    <rPh sb="23" eb="24">
      <t>ミ</t>
    </rPh>
    <rPh sb="32" eb="34">
      <t>タイイン</t>
    </rPh>
    <rPh sb="35" eb="37">
      <t>ソガイ</t>
    </rPh>
    <rPh sb="39" eb="41">
      <t>ヨウイン</t>
    </rPh>
    <phoneticPr fontId="22"/>
  </si>
  <si>
    <t>退院による環境変化への不安が強い</t>
    <phoneticPr fontId="2"/>
  </si>
  <si>
    <t>家事（食事・洗濯・金銭管理など）ができない</t>
    <phoneticPr fontId="2"/>
  </si>
  <si>
    <t>家族がいない、本人をサポートする機能が実質ない</t>
    <phoneticPr fontId="2"/>
  </si>
  <si>
    <t>家族が退院に反対している</t>
    <rPh sb="3" eb="5">
      <t>タイイン</t>
    </rPh>
    <rPh sb="6" eb="8">
      <t>ハンタイ</t>
    </rPh>
    <phoneticPr fontId="22"/>
  </si>
  <si>
    <t>住所地と入院先の距離があり支援体制がとりにくい</t>
  </si>
  <si>
    <t>病状（主症状）が落ち着き、入院によらない形で治療ができる程度まで回復</t>
    <phoneticPr fontId="2"/>
  </si>
  <si>
    <t>病状（主症状）が不安定で入院による治療が必要</t>
  </si>
  <si>
    <t>退院阻害要因がない</t>
    <rPh sb="0" eb="2">
      <t>タイイン</t>
    </rPh>
    <rPh sb="2" eb="4">
      <t>ソガイ</t>
    </rPh>
    <rPh sb="4" eb="6">
      <t>ヨウイン</t>
    </rPh>
    <phoneticPr fontId="2"/>
  </si>
  <si>
    <t>阻害要因　TOP5</t>
    <rPh sb="0" eb="2">
      <t>ソガイ</t>
    </rPh>
    <rPh sb="2" eb="4">
      <t>ヨウイン</t>
    </rPh>
    <phoneticPr fontId="2"/>
  </si>
  <si>
    <t>LANK</t>
    <phoneticPr fontId="2"/>
  </si>
  <si>
    <t>病状（主症状）が不安定で入院による治療が必要</t>
    <phoneticPr fontId="2"/>
  </si>
  <si>
    <t>退院予定</t>
    <phoneticPr fontId="2"/>
  </si>
  <si>
    <t>退院予定の有無</t>
    <rPh sb="2" eb="4">
      <t>ヨテイ</t>
    </rPh>
    <rPh sb="5" eb="7">
      <t>ウム</t>
    </rPh>
    <phoneticPr fontId="2"/>
  </si>
  <si>
    <t>退院阻害要因の有無</t>
    <rPh sb="0" eb="2">
      <t>タイイン</t>
    </rPh>
    <rPh sb="2" eb="4">
      <t>ソガイ</t>
    </rPh>
    <rPh sb="4" eb="6">
      <t>ヨウイン</t>
    </rPh>
    <rPh sb="7" eb="9">
      <t>ウム</t>
    </rPh>
    <phoneticPr fontId="2"/>
  </si>
  <si>
    <t>退院阻害要因の有無2</t>
    <rPh sb="0" eb="6">
      <t>タイインソガイヨウイン</t>
    </rPh>
    <rPh sb="7" eb="9">
      <t>ウム</t>
    </rPh>
    <phoneticPr fontId="2"/>
  </si>
  <si>
    <t>【退院予定及び阻害要因　※自動入力】</t>
    <rPh sb="1" eb="3">
      <t>タイイン</t>
    </rPh>
    <rPh sb="3" eb="5">
      <t>ヨテイ</t>
    </rPh>
    <rPh sb="5" eb="6">
      <t>オヨ</t>
    </rPh>
    <rPh sb="7" eb="9">
      <t>ソガイ</t>
    </rPh>
    <rPh sb="9" eb="11">
      <t>ヨウイン</t>
    </rPh>
    <rPh sb="13" eb="15">
      <t>ジドウ</t>
    </rPh>
    <rPh sb="15" eb="17">
      <t>ニュウリョク</t>
    </rPh>
    <phoneticPr fontId="2"/>
  </si>
  <si>
    <t>全体</t>
    <rPh sb="0" eb="2">
      <t>ゼンタイ</t>
    </rPh>
    <phoneticPr fontId="2"/>
  </si>
  <si>
    <t>寛解院内寛解</t>
    <rPh sb="0" eb="6">
      <t>カンカイインナイカンカイ</t>
    </rPh>
    <phoneticPr fontId="2"/>
  </si>
  <si>
    <t>寛解院内寛解合計</t>
    <rPh sb="0" eb="2">
      <t>カンカイ</t>
    </rPh>
    <rPh sb="2" eb="4">
      <t>インナイ</t>
    </rPh>
    <rPh sb="4" eb="6">
      <t>カンカイ</t>
    </rPh>
    <rPh sb="6" eb="8">
      <t>ゴウケイ</t>
    </rPh>
    <phoneticPr fontId="2"/>
  </si>
  <si>
    <t>F0</t>
  </si>
  <si>
    <t>F1</t>
  </si>
  <si>
    <t>てんかん</t>
  </si>
  <si>
    <t>病状は落ち着いているが、ときどき不安定な病状が見られ、そのことが退院を阻害する要因になっている</t>
  </si>
  <si>
    <t>家族が退院に反対している</t>
  </si>
  <si>
    <t>家族がいない・本人をサポートする機能が実質ない</t>
  </si>
  <si>
    <t>1年未満</t>
  </si>
  <si>
    <t>1年以上5年未満</t>
  </si>
  <si>
    <t>5年以上10年未満</t>
  </si>
  <si>
    <t>10年以上</t>
  </si>
  <si>
    <t>データ貼り付けは表の下にあります。</t>
    <rPh sb="3" eb="4">
      <t>ハ</t>
    </rPh>
    <rPh sb="5" eb="6">
      <t>ツ</t>
    </rPh>
    <rPh sb="8" eb="9">
      <t>ヒョウ</t>
    </rPh>
    <rPh sb="10" eb="11">
      <t>シタ</t>
    </rPh>
    <phoneticPr fontId="2"/>
  </si>
  <si>
    <t>直接入力しないようにご注意ください。</t>
    <rPh sb="0" eb="2">
      <t>チョクセツ</t>
    </rPh>
    <rPh sb="2" eb="4">
      <t>ニュウリョク</t>
    </rPh>
    <rPh sb="11" eb="13">
      <t>チュウイ</t>
    </rPh>
    <phoneticPr fontId="2"/>
  </si>
  <si>
    <t>院内寛解</t>
    <rPh sb="0" eb="2">
      <t>インナイ</t>
    </rPh>
    <phoneticPr fontId="2"/>
  </si>
  <si>
    <t>こちらのシートは直接入力です。</t>
    <rPh sb="8" eb="10">
      <t>チョクセツ</t>
    </rPh>
    <rPh sb="10" eb="12">
      <t>ニュウリョク</t>
    </rPh>
    <phoneticPr fontId="2"/>
  </si>
  <si>
    <t>08_3年～4年未満</t>
    <phoneticPr fontId="2"/>
  </si>
  <si>
    <t>患者全体</t>
  </si>
  <si>
    <t>合計</t>
  </si>
  <si>
    <t>寛解・院内寛解群</t>
  </si>
  <si>
    <t>1年以上</t>
    <rPh sb="1" eb="4">
      <t>ネンイジョウ</t>
    </rPh>
    <phoneticPr fontId="2"/>
  </si>
  <si>
    <t>こちらのシートは直接貼り付けです。</t>
    <rPh sb="8" eb="10">
      <t>チョクセツ</t>
    </rPh>
    <rPh sb="10" eb="11">
      <t>ハ</t>
    </rPh>
    <rPh sb="12" eb="13">
      <t>ツ</t>
    </rPh>
    <phoneticPr fontId="2"/>
  </si>
  <si>
    <t>行ラベル</t>
  </si>
  <si>
    <t>緊急措置入院</t>
  </si>
  <si>
    <t>不明</t>
  </si>
  <si>
    <t>不明</t>
    <rPh sb="0" eb="2">
      <t>フメイ</t>
    </rPh>
    <phoneticPr fontId="2"/>
  </si>
  <si>
    <t>不明</t>
    <rPh sb="0" eb="2">
      <t>フメイ</t>
    </rPh>
    <phoneticPr fontId="2"/>
  </si>
  <si>
    <t>身体的機能や状態を原因としたADLの低下がある</t>
    <phoneticPr fontId="2"/>
  </si>
  <si>
    <t>身体合併症の程度が重いなど身体面のフォローが必要であり、地域での生活が困難</t>
    <phoneticPr fontId="2"/>
  </si>
  <si>
    <t>不明</t>
    <rPh sb="0" eb="2">
      <t>フメイ</t>
    </rPh>
    <phoneticPr fontId="2"/>
  </si>
  <si>
    <t>身体的機能や状態を原因としたADLの低下がある</t>
  </si>
  <si>
    <t>身体合併症の程度が重いなど身体面のフォローが必要であり、地域での生活が困難</t>
  </si>
  <si>
    <t>合計 / 身体的機能や状態を原因としたADLの低下がある</t>
  </si>
  <si>
    <t>合計 / 身体合併症の程度が重いなど身体面のフォローが必要であり、地域での生活が困難</t>
  </si>
  <si>
    <t>(空白)</t>
  </si>
  <si>
    <t>【年齢区分×病院所在地（圏域）】</t>
    <phoneticPr fontId="2"/>
  </si>
  <si>
    <t>豊能</t>
  </si>
  <si>
    <t>三島</t>
  </si>
  <si>
    <t>北河内</t>
  </si>
  <si>
    <t>中河内</t>
  </si>
  <si>
    <t>南河内</t>
  </si>
  <si>
    <t>泉州</t>
  </si>
  <si>
    <t>大阪市</t>
  </si>
  <si>
    <t>堺市</t>
  </si>
  <si>
    <t>01豊能北</t>
  </si>
  <si>
    <t>02豊能豊中</t>
  </si>
  <si>
    <t>03豊能吹田</t>
  </si>
  <si>
    <t>04三島</t>
  </si>
  <si>
    <t>05三島高槻</t>
  </si>
  <si>
    <t>06北河内枚方</t>
  </si>
  <si>
    <t>07北河内寝屋川</t>
  </si>
  <si>
    <t>08北河内西</t>
  </si>
  <si>
    <t>09北河内東</t>
  </si>
  <si>
    <t>10中河内東大阪</t>
  </si>
  <si>
    <t>【入院形態区分×病院所在地（圏域）】</t>
    <phoneticPr fontId="2"/>
  </si>
  <si>
    <t>措置入院・</t>
    <phoneticPr fontId="2"/>
  </si>
  <si>
    <t>【疾患名区分×病院所在地（圏域）】</t>
    <rPh sb="1" eb="3">
      <t>シッカン</t>
    </rPh>
    <rPh sb="3" eb="4">
      <t>メイ</t>
    </rPh>
    <phoneticPr fontId="2"/>
  </si>
  <si>
    <t>症状性を含む器質性精神障害（F0）</t>
  </si>
  <si>
    <t>アルツハイマー病の認知症を含む器質性精神障害（F00）</t>
  </si>
  <si>
    <t>血管性認知症を含む器質性精神障害（F01）</t>
  </si>
  <si>
    <t>アルツハイマー病の認知症・血管性認知症以外の症状性を含む器質性精神障害（F02-F09）</t>
    <phoneticPr fontId="2"/>
  </si>
  <si>
    <t>成人のパーソナリティ及び行動の障害（F6）</t>
    <phoneticPr fontId="2"/>
  </si>
  <si>
    <t>知的障害（F7）</t>
    <rPh sb="0" eb="2">
      <t>チテキ</t>
    </rPh>
    <rPh sb="2" eb="4">
      <t>ショウガイ</t>
    </rPh>
    <phoneticPr fontId="2"/>
  </si>
  <si>
    <t>小児期及び青年期の通常発症する行動及び情緒の障害及び特定不能の精神障害（F9）</t>
    <phoneticPr fontId="2"/>
  </si>
  <si>
    <t>【在院期間区分×病院所在地（圏域）】</t>
    <rPh sb="1" eb="3">
      <t>ザイイン</t>
    </rPh>
    <rPh sb="3" eb="5">
      <t>キカン</t>
    </rPh>
    <phoneticPr fontId="2"/>
  </si>
  <si>
    <t>1ヶ月～</t>
    <phoneticPr fontId="2"/>
  </si>
  <si>
    <t>3ヶ月未満</t>
    <phoneticPr fontId="2"/>
  </si>
  <si>
    <t>3ヶ月～</t>
    <phoneticPr fontId="2"/>
  </si>
  <si>
    <t>6ヶ月未満</t>
    <phoneticPr fontId="2"/>
  </si>
  <si>
    <t>6ヶ月～</t>
    <phoneticPr fontId="2"/>
  </si>
  <si>
    <t>1年～</t>
    <phoneticPr fontId="2"/>
  </si>
  <si>
    <t>1年6ヶ月未満</t>
    <phoneticPr fontId="2"/>
  </si>
  <si>
    <t>1年6ヶ月</t>
    <phoneticPr fontId="2"/>
  </si>
  <si>
    <t>～2年未満</t>
    <phoneticPr fontId="2"/>
  </si>
  <si>
    <t>2年～</t>
    <phoneticPr fontId="2"/>
  </si>
  <si>
    <t>3年未満</t>
    <phoneticPr fontId="2"/>
  </si>
  <si>
    <t>3年～</t>
    <phoneticPr fontId="2"/>
  </si>
  <si>
    <t>4年未満</t>
    <phoneticPr fontId="2"/>
  </si>
  <si>
    <t>4年～</t>
    <phoneticPr fontId="2"/>
  </si>
  <si>
    <t>5年未満</t>
    <phoneticPr fontId="2"/>
  </si>
  <si>
    <t>5年～</t>
    <phoneticPr fontId="2"/>
  </si>
  <si>
    <t>6年未満</t>
    <phoneticPr fontId="2"/>
  </si>
  <si>
    <t>6年～</t>
    <phoneticPr fontId="2"/>
  </si>
  <si>
    <t>7年未満</t>
    <phoneticPr fontId="2"/>
  </si>
  <si>
    <t>7年～</t>
    <phoneticPr fontId="2"/>
  </si>
  <si>
    <t>8年未満</t>
    <phoneticPr fontId="2"/>
  </si>
  <si>
    <t>8年～</t>
    <phoneticPr fontId="2"/>
  </si>
  <si>
    <t>9年未満</t>
    <phoneticPr fontId="2"/>
  </si>
  <si>
    <t>9年～</t>
    <phoneticPr fontId="2"/>
  </si>
  <si>
    <t>10年未満</t>
    <phoneticPr fontId="2"/>
  </si>
  <si>
    <t>10年～</t>
    <phoneticPr fontId="2"/>
  </si>
  <si>
    <t>20年未満</t>
    <phoneticPr fontId="2"/>
  </si>
  <si>
    <t>1年以上</t>
    <rPh sb="2" eb="4">
      <t>イジョウ</t>
    </rPh>
    <phoneticPr fontId="32"/>
  </si>
  <si>
    <t>5年未満（再掲）</t>
    <phoneticPr fontId="2"/>
  </si>
  <si>
    <t>5年以上</t>
    <rPh sb="1" eb="2">
      <t>ネン</t>
    </rPh>
    <rPh sb="2" eb="4">
      <t>イジョウ</t>
    </rPh>
    <phoneticPr fontId="32"/>
  </si>
  <si>
    <t>10年未満（再掲）</t>
    <phoneticPr fontId="2"/>
  </si>
  <si>
    <t>10年以上（再掲）</t>
    <phoneticPr fontId="2"/>
  </si>
  <si>
    <t>【状態像区分×病院所在地（圏域）】</t>
    <rPh sb="1" eb="3">
      <t>ジョウタイ</t>
    </rPh>
    <rPh sb="3" eb="4">
      <t>ゾウ</t>
    </rPh>
    <phoneticPr fontId="2"/>
  </si>
  <si>
    <t>【退院阻害要因の有無×病院所在地（圏域）】</t>
    <phoneticPr fontId="2"/>
  </si>
  <si>
    <t>病状（主症状）が落ち着き、入院によらない形で治療ができるまで回復</t>
    <rPh sb="0" eb="2">
      <t>ビョウジョウ</t>
    </rPh>
    <phoneticPr fontId="2"/>
  </si>
  <si>
    <t>退院阻害要因はない</t>
    <rPh sb="0" eb="2">
      <t>タイイン</t>
    </rPh>
    <rPh sb="2" eb="4">
      <t>ソガイ</t>
    </rPh>
    <rPh sb="4" eb="6">
      <t>ヨウイン</t>
    </rPh>
    <phoneticPr fontId="2"/>
  </si>
  <si>
    <t>【退院阻害要因（複数回答）×病院所在地（圏域）】</t>
    <phoneticPr fontId="2"/>
  </si>
  <si>
    <t>反社会的行動が予測される</t>
    <phoneticPr fontId="2"/>
  </si>
  <si>
    <t>退院意欲が乏しい</t>
    <phoneticPr fontId="2"/>
  </si>
  <si>
    <t>現実認識が乏しい</t>
    <phoneticPr fontId="2"/>
  </si>
  <si>
    <t>援助者との対人関係がもてない</t>
    <phoneticPr fontId="2"/>
  </si>
  <si>
    <t>住まいの確保ができない</t>
    <phoneticPr fontId="2"/>
  </si>
  <si>
    <t>生活費の確保ができない</t>
    <phoneticPr fontId="2"/>
  </si>
  <si>
    <t>日常生活を支える制度がない</t>
    <phoneticPr fontId="2"/>
  </si>
  <si>
    <t>救急診療体制がない</t>
    <phoneticPr fontId="2"/>
  </si>
  <si>
    <t>退院に向けてサポートする人的資源が乏しい</t>
    <phoneticPr fontId="2"/>
  </si>
  <si>
    <t>退院後サポート・マネジメントする人的資源が乏しい</t>
    <phoneticPr fontId="2"/>
  </si>
  <si>
    <t>その他の退院阻害要因がある</t>
    <phoneticPr fontId="2"/>
  </si>
  <si>
    <t>【年齢区分×入院時住所地（圏域）】</t>
    <rPh sb="6" eb="8">
      <t>ニュウイン</t>
    </rPh>
    <rPh sb="8" eb="9">
      <t>ジ</t>
    </rPh>
    <rPh sb="9" eb="11">
      <t>ジュウショ</t>
    </rPh>
    <phoneticPr fontId="2"/>
  </si>
  <si>
    <t>府外・
その他</t>
    <rPh sb="0" eb="1">
      <t>フ</t>
    </rPh>
    <rPh sb="1" eb="2">
      <t>ガイ</t>
    </rPh>
    <rPh sb="6" eb="7">
      <t>タ</t>
    </rPh>
    <phoneticPr fontId="2"/>
  </si>
  <si>
    <t>【入院形態区分×入院時住所地（圏域）】</t>
    <rPh sb="8" eb="10">
      <t>ニュウイン</t>
    </rPh>
    <rPh sb="10" eb="11">
      <t>ジ</t>
    </rPh>
    <rPh sb="11" eb="13">
      <t>ジュウショ</t>
    </rPh>
    <rPh sb="13" eb="14">
      <t>チ</t>
    </rPh>
    <rPh sb="15" eb="17">
      <t>ケンイキ</t>
    </rPh>
    <phoneticPr fontId="2"/>
  </si>
  <si>
    <t>【疾患名区分×入院時住所地（圏域）】</t>
    <rPh sb="1" eb="3">
      <t>シッカン</t>
    </rPh>
    <rPh sb="3" eb="4">
      <t>メイ</t>
    </rPh>
    <phoneticPr fontId="2"/>
  </si>
  <si>
    <t>【在院期間区分×入院時住所地（圏域）】</t>
    <rPh sb="1" eb="3">
      <t>ザイイン</t>
    </rPh>
    <rPh sb="3" eb="5">
      <t>キカン</t>
    </rPh>
    <phoneticPr fontId="2"/>
  </si>
  <si>
    <t>【状態像区分×入院時住所地（圏域）】</t>
    <rPh sb="1" eb="3">
      <t>ジョウタイ</t>
    </rPh>
    <rPh sb="3" eb="4">
      <t>ゾウ</t>
    </rPh>
    <phoneticPr fontId="2"/>
  </si>
  <si>
    <t>【退院阻害要因の有無×入院時住所地（圏域）】</t>
    <phoneticPr fontId="2"/>
  </si>
  <si>
    <t>【退院阻害要因（複数回答）×入院時住所地（圏域）】</t>
    <phoneticPr fontId="2"/>
  </si>
  <si>
    <t>【病院所在地（圏域）×入院時住所地（圏域）】</t>
    <rPh sb="1" eb="3">
      <t>ビョウイン</t>
    </rPh>
    <rPh sb="3" eb="6">
      <t>ショザイチ</t>
    </rPh>
    <rPh sb="7" eb="9">
      <t>ケンイキ</t>
    </rPh>
    <rPh sb="11" eb="13">
      <t>ニュウイン</t>
    </rPh>
    <rPh sb="13" eb="14">
      <t>ジ</t>
    </rPh>
    <rPh sb="14" eb="16">
      <t>ジュウショ</t>
    </rPh>
    <rPh sb="16" eb="17">
      <t>チ</t>
    </rPh>
    <rPh sb="18" eb="20">
      <t>ケンイキ</t>
    </rPh>
    <phoneticPr fontId="2"/>
  </si>
  <si>
    <t>病院所在地</t>
    <rPh sb="0" eb="2">
      <t>ビョウイン</t>
    </rPh>
    <rPh sb="2" eb="5">
      <t>ショザイチ</t>
    </rPh>
    <phoneticPr fontId="2"/>
  </si>
  <si>
    <t>入院時住所地</t>
    <rPh sb="0" eb="2">
      <t>ニュウイン</t>
    </rPh>
    <rPh sb="2" eb="3">
      <t>ジ</t>
    </rPh>
    <rPh sb="3" eb="5">
      <t>ジュウショ</t>
    </rPh>
    <rPh sb="5" eb="6">
      <t>チ</t>
    </rPh>
    <phoneticPr fontId="2"/>
  </si>
  <si>
    <t>（触らない）</t>
    <rPh sb="1" eb="2">
      <t>サワ</t>
    </rPh>
    <phoneticPr fontId="2"/>
  </si>
  <si>
    <t>1_豊能</t>
    <rPh sb="2" eb="4">
      <t>トヨノ</t>
    </rPh>
    <phoneticPr fontId="32"/>
  </si>
  <si>
    <t>2_三島</t>
    <rPh sb="2" eb="4">
      <t>ミシマ</t>
    </rPh>
    <phoneticPr fontId="32"/>
  </si>
  <si>
    <t>3_北河内</t>
    <rPh sb="2" eb="5">
      <t>キタカワチ</t>
    </rPh>
    <phoneticPr fontId="32"/>
  </si>
  <si>
    <t>4_中河内</t>
    <rPh sb="2" eb="3">
      <t>ナカ</t>
    </rPh>
    <rPh sb="3" eb="5">
      <t>カワチ</t>
    </rPh>
    <phoneticPr fontId="32"/>
  </si>
  <si>
    <t>5_南河内</t>
    <rPh sb="2" eb="5">
      <t>ミナミカワチ</t>
    </rPh>
    <phoneticPr fontId="32"/>
  </si>
  <si>
    <t>6_泉州</t>
    <rPh sb="2" eb="4">
      <t>センシュウ</t>
    </rPh>
    <phoneticPr fontId="32"/>
  </si>
  <si>
    <t>7_大阪市</t>
    <rPh sb="2" eb="5">
      <t>オオサカシ</t>
    </rPh>
    <phoneticPr fontId="32"/>
  </si>
  <si>
    <t>8_堺市</t>
    <rPh sb="2" eb="4">
      <t>サカイシ</t>
    </rPh>
    <phoneticPr fontId="32"/>
  </si>
  <si>
    <t>他府県・不明</t>
    <rPh sb="0" eb="1">
      <t>タ</t>
    </rPh>
    <rPh sb="1" eb="3">
      <t>フケン</t>
    </rPh>
    <rPh sb="4" eb="6">
      <t>フメイ</t>
    </rPh>
    <phoneticPr fontId="32"/>
  </si>
  <si>
    <t>大阪市</t>
    <rPh sb="0" eb="3">
      <t>オオサカシ</t>
    </rPh>
    <phoneticPr fontId="2"/>
  </si>
  <si>
    <t>堺市</t>
    <rPh sb="0" eb="2">
      <t>サカイシ</t>
    </rPh>
    <phoneticPr fontId="2"/>
  </si>
  <si>
    <t>【病院所在地（圏域）×入院時住所地（圏域）】〔１年以上入院患者〕</t>
    <rPh sb="1" eb="3">
      <t>ビョウイン</t>
    </rPh>
    <rPh sb="3" eb="6">
      <t>ショザイチ</t>
    </rPh>
    <rPh sb="7" eb="9">
      <t>ケンイキ</t>
    </rPh>
    <rPh sb="11" eb="13">
      <t>ニュウイン</t>
    </rPh>
    <rPh sb="13" eb="14">
      <t>ジ</t>
    </rPh>
    <rPh sb="14" eb="16">
      <t>ジュウショ</t>
    </rPh>
    <rPh sb="16" eb="17">
      <t>チ</t>
    </rPh>
    <rPh sb="18" eb="20">
      <t>ケンイキ</t>
    </rPh>
    <rPh sb="24" eb="27">
      <t>ネンイジョウ</t>
    </rPh>
    <rPh sb="27" eb="29">
      <t>ニュウイン</t>
    </rPh>
    <rPh sb="29" eb="31">
      <t>カンジャ</t>
    </rPh>
    <phoneticPr fontId="2"/>
  </si>
  <si>
    <t>【入院時住所地別在院患者の状況】</t>
    <rPh sb="1" eb="3">
      <t>ニュウイン</t>
    </rPh>
    <rPh sb="3" eb="4">
      <t>ジ</t>
    </rPh>
    <rPh sb="4" eb="6">
      <t>ジュウショ</t>
    </rPh>
    <rPh sb="6" eb="7">
      <t>チ</t>
    </rPh>
    <rPh sb="7" eb="8">
      <t>ベツ</t>
    </rPh>
    <rPh sb="8" eb="10">
      <t>ザイイン</t>
    </rPh>
    <rPh sb="10" eb="12">
      <t>カンジャ</t>
    </rPh>
    <rPh sb="13" eb="15">
      <t>ジョウキョウ</t>
    </rPh>
    <phoneticPr fontId="2"/>
  </si>
  <si>
    <t>在院1年以上</t>
    <rPh sb="0" eb="2">
      <t>ザイイン</t>
    </rPh>
    <rPh sb="3" eb="6">
      <t>ネンイジョウ</t>
    </rPh>
    <phoneticPr fontId="2"/>
  </si>
  <si>
    <t>在院1年未満</t>
    <rPh sb="0" eb="2">
      <t>ザイイン</t>
    </rPh>
    <rPh sb="3" eb="4">
      <t>ネン</t>
    </rPh>
    <rPh sb="4" eb="6">
      <t>ミマン</t>
    </rPh>
    <phoneticPr fontId="2"/>
  </si>
  <si>
    <t>軽度</t>
    <rPh sb="0" eb="2">
      <t>ケイド</t>
    </rPh>
    <phoneticPr fontId="2"/>
  </si>
  <si>
    <t>中等度</t>
    <rPh sb="0" eb="2">
      <t>チュウトウ</t>
    </rPh>
    <rPh sb="2" eb="3">
      <t>ド</t>
    </rPh>
    <phoneticPr fontId="2"/>
  </si>
  <si>
    <t>重度</t>
    <rPh sb="0" eb="2">
      <t>ジュウド</t>
    </rPh>
    <phoneticPr fontId="2"/>
  </si>
  <si>
    <t>最重度</t>
    <rPh sb="0" eb="1">
      <t>サイ</t>
    </rPh>
    <rPh sb="1" eb="3">
      <t>ジュウド</t>
    </rPh>
    <phoneticPr fontId="2"/>
  </si>
  <si>
    <t>小計</t>
    <rPh sb="0" eb="2">
      <t>ショウケイ</t>
    </rPh>
    <phoneticPr fontId="2"/>
  </si>
  <si>
    <t>池田市</t>
  </si>
  <si>
    <t>箕面市</t>
  </si>
  <si>
    <t>能勢町</t>
  </si>
  <si>
    <t>豊能町</t>
  </si>
  <si>
    <t>豊中市</t>
  </si>
  <si>
    <t>吹田市</t>
  </si>
  <si>
    <t>摂津市</t>
  </si>
  <si>
    <t>茨木市</t>
  </si>
  <si>
    <t>高槻市</t>
    <rPh sb="0" eb="3">
      <t>タカツキシ</t>
    </rPh>
    <phoneticPr fontId="2"/>
  </si>
  <si>
    <t>枚方市</t>
  </si>
  <si>
    <t>寝屋川市</t>
  </si>
  <si>
    <t>交野市</t>
  </si>
  <si>
    <t>大東市</t>
    <rPh sb="0" eb="2">
      <t>ダイトウ</t>
    </rPh>
    <phoneticPr fontId="2"/>
  </si>
  <si>
    <t>守口市</t>
    <rPh sb="0" eb="3">
      <t>モリグチシ</t>
    </rPh>
    <phoneticPr fontId="2"/>
  </si>
  <si>
    <t>門真市</t>
    <rPh sb="0" eb="3">
      <t>カドマシ</t>
    </rPh>
    <phoneticPr fontId="2"/>
  </si>
  <si>
    <t>東大阪市</t>
  </si>
  <si>
    <t>八尾市</t>
  </si>
  <si>
    <t>柏原市</t>
  </si>
  <si>
    <t>松原市</t>
  </si>
  <si>
    <t>藤井寺市</t>
  </si>
  <si>
    <t>羽曳野市</t>
  </si>
  <si>
    <t>大阪狭山市</t>
  </si>
  <si>
    <t>富田林市</t>
  </si>
  <si>
    <t>太子町</t>
  </si>
  <si>
    <t>河南町</t>
  </si>
  <si>
    <t>千早赤阪村</t>
  </si>
  <si>
    <t>河内長野市</t>
  </si>
  <si>
    <t>和泉市</t>
  </si>
  <si>
    <t>泉大津市</t>
  </si>
  <si>
    <t>高石市</t>
  </si>
  <si>
    <t>忠岡町</t>
  </si>
  <si>
    <t>岸和田市</t>
  </si>
  <si>
    <t>貝塚市</t>
  </si>
  <si>
    <t>熊取町</t>
  </si>
  <si>
    <t>泉佐野市</t>
  </si>
  <si>
    <t>田尻町</t>
  </si>
  <si>
    <t>泉南市</t>
  </si>
  <si>
    <t>阪南市</t>
  </si>
  <si>
    <t>岬町</t>
  </si>
  <si>
    <t>北区</t>
  </si>
  <si>
    <t>都島区</t>
  </si>
  <si>
    <t>福島区</t>
  </si>
  <si>
    <t>此花区</t>
  </si>
  <si>
    <t>中央区</t>
  </si>
  <si>
    <t>西区</t>
  </si>
  <si>
    <t>港区</t>
  </si>
  <si>
    <t>大正区</t>
  </si>
  <si>
    <t>天王寺区</t>
  </si>
  <si>
    <t>浪速区</t>
  </si>
  <si>
    <t>西淀川区</t>
  </si>
  <si>
    <t>淀川区</t>
  </si>
  <si>
    <t>東淀川区</t>
  </si>
  <si>
    <t>東成区</t>
  </si>
  <si>
    <t>生野区</t>
  </si>
  <si>
    <t>旭区</t>
  </si>
  <si>
    <t>城東区</t>
  </si>
  <si>
    <t>鶴見区</t>
  </si>
  <si>
    <t>阿倍野区</t>
  </si>
  <si>
    <t>住之江区</t>
  </si>
  <si>
    <t>住吉区</t>
  </si>
  <si>
    <t>東住吉区</t>
  </si>
  <si>
    <t>平野区</t>
  </si>
  <si>
    <t>西成区</t>
  </si>
  <si>
    <t>他府県</t>
    <rPh sb="0" eb="1">
      <t>タ</t>
    </rPh>
    <rPh sb="1" eb="3">
      <t>フケン</t>
    </rPh>
    <phoneticPr fontId="2"/>
  </si>
  <si>
    <t>滋賀県</t>
  </si>
  <si>
    <t>京都府</t>
  </si>
  <si>
    <t>奈良県</t>
  </si>
  <si>
    <t>兵庫県</t>
  </si>
  <si>
    <t>和歌山県</t>
  </si>
  <si>
    <t>11中河内八尾</t>
  </si>
  <si>
    <t>12中河内南</t>
  </si>
  <si>
    <t>13南河内北</t>
  </si>
  <si>
    <t>14南河内南</t>
  </si>
  <si>
    <t>15泉州北</t>
  </si>
  <si>
    <t>16泉州中</t>
  </si>
  <si>
    <t>17泉州南</t>
  </si>
  <si>
    <t>18大阪市</t>
  </si>
  <si>
    <t>19堺市</t>
  </si>
  <si>
    <t>合計</t>
    <rPh sb="0" eb="2">
      <t>ゴウケイ</t>
    </rPh>
    <phoneticPr fontId="2"/>
  </si>
  <si>
    <t>島本町</t>
  </si>
  <si>
    <t>四條畷市</t>
  </si>
  <si>
    <t>堺区</t>
    <rPh sb="0" eb="2">
      <t>サカイク</t>
    </rPh>
    <phoneticPr fontId="2"/>
  </si>
  <si>
    <t>西区</t>
    <rPh sb="0" eb="1">
      <t>ニシ</t>
    </rPh>
    <phoneticPr fontId="2"/>
  </si>
  <si>
    <t>中区</t>
    <rPh sb="0" eb="1">
      <t>ナカ</t>
    </rPh>
    <rPh sb="1" eb="2">
      <t>ク</t>
    </rPh>
    <phoneticPr fontId="2"/>
  </si>
  <si>
    <t>南区</t>
    <rPh sb="0" eb="2">
      <t>ミナミク</t>
    </rPh>
    <phoneticPr fontId="2"/>
  </si>
  <si>
    <t>北区</t>
    <rPh sb="0" eb="2">
      <t>キタク</t>
    </rPh>
    <phoneticPr fontId="2"/>
  </si>
  <si>
    <t>東区</t>
    <rPh sb="0" eb="2">
      <t>ヒガシク</t>
    </rPh>
    <phoneticPr fontId="2"/>
  </si>
  <si>
    <t>美原区</t>
    <rPh sb="0" eb="3">
      <t>ミハラク</t>
    </rPh>
    <phoneticPr fontId="2"/>
  </si>
  <si>
    <t>その他・不明</t>
    <rPh sb="4" eb="6">
      <t>フメイ</t>
    </rPh>
    <phoneticPr fontId="2"/>
  </si>
  <si>
    <t>アルツハイマー病の認知症・血管性認知症以外の、症状性を含む器質性精神障害（F02-F09）</t>
    <phoneticPr fontId="2"/>
  </si>
  <si>
    <t>その他大阪市</t>
    <rPh sb="2" eb="3">
      <t>タ</t>
    </rPh>
    <rPh sb="3" eb="5">
      <t>オオサカ</t>
    </rPh>
    <rPh sb="5" eb="6">
      <t>シ</t>
    </rPh>
    <phoneticPr fontId="2"/>
  </si>
  <si>
    <t>その他堺市</t>
    <rPh sb="2" eb="3">
      <t>タ</t>
    </rPh>
    <rPh sb="3" eb="5">
      <t>サカイシ</t>
    </rPh>
    <phoneticPr fontId="2"/>
  </si>
  <si>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</si>
  <si>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</si>
  <si>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</si>
  <si>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</si>
  <si>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</si>
  <si>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</si>
  <si>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</si>
  <si>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</si>
  <si>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</si>
  <si>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</si>
  <si>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</si>
  <si>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</si>
  <si>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</si>
  <si>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</si>
  <si>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</si>
  <si>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</si>
  <si>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</si>
  <si>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</si>
  <si>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</si>
  <si>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</si>
  <si>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列22</t>
  </si>
  <si>
    <t>列23</t>
  </si>
  <si>
    <t>バージョン　　日付　　　　　内容</t>
    <rPh sb="7" eb="9">
      <t>ヒヅケ</t>
    </rPh>
    <rPh sb="14" eb="16">
      <t>ナイヨウ</t>
    </rPh>
    <phoneticPr fontId="2"/>
  </si>
  <si>
    <t>データの個数 / 年齢</t>
  </si>
  <si>
    <t>データの個数 / 入院</t>
  </si>
  <si>
    <t>措置入院</t>
  </si>
  <si>
    <t>鑑定入院</t>
  </si>
  <si>
    <t>医療観察法による入院</t>
  </si>
  <si>
    <t>データの個数 / 疾患名</t>
  </si>
  <si>
    <t>不明</t>
    <rPh sb="0" eb="2">
      <t>フメイ</t>
    </rPh>
    <phoneticPr fontId="1"/>
  </si>
  <si>
    <t>データの個数 / 在院</t>
  </si>
  <si>
    <t>&lt;患者全体&gt;</t>
    <rPh sb="1" eb="3">
      <t>カンジャ</t>
    </rPh>
    <rPh sb="3" eb="5">
      <t>ゼンタイ</t>
    </rPh>
    <phoneticPr fontId="2"/>
  </si>
  <si>
    <t>全人数</t>
    <rPh sb="0" eb="1">
      <t>ゼン</t>
    </rPh>
    <rPh sb="1" eb="3">
      <t>ニンズウ</t>
    </rPh>
    <phoneticPr fontId="2"/>
  </si>
  <si>
    <t>入院病院圏域</t>
    <rPh sb="0" eb="2">
      <t>ニュウイン</t>
    </rPh>
    <rPh sb="2" eb="4">
      <t>ビョウイン</t>
    </rPh>
    <rPh sb="4" eb="6">
      <t>ケンイキ</t>
    </rPh>
    <phoneticPr fontId="2"/>
  </si>
  <si>
    <t>19歳以下</t>
    <rPh sb="2" eb="3">
      <t>サイ</t>
    </rPh>
    <rPh sb="3" eb="5">
      <t>イカ</t>
    </rPh>
    <phoneticPr fontId="2"/>
  </si>
  <si>
    <t>豊能</t>
    <rPh sb="0" eb="2">
      <t>トヨノ</t>
    </rPh>
    <phoneticPr fontId="2"/>
  </si>
  <si>
    <t>三島</t>
    <rPh sb="0" eb="2">
      <t>ミシマ</t>
    </rPh>
    <phoneticPr fontId="2"/>
  </si>
  <si>
    <t>北河内</t>
    <rPh sb="0" eb="3">
      <t>キタカワチ</t>
    </rPh>
    <phoneticPr fontId="2"/>
  </si>
  <si>
    <t>中河内</t>
    <rPh sb="0" eb="1">
      <t>ナカ</t>
    </rPh>
    <rPh sb="1" eb="3">
      <t>カワチ</t>
    </rPh>
    <phoneticPr fontId="2"/>
  </si>
  <si>
    <t>南河内</t>
    <rPh sb="0" eb="3">
      <t>ミナミカワチ</t>
    </rPh>
    <phoneticPr fontId="2"/>
  </si>
  <si>
    <t>泉州</t>
    <rPh sb="0" eb="2">
      <t>センシュウ</t>
    </rPh>
    <phoneticPr fontId="2"/>
  </si>
  <si>
    <t>65歳未満</t>
    <rPh sb="3" eb="5">
      <t>ミマン</t>
    </rPh>
    <phoneticPr fontId="2"/>
  </si>
  <si>
    <t>65歳以上</t>
    <rPh sb="3" eb="5">
      <t>イジョウ</t>
    </rPh>
    <phoneticPr fontId="2"/>
  </si>
  <si>
    <t>1年未満</t>
    <rPh sb="1" eb="2">
      <t>ネン</t>
    </rPh>
    <rPh sb="2" eb="4">
      <t>ミマン</t>
    </rPh>
    <phoneticPr fontId="2"/>
  </si>
  <si>
    <t>1年以上5年未満</t>
    <rPh sb="1" eb="4">
      <t>ネンイジョウ</t>
    </rPh>
    <rPh sb="5" eb="6">
      <t>ネン</t>
    </rPh>
    <rPh sb="6" eb="8">
      <t>ミマン</t>
    </rPh>
    <phoneticPr fontId="2"/>
  </si>
  <si>
    <t>5年以上10年未満</t>
    <rPh sb="1" eb="4">
      <t>ネンイジョウ</t>
    </rPh>
    <rPh sb="6" eb="7">
      <t>ネン</t>
    </rPh>
    <rPh sb="7" eb="9">
      <t>ミマン</t>
    </rPh>
    <phoneticPr fontId="2"/>
  </si>
  <si>
    <t>10年以上20年未満</t>
    <rPh sb="2" eb="5">
      <t>ネンイジョウ</t>
    </rPh>
    <rPh sb="7" eb="8">
      <t>ネン</t>
    </rPh>
    <rPh sb="8" eb="10">
      <t>ミマン</t>
    </rPh>
    <phoneticPr fontId="2"/>
  </si>
  <si>
    <t>20年以上</t>
    <rPh sb="2" eb="5">
      <t>ネンイジョウ</t>
    </rPh>
    <phoneticPr fontId="2"/>
  </si>
  <si>
    <t>状態像</t>
    <rPh sb="0" eb="2">
      <t>ジョウタイ</t>
    </rPh>
    <rPh sb="2" eb="3">
      <t>ゾウ</t>
    </rPh>
    <phoneticPr fontId="2"/>
  </si>
  <si>
    <t>その他</t>
    <phoneticPr fontId="2"/>
  </si>
  <si>
    <t>精神遅滞〔知的障害〕（F7)</t>
  </si>
  <si>
    <t>&lt;1年以上&gt;</t>
    <rPh sb="2" eb="5">
      <t>ネンイジョウ</t>
    </rPh>
    <phoneticPr fontId="2"/>
  </si>
  <si>
    <t>＜自動計算＿患者全体＞</t>
  </si>
  <si>
    <t>全体</t>
  </si>
  <si>
    <t>疾患名区分</t>
  </si>
  <si>
    <t>状態像</t>
  </si>
  <si>
    <t>全人数</t>
  </si>
  <si>
    <t>アルツハイマー病の認知症・血管性認知症以外の、_x000D_
症状性を含む器質性精神障害（F02-F09）</t>
  </si>
  <si>
    <t>＜自動計算＿1年以上＞</t>
  </si>
  <si>
    <t>【状態像区分×病院所在地（圏域）＿1年以上】</t>
    <rPh sb="1" eb="3">
      <t>ジョウタイ</t>
    </rPh>
    <rPh sb="3" eb="4">
      <t>ゾウ</t>
    </rPh>
    <rPh sb="18" eb="21">
      <t>ネンイジョウ</t>
    </rPh>
    <phoneticPr fontId="2"/>
  </si>
  <si>
    <t>身体合併症の程度が重いなど身体面のフォローが必要であり、
地域での生活が困難</t>
    <phoneticPr fontId="2"/>
  </si>
  <si>
    <t>身体合併症の程度が重いなど身体面の
フォローが必要であり、地域での生活が困難</t>
    <phoneticPr fontId="2"/>
  </si>
  <si>
    <t>令和6年度
巻末資料</t>
    <rPh sb="0" eb="2">
      <t>レイワ</t>
    </rPh>
    <rPh sb="3" eb="5">
      <t>ネンド</t>
    </rPh>
    <rPh sb="6" eb="8">
      <t>カンマツ</t>
    </rPh>
    <rPh sb="8" eb="10">
      <t>シリョウ</t>
    </rPh>
    <phoneticPr fontId="2"/>
  </si>
  <si>
    <t>Vol.1.0　　　　                    新規作成</t>
    <rPh sb="31" eb="33">
      <t>シンキ</t>
    </rPh>
    <rPh sb="33" eb="35">
      <t>サクセイ</t>
    </rPh>
    <phoneticPr fontId="2"/>
  </si>
  <si>
    <t>値</t>
  </si>
  <si>
    <t>98他府県</t>
  </si>
  <si>
    <t>99不明その他</t>
  </si>
  <si>
    <t>大阪市がない場合注意</t>
    <rPh sb="0" eb="3">
      <t>オオサカシ</t>
    </rPh>
    <rPh sb="6" eb="8">
      <t>バアイ</t>
    </rPh>
    <rPh sb="8" eb="10">
      <t>チュウイ</t>
    </rPh>
    <phoneticPr fontId="2"/>
  </si>
  <si>
    <t>↑</t>
    <phoneticPr fontId="2"/>
  </si>
</sst>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Red]\-#,##0\ "/>
    <numFmt numFmtId="177" formatCode="0.0%"/>
    <numFmt numFmtId="178" formatCode="\(#,##0\)"/>
    <numFmt numFmtId="179" formatCode="0_);[Red]\(0\)"/>
    <numFmt numFmtId="180" formatCode="\(0.0%\)"/>
    <numFmt numFmtId="181" formatCode="#,##0_);[Red]\(#,##0\)"/>
    <numFmt numFmtId="182" formatCode="#,##0_ "/>
    <numFmt numFmtId="183" formatCode="&quot;「割合」には退院阻害要因がある&quot;#,##0&quot;人に対する割合を表示しています。&quot;"/>
    <numFmt numFmtId="184" formatCode="&quot;「割合」には退院阻害要因がある人の合計&quot;#,##0&quot;人に対する割合を表示しています。&quot;"/>
    <numFmt numFmtId="185" formatCode="#,###&quot;人&quot;"/>
    <numFmt numFmtId="186" formatCode="#,##0&quot;人&quot;"/>
    <numFmt numFmtId="187" formatCode="\(#,##0&quot;人&quot;\)"/>
    <numFmt numFmtId="188" formatCode="0.0"/>
  </numFmts>
  <fonts count="47"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11"/>
      <color theme="1"/>
      <name val="メイリオ"/>
      <family val="3"/>
      <charset val="128"/>
    </font>
    <font>
      <b/>
      <sz val="12"/>
      <color theme="1"/>
      <name val="メイリオ"/>
      <family val="3"/>
      <charset val="128"/>
    </font>
    <font>
      <sz val="12"/>
      <color theme="1"/>
      <name val="メイリオ"/>
      <family val="3"/>
      <charset val="128"/>
    </font>
    <font>
      <b/>
      <sz val="11"/>
      <color theme="1"/>
      <name val="メイリオ"/>
      <family val="3"/>
      <charset val="128"/>
    </font>
    <font>
      <sz val="11"/>
      <color rgb="FFFF0000"/>
      <name val="メイリオ"/>
      <family val="3"/>
      <charset val="128"/>
    </font>
    <font>
      <b/>
      <sz val="11"/>
      <color rgb="FFFF0000"/>
      <name val="メイリオ"/>
      <family val="3"/>
      <charset val="128"/>
    </font>
    <font>
      <sz val="11"/>
      <color theme="0"/>
      <name val="メイリオ"/>
      <family val="3"/>
      <charset val="128"/>
    </font>
    <font>
      <sz val="8"/>
      <color theme="1"/>
      <name val="メイリオ"/>
      <family val="3"/>
      <charset val="128"/>
    </font>
    <font>
      <sz val="9"/>
      <color theme="1"/>
      <name val="メイリオ"/>
      <family val="3"/>
      <charset val="128"/>
    </font>
    <font>
      <b/>
      <sz val="9"/>
      <color theme="1"/>
      <name val="メイリオ"/>
      <family val="3"/>
      <charset val="128"/>
    </font>
    <font>
      <b/>
      <sz val="10"/>
      <color theme="1"/>
      <name val="メイリオ"/>
      <family val="3"/>
      <charset val="128"/>
    </font>
    <font>
      <sz val="10"/>
      <color theme="1"/>
      <name val="メイリオ"/>
      <family val="3"/>
      <charset val="128"/>
    </font>
    <font>
      <sz val="11"/>
      <name val="メイリオ"/>
      <family val="3"/>
      <charset val="128"/>
    </font>
    <font>
      <b/>
      <sz val="12"/>
      <name val="メイリオ"/>
      <family val="3"/>
      <charset val="128"/>
    </font>
    <font>
      <sz val="7.5"/>
      <color theme="1"/>
      <name val="メイリオ"/>
      <family val="3"/>
      <charset val="128"/>
    </font>
    <font>
      <b/>
      <sz val="12"/>
      <color theme="0"/>
      <name val="メイリオ"/>
      <family val="3"/>
      <charset val="128"/>
    </font>
    <font>
      <b/>
      <sz val="11"/>
      <color theme="0"/>
      <name val="メイリオ"/>
      <family val="3"/>
      <charset val="128"/>
    </font>
    <font>
      <b/>
      <sz val="11"/>
      <color theme="1"/>
      <name val="ＭＳ Ｐゴシック"/>
      <family val="3"/>
      <charset val="128"/>
    </font>
    <font>
      <b/>
      <sz val="14"/>
      <color theme="1"/>
      <name val="メイリオ"/>
      <family val="3"/>
      <charset val="128"/>
    </font>
    <font>
      <b/>
      <sz val="18"/>
      <color theme="1"/>
      <name val="メイリオ"/>
      <family val="3"/>
      <charset val="128"/>
    </font>
    <font>
      <sz val="11"/>
      <color rgb="FFFF0000"/>
      <name val="ＭＳ Ｐゴシック"/>
      <family val="2"/>
      <charset val="128"/>
      <scheme val="minor"/>
    </font>
    <font>
      <b/>
      <sz val="10"/>
      <color rgb="FFFF0000"/>
      <name val="メイリオ"/>
      <family val="3"/>
      <charset val="128"/>
    </font>
    <font>
      <sz val="11"/>
      <color rgb="FF0066CC"/>
      <name val="メイリオ"/>
      <family val="3"/>
      <charset val="128"/>
    </font>
    <font>
      <sz val="12"/>
      <color rgb="FF0066CC"/>
      <name val="メイリオ"/>
      <family val="3"/>
      <charset val="128"/>
    </font>
    <font>
      <sz val="10"/>
      <color rgb="FFFF0000"/>
      <name val="メイリオ"/>
      <family val="3"/>
      <charset val="128"/>
    </font>
    <font>
      <b/>
      <sz val="12"/>
      <color rgb="FFFF0000"/>
      <name val="メイリオ"/>
      <family val="3"/>
      <charset val="128"/>
    </font>
    <font>
      <sz val="9"/>
      <color rgb="FFFF0000"/>
      <name val="メイリオ"/>
      <family val="3"/>
      <charset val="128"/>
    </font>
    <font>
      <b/>
      <sz val="11"/>
      <color theme="1"/>
      <name val="ＭＳ Ｐゴシック"/>
      <family val="2"/>
      <charset val="128"/>
      <scheme val="minor"/>
    </font>
    <font>
      <sz val="9"/>
      <color theme="0"/>
      <name val="メイリオ"/>
      <family val="3"/>
      <charset val="128"/>
    </font>
    <font>
      <sz val="7.8"/>
      <color theme="1"/>
      <name val="メイリオ"/>
      <family val="3"/>
      <charset val="128"/>
    </font>
    <font>
      <sz val="12"/>
      <color theme="0"/>
      <name val="メイリオ"/>
      <family val="3"/>
      <charset val="128"/>
    </font>
    <font>
      <b/>
      <sz val="6"/>
      <color theme="1"/>
      <name val="メイリオ"/>
      <family val="3"/>
      <charset val="128"/>
    </font>
    <font>
      <sz val="9"/>
      <name val="メイリオ"/>
      <family val="3"/>
      <charset val="128"/>
    </font>
    <font>
      <b/>
      <sz val="11"/>
      <name val="メイリオ"/>
      <family val="3"/>
      <charset val="128"/>
    </font>
    <font>
      <b/>
      <sz val="9"/>
      <name val="メイリオ"/>
      <family val="3"/>
      <charset val="128"/>
    </font>
    <font>
      <sz val="12"/>
      <name val="メイリオ"/>
      <family val="3"/>
      <charset val="128"/>
    </font>
    <font>
      <sz val="9"/>
      <color theme="1"/>
      <name val="ＭＳ Ｐゴシック"/>
      <family val="2"/>
      <charset val="128"/>
      <scheme val="minor"/>
    </font>
    <font>
      <sz val="11"/>
      <color rgb="FF000000"/>
      <name val="メイリオ"/>
      <family val="3"/>
      <charset val="128"/>
    </font>
    <font>
      <sz val="12"/>
      <color rgb="FF000000"/>
      <name val="メイリオ"/>
      <family val="3"/>
      <charset val="128"/>
    </font>
    <font>
      <sz val="14"/>
      <color rgb="FF000000"/>
      <name val="メイリオ"/>
      <family val="3"/>
      <charset val="128"/>
    </font>
    <font>
      <b/>
      <sz val="48"/>
      <color theme="1"/>
      <name val="メイリオ"/>
      <family val="3"/>
      <charset val="128"/>
    </font>
    <font>
      <sz val="10"/>
      <color theme="1"/>
      <name val="ＭＳ Ｐゴシック"/>
      <family val="2"/>
      <charset val="128"/>
      <scheme val="minor"/>
    </font>
  </fonts>
  <fills count="27">
    <fill>
      <patternFill patternType="none"/>
    </fill>
    <fill>
      <patternFill patternType="gray125"/>
    </fill>
    <fill>
      <patternFill patternType="solid">
        <fgColor theme="6" tint="0.59999389629810485"/>
        <bgColor theme="4" tint="0.79998168889431442"/>
      </patternFill>
    </fill>
    <fill>
      <patternFill patternType="solid">
        <fgColor theme="5" tint="-0.49998474074526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6" tint="0.39997558519241921"/>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theme="4" tint="0.79998168889431442"/>
      </patternFill>
    </fill>
    <fill>
      <patternFill patternType="solid">
        <fgColor theme="3" tint="0.79998168889431442"/>
        <bgColor indexed="64"/>
      </patternFill>
    </fill>
    <fill>
      <patternFill patternType="solid">
        <fgColor rgb="FFFFC000"/>
        <bgColor indexed="64"/>
      </patternFill>
    </fill>
    <fill>
      <patternFill patternType="solid">
        <fgColor rgb="FFFFC000"/>
        <bgColor theme="4" tint="0.79998168889431442"/>
      </patternFill>
    </fill>
    <fill>
      <patternFill patternType="solid">
        <fgColor rgb="FF00B050"/>
        <bgColor indexed="64"/>
      </patternFill>
    </fill>
    <fill>
      <patternFill patternType="solid">
        <fgColor theme="4"/>
        <bgColor theme="4"/>
      </patternFill>
    </fill>
    <fill>
      <patternFill patternType="solid">
        <fgColor theme="5" tint="0.79998168889431442"/>
        <bgColor indexed="64"/>
      </patternFill>
    </fill>
    <fill>
      <patternFill patternType="solid">
        <fgColor rgb="FF00B0F0"/>
        <bgColor theme="4" tint="0.79998168889431442"/>
      </patternFill>
    </fill>
    <fill>
      <patternFill patternType="solid">
        <fgColor theme="9" tint="0.59996337778862885"/>
        <bgColor theme="4" tint="0.79998168889431442"/>
      </patternFill>
    </fill>
    <fill>
      <patternFill patternType="solid">
        <fgColor theme="9" tint="0.599963377788628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4" tint="0.59999389629810485"/>
        <bgColor theme="4" tint="0.79998168889431442"/>
      </patternFill>
    </fill>
    <fill>
      <patternFill patternType="solid">
        <fgColor rgb="FFEAE4D1"/>
        <bgColor theme="4" tint="0.79998168889431442"/>
      </patternFill>
    </fill>
    <fill>
      <patternFill patternType="solid">
        <fgColor rgb="FFEAE4D1"/>
        <bgColor indexed="64"/>
      </patternFill>
    </fill>
    <fill>
      <patternFill patternType="solid">
        <fgColor rgb="FF8BB397"/>
        <bgColor theme="4" tint="0.79998168889431442"/>
      </patternFill>
    </fill>
    <fill>
      <patternFill patternType="solid">
        <fgColor rgb="FF4D99BB"/>
        <bgColor theme="4" tint="0.79998168889431442"/>
      </patternFill>
    </fill>
  </fills>
  <borders count="160">
    <border>
      <start/>
      <end/>
      <top/>
      <bottom/>
      <diagonal/>
    </border>
    <border>
      <start/>
      <end/>
      <top style="thin">
        <color theme="6" tint="-0.499984740745262"/>
      </top>
      <bottom/>
      <diagonal/>
    </border>
    <border>
      <start/>
      <end/>
      <top style="thin">
        <color theme="6" tint="-0.499984740745262"/>
      </top>
      <bottom style="thin">
        <color theme="6" tint="-0.499984740745262"/>
      </bottom>
      <diagonal/>
    </border>
    <border>
      <start/>
      <end/>
      <top/>
      <bottom style="thin">
        <color auto="1"/>
      </bottom>
      <diagonal/>
    </border>
    <border>
      <start/>
      <end/>
      <top style="thin">
        <color auto="1"/>
      </top>
      <bottom/>
      <diagonal/>
    </border>
    <border>
      <start style="thin">
        <color auto="1"/>
      </start>
      <end style="thin">
        <color auto="1"/>
      </end>
      <top style="thin">
        <color auto="1"/>
      </top>
      <bottom style="thin">
        <color auto="1"/>
      </bottom>
      <diagonal/>
    </border>
    <border>
      <start style="thin">
        <color auto="1"/>
      </start>
      <end style="thin">
        <color auto="1"/>
      </end>
      <top style="thin">
        <color auto="1"/>
      </top>
      <bottom/>
      <diagonal/>
    </border>
    <border>
      <start style="thin">
        <color auto="1"/>
      </start>
      <end style="thin">
        <color auto="1"/>
      </end>
      <top/>
      <bottom/>
      <diagonal/>
    </border>
    <border>
      <start style="thin">
        <color auto="1"/>
      </start>
      <end/>
      <top style="thin">
        <color auto="1"/>
      </top>
      <bottom/>
      <diagonal/>
    </border>
    <border>
      <start/>
      <end style="thin">
        <color auto="1"/>
      </end>
      <top style="thin">
        <color auto="1"/>
      </top>
      <bottom/>
      <diagonal/>
    </border>
    <border>
      <start style="thin">
        <color auto="1"/>
      </start>
      <end style="thin">
        <color auto="1"/>
      </end>
      <top style="thin">
        <color auto="1"/>
      </top>
      <bottom style="hair">
        <color auto="1"/>
      </bottom>
      <diagonal/>
    </border>
    <border>
      <start style="thin">
        <color auto="1"/>
      </start>
      <end style="thin">
        <color auto="1"/>
      </end>
      <top style="hair">
        <color auto="1"/>
      </top>
      <bottom style="hair">
        <color auto="1"/>
      </bottom>
      <diagonal/>
    </border>
    <border>
      <start style="thin">
        <color auto="1"/>
      </start>
      <end style="thin">
        <color auto="1"/>
      </end>
      <top style="hair">
        <color auto="1"/>
      </top>
      <bottom style="thin">
        <color auto="1"/>
      </bottom>
      <diagonal/>
    </border>
    <border>
      <start style="thin">
        <color auto="1"/>
      </start>
      <end style="dotted">
        <color auto="1"/>
      </end>
      <top style="thin">
        <color auto="1"/>
      </top>
      <bottom/>
      <diagonal/>
    </border>
    <border>
      <start style="dotted">
        <color auto="1"/>
      </start>
      <end style="thin">
        <color auto="1"/>
      </end>
      <top style="thin">
        <color auto="1"/>
      </top>
      <bottom/>
      <diagonal/>
    </border>
    <border>
      <start style="thin">
        <color auto="1"/>
      </start>
      <end style="dotted">
        <color auto="1"/>
      </end>
      <top style="thin">
        <color auto="1"/>
      </top>
      <bottom style="hair">
        <color auto="1"/>
      </bottom>
      <diagonal/>
    </border>
    <border>
      <start style="dotted">
        <color auto="1"/>
      </start>
      <end style="thin">
        <color auto="1"/>
      </end>
      <top style="thin">
        <color auto="1"/>
      </top>
      <bottom style="hair">
        <color auto="1"/>
      </bottom>
      <diagonal/>
    </border>
    <border>
      <start style="thin">
        <color auto="1"/>
      </start>
      <end style="dotted">
        <color auto="1"/>
      </end>
      <top style="hair">
        <color auto="1"/>
      </top>
      <bottom style="hair">
        <color auto="1"/>
      </bottom>
      <diagonal/>
    </border>
    <border>
      <start style="dotted">
        <color auto="1"/>
      </start>
      <end style="thin">
        <color auto="1"/>
      </end>
      <top style="hair">
        <color auto="1"/>
      </top>
      <bottom style="hair">
        <color auto="1"/>
      </bottom>
      <diagonal/>
    </border>
    <border>
      <start style="thin">
        <color auto="1"/>
      </start>
      <end style="dotted">
        <color auto="1"/>
      </end>
      <top style="hair">
        <color auto="1"/>
      </top>
      <bottom style="thin">
        <color auto="1"/>
      </bottom>
      <diagonal/>
    </border>
    <border>
      <start style="dotted">
        <color auto="1"/>
      </start>
      <end style="thin">
        <color auto="1"/>
      </end>
      <top style="hair">
        <color auto="1"/>
      </top>
      <bottom style="thin">
        <color auto="1"/>
      </bottom>
      <diagonal/>
    </border>
    <border>
      <start style="thin">
        <color auto="1"/>
      </start>
      <end style="dotted">
        <color auto="1"/>
      </end>
      <top style="thin">
        <color auto="1"/>
      </top>
      <bottom style="thin">
        <color auto="1"/>
      </bottom>
      <diagonal/>
    </border>
    <border>
      <start style="dotted">
        <color auto="1"/>
      </start>
      <end style="thin">
        <color auto="1"/>
      </end>
      <top style="thin">
        <color auto="1"/>
      </top>
      <bottom style="thin">
        <color auto="1"/>
      </bottom>
      <diagonal/>
    </border>
    <border>
      <start style="thin">
        <color auto="1"/>
      </start>
      <end/>
      <top style="thin">
        <color auto="1"/>
      </top>
      <bottom style="hair">
        <color auto="1"/>
      </bottom>
      <diagonal/>
    </border>
    <border>
      <start style="thin">
        <color auto="1"/>
      </start>
      <end/>
      <top style="hair">
        <color auto="1"/>
      </top>
      <bottom style="thin">
        <color auto="1"/>
      </bottom>
      <diagonal/>
    </border>
    <border>
      <start style="thin">
        <color auto="1"/>
      </start>
      <end/>
      <top style="hair">
        <color auto="1"/>
      </top>
      <bottom style="hair">
        <color auto="1"/>
      </bottom>
      <diagonal/>
    </border>
    <border>
      <start style="thin">
        <color auto="1"/>
      </start>
      <end/>
      <top style="thin">
        <color auto="1"/>
      </top>
      <bottom style="thin">
        <color auto="1"/>
      </bottom>
      <diagonal/>
    </border>
    <border>
      <start/>
      <end style="thin">
        <color auto="1"/>
      </end>
      <top style="thin">
        <color auto="1"/>
      </top>
      <bottom style="thin">
        <color auto="1"/>
      </bottom>
      <diagonal/>
    </border>
    <border>
      <start/>
      <end/>
      <top style="thin">
        <color auto="1"/>
      </top>
      <bottom style="thin">
        <color auto="1"/>
      </bottom>
      <diagonal/>
    </border>
    <border>
      <start style="thin">
        <color auto="1"/>
      </start>
      <end style="thin">
        <color auto="1"/>
      </end>
      <top/>
      <bottom style="thin">
        <color auto="1"/>
      </bottom>
      <diagonal/>
    </border>
    <border>
      <start/>
      <end/>
      <top/>
      <bottom style="thin">
        <color theme="4" tint="0.39997558519241921"/>
      </bottom>
      <diagonal/>
    </border>
    <border>
      <start/>
      <end/>
      <top style="thin">
        <color theme="4" tint="0.39997558519241921"/>
      </top>
      <bottom/>
      <diagonal/>
    </border>
    <border>
      <start/>
      <end/>
      <top style="thin">
        <color rgb="FF0070C0"/>
      </top>
      <bottom/>
      <diagonal/>
    </border>
    <border>
      <start/>
      <end/>
      <top/>
      <bottom style="thin">
        <color rgb="FF0070C0"/>
      </bottom>
      <diagonal/>
    </border>
    <border>
      <start style="dotted">
        <color auto="1"/>
      </start>
      <end style="thin">
        <color auto="1"/>
      </end>
      <top/>
      <bottom style="hair">
        <color auto="1"/>
      </bottom>
      <diagonal/>
    </border>
    <border>
      <start style="dotted">
        <color auto="1"/>
      </start>
      <end style="thin">
        <color auto="1"/>
      </end>
      <top style="hair">
        <color auto="1"/>
      </top>
      <bottom/>
      <diagonal/>
    </border>
    <border>
      <start style="thin">
        <color auto="1"/>
      </start>
      <end style="dotted">
        <color auto="1"/>
      </end>
      <top style="hair">
        <color indexed="64"/>
      </top>
      <bottom/>
      <diagonal/>
    </border>
    <border>
      <start style="thin">
        <color auto="1"/>
      </start>
      <end style="dotted">
        <color auto="1"/>
      </end>
      <top/>
      <bottom style="hair">
        <color auto="1"/>
      </bottom>
      <diagonal/>
    </border>
    <border>
      <start style="thin">
        <color auto="1"/>
      </start>
      <end style="dotted">
        <color auto="1"/>
      </end>
      <top/>
      <bottom/>
      <diagonal/>
    </border>
    <border>
      <start style="hair">
        <color indexed="64"/>
      </start>
      <end style="dotted">
        <color auto="1"/>
      </end>
      <top style="hair">
        <color indexed="64"/>
      </top>
      <bottom style="hair">
        <color indexed="64"/>
      </bottom>
      <diagonal/>
    </border>
    <border>
      <start/>
      <end/>
      <top style="thin">
        <color theme="6" tint="-0.499984740745262"/>
      </top>
      <bottom style="thin">
        <color indexed="64"/>
      </bottom>
      <diagonal/>
    </border>
    <border>
      <start style="hair">
        <color auto="1"/>
      </start>
      <end style="thin">
        <color auto="1"/>
      </end>
      <top style="thin">
        <color auto="1"/>
      </top>
      <bottom style="thin">
        <color auto="1"/>
      </bottom>
      <diagonal/>
    </border>
    <border>
      <start style="thin">
        <color auto="1"/>
      </start>
      <end/>
      <top/>
      <bottom/>
      <diagonal/>
    </border>
    <border>
      <start style="thin">
        <color auto="1"/>
      </start>
      <end style="hair">
        <color indexed="64"/>
      </end>
      <top style="thin">
        <color auto="1"/>
      </top>
      <bottom style="thin">
        <color auto="1"/>
      </bottom>
      <diagonal/>
    </border>
    <border>
      <start style="thin">
        <color auto="1"/>
      </start>
      <end/>
      <top/>
      <bottom style="thin">
        <color auto="1"/>
      </bottom>
      <diagonal/>
    </border>
    <border>
      <start style="thin">
        <color auto="1"/>
      </start>
      <end style="thin">
        <color auto="1"/>
      </end>
      <top style="hair">
        <color auto="1"/>
      </top>
      <bottom/>
      <diagonal/>
    </border>
    <border>
      <start/>
      <end style="thin">
        <color indexed="64"/>
      </end>
      <top/>
      <bottom style="thin">
        <color indexed="64"/>
      </bottom>
      <diagonal/>
    </border>
    <border>
      <start/>
      <end style="double">
        <color indexed="64"/>
      </end>
      <top style="thin">
        <color indexed="64"/>
      </top>
      <bottom style="thin">
        <color indexed="64"/>
      </bottom>
      <diagonal/>
    </border>
    <border>
      <start style="hair">
        <color indexed="64"/>
      </start>
      <end style="double">
        <color indexed="64"/>
      </end>
      <top style="thin">
        <color auto="1"/>
      </top>
      <bottom style="thin">
        <color auto="1"/>
      </bottom>
      <diagonal/>
    </border>
    <border>
      <start style="double">
        <color indexed="64"/>
      </start>
      <end style="hair">
        <color indexed="64"/>
      </end>
      <top style="thin">
        <color indexed="64"/>
      </top>
      <bottom style="thin">
        <color indexed="64"/>
      </bottom>
      <diagonal/>
    </border>
    <border>
      <start/>
      <end style="dotted">
        <color auto="1"/>
      </end>
      <top style="hair">
        <color indexed="64"/>
      </top>
      <bottom style="hair">
        <color indexed="64"/>
      </bottom>
      <diagonal/>
    </border>
    <border>
      <start/>
      <end style="hair">
        <color indexed="64"/>
      </end>
      <top style="hair">
        <color indexed="64"/>
      </top>
      <bottom style="hair">
        <color indexed="64"/>
      </bottom>
      <diagonal/>
    </border>
    <border>
      <start/>
      <end style="dotted">
        <color auto="1"/>
      </end>
      <top/>
      <bottom/>
      <diagonal/>
    </border>
    <border>
      <start/>
      <end style="dotted">
        <color auto="1"/>
      </end>
      <top style="hair">
        <color auto="1"/>
      </top>
      <bottom/>
      <diagonal/>
    </border>
    <border>
      <start/>
      <end style="hair">
        <color indexed="64"/>
      </end>
      <top style="hair">
        <color indexed="64"/>
      </top>
      <bottom/>
      <diagonal/>
    </border>
    <border>
      <start style="thin">
        <color theme="0"/>
      </start>
      <end style="thin">
        <color theme="0"/>
      </end>
      <top style="thin">
        <color theme="0"/>
      </top>
      <bottom style="thin">
        <color theme="0"/>
      </bottom>
      <diagonal/>
    </border>
    <border>
      <start/>
      <end style="dotted">
        <color auto="1"/>
      </end>
      <top style="thin">
        <color auto="1"/>
      </top>
      <bottom style="hair">
        <color auto="1"/>
      </bottom>
      <diagonal/>
    </border>
    <border>
      <start/>
      <end style="dotted">
        <color auto="1"/>
      </end>
      <top style="thin">
        <color auto="1"/>
      </top>
      <bottom style="thin">
        <color auto="1"/>
      </bottom>
      <diagonal/>
    </border>
    <border>
      <start/>
      <end style="dotted">
        <color auto="1"/>
      </end>
      <top/>
      <bottom style="hair">
        <color auto="1"/>
      </bottom>
      <diagonal/>
    </border>
    <border>
      <start style="thin">
        <color auto="1"/>
      </start>
      <end style="dotted">
        <color auto="1"/>
      </end>
      <top/>
      <bottom style="thin">
        <color auto="1"/>
      </bottom>
      <diagonal/>
    </border>
    <border>
      <start style="dotted">
        <color auto="1"/>
      </start>
      <end style="thin">
        <color auto="1"/>
      </end>
      <top/>
      <bottom/>
      <diagonal/>
    </border>
    <border>
      <start/>
      <end style="thin">
        <color theme="0"/>
      </end>
      <top style="thin">
        <color theme="0"/>
      </top>
      <bottom style="thin">
        <color theme="0"/>
      </bottom>
      <diagonal/>
    </border>
    <border>
      <start style="dotted">
        <color auto="1"/>
      </start>
      <end/>
      <top style="thin">
        <color auto="1"/>
      </top>
      <bottom style="thin">
        <color auto="1"/>
      </bottom>
      <diagonal/>
    </border>
    <border>
      <start style="dotted">
        <color auto="1"/>
      </start>
      <end style="thin">
        <color auto="1"/>
      </end>
      <top/>
      <bottom style="thin">
        <color auto="1"/>
      </bottom>
      <diagonal/>
    </border>
    <border>
      <start style="thin">
        <color indexed="64"/>
      </start>
      <end/>
      <top style="thin">
        <color theme="6" tint="-0.499984740745262"/>
      </top>
      <bottom/>
      <diagonal/>
    </border>
    <border>
      <start style="thin">
        <color auto="1"/>
      </start>
      <end/>
      <top style="thin">
        <color auto="1"/>
      </top>
      <bottom style="thin">
        <color theme="6" tint="-0.499984740745262"/>
      </bottom>
      <diagonal/>
    </border>
    <border>
      <start/>
      <end/>
      <top style="thin">
        <color auto="1"/>
      </top>
      <bottom style="thin">
        <color theme="6" tint="-0.499984740745262"/>
      </bottom>
      <diagonal/>
    </border>
    <border>
      <start style="thin">
        <color auto="1"/>
      </start>
      <end style="thin">
        <color theme="6" tint="-0.499984740745262"/>
      </end>
      <top/>
      <bottom/>
      <diagonal/>
    </border>
    <border>
      <start style="thin">
        <color auto="1"/>
      </start>
      <end style="thin">
        <color theme="6" tint="-0.499984740745262"/>
      </end>
      <top/>
      <bottom style="thin">
        <color theme="6" tint="-0.499984740745262"/>
      </bottom>
      <diagonal/>
    </border>
    <border>
      <start style="thin">
        <color auto="1"/>
      </start>
      <end/>
      <top style="thin">
        <color theme="6" tint="-0.499984740745262"/>
      </top>
      <bottom style="thin">
        <color theme="6" tint="-0.499984740745262"/>
      </bottom>
      <diagonal/>
    </border>
    <border>
      <start style="thin">
        <color auto="1"/>
      </start>
      <end/>
      <top style="thin">
        <color theme="6" tint="-0.499984740745262"/>
      </top>
      <bottom style="thin">
        <color auto="1"/>
      </bottom>
      <diagonal/>
    </border>
    <border>
      <start style="thin">
        <color theme="6" tint="-0.499984740745262"/>
      </start>
      <end/>
      <top style="thin">
        <color theme="6" tint="-0.499984740745262"/>
      </top>
      <bottom style="hair">
        <color theme="6" tint="-0.499984740745262"/>
      </bottom>
      <diagonal/>
    </border>
    <border>
      <start style="thin">
        <color theme="6" tint="-0.499984740745262"/>
      </start>
      <end/>
      <top style="hair">
        <color theme="6" tint="-0.499984740745262"/>
      </top>
      <bottom style="hair">
        <color theme="6" tint="-0.499984740745262"/>
      </bottom>
      <diagonal/>
    </border>
    <border>
      <start style="thin">
        <color theme="6" tint="-0.499984740745262"/>
      </start>
      <end/>
      <top style="hair">
        <color theme="6" tint="-0.499984740745262"/>
      </top>
      <bottom style="thin">
        <color theme="6" tint="-0.499984740745262"/>
      </bottom>
      <diagonal/>
    </border>
    <border>
      <start style="thin">
        <color theme="6" tint="-0.499984740745262"/>
      </start>
      <end/>
      <top style="thin">
        <color auto="1"/>
      </top>
      <bottom style="hair">
        <color theme="6" tint="-0.499984740745262"/>
      </bottom>
      <diagonal/>
    </border>
    <border>
      <start style="thin">
        <color theme="6" tint="-0.499984740745262"/>
      </start>
      <end/>
      <top style="hair">
        <color theme="6" tint="-0.499984740745262"/>
      </top>
      <bottom style="thin">
        <color auto="1"/>
      </bottom>
      <diagonal/>
    </border>
    <border>
      <start style="thin">
        <color auto="1"/>
      </start>
      <end style="thin">
        <color auto="1"/>
      </end>
      <top style="thin">
        <color auto="1"/>
      </top>
      <bottom style="hair">
        <color theme="6" tint="-0.499984740745262"/>
      </bottom>
      <diagonal/>
    </border>
    <border>
      <start style="thin">
        <color auto="1"/>
      </start>
      <end style="thin">
        <color auto="1"/>
      </end>
      <top style="hair">
        <color theme="6" tint="-0.499984740745262"/>
      </top>
      <bottom style="hair">
        <color theme="6" tint="-0.499984740745262"/>
      </bottom>
      <diagonal/>
    </border>
    <border>
      <start style="thin">
        <color auto="1"/>
      </start>
      <end style="thin">
        <color auto="1"/>
      </end>
      <top style="hair">
        <color theme="6" tint="-0.499984740745262"/>
      </top>
      <bottom style="thin">
        <color auto="1"/>
      </bottom>
      <diagonal/>
    </border>
    <border>
      <start style="thin">
        <color auto="1"/>
      </start>
      <end style="thin">
        <color theme="6" tint="-0.499984740745262"/>
      </end>
      <top/>
      <bottom style="thin">
        <color auto="1"/>
      </bottom>
      <diagonal/>
    </border>
    <border>
      <start/>
      <end/>
      <top style="hair">
        <color auto="1"/>
      </top>
      <bottom style="thin">
        <color auto="1"/>
      </bottom>
      <diagonal/>
    </border>
    <border>
      <start/>
      <end style="thin">
        <color auto="1"/>
      </end>
      <top style="hair">
        <color auto="1"/>
      </top>
      <bottom style="thin">
        <color auto="1"/>
      </bottom>
      <diagonal/>
    </border>
    <border>
      <start style="thin">
        <color theme="4" tint="0.39997558519241921"/>
      </start>
      <end/>
      <top style="thin">
        <color theme="4" tint="0.39997558519241921"/>
      </top>
      <bottom style="thin">
        <color theme="4" tint="0.39997558519241921"/>
      </bottom>
      <diagonal/>
    </border>
    <border>
      <start/>
      <end/>
      <top style="thin">
        <color theme="4" tint="0.39997558519241921"/>
      </top>
      <bottom style="thin">
        <color theme="4" tint="0.39997558519241921"/>
      </bottom>
      <diagonal/>
    </border>
    <border>
      <start style="thin">
        <color theme="0"/>
      </start>
      <end style="thin">
        <color theme="0"/>
      </end>
      <top style="thin">
        <color theme="0"/>
      </top>
      <bottom/>
      <diagonal/>
    </border>
    <border>
      <start style="thin">
        <color theme="0"/>
      </start>
      <end/>
      <top style="thin">
        <color theme="0"/>
      </top>
      <bottom style="thin">
        <color theme="0"/>
      </bottom>
      <diagonal/>
    </border>
    <border>
      <start style="thin">
        <color theme="0"/>
      </start>
      <end style="thin">
        <color theme="0"/>
      </end>
      <top/>
      <bottom/>
      <diagonal/>
    </border>
    <border>
      <start style="thick">
        <color rgb="FFFFFF00"/>
      </start>
      <end style="thick">
        <color rgb="FFFFFF00"/>
      </end>
      <top style="thick">
        <color rgb="FFFFFF00"/>
      </top>
      <bottom style="thick">
        <color rgb="FFFFFF00"/>
      </bottom>
      <diagonal/>
    </border>
    <border>
      <start style="thin">
        <color theme="4" tint="0.39997558519241921"/>
      </start>
      <end/>
      <top style="thin">
        <color theme="4" tint="0.39997558519241921"/>
      </top>
      <bottom/>
      <diagonal/>
    </border>
    <border>
      <start style="thin">
        <color auto="1"/>
      </start>
      <end style="thin">
        <color auto="1"/>
      </end>
      <top style="medium">
        <color auto="1"/>
      </top>
      <bottom style="thin">
        <color auto="1"/>
      </bottom>
      <diagonal/>
    </border>
    <border>
      <start style="thin">
        <color auto="1"/>
      </start>
      <end style="medium">
        <color auto="1"/>
      </end>
      <top style="medium">
        <color auto="1"/>
      </top>
      <bottom style="thin">
        <color auto="1"/>
      </bottom>
      <diagonal/>
    </border>
    <border>
      <start style="medium">
        <color auto="1"/>
      </start>
      <end style="thin">
        <color auto="1"/>
      </end>
      <top style="medium">
        <color auto="1"/>
      </top>
      <bottom style="thin">
        <color auto="1"/>
      </bottom>
      <diagonal/>
    </border>
    <border>
      <start style="medium">
        <color auto="1"/>
      </start>
      <end style="thin">
        <color auto="1"/>
      </end>
      <top style="thin">
        <color auto="1"/>
      </top>
      <bottom style="thin">
        <color auto="1"/>
      </bottom>
      <diagonal/>
    </border>
    <border>
      <start style="dotted">
        <color auto="1"/>
      </start>
      <end style="medium">
        <color auto="1"/>
      </end>
      <top style="thin">
        <color auto="1"/>
      </top>
      <bottom style="thin">
        <color auto="1"/>
      </bottom>
      <diagonal/>
    </border>
    <border>
      <start style="medium">
        <color auto="1"/>
      </start>
      <end style="thin">
        <color auto="1"/>
      </end>
      <top style="thin">
        <color auto="1"/>
      </top>
      <bottom style="medium">
        <color auto="1"/>
      </bottom>
      <diagonal/>
    </border>
    <border>
      <start style="thin">
        <color auto="1"/>
      </start>
      <end style="dotted">
        <color auto="1"/>
      </end>
      <top style="thin">
        <color auto="1"/>
      </top>
      <bottom style="medium">
        <color auto="1"/>
      </bottom>
      <diagonal/>
    </border>
    <border>
      <start style="dotted">
        <color auto="1"/>
      </start>
      <end style="thin">
        <color auto="1"/>
      </end>
      <top style="thin">
        <color auto="1"/>
      </top>
      <bottom style="medium">
        <color auto="1"/>
      </bottom>
      <diagonal/>
    </border>
    <border>
      <start style="dotted">
        <color auto="1"/>
      </start>
      <end style="medium">
        <color auto="1"/>
      </end>
      <top style="thin">
        <color auto="1"/>
      </top>
      <bottom style="medium">
        <color auto="1"/>
      </bottom>
      <diagonal/>
    </border>
    <border>
      <start/>
      <end style="thin">
        <color auto="1"/>
      </end>
      <top style="thin">
        <color theme="6" tint="-0.499984740745262"/>
      </top>
      <bottom style="thin">
        <color theme="6" tint="-0.499984740745262"/>
      </bottom>
      <diagonal/>
    </border>
    <border>
      <start/>
      <end style="thin">
        <color theme="4" tint="0.39997558519241921"/>
      </end>
      <top style="thin">
        <color theme="4" tint="0.39997558519241921"/>
      </top>
      <bottom style="thin">
        <color theme="4" tint="0.39997558519241921"/>
      </bottom>
      <diagonal/>
    </border>
    <border>
      <start/>
      <end/>
      <top style="thick">
        <color rgb="FFFFFF00"/>
      </top>
      <bottom/>
      <diagonal/>
    </border>
    <border>
      <start style="thin">
        <color theme="0"/>
      </start>
      <end style="thin">
        <color theme="0"/>
      </end>
      <top/>
      <bottom style="thin">
        <color theme="0"/>
      </bottom>
      <diagonal/>
    </border>
    <border>
      <start style="thin">
        <color theme="0"/>
      </start>
      <end/>
      <top/>
      <bottom/>
      <diagonal/>
    </border>
    <border>
      <start/>
      <end style="dotted">
        <color auto="1"/>
      </end>
      <top style="hair">
        <color auto="1"/>
      </top>
      <bottom style="thin">
        <color indexed="64"/>
      </bottom>
      <diagonal/>
    </border>
    <border>
      <start/>
      <end style="thin">
        <color auto="1"/>
      </end>
      <top/>
      <bottom style="hair">
        <color auto="1"/>
      </bottom>
      <diagonal/>
    </border>
    <border>
      <start style="thin">
        <color auto="1"/>
      </start>
      <end style="thin">
        <color auto="1"/>
      </end>
      <top/>
      <bottom style="hair">
        <color auto="1"/>
      </bottom>
      <diagonal/>
    </border>
    <border>
      <start style="thin">
        <color auto="1"/>
      </start>
      <end style="thin">
        <color auto="1"/>
      </end>
      <top style="medium">
        <color indexed="64"/>
      </top>
      <bottom style="medium">
        <color indexed="64"/>
      </bottom>
      <diagonal/>
    </border>
    <border>
      <start style="thin">
        <color theme="0"/>
      </start>
      <end/>
      <top style="thin">
        <color theme="0"/>
      </top>
      <bottom/>
      <diagonal/>
    </border>
    <border>
      <start style="thick">
        <color rgb="FFFFFF00"/>
      </start>
      <end/>
      <top style="thick">
        <color rgb="FFFFFF00"/>
      </top>
      <bottom/>
      <diagonal/>
    </border>
    <border>
      <start style="thick">
        <color rgb="FFFFFF00"/>
      </start>
      <end/>
      <top style="thin">
        <color theme="4" tint="0.39997558519241921"/>
      </top>
      <bottom/>
      <diagonal/>
    </border>
    <border>
      <start/>
      <end style="thin">
        <color theme="4" tint="0.39997558519241921"/>
      </end>
      <top style="thin">
        <color theme="4" tint="0.39997558519241921"/>
      </top>
      <bottom/>
      <diagonal/>
    </border>
    <border>
      <start style="thick">
        <color theme="0"/>
      </start>
      <end/>
      <top style="thin">
        <color theme="0"/>
      </top>
      <bottom/>
      <diagonal/>
    </border>
    <border>
      <start style="thin">
        <color theme="0"/>
      </start>
      <end/>
      <top style="thin">
        <color theme="4" tint="0.39997558519241921"/>
      </top>
      <bottom/>
      <diagonal/>
    </border>
    <border>
      <start style="thin">
        <color theme="0"/>
      </start>
      <end/>
      <top style="thick">
        <color theme="0"/>
      </top>
      <bottom/>
      <diagonal/>
    </border>
    <border>
      <start/>
      <end/>
      <top style="thin">
        <color theme="0"/>
      </top>
      <bottom/>
      <diagonal/>
    </border>
    <border>
      <start style="thick">
        <color rgb="FFFFFF00"/>
      </start>
      <end/>
      <top style="thin">
        <color theme="0"/>
      </top>
      <bottom/>
      <diagonal/>
    </border>
    <border>
      <start style="thin">
        <color auto="1"/>
      </start>
      <end style="thin">
        <color auto="1"/>
      </end>
      <top style="thin">
        <color auto="1"/>
      </top>
      <bottom style="medium">
        <color indexed="64"/>
      </bottom>
      <diagonal/>
    </border>
    <border>
      <start style="thin">
        <color theme="4" tint="0.39997558519241921"/>
      </start>
      <end/>
      <top/>
      <bottom/>
      <diagonal/>
    </border>
    <border>
      <start/>
      <end style="thin">
        <color theme="4" tint="0.39997558519241921"/>
      </end>
      <top/>
      <bottom/>
      <diagonal/>
    </border>
    <border>
      <start style="thin">
        <color theme="0"/>
      </start>
      <end style="thin">
        <color theme="0"/>
      </end>
      <top style="thin">
        <color rgb="FFFFFF00"/>
      </top>
      <bottom style="thin">
        <color theme="0"/>
      </bottom>
      <diagonal/>
    </border>
    <border>
      <start style="thin">
        <color indexed="64"/>
      </start>
      <end style="thin">
        <color indexed="64"/>
      </end>
      <top style="thin">
        <color indexed="64"/>
      </top>
      <bottom style="double">
        <color indexed="64"/>
      </bottom>
      <diagonal/>
    </border>
    <border>
      <start/>
      <end style="thin">
        <color auto="1"/>
      </end>
      <top style="thin">
        <color auto="1"/>
      </top>
      <bottom style="thin">
        <color theme="6" tint="-0.499984740745262"/>
      </bottom>
      <diagonal/>
    </border>
    <border>
      <start style="thin">
        <color indexed="64"/>
      </start>
      <end/>
      <top style="double">
        <color indexed="64"/>
      </top>
      <bottom style="thin">
        <color indexed="64"/>
      </bottom>
      <diagonal/>
    </border>
    <border>
      <start/>
      <end/>
      <top style="double">
        <color indexed="64"/>
      </top>
      <bottom style="thin">
        <color indexed="64"/>
      </bottom>
      <diagonal/>
    </border>
    <border>
      <start style="thin">
        <color auto="1"/>
      </start>
      <end style="thin">
        <color auto="1"/>
      </end>
      <top style="double">
        <color indexed="64"/>
      </top>
      <bottom style="thin">
        <color auto="1"/>
      </bottom>
      <diagonal/>
    </border>
    <border>
      <start/>
      <end style="thin">
        <color auto="1"/>
      </end>
      <top style="thin">
        <color theme="6" tint="-0.499984740745262"/>
      </top>
      <bottom/>
      <diagonal/>
    </border>
    <border>
      <start style="thin">
        <color indexed="64"/>
      </start>
      <end/>
      <top style="thin">
        <color theme="6" tint="-0.499984740745262"/>
      </top>
      <bottom style="double">
        <color indexed="64"/>
      </bottom>
      <diagonal/>
    </border>
    <border>
      <start/>
      <end style="thin">
        <color auto="1"/>
      </end>
      <top style="thin">
        <color theme="6" tint="-0.499984740745262"/>
      </top>
      <bottom style="double">
        <color indexed="64"/>
      </bottom>
      <diagonal/>
    </border>
    <border>
      <start style="thin">
        <color indexed="64"/>
      </start>
      <end/>
      <top/>
      <bottom style="double">
        <color indexed="64"/>
      </bottom>
      <diagonal/>
    </border>
    <border>
      <start/>
      <end style="thin">
        <color auto="1"/>
      </end>
      <top/>
      <bottom style="double">
        <color indexed="64"/>
      </bottom>
      <diagonal/>
    </border>
    <border>
      <start style="thin">
        <color indexed="64"/>
      </start>
      <end style="thin">
        <color indexed="64"/>
      </end>
      <top/>
      <bottom style="double">
        <color indexed="64"/>
      </bottom>
      <diagonal/>
    </border>
    <border>
      <start/>
      <end style="thin">
        <color auto="1"/>
      </end>
      <top style="thin">
        <color theme="6" tint="-0.499984740745262"/>
      </top>
      <bottom style="thin">
        <color indexed="64"/>
      </bottom>
      <diagonal/>
    </border>
    <border>
      <start style="thin">
        <color theme="8"/>
      </start>
      <end style="thin">
        <color theme="8"/>
      </end>
      <top style="thin">
        <color theme="8"/>
      </top>
      <bottom style="medium">
        <color theme="8"/>
      </bottom>
      <diagonal/>
    </border>
    <border>
      <start style="thin">
        <color theme="8"/>
      </start>
      <end style="thin">
        <color theme="8"/>
      </end>
      <top style="thin">
        <color theme="8"/>
      </top>
      <bottom style="thin">
        <color theme="8"/>
      </bottom>
      <diagonal/>
    </border>
    <border>
      <start style="thin">
        <color auto="1"/>
      </start>
      <end style="thin">
        <color auto="1"/>
      </end>
      <top style="hair">
        <color theme="6" tint="-0.499984740745262"/>
      </top>
      <bottom style="hair">
        <color auto="1"/>
      </bottom>
      <diagonal/>
    </border>
    <border>
      <start style="medium">
        <color indexed="64"/>
      </start>
      <end style="medium">
        <color indexed="64"/>
      </end>
      <top style="medium">
        <color indexed="64"/>
      </top>
      <bottom style="medium">
        <color indexed="64"/>
      </bottom>
      <diagonal/>
    </border>
    <border>
      <start/>
      <end style="thin">
        <color rgb="FFFFFF00"/>
      </end>
      <top style="medium">
        <color indexed="64"/>
      </top>
      <bottom style="medium">
        <color indexed="64"/>
      </bottom>
      <diagonal/>
    </border>
    <border>
      <start style="thin">
        <color rgb="FFFFFF00"/>
      </start>
      <end style="thin">
        <color rgb="FFFFFF00"/>
      </end>
      <top style="medium">
        <color indexed="64"/>
      </top>
      <bottom style="medium">
        <color indexed="64"/>
      </bottom>
      <diagonal/>
    </border>
    <border>
      <start style="thin">
        <color rgb="FFFFFF00"/>
      </start>
      <end style="medium">
        <color indexed="64"/>
      </end>
      <top style="medium">
        <color indexed="64"/>
      </top>
      <bottom style="medium">
        <color indexed="64"/>
      </bottom>
      <diagonal/>
    </border>
    <border>
      <start style="medium">
        <color indexed="64"/>
      </start>
      <end style="medium">
        <color indexed="64"/>
      </end>
      <top/>
      <bottom style="thin">
        <color rgb="FFFFFF00"/>
      </bottom>
      <diagonal/>
    </border>
    <border>
      <start/>
      <end style="thin">
        <color rgb="FFFFFF00"/>
      </end>
      <top/>
      <bottom style="thin">
        <color rgb="FFFFFF00"/>
      </bottom>
      <diagonal/>
    </border>
    <border>
      <start style="thin">
        <color rgb="FFFFFF00"/>
      </start>
      <end style="thin">
        <color rgb="FFFFFF00"/>
      </end>
      <top/>
      <bottom style="thin">
        <color rgb="FFFFFF00"/>
      </bottom>
      <diagonal/>
    </border>
    <border>
      <start style="medium">
        <color indexed="64"/>
      </start>
      <end style="medium">
        <color indexed="64"/>
      </end>
      <top style="thin">
        <color rgb="FFFFFF00"/>
      </top>
      <bottom style="thin">
        <color rgb="FFFFFF00"/>
      </bottom>
      <diagonal/>
    </border>
    <border>
      <start/>
      <end style="thin">
        <color rgb="FFFFFF00"/>
      </end>
      <top style="thin">
        <color rgb="FFFFFF00"/>
      </top>
      <bottom style="thin">
        <color rgb="FFFFFF00"/>
      </bottom>
      <diagonal/>
    </border>
    <border>
      <start style="thin">
        <color rgb="FFFFFF00"/>
      </start>
      <end style="thin">
        <color rgb="FFFFFF00"/>
      </end>
      <top style="thin">
        <color rgb="FFFFFF00"/>
      </top>
      <bottom style="thin">
        <color rgb="FFFFFF00"/>
      </bottom>
      <diagonal/>
    </border>
    <border>
      <start style="medium">
        <color indexed="64"/>
      </start>
      <end style="medium">
        <color indexed="64"/>
      </end>
      <top style="thin">
        <color rgb="FFFFFF00"/>
      </top>
      <bottom style="medium">
        <color indexed="64"/>
      </bottom>
      <diagonal/>
    </border>
    <border>
      <start style="thin">
        <color theme="8"/>
      </start>
      <end/>
      <top style="thin">
        <color theme="8"/>
      </top>
      <bottom style="medium">
        <color theme="8"/>
      </bottom>
      <diagonal/>
    </border>
    <border>
      <start style="thin">
        <color theme="8"/>
      </start>
      <end/>
      <top style="thin">
        <color theme="8"/>
      </top>
      <bottom style="thin">
        <color theme="8"/>
      </bottom>
      <diagonal/>
    </border>
    <border>
      <start/>
      <end style="thin">
        <color rgb="FF00B050"/>
      </end>
      <top style="medium">
        <color indexed="64"/>
      </top>
      <bottom style="medium">
        <color indexed="64"/>
      </bottom>
      <diagonal/>
    </border>
    <border>
      <start style="thin">
        <color rgb="FF00B050"/>
      </start>
      <end style="thin">
        <color rgb="FF00B050"/>
      </end>
      <top style="medium">
        <color indexed="64"/>
      </top>
      <bottom style="medium">
        <color indexed="64"/>
      </bottom>
      <diagonal/>
    </border>
    <border>
      <start style="thin">
        <color rgb="FF00B050"/>
      </start>
      <end style="medium">
        <color indexed="64"/>
      </end>
      <top style="medium">
        <color indexed="64"/>
      </top>
      <bottom style="medium">
        <color indexed="64"/>
      </bottom>
      <diagonal/>
    </border>
    <border>
      <start style="medium">
        <color indexed="64"/>
      </start>
      <end style="medium">
        <color indexed="64"/>
      </end>
      <top/>
      <bottom style="thin">
        <color rgb="FF00B050"/>
      </bottom>
      <diagonal/>
    </border>
    <border>
      <start/>
      <end style="thin">
        <color rgb="FF00B050"/>
      </end>
      <top/>
      <bottom style="thin">
        <color rgb="FF00B050"/>
      </bottom>
      <diagonal/>
    </border>
    <border>
      <start style="thin">
        <color rgb="FF00B050"/>
      </start>
      <end style="thin">
        <color rgb="FF00B050"/>
      </end>
      <top/>
      <bottom style="thin">
        <color rgb="FF00B050"/>
      </bottom>
      <diagonal/>
    </border>
    <border>
      <start style="thin">
        <color rgb="FF00B050"/>
      </start>
      <end style="medium">
        <color rgb="FF00B050"/>
      </end>
      <top/>
      <bottom style="thin">
        <color rgb="FF00B050"/>
      </bottom>
      <diagonal/>
    </border>
    <border>
      <start style="medium">
        <color indexed="64"/>
      </start>
      <end style="medium">
        <color indexed="64"/>
      </end>
      <top style="thin">
        <color rgb="FF00B050"/>
      </top>
      <bottom style="thin">
        <color rgb="FF00B050"/>
      </bottom>
      <diagonal/>
    </border>
    <border>
      <start style="thin">
        <color theme="8"/>
      </start>
      <end style="thin">
        <color theme="8"/>
      </end>
      <top style="thin">
        <color theme="8"/>
      </top>
      <bottom/>
      <diagonal/>
    </border>
    <border>
      <start style="thin">
        <color theme="8"/>
      </start>
      <end/>
      <top style="thin">
        <color theme="8"/>
      </top>
      <bottom/>
      <diagonal/>
    </border>
    <border>
      <start style="medium">
        <color indexed="64"/>
      </start>
      <end style="medium">
        <color indexed="64"/>
      </end>
      <top style="thin">
        <color rgb="FF00B050"/>
      </top>
      <bottom style="medium">
        <color indexed="64"/>
      </bottom>
      <diagonal/>
    </border>
    <border>
      <start style="thin">
        <color theme="0"/>
      </start>
      <end/>
      <top style="thick">
        <color rgb="FFFFFF00"/>
      </top>
      <bottom/>
      <diagonal/>
    </border>
  </borders>
  <cellStyleXfs count="9">
    <xf numFmtId="0" fontId="0" fillId="0" borderId="0">
      <alignment vertical="center"/>
    </xf>
    <xf numFmtId="9" fontId="1" fillId="0" borderId="0" applyFont="0" applyFill="0" applyBorder="0" applyAlignment="0" applyProtection="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4" fillId="0" borderId="0"/>
    <xf numFmtId="38" fontId="1" fillId="0" borderId="0" applyFont="0" applyFill="0" applyBorder="0" applyAlignment="0" applyProtection="0">
      <alignment vertical="center"/>
    </xf>
    <xf numFmtId="38" fontId="4" fillId="0" borderId="0" applyFont="0" applyFill="0" applyBorder="0" applyAlignment="0" applyProtection="0">
      <alignment vertical="center"/>
    </xf>
  </cellStyleXfs>
  <cellXfs count="1096">
    <xf numFmtId="0" fontId="0" fillId="0" borderId="0" xfId="0">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8" fillId="0" borderId="0" xfId="0" applyFont="1" applyBorder="1">
      <alignment vertical="center"/>
    </xf>
    <xf numFmtId="0" fontId="7" fillId="0" borderId="0" xfId="0" applyFont="1" applyBorder="1">
      <alignment vertical="center"/>
    </xf>
    <xf numFmtId="0" fontId="5" fillId="0" borderId="0" xfId="0" applyFont="1" applyBorder="1" applyAlignment="1">
      <alignment horizontal="left" vertical="center"/>
    </xf>
    <xf numFmtId="176" fontId="5" fillId="0" borderId="0" xfId="0" applyNumberFormat="1" applyFont="1" applyBorder="1">
      <alignment vertical="center"/>
    </xf>
    <xf numFmtId="0" fontId="9" fillId="0" borderId="0" xfId="0" applyFont="1">
      <alignment vertical="center"/>
    </xf>
    <xf numFmtId="0" fontId="10" fillId="6" borderId="0" xfId="0" applyFont="1" applyFill="1" applyBorder="1" applyAlignment="1">
      <alignment horizontal="center" vertical="center"/>
    </xf>
    <xf numFmtId="0" fontId="10" fillId="6" borderId="0" xfId="0" applyFont="1" applyFill="1" applyBorder="1" applyAlignment="1">
      <alignment horizontal="center" vertical="center" wrapText="1"/>
    </xf>
    <xf numFmtId="0" fontId="9" fillId="0" borderId="0" xfId="0" applyFont="1" applyBorder="1">
      <alignment vertical="center"/>
    </xf>
    <xf numFmtId="176" fontId="9" fillId="0" borderId="0" xfId="0" applyNumberFormat="1" applyFont="1" applyBorder="1">
      <alignment vertical="center"/>
    </xf>
    <xf numFmtId="10" fontId="9" fillId="0" borderId="0" xfId="0" applyNumberFormat="1" applyFont="1" applyBorder="1" applyAlignment="1">
      <alignment horizontal="right" vertical="center" indent="1"/>
    </xf>
    <xf numFmtId="0" fontId="9" fillId="0" borderId="0" xfId="0" applyFont="1" applyAlignment="1">
      <alignment horizontal="left" vertical="center"/>
    </xf>
    <xf numFmtId="176" fontId="9" fillId="0" borderId="0" xfId="0" applyNumberFormat="1" applyFont="1">
      <alignment vertical="center"/>
    </xf>
    <xf numFmtId="10" fontId="9" fillId="0" borderId="0" xfId="0" applyNumberFormat="1" applyFont="1" applyAlignment="1">
      <alignment horizontal="right" vertical="center" indent="1"/>
    </xf>
    <xf numFmtId="0" fontId="8" fillId="2" borderId="40" xfId="0" applyFont="1" applyFill="1" applyBorder="1" applyAlignment="1">
      <alignment horizontal="left" vertical="center" indent="1"/>
    </xf>
    <xf numFmtId="10" fontId="9" fillId="0" borderId="0" xfId="0" applyNumberFormat="1" applyFont="1">
      <alignment vertical="center"/>
    </xf>
    <xf numFmtId="177" fontId="5" fillId="0" borderId="4" xfId="1" applyNumberFormat="1" applyFont="1" applyBorder="1">
      <alignment vertical="center"/>
    </xf>
    <xf numFmtId="0" fontId="5" fillId="0" borderId="0" xfId="0" applyFont="1" applyBorder="1">
      <alignment vertical="center"/>
    </xf>
    <xf numFmtId="38" fontId="5" fillId="0" borderId="0" xfId="0" applyNumberFormat="1" applyFont="1">
      <alignment vertical="center"/>
    </xf>
    <xf numFmtId="177" fontId="5" fillId="0" borderId="0" xfId="1" applyNumberFormat="1" applyFont="1" applyBorder="1">
      <alignment vertical="center"/>
    </xf>
    <xf numFmtId="3" fontId="9" fillId="0" borderId="0" xfId="0" applyNumberFormat="1" applyFont="1">
      <alignment vertical="center"/>
    </xf>
    <xf numFmtId="10" fontId="10" fillId="6" borderId="0" xfId="0" applyNumberFormat="1" applyFont="1" applyFill="1" applyBorder="1" applyAlignment="1">
      <alignment horizontal="center" vertical="center"/>
    </xf>
    <xf numFmtId="0" fontId="9" fillId="0" borderId="0" xfId="0" applyFont="1" applyBorder="1" applyAlignment="1">
      <alignment horizontal="left" vertical="center"/>
    </xf>
    <xf numFmtId="10" fontId="9" fillId="0" borderId="0" xfId="0" applyNumberFormat="1" applyFont="1" applyBorder="1" applyAlignment="1">
      <alignment horizontal="left" vertical="center"/>
    </xf>
    <xf numFmtId="0" fontId="10" fillId="6" borderId="0" xfId="0" applyFont="1" applyFill="1" applyBorder="1" applyAlignment="1">
      <alignment horizontal="left" vertical="center"/>
    </xf>
    <xf numFmtId="176" fontId="10" fillId="6" borderId="0" xfId="0" applyNumberFormat="1" applyFont="1" applyFill="1" applyBorder="1">
      <alignment vertical="center"/>
    </xf>
    <xf numFmtId="10" fontId="10" fillId="6" borderId="0" xfId="0" applyNumberFormat="1" applyFont="1" applyFill="1" applyBorder="1" applyAlignment="1">
      <alignment horizontal="right" vertical="center" indent="1"/>
    </xf>
    <xf numFmtId="0" fontId="9" fillId="0" borderId="0" xfId="0" applyNumberFormat="1" applyFont="1">
      <alignment vertical="center"/>
    </xf>
    <xf numFmtId="0" fontId="5" fillId="0" borderId="0" xfId="0" applyFont="1" applyAlignment="1">
      <alignment horizontal="center" vertical="center" wrapText="1"/>
    </xf>
    <xf numFmtId="0" fontId="11" fillId="3" borderId="0" xfId="0" applyFont="1" applyFill="1" applyAlignment="1">
      <alignment horizontal="right" vertical="center"/>
    </xf>
    <xf numFmtId="0" fontId="11" fillId="0" borderId="0" xfId="0" applyFont="1" applyAlignment="1">
      <alignment horizontal="center" vertical="center"/>
    </xf>
    <xf numFmtId="10" fontId="5" fillId="0" borderId="0" xfId="0" applyNumberFormat="1" applyFont="1" applyAlignment="1">
      <alignment horizontal="right" vertical="center" indent="1"/>
    </xf>
    <xf numFmtId="0" fontId="12" fillId="0" borderId="0" xfId="0" applyFont="1" applyAlignment="1">
      <alignment vertical="center" wrapText="1"/>
    </xf>
    <xf numFmtId="0" fontId="5" fillId="0" borderId="0" xfId="0" applyFont="1" applyAlignment="1">
      <alignment horizontal="left" vertical="center"/>
    </xf>
    <xf numFmtId="176" fontId="5" fillId="0" borderId="0" xfId="0" applyNumberFormat="1" applyFont="1">
      <alignment vertical="center"/>
    </xf>
    <xf numFmtId="176" fontId="11" fillId="0" borderId="0" xfId="0" applyNumberFormat="1" applyFont="1">
      <alignment vertical="center"/>
    </xf>
    <xf numFmtId="181" fontId="5" fillId="0" borderId="55" xfId="0" applyNumberFormat="1" applyFont="1" applyBorder="1" applyAlignment="1">
      <alignment vertical="center"/>
    </xf>
    <xf numFmtId="0" fontId="5" fillId="0" borderId="0" xfId="0" applyFont="1" applyAlignment="1">
      <alignment vertical="center"/>
    </xf>
    <xf numFmtId="0" fontId="11" fillId="0" borderId="0" xfId="0" applyFont="1">
      <alignment vertical="center"/>
    </xf>
    <xf numFmtId="0" fontId="5" fillId="0" borderId="0" xfId="0" applyNumberFormat="1" applyFont="1">
      <alignment vertical="center"/>
    </xf>
    <xf numFmtId="177" fontId="5" fillId="0" borderId="0" xfId="0" applyNumberFormat="1" applyFont="1">
      <alignment vertical="center"/>
    </xf>
    <xf numFmtId="0" fontId="8" fillId="6" borderId="0" xfId="0" applyFont="1" applyFill="1" applyBorder="1" applyAlignment="1">
      <alignment horizontal="center" vertical="center"/>
    </xf>
    <xf numFmtId="0" fontId="8" fillId="6" borderId="0" xfId="0" applyFont="1" applyFill="1" applyBorder="1" applyAlignment="1">
      <alignment horizontal="center" vertical="center" wrapText="1"/>
    </xf>
    <xf numFmtId="176" fontId="5" fillId="0" borderId="55" xfId="0" applyNumberFormat="1" applyFont="1" applyBorder="1" applyAlignment="1">
      <alignment vertical="center"/>
    </xf>
    <xf numFmtId="10" fontId="5" fillId="0" borderId="0" xfId="0" applyNumberFormat="1" applyFont="1" applyBorder="1" applyAlignment="1">
      <alignment horizontal="right" vertical="center" indent="1"/>
    </xf>
    <xf numFmtId="0" fontId="8" fillId="6" borderId="0" xfId="0" applyFont="1" applyFill="1" applyBorder="1" applyAlignment="1">
      <alignment horizontal="left" vertical="center"/>
    </xf>
    <xf numFmtId="176" fontId="8" fillId="6" borderId="0" xfId="0" applyNumberFormat="1" applyFont="1" applyFill="1" applyBorder="1">
      <alignment vertical="center"/>
    </xf>
    <xf numFmtId="10" fontId="8" fillId="6" borderId="0" xfId="0" applyNumberFormat="1" applyFont="1" applyFill="1" applyBorder="1" applyAlignment="1">
      <alignment horizontal="right" vertical="center" indent="1"/>
    </xf>
    <xf numFmtId="0" fontId="11" fillId="3" borderId="0" xfId="0" applyFont="1" applyFill="1" applyAlignment="1">
      <alignment horizontal="center" vertical="center"/>
    </xf>
    <xf numFmtId="0" fontId="11" fillId="3" borderId="0" xfId="0" applyFont="1" applyFill="1">
      <alignment vertical="center"/>
    </xf>
    <xf numFmtId="0" fontId="11" fillId="0" borderId="0" xfId="0" applyFont="1" applyAlignment="1">
      <alignment vertical="center"/>
    </xf>
    <xf numFmtId="0" fontId="11" fillId="3" borderId="0" xfId="0" applyFont="1" applyFill="1" applyAlignment="1">
      <alignment horizontal="left" vertical="center"/>
    </xf>
    <xf numFmtId="0" fontId="8" fillId="0" borderId="0" xfId="0" applyFont="1" applyFill="1" applyBorder="1" applyAlignment="1">
      <alignment horizontal="left" vertical="center" indent="1"/>
    </xf>
    <xf numFmtId="0" fontId="5" fillId="0" borderId="0" xfId="0" applyFont="1" applyFill="1" applyBorder="1">
      <alignment vertical="center"/>
    </xf>
    <xf numFmtId="0" fontId="5" fillId="0" borderId="55" xfId="0" applyFont="1" applyBorder="1">
      <alignment vertical="center"/>
    </xf>
    <xf numFmtId="176" fontId="17" fillId="0" borderId="0" xfId="0" applyNumberFormat="1" applyFont="1">
      <alignment vertical="center"/>
    </xf>
    <xf numFmtId="0" fontId="11" fillId="3" borderId="0" xfId="0" applyFont="1" applyFill="1" applyAlignment="1">
      <alignment horizontal="center" vertical="center" wrapText="1"/>
    </xf>
    <xf numFmtId="176" fontId="5" fillId="0" borderId="55" xfId="0" applyNumberFormat="1" applyFont="1" applyBorder="1">
      <alignment vertical="center"/>
    </xf>
    <xf numFmtId="179" fontId="5" fillId="0" borderId="0" xfId="0" applyNumberFormat="1" applyFont="1">
      <alignment vertical="center"/>
    </xf>
    <xf numFmtId="0" fontId="5" fillId="0" borderId="42" xfId="0" applyFont="1" applyBorder="1">
      <alignment vertical="center"/>
    </xf>
    <xf numFmtId="0" fontId="8" fillId="6" borderId="0" xfId="0" applyFont="1" applyFill="1" applyAlignment="1">
      <alignment horizontal="left" vertical="center"/>
    </xf>
    <xf numFmtId="38" fontId="8" fillId="6" borderId="0" xfId="0" applyNumberFormat="1" applyFont="1" applyFill="1">
      <alignment vertical="center"/>
    </xf>
    <xf numFmtId="179" fontId="5" fillId="0" borderId="0" xfId="0" applyNumberFormat="1" applyFont="1" applyBorder="1">
      <alignment vertical="center"/>
    </xf>
    <xf numFmtId="0" fontId="11" fillId="3" borderId="0" xfId="0" applyFont="1" applyFill="1" applyBorder="1">
      <alignment vertical="center"/>
    </xf>
    <xf numFmtId="0" fontId="11" fillId="3" borderId="0" xfId="0" applyFont="1" applyFill="1" applyBorder="1" applyAlignment="1">
      <alignment horizontal="center" vertical="center"/>
    </xf>
    <xf numFmtId="38" fontId="8" fillId="6" borderId="0" xfId="0" applyNumberFormat="1" applyFont="1" applyFill="1" applyBorder="1">
      <alignment vertical="center"/>
    </xf>
    <xf numFmtId="38" fontId="5" fillId="0" borderId="0" xfId="0" applyNumberFormat="1" applyFont="1" applyBorder="1">
      <alignment vertical="center"/>
    </xf>
    <xf numFmtId="0" fontId="11" fillId="0" borderId="0" xfId="0" applyFont="1" applyAlignment="1">
      <alignment vertical="center" wrapText="1"/>
    </xf>
    <xf numFmtId="0" fontId="15" fillId="0" borderId="23" xfId="0" applyFont="1" applyBorder="1" applyAlignment="1">
      <alignment vertical="center" wrapText="1"/>
    </xf>
    <xf numFmtId="0" fontId="16" fillId="0" borderId="25" xfId="0" applyFont="1" applyBorder="1" applyAlignment="1">
      <alignment vertical="center" shrinkToFit="1"/>
    </xf>
    <xf numFmtId="0" fontId="16" fillId="0" borderId="25" xfId="0" applyFont="1" applyBorder="1">
      <alignment vertical="center"/>
    </xf>
    <xf numFmtId="0" fontId="15" fillId="4" borderId="5" xfId="0" applyFont="1" applyFill="1" applyBorder="1" applyAlignment="1">
      <alignment horizontal="left" vertical="center"/>
    </xf>
    <xf numFmtId="0" fontId="8" fillId="0" borderId="0" xfId="0" applyFont="1" applyBorder="1" applyAlignment="1">
      <alignment horizontal="left" vertical="center"/>
    </xf>
    <xf numFmtId="176" fontId="8" fillId="0" borderId="0" xfId="0" applyNumberFormat="1" applyFont="1" applyBorder="1">
      <alignment vertical="center"/>
    </xf>
    <xf numFmtId="177" fontId="8" fillId="0" borderId="0" xfId="0" applyNumberFormat="1" applyFont="1" applyBorder="1" applyAlignment="1">
      <alignment horizontal="right" vertical="center"/>
    </xf>
    <xf numFmtId="182" fontId="8" fillId="0" borderId="0" xfId="0" applyNumberFormat="1" applyFont="1" applyBorder="1" applyAlignment="1">
      <alignment horizontal="right" vertical="center"/>
    </xf>
    <xf numFmtId="0" fontId="15" fillId="4" borderId="5" xfId="0" applyFont="1" applyFill="1" applyBorder="1" applyAlignment="1">
      <alignment horizontal="center" vertical="center"/>
    </xf>
    <xf numFmtId="0" fontId="15" fillId="0" borderId="23" xfId="0" applyFont="1" applyBorder="1">
      <alignment vertical="center"/>
    </xf>
    <xf numFmtId="0" fontId="15" fillId="4" borderId="5" xfId="0" applyFont="1" applyFill="1" applyBorder="1">
      <alignment vertical="center"/>
    </xf>
    <xf numFmtId="0" fontId="13" fillId="0" borderId="10" xfId="0" applyFont="1" applyBorder="1" applyAlignment="1">
      <alignment horizontal="left" vertical="center" wrapText="1" indent="1"/>
    </xf>
    <xf numFmtId="0" fontId="13" fillId="0" borderId="11" xfId="0" applyFont="1" applyBorder="1" applyAlignment="1">
      <alignment horizontal="left" vertical="center" indent="1"/>
    </xf>
    <xf numFmtId="0" fontId="13" fillId="0" borderId="12" xfId="0" applyFont="1" applyBorder="1" applyAlignment="1">
      <alignment horizontal="left" vertical="center" indent="1"/>
    </xf>
    <xf numFmtId="0" fontId="15" fillId="0" borderId="10" xfId="0" applyFont="1" applyBorder="1" applyAlignment="1">
      <alignment vertical="center" wrapText="1"/>
    </xf>
    <xf numFmtId="0" fontId="16" fillId="0" borderId="11" xfId="0" applyFont="1" applyBorder="1" applyAlignment="1">
      <alignment vertical="center" shrinkToFit="1"/>
    </xf>
    <xf numFmtId="0" fontId="16" fillId="0" borderId="45" xfId="0" applyFont="1" applyBorder="1">
      <alignment vertical="center"/>
    </xf>
    <xf numFmtId="0" fontId="8" fillId="4" borderId="5" xfId="0" applyFont="1" applyFill="1" applyBorder="1" applyAlignment="1">
      <alignment horizontal="left" vertical="center"/>
    </xf>
    <xf numFmtId="0" fontId="15" fillId="0" borderId="10" xfId="0" applyFont="1" applyBorder="1">
      <alignment vertical="center"/>
    </xf>
    <xf numFmtId="0" fontId="16" fillId="0" borderId="11" xfId="0" applyFont="1" applyBorder="1">
      <alignment vertical="center"/>
    </xf>
    <xf numFmtId="0" fontId="5" fillId="0" borderId="3" xfId="0" applyFont="1" applyBorder="1">
      <alignment vertical="center"/>
    </xf>
    <xf numFmtId="0" fontId="16" fillId="0" borderId="24" xfId="0" applyFont="1" applyBorder="1">
      <alignment vertical="center"/>
    </xf>
    <xf numFmtId="0" fontId="5" fillId="0" borderId="61" xfId="0" applyFont="1" applyBorder="1">
      <alignment vertical="center"/>
    </xf>
    <xf numFmtId="0" fontId="15" fillId="4" borderId="8" xfId="0" applyFont="1" applyFill="1" applyBorder="1" applyAlignment="1">
      <alignment horizontal="center" vertical="center"/>
    </xf>
    <xf numFmtId="0" fontId="16" fillId="0" borderId="10" xfId="0" applyFont="1" applyBorder="1" applyAlignment="1">
      <alignment horizontal="left" vertical="center" wrapText="1" indent="1"/>
    </xf>
    <xf numFmtId="0" fontId="16" fillId="0" borderId="11" xfId="0" applyFont="1" applyBorder="1" applyAlignment="1">
      <alignment horizontal="left" vertical="center" indent="1"/>
    </xf>
    <xf numFmtId="0" fontId="16" fillId="0" borderId="12" xfId="0" applyFont="1" applyBorder="1" applyAlignment="1">
      <alignment horizontal="left" vertical="center" indent="1"/>
    </xf>
    <xf numFmtId="0" fontId="15" fillId="4" borderId="26" xfId="0" applyFont="1" applyFill="1" applyBorder="1" applyAlignment="1">
      <alignment horizontal="center" vertical="center"/>
    </xf>
    <xf numFmtId="0" fontId="8" fillId="0" borderId="0" xfId="0" applyFont="1" applyFill="1" applyBorder="1" applyAlignment="1">
      <alignment horizontal="left" vertical="center"/>
    </xf>
    <xf numFmtId="38" fontId="8" fillId="0" borderId="0" xfId="0" applyNumberFormat="1" applyFont="1" applyFill="1" applyBorder="1">
      <alignment vertical="center"/>
    </xf>
    <xf numFmtId="177" fontId="8" fillId="0" borderId="0" xfId="1" applyNumberFormat="1" applyFont="1" applyFill="1" applyBorder="1">
      <alignment vertical="center"/>
    </xf>
    <xf numFmtId="0" fontId="5" fillId="0" borderId="0" xfId="0" applyFont="1" applyFill="1">
      <alignment vertical="center"/>
    </xf>
    <xf numFmtId="0" fontId="13" fillId="0" borderId="0" xfId="0" applyFont="1" applyBorder="1" applyAlignment="1">
      <alignment horizontal="left" vertical="center"/>
    </xf>
    <xf numFmtId="38" fontId="5" fillId="0" borderId="4" xfId="0" applyNumberFormat="1" applyFont="1" applyBorder="1">
      <alignment vertical="center"/>
    </xf>
    <xf numFmtId="0" fontId="5" fillId="0" borderId="0" xfId="0" applyFont="1" applyAlignment="1">
      <alignment horizontal="center" vertical="center"/>
    </xf>
    <xf numFmtId="177" fontId="5" fillId="0" borderId="0" xfId="1" applyNumberFormat="1" applyFont="1">
      <alignment vertical="center"/>
    </xf>
    <xf numFmtId="38" fontId="5" fillId="0" borderId="0" xfId="7" applyFont="1">
      <alignment vertical="center"/>
    </xf>
    <xf numFmtId="0" fontId="5" fillId="8" borderId="0" xfId="0" applyFont="1" applyFill="1">
      <alignment vertical="center"/>
    </xf>
    <xf numFmtId="10" fontId="5" fillId="0" borderId="0" xfId="0" applyNumberFormat="1" applyFont="1">
      <alignment vertical="center"/>
    </xf>
    <xf numFmtId="0" fontId="5" fillId="7" borderId="0" xfId="0" applyFont="1" applyFill="1">
      <alignment vertical="center"/>
    </xf>
    <xf numFmtId="0" fontId="8" fillId="0" borderId="0" xfId="0" applyFont="1" applyAlignment="1">
      <alignment horizontal="center" vertical="center" wrapText="1"/>
    </xf>
    <xf numFmtId="0" fontId="5" fillId="0" borderId="0" xfId="0" applyFont="1" applyAlignment="1">
      <alignment horizontal="right" vertical="center"/>
    </xf>
    <xf numFmtId="0" fontId="13" fillId="8" borderId="42" xfId="0" applyFont="1" applyFill="1" applyBorder="1" applyAlignment="1">
      <alignment vertical="center"/>
    </xf>
    <xf numFmtId="0" fontId="12" fillId="0" borderId="6" xfId="0" applyFont="1" applyBorder="1" applyAlignment="1">
      <alignment vertical="center" wrapText="1"/>
    </xf>
    <xf numFmtId="182" fontId="5" fillId="0" borderId="55" xfId="0" applyNumberFormat="1" applyFont="1" applyBorder="1">
      <alignment vertical="center"/>
    </xf>
    <xf numFmtId="0" fontId="12" fillId="0" borderId="11" xfId="0" applyFont="1" applyBorder="1" applyAlignment="1">
      <alignment vertical="center" wrapText="1"/>
    </xf>
    <xf numFmtId="0" fontId="13" fillId="8" borderId="44" xfId="0" applyFont="1" applyFill="1" applyBorder="1" applyAlignment="1">
      <alignment vertical="center"/>
    </xf>
    <xf numFmtId="0" fontId="12" fillId="0" borderId="29" xfId="0" applyFont="1" applyBorder="1" applyAlignment="1">
      <alignment vertical="center" wrapText="1"/>
    </xf>
    <xf numFmtId="0" fontId="5" fillId="0" borderId="0" xfId="0" applyFont="1" applyBorder="1" applyAlignment="1">
      <alignment horizontal="left" vertical="center" wrapText="1"/>
    </xf>
    <xf numFmtId="0" fontId="5" fillId="5" borderId="0" xfId="0" applyFont="1" applyFill="1" applyBorder="1" applyAlignment="1">
      <alignment horizontal="left" vertical="center" wrapText="1"/>
    </xf>
    <xf numFmtId="177" fontId="5" fillId="0" borderId="0" xfId="0" applyNumberFormat="1" applyFont="1" applyAlignment="1">
      <alignment horizontal="right" vertical="center" indent="1"/>
    </xf>
    <xf numFmtId="176" fontId="5" fillId="0" borderId="0" xfId="0" applyNumberFormat="1" applyFont="1" applyFill="1">
      <alignment vertical="center"/>
    </xf>
    <xf numFmtId="177" fontId="5" fillId="0" borderId="0" xfId="1" applyNumberFormat="1" applyFont="1" applyFill="1">
      <alignment vertical="center"/>
    </xf>
    <xf numFmtId="176" fontId="5" fillId="7" borderId="0" xfId="0" applyNumberFormat="1" applyFont="1" applyFill="1">
      <alignment vertical="center"/>
    </xf>
    <xf numFmtId="177" fontId="5" fillId="7" borderId="0" xfId="1" applyNumberFormat="1" applyFont="1" applyFill="1">
      <alignment vertical="center"/>
    </xf>
    <xf numFmtId="176" fontId="5" fillId="0" borderId="0" xfId="0" applyNumberFormat="1" applyFont="1" applyFill="1" applyBorder="1">
      <alignment vertical="center"/>
    </xf>
    <xf numFmtId="0" fontId="5" fillId="0" borderId="0" xfId="0" applyFont="1" applyFill="1" applyAlignment="1">
      <alignment horizontal="left" vertical="center"/>
    </xf>
    <xf numFmtId="38" fontId="5" fillId="0" borderId="0" xfId="0" applyNumberFormat="1" applyFont="1" applyFill="1">
      <alignment vertical="center"/>
    </xf>
    <xf numFmtId="0" fontId="5" fillId="0" borderId="0" xfId="0" applyFont="1" applyBorder="1" applyAlignment="1">
      <alignment horizontal="center" vertical="center"/>
    </xf>
    <xf numFmtId="176" fontId="5" fillId="0" borderId="0" xfId="0" applyNumberFormat="1" applyFont="1" applyFill="1" applyBorder="1" applyAlignment="1">
      <alignment horizontal="right" vertical="center"/>
    </xf>
    <xf numFmtId="177" fontId="5" fillId="0" borderId="0" xfId="0" applyNumberFormat="1" applyFont="1" applyFill="1" applyBorder="1" applyAlignment="1">
      <alignment horizontal="right" vertical="center"/>
    </xf>
    <xf numFmtId="0" fontId="5" fillId="0" borderId="0" xfId="0" applyFont="1" applyBorder="1" applyAlignment="1">
      <alignment horizontal="right" vertical="center" wrapText="1"/>
    </xf>
    <xf numFmtId="0" fontId="5" fillId="5" borderId="0" xfId="0" applyFont="1" applyFill="1" applyBorder="1" applyAlignment="1">
      <alignment horizontal="right" vertical="center" wrapText="1"/>
    </xf>
    <xf numFmtId="0" fontId="5" fillId="0" borderId="0" xfId="0" applyFont="1" applyBorder="1" applyAlignment="1">
      <alignment horizontal="right" vertical="center"/>
    </xf>
    <xf numFmtId="0" fontId="8" fillId="6" borderId="30" xfId="0" applyFont="1" applyFill="1" applyBorder="1" applyAlignment="1">
      <alignment horizontal="center" vertical="center" wrapText="1"/>
    </xf>
    <xf numFmtId="0" fontId="8" fillId="6" borderId="31" xfId="0" applyFont="1" applyFill="1" applyBorder="1" applyAlignment="1">
      <alignment horizontal="left" vertical="center"/>
    </xf>
    <xf numFmtId="176" fontId="8" fillId="6" borderId="31" xfId="0" applyNumberFormat="1" applyFont="1" applyFill="1" applyBorder="1">
      <alignment vertical="center"/>
    </xf>
    <xf numFmtId="10" fontId="8" fillId="6" borderId="31" xfId="0" applyNumberFormat="1" applyFont="1" applyFill="1" applyBorder="1" applyAlignment="1">
      <alignment horizontal="right" vertical="center" indent="1"/>
    </xf>
    <xf numFmtId="0" fontId="18" fillId="0" borderId="0" xfId="0" applyFont="1">
      <alignment vertical="center"/>
    </xf>
    <xf numFmtId="38" fontId="5" fillId="0" borderId="0" xfId="0" applyNumberFormat="1" applyFont="1" applyFill="1" applyBorder="1">
      <alignment vertical="center"/>
    </xf>
    <xf numFmtId="0" fontId="5" fillId="0" borderId="32" xfId="0" applyFont="1" applyBorder="1">
      <alignment vertical="center"/>
    </xf>
    <xf numFmtId="0" fontId="5" fillId="0" borderId="32" xfId="0" applyFont="1" applyBorder="1" applyAlignment="1">
      <alignment horizontal="left" vertical="center"/>
    </xf>
    <xf numFmtId="38" fontId="5" fillId="0" borderId="32" xfId="0" applyNumberFormat="1" applyFont="1" applyBorder="1">
      <alignment vertical="center"/>
    </xf>
    <xf numFmtId="0" fontId="5" fillId="0" borderId="33" xfId="0" applyFont="1" applyBorder="1">
      <alignment vertical="center"/>
    </xf>
    <xf numFmtId="0" fontId="5" fillId="0" borderId="33" xfId="0" applyFont="1" applyBorder="1" applyAlignment="1">
      <alignment horizontal="left" vertical="center"/>
    </xf>
    <xf numFmtId="38" fontId="5" fillId="0" borderId="33" xfId="0" applyNumberFormat="1" applyFont="1" applyBorder="1">
      <alignment vertical="center"/>
    </xf>
    <xf numFmtId="0" fontId="5" fillId="0" borderId="0" xfId="0" applyFont="1" applyFill="1" applyBorder="1" applyAlignment="1">
      <alignment horizontal="left" vertical="center"/>
    </xf>
    <xf numFmtId="10" fontId="5" fillId="0" borderId="0" xfId="0" applyNumberFormat="1" applyFont="1" applyBorder="1">
      <alignment vertical="center"/>
    </xf>
    <xf numFmtId="10" fontId="8" fillId="6" borderId="0" xfId="0" applyNumberFormat="1" applyFont="1" applyFill="1" applyBorder="1">
      <alignment vertical="center"/>
    </xf>
    <xf numFmtId="176" fontId="8" fillId="0" borderId="15" xfId="0" applyNumberFormat="1" applyFont="1" applyBorder="1" applyAlignment="1">
      <alignment vertical="center" shrinkToFit="1"/>
    </xf>
    <xf numFmtId="177" fontId="8" fillId="0" borderId="14" xfId="0" applyNumberFormat="1" applyFont="1" applyBorder="1" applyAlignment="1">
      <alignment horizontal="right" vertical="center" shrinkToFit="1"/>
    </xf>
    <xf numFmtId="177" fontId="8" fillId="0" borderId="16" xfId="0" applyNumberFormat="1" applyFont="1" applyBorder="1" applyAlignment="1">
      <alignment horizontal="right" vertical="center" shrinkToFit="1"/>
    </xf>
    <xf numFmtId="176" fontId="5" fillId="0" borderId="17" xfId="0" applyNumberFormat="1" applyFont="1" applyBorder="1" applyAlignment="1">
      <alignment vertical="center" shrinkToFit="1"/>
    </xf>
    <xf numFmtId="177" fontId="5" fillId="0" borderId="18" xfId="0" applyNumberFormat="1" applyFont="1" applyBorder="1" applyAlignment="1">
      <alignment horizontal="right" vertical="center" shrinkToFit="1"/>
    </xf>
    <xf numFmtId="177" fontId="5" fillId="0" borderId="60" xfId="0" applyNumberFormat="1" applyFont="1" applyBorder="1" applyAlignment="1">
      <alignment horizontal="right" vertical="center" shrinkToFit="1"/>
    </xf>
    <xf numFmtId="176" fontId="5" fillId="0" borderId="19" xfId="0" applyNumberFormat="1" applyFont="1" applyBorder="1" applyAlignment="1">
      <alignment vertical="center" shrinkToFit="1"/>
    </xf>
    <xf numFmtId="177" fontId="5" fillId="0" borderId="34" xfId="0" applyNumberFormat="1" applyFont="1" applyBorder="1" applyAlignment="1">
      <alignment horizontal="right" vertical="center" shrinkToFit="1"/>
    </xf>
    <xf numFmtId="177" fontId="5" fillId="0" borderId="20" xfId="0" applyNumberFormat="1" applyFont="1" applyBorder="1" applyAlignment="1">
      <alignment horizontal="right" vertical="center" shrinkToFit="1"/>
    </xf>
    <xf numFmtId="176" fontId="8" fillId="4" borderId="57" xfId="0" applyNumberFormat="1" applyFont="1" applyFill="1" applyBorder="1" applyAlignment="1">
      <alignment vertical="center" shrinkToFit="1"/>
    </xf>
    <xf numFmtId="177" fontId="8" fillId="4" borderId="22" xfId="0" applyNumberFormat="1" applyFont="1" applyFill="1" applyBorder="1" applyAlignment="1">
      <alignment horizontal="right" vertical="center" shrinkToFit="1"/>
    </xf>
    <xf numFmtId="182" fontId="8" fillId="4" borderId="62" xfId="0" applyNumberFormat="1" applyFont="1" applyFill="1" applyBorder="1" applyAlignment="1">
      <alignment horizontal="right" vertical="center" shrinkToFit="1"/>
    </xf>
    <xf numFmtId="176" fontId="8" fillId="0" borderId="0" xfId="0" applyNumberFormat="1" applyFont="1" applyBorder="1" applyAlignment="1">
      <alignment vertical="center" shrinkToFit="1"/>
    </xf>
    <xf numFmtId="177" fontId="8" fillId="0" borderId="0" xfId="0" applyNumberFormat="1" applyFont="1" applyBorder="1" applyAlignment="1">
      <alignment horizontal="right" vertical="center" shrinkToFit="1"/>
    </xf>
    <xf numFmtId="182" fontId="8" fillId="0" borderId="0" xfId="0" applyNumberFormat="1" applyFont="1" applyBorder="1" applyAlignment="1">
      <alignment horizontal="right" vertical="center" shrinkToFit="1"/>
    </xf>
    <xf numFmtId="176" fontId="5" fillId="4" borderId="26" xfId="0" applyNumberFormat="1" applyFont="1" applyFill="1" applyBorder="1" applyAlignment="1">
      <alignment vertical="center" shrinkToFit="1"/>
    </xf>
    <xf numFmtId="176" fontId="5" fillId="4" borderId="28" xfId="0" applyNumberFormat="1" applyFont="1" applyFill="1" applyBorder="1" applyAlignment="1">
      <alignment vertical="center" shrinkToFit="1"/>
    </xf>
    <xf numFmtId="176" fontId="5" fillId="4" borderId="27" xfId="0" applyNumberFormat="1" applyFont="1" applyFill="1" applyBorder="1" applyAlignment="1">
      <alignment vertical="center" shrinkToFit="1"/>
    </xf>
    <xf numFmtId="176" fontId="5" fillId="0" borderId="15" xfId="0" applyNumberFormat="1" applyFont="1" applyBorder="1" applyAlignment="1">
      <alignment vertical="center" shrinkToFit="1"/>
    </xf>
    <xf numFmtId="177" fontId="5" fillId="0" borderId="14" xfId="0" applyNumberFormat="1" applyFont="1" applyBorder="1" applyAlignment="1">
      <alignment horizontal="right" vertical="center" shrinkToFit="1"/>
    </xf>
    <xf numFmtId="177" fontId="5" fillId="0" borderId="35" xfId="0" applyNumberFormat="1" applyFont="1" applyBorder="1" applyAlignment="1">
      <alignment horizontal="right" vertical="center" shrinkToFit="1"/>
    </xf>
    <xf numFmtId="0" fontId="5" fillId="0" borderId="0" xfId="0" applyFont="1" applyAlignment="1">
      <alignment vertical="center" shrinkToFit="1"/>
    </xf>
    <xf numFmtId="0" fontId="5" fillId="0" borderId="0" xfId="0" applyFont="1" applyBorder="1" applyAlignment="1">
      <alignment vertical="center" shrinkToFit="1"/>
    </xf>
    <xf numFmtId="0" fontId="5" fillId="0" borderId="10" xfId="0" applyFont="1" applyBorder="1" applyAlignment="1">
      <alignment vertical="center" shrinkToFit="1"/>
    </xf>
    <xf numFmtId="176" fontId="5" fillId="0" borderId="13" xfId="0" applyNumberFormat="1" applyFont="1" applyBorder="1" applyAlignment="1">
      <alignment vertical="center" shrinkToFit="1"/>
    </xf>
    <xf numFmtId="0" fontId="5" fillId="0" borderId="11" xfId="0" applyFont="1" applyBorder="1" applyAlignment="1">
      <alignment vertical="center" shrinkToFit="1"/>
    </xf>
    <xf numFmtId="176" fontId="5" fillId="0" borderId="36" xfId="0" applyNumberFormat="1" applyFont="1" applyBorder="1" applyAlignment="1">
      <alignment vertical="center" shrinkToFit="1"/>
    </xf>
    <xf numFmtId="176" fontId="5" fillId="0" borderId="38" xfId="0" applyNumberFormat="1" applyFont="1" applyBorder="1" applyAlignment="1">
      <alignment vertical="center" shrinkToFit="1"/>
    </xf>
    <xf numFmtId="0" fontId="5" fillId="0" borderId="12" xfId="0" applyFont="1" applyBorder="1" applyAlignment="1">
      <alignment vertical="center" shrinkToFit="1"/>
    </xf>
    <xf numFmtId="176" fontId="5" fillId="0" borderId="37" xfId="0" applyNumberFormat="1" applyFont="1" applyBorder="1" applyAlignment="1">
      <alignment vertical="center" shrinkToFit="1"/>
    </xf>
    <xf numFmtId="0" fontId="8" fillId="4" borderId="5" xfId="0" applyFont="1" applyFill="1" applyBorder="1" applyAlignment="1">
      <alignment vertical="center" shrinkToFit="1"/>
    </xf>
    <xf numFmtId="176" fontId="8" fillId="4" borderId="21" xfId="0" applyNumberFormat="1" applyFont="1" applyFill="1" applyBorder="1" applyAlignment="1">
      <alignment vertical="center" shrinkToFit="1"/>
    </xf>
    <xf numFmtId="177" fontId="8" fillId="9" borderId="22" xfId="0" applyNumberFormat="1" applyFont="1" applyFill="1" applyBorder="1" applyAlignment="1">
      <alignment horizontal="right" vertical="center" shrinkToFit="1"/>
    </xf>
    <xf numFmtId="0" fontId="13" fillId="0" borderId="26" xfId="0" applyFont="1" applyFill="1" applyBorder="1" applyAlignment="1">
      <alignment vertical="center" shrinkToFit="1"/>
    </xf>
    <xf numFmtId="176" fontId="5" fillId="0" borderId="21" xfId="0" applyNumberFormat="1" applyFont="1" applyFill="1" applyBorder="1" applyAlignment="1">
      <alignment vertical="center" shrinkToFit="1"/>
    </xf>
    <xf numFmtId="0" fontId="13" fillId="0" borderId="5" xfId="0" applyFont="1" applyFill="1" applyBorder="1" applyAlignment="1">
      <alignment vertical="center" shrinkToFit="1"/>
    </xf>
    <xf numFmtId="177" fontId="5" fillId="0" borderId="22" xfId="0" applyNumberFormat="1" applyFont="1" applyBorder="1" applyAlignment="1">
      <alignment horizontal="right" vertical="center" shrinkToFit="1"/>
    </xf>
    <xf numFmtId="177" fontId="5" fillId="0" borderId="16" xfId="0" applyNumberFormat="1" applyFont="1" applyBorder="1" applyAlignment="1">
      <alignment horizontal="right" vertical="center" shrinkToFit="1"/>
    </xf>
    <xf numFmtId="177" fontId="8" fillId="9" borderId="60" xfId="0" applyNumberFormat="1" applyFont="1" applyFill="1" applyBorder="1" applyAlignment="1">
      <alignment horizontal="right" vertical="center" shrinkToFit="1"/>
    </xf>
    <xf numFmtId="177" fontId="8" fillId="4" borderId="16" xfId="0" applyNumberFormat="1" applyFont="1" applyFill="1" applyBorder="1" applyAlignment="1">
      <alignment horizontal="right" vertical="center" shrinkToFit="1"/>
    </xf>
    <xf numFmtId="177" fontId="8" fillId="9" borderId="63" xfId="0" applyNumberFormat="1" applyFont="1" applyFill="1" applyBorder="1" applyAlignment="1">
      <alignment horizontal="right" vertical="center" shrinkToFit="1"/>
    </xf>
    <xf numFmtId="177" fontId="8" fillId="9" borderId="14" xfId="0" applyNumberFormat="1" applyFont="1" applyFill="1" applyBorder="1" applyAlignment="1">
      <alignment horizontal="right" vertical="center" shrinkToFit="1"/>
    </xf>
    <xf numFmtId="0" fontId="13" fillId="0" borderId="26" xfId="0" applyFont="1" applyBorder="1" applyAlignment="1">
      <alignment vertical="center" shrinkToFit="1"/>
    </xf>
    <xf numFmtId="176" fontId="5" fillId="0" borderId="21" xfId="0" applyNumberFormat="1" applyFont="1" applyBorder="1" applyAlignment="1">
      <alignment vertical="center" shrinkToFit="1"/>
    </xf>
    <xf numFmtId="0" fontId="13" fillId="0" borderId="5" xfId="0" applyFont="1" applyBorder="1" applyAlignment="1">
      <alignment vertical="center" shrinkToFit="1"/>
    </xf>
    <xf numFmtId="0" fontId="8" fillId="2" borderId="65" xfId="0" applyFont="1" applyFill="1" applyBorder="1" applyAlignment="1">
      <alignment horizontal="center" vertical="center"/>
    </xf>
    <xf numFmtId="0" fontId="8" fillId="2" borderId="66" xfId="0" applyFont="1" applyFill="1" applyBorder="1" applyAlignment="1">
      <alignment horizontal="center" vertical="center"/>
    </xf>
    <xf numFmtId="0" fontId="5" fillId="0" borderId="67" xfId="0" applyFont="1" applyBorder="1">
      <alignment vertical="center"/>
    </xf>
    <xf numFmtId="0" fontId="5" fillId="0" borderId="68" xfId="0" applyFont="1" applyBorder="1">
      <alignment vertical="center"/>
    </xf>
    <xf numFmtId="0" fontId="8" fillId="2" borderId="70" xfId="0" applyFont="1" applyFill="1" applyBorder="1" applyAlignment="1">
      <alignment horizontal="left" vertical="center" indent="1"/>
    </xf>
    <xf numFmtId="0" fontId="5" fillId="0" borderId="72" xfId="0" applyFont="1" applyBorder="1" applyAlignment="1">
      <alignment horizontal="left" vertical="center" indent="1"/>
    </xf>
    <xf numFmtId="0" fontId="5" fillId="0" borderId="73" xfId="0" applyFont="1" applyBorder="1" applyAlignment="1">
      <alignment horizontal="left" vertical="center" wrapText="1" indent="1"/>
    </xf>
    <xf numFmtId="0" fontId="8" fillId="2" borderId="5" xfId="0" applyFont="1" applyFill="1" applyBorder="1" applyAlignment="1">
      <alignment horizontal="center" vertical="center"/>
    </xf>
    <xf numFmtId="176" fontId="5" fillId="0" borderId="5" xfId="0" applyNumberFormat="1" applyFont="1" applyBorder="1" applyAlignment="1">
      <alignment horizontal="right" vertical="center"/>
    </xf>
    <xf numFmtId="176" fontId="5" fillId="0" borderId="5" xfId="0" applyNumberFormat="1" applyFont="1" applyBorder="1">
      <alignment vertical="center"/>
    </xf>
    <xf numFmtId="178" fontId="5" fillId="0" borderId="10" xfId="0" applyNumberFormat="1" applyFont="1" applyBorder="1">
      <alignment vertical="center"/>
    </xf>
    <xf numFmtId="180" fontId="5" fillId="0" borderId="10" xfId="1" applyNumberFormat="1" applyFont="1" applyBorder="1" applyAlignment="1">
      <alignment horizontal="right" vertical="center"/>
    </xf>
    <xf numFmtId="178" fontId="5" fillId="0" borderId="11" xfId="0" applyNumberFormat="1" applyFont="1" applyBorder="1">
      <alignment vertical="center"/>
    </xf>
    <xf numFmtId="180" fontId="5" fillId="0" borderId="11" xfId="1" applyNumberFormat="1" applyFont="1" applyBorder="1" applyAlignment="1">
      <alignment horizontal="right" vertical="center"/>
    </xf>
    <xf numFmtId="178" fontId="5" fillId="0" borderId="12" xfId="0" applyNumberFormat="1" applyFont="1" applyBorder="1">
      <alignment vertical="center"/>
    </xf>
    <xf numFmtId="180" fontId="5" fillId="0" borderId="12" xfId="1" applyNumberFormat="1" applyFont="1" applyBorder="1" applyAlignment="1">
      <alignment horizontal="right" vertical="center"/>
    </xf>
    <xf numFmtId="0" fontId="8" fillId="2" borderId="26"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26" xfId="0" applyFont="1" applyFill="1" applyBorder="1" applyAlignment="1">
      <alignment horizontal="left" vertical="center" indent="1"/>
    </xf>
    <xf numFmtId="0" fontId="8" fillId="2" borderId="28" xfId="0" applyFont="1" applyFill="1" applyBorder="1" applyAlignment="1">
      <alignment horizontal="left" vertical="center" indent="1"/>
    </xf>
    <xf numFmtId="0" fontId="5" fillId="0" borderId="79" xfId="0" applyFont="1" applyBorder="1">
      <alignment vertical="center"/>
    </xf>
    <xf numFmtId="0" fontId="13" fillId="0" borderId="5" xfId="0" applyFont="1" applyFill="1" applyBorder="1" applyAlignment="1">
      <alignment horizontal="left" vertical="center" wrapText="1"/>
    </xf>
    <xf numFmtId="0" fontId="13" fillId="0" borderId="5" xfId="0" applyFont="1" applyFill="1" applyBorder="1" applyAlignment="1">
      <alignment horizontal="left" vertical="center"/>
    </xf>
    <xf numFmtId="0" fontId="13" fillId="0" borderId="5" xfId="0" applyFont="1" applyBorder="1" applyAlignment="1">
      <alignment horizontal="left" vertical="center" wrapText="1"/>
    </xf>
    <xf numFmtId="0" fontId="13" fillId="0" borderId="5" xfId="0" applyFont="1" applyBorder="1" applyAlignment="1">
      <alignment horizontal="left" vertical="center"/>
    </xf>
    <xf numFmtId="177" fontId="5" fillId="0" borderId="5" xfId="0" applyNumberFormat="1" applyFont="1" applyBorder="1" applyAlignment="1">
      <alignment horizontal="right" vertical="center"/>
    </xf>
    <xf numFmtId="0" fontId="8" fillId="2" borderId="5" xfId="0" applyFont="1" applyFill="1" applyBorder="1" applyAlignment="1">
      <alignment horizontal="left" vertical="center" indent="1"/>
    </xf>
    <xf numFmtId="0" fontId="5" fillId="0" borderId="5" xfId="0" applyFont="1" applyBorder="1">
      <alignment vertical="center"/>
    </xf>
    <xf numFmtId="0" fontId="8" fillId="2" borderId="5" xfId="0" applyFont="1" applyFill="1" applyBorder="1">
      <alignment vertical="center"/>
    </xf>
    <xf numFmtId="0" fontId="5" fillId="0" borderId="5" xfId="0" applyFont="1" applyBorder="1" applyAlignment="1">
      <alignment vertical="center" wrapText="1"/>
    </xf>
    <xf numFmtId="0" fontId="5" fillId="0" borderId="5" xfId="0" applyFont="1" applyFill="1" applyBorder="1" applyAlignment="1">
      <alignment vertical="center" wrapText="1"/>
    </xf>
    <xf numFmtId="0" fontId="5" fillId="0" borderId="5" xfId="0" applyFont="1" applyFill="1" applyBorder="1">
      <alignment vertical="center"/>
    </xf>
    <xf numFmtId="0" fontId="8" fillId="10" borderId="5" xfId="0" applyFont="1" applyFill="1" applyBorder="1" applyAlignment="1">
      <alignment horizontal="center" vertical="center"/>
    </xf>
    <xf numFmtId="0" fontId="8" fillId="10" borderId="5" xfId="0" applyFont="1" applyFill="1" applyBorder="1" applyAlignment="1">
      <alignment horizontal="left" vertical="center" indent="1"/>
    </xf>
    <xf numFmtId="176" fontId="8" fillId="10" borderId="5" xfId="0" applyNumberFormat="1" applyFont="1" applyFill="1" applyBorder="1" applyAlignment="1">
      <alignment horizontal="right" vertical="center"/>
    </xf>
    <xf numFmtId="177" fontId="8" fillId="10" borderId="5" xfId="1" applyNumberFormat="1" applyFont="1" applyFill="1" applyBorder="1" applyAlignment="1">
      <alignment horizontal="right" vertical="center"/>
    </xf>
    <xf numFmtId="0" fontId="8" fillId="10" borderId="65"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26" xfId="0" applyFont="1" applyFill="1" applyBorder="1" applyAlignment="1">
      <alignment horizontal="center" vertical="center"/>
    </xf>
    <xf numFmtId="0" fontId="8" fillId="10" borderId="28" xfId="0" applyFont="1" applyFill="1" applyBorder="1" applyAlignment="1">
      <alignment horizontal="center" vertical="center"/>
    </xf>
    <xf numFmtId="0" fontId="8" fillId="10" borderId="70" xfId="0" applyFont="1" applyFill="1" applyBorder="1" applyAlignment="1">
      <alignment horizontal="left" vertical="center" indent="1"/>
    </xf>
    <xf numFmtId="0" fontId="8" fillId="10" borderId="40" xfId="0" applyFont="1" applyFill="1" applyBorder="1" applyAlignment="1">
      <alignment horizontal="left" vertical="center" indent="1"/>
    </xf>
    <xf numFmtId="0" fontId="8" fillId="10" borderId="26" xfId="0" applyFont="1" applyFill="1" applyBorder="1" applyAlignment="1">
      <alignment horizontal="left" vertical="center" indent="1"/>
    </xf>
    <xf numFmtId="0" fontId="8" fillId="10" borderId="28" xfId="0" applyFont="1" applyFill="1" applyBorder="1" applyAlignment="1">
      <alignment horizontal="left" vertical="center" indent="1"/>
    </xf>
    <xf numFmtId="0" fontId="11" fillId="6" borderId="0" xfId="0" applyFont="1" applyFill="1" applyBorder="1" applyAlignment="1">
      <alignment horizontal="center" vertical="center"/>
    </xf>
    <xf numFmtId="0" fontId="16" fillId="0" borderId="5" xfId="0" applyFont="1" applyBorder="1" applyAlignment="1">
      <alignment vertical="center" wrapText="1"/>
    </xf>
    <xf numFmtId="0" fontId="8" fillId="10" borderId="5" xfId="0" applyFont="1" applyFill="1" applyBorder="1">
      <alignment vertical="center"/>
    </xf>
    <xf numFmtId="0" fontId="8" fillId="12" borderId="5" xfId="0" applyFont="1" applyFill="1" applyBorder="1" applyAlignment="1">
      <alignment vertical="center"/>
    </xf>
    <xf numFmtId="0" fontId="8" fillId="12" borderId="5" xfId="0" applyFont="1" applyFill="1" applyBorder="1" applyAlignment="1">
      <alignment horizontal="left" vertical="center"/>
    </xf>
    <xf numFmtId="38" fontId="8" fillId="12" borderId="49" xfId="0" applyNumberFormat="1" applyFont="1" applyFill="1" applyBorder="1" applyAlignment="1">
      <alignment vertical="center" shrinkToFit="1"/>
    </xf>
    <xf numFmtId="0" fontId="19" fillId="0" borderId="0" xfId="0" applyFont="1" applyAlignment="1">
      <alignment vertical="center"/>
    </xf>
    <xf numFmtId="0" fontId="11" fillId="3" borderId="0" xfId="0" applyFont="1" applyFill="1" applyAlignment="1">
      <alignment horizontal="center" vertical="center"/>
    </xf>
    <xf numFmtId="0" fontId="5" fillId="0" borderId="5" xfId="0" applyFont="1" applyBorder="1" applyAlignment="1">
      <alignment vertical="center" shrinkToFit="1"/>
    </xf>
    <xf numFmtId="0" fontId="11" fillId="3" borderId="0" xfId="0" applyFont="1" applyFill="1" applyAlignment="1">
      <alignment horizontal="left" vertical="center" shrinkToFit="1"/>
    </xf>
    <xf numFmtId="176" fontId="17" fillId="0" borderId="55" xfId="0" applyNumberFormat="1" applyFont="1" applyBorder="1">
      <alignment vertical="center"/>
    </xf>
    <xf numFmtId="0" fontId="11" fillId="0" borderId="0" xfId="0" applyFont="1" applyBorder="1" applyAlignment="1">
      <alignment horizontal="left" vertical="center"/>
    </xf>
    <xf numFmtId="0" fontId="11" fillId="0" borderId="0" xfId="0" applyFont="1" applyBorder="1" applyAlignment="1">
      <alignment horizontal="left" vertical="center" shrinkToFit="1"/>
    </xf>
    <xf numFmtId="0" fontId="11" fillId="3" borderId="0" xfId="0" applyFont="1" applyFill="1" applyBorder="1" applyAlignment="1">
      <alignment horizontal="left" vertical="center"/>
    </xf>
    <xf numFmtId="0" fontId="11" fillId="0" borderId="0" xfId="0" applyFont="1" applyAlignment="1">
      <alignment horizontal="center" vertical="center" shrinkToFit="1"/>
    </xf>
    <xf numFmtId="176" fontId="8" fillId="0" borderId="13" xfId="0" applyNumberFormat="1" applyFont="1" applyBorder="1" applyAlignment="1">
      <alignment vertical="center" shrinkToFit="1"/>
    </xf>
    <xf numFmtId="181" fontId="5" fillId="0" borderId="0" xfId="0" applyNumberFormat="1" applyFont="1" applyBorder="1" applyAlignment="1">
      <alignment vertical="center"/>
    </xf>
    <xf numFmtId="0" fontId="21" fillId="15" borderId="82" xfId="0" applyFont="1" applyFill="1" applyBorder="1" applyAlignment="1">
      <alignment horizontal="center" vertical="center"/>
    </xf>
    <xf numFmtId="182" fontId="5" fillId="6" borderId="55" xfId="0" applyNumberFormat="1" applyFont="1" applyFill="1" applyBorder="1">
      <alignment vertical="center"/>
    </xf>
    <xf numFmtId="0" fontId="11" fillId="6" borderId="83" xfId="0" applyFont="1" applyFill="1" applyBorder="1">
      <alignment vertical="center"/>
    </xf>
    <xf numFmtId="0" fontId="11" fillId="6" borderId="31" xfId="0" applyFont="1" applyFill="1" applyBorder="1" applyAlignment="1">
      <alignment vertical="center" wrapText="1"/>
    </xf>
    <xf numFmtId="182" fontId="5" fillId="6" borderId="84" xfId="0" applyNumberFormat="1" applyFont="1" applyFill="1" applyBorder="1">
      <alignment vertical="center"/>
    </xf>
    <xf numFmtId="0" fontId="11" fillId="0" borderId="31" xfId="0" applyFont="1" applyBorder="1" applyAlignment="1">
      <alignment vertical="center" wrapText="1"/>
    </xf>
    <xf numFmtId="182" fontId="5" fillId="0" borderId="84" xfId="0" applyNumberFormat="1" applyFont="1" applyBorder="1">
      <alignment vertical="center"/>
    </xf>
    <xf numFmtId="0" fontId="11" fillId="0" borderId="31" xfId="0" applyFont="1" applyBorder="1">
      <alignment vertical="center"/>
    </xf>
    <xf numFmtId="0" fontId="20" fillId="15" borderId="0" xfId="0" applyFont="1" applyFill="1" applyBorder="1" applyAlignment="1">
      <alignment horizontal="center" vertical="center"/>
    </xf>
    <xf numFmtId="0" fontId="11" fillId="6" borderId="0" xfId="0" applyFont="1" applyFill="1" applyBorder="1" applyAlignment="1">
      <alignment vertical="center"/>
    </xf>
    <xf numFmtId="0" fontId="11" fillId="0" borderId="0" xfId="0" applyFont="1" applyBorder="1" applyAlignment="1">
      <alignment vertical="center"/>
    </xf>
    <xf numFmtId="0" fontId="7" fillId="0" borderId="0" xfId="0" applyFont="1" applyAlignment="1">
      <alignment vertical="center"/>
    </xf>
    <xf numFmtId="0" fontId="5" fillId="0" borderId="85" xfId="0" applyFont="1" applyBorder="1">
      <alignment vertical="center"/>
    </xf>
    <xf numFmtId="176" fontId="17" fillId="0" borderId="55" xfId="0" applyNumberFormat="1" applyFont="1" applyBorder="1" applyProtection="1">
      <alignment vertical="center"/>
      <protection locked="0"/>
    </xf>
    <xf numFmtId="0" fontId="5" fillId="0" borderId="0" xfId="0" applyFont="1" applyBorder="1" applyAlignment="1">
      <alignment vertical="center"/>
    </xf>
    <xf numFmtId="182" fontId="5" fillId="0" borderId="0" xfId="0" applyNumberFormat="1" applyFont="1" applyBorder="1" applyAlignment="1">
      <alignment vertical="center"/>
    </xf>
    <xf numFmtId="0" fontId="11" fillId="0" borderId="82" xfId="0" applyFont="1" applyBorder="1">
      <alignment vertical="center"/>
    </xf>
    <xf numFmtId="0" fontId="11" fillId="6" borderId="82" xfId="0" applyFont="1" applyFill="1" applyBorder="1">
      <alignment vertical="center"/>
    </xf>
    <xf numFmtId="0" fontId="11" fillId="3" borderId="82" xfId="0" applyFont="1" applyFill="1" applyBorder="1" applyAlignment="1">
      <alignment horizontal="left" vertical="center"/>
    </xf>
    <xf numFmtId="0" fontId="11" fillId="0" borderId="0" xfId="0" applyFont="1" applyBorder="1">
      <alignment vertical="center"/>
    </xf>
    <xf numFmtId="0" fontId="11" fillId="6" borderId="0" xfId="0" applyFont="1" applyFill="1" applyBorder="1">
      <alignment vertical="center"/>
    </xf>
    <xf numFmtId="0" fontId="11" fillId="0" borderId="86" xfId="0" applyFont="1" applyBorder="1">
      <alignment vertical="center"/>
    </xf>
    <xf numFmtId="176" fontId="11" fillId="0" borderId="15" xfId="0" applyNumberFormat="1" applyFont="1" applyBorder="1" applyAlignment="1">
      <alignment horizontal="left" vertical="center"/>
    </xf>
    <xf numFmtId="0" fontId="11" fillId="0" borderId="0" xfId="0" applyFont="1" applyAlignment="1">
      <alignment horizontal="left" vertical="center"/>
    </xf>
    <xf numFmtId="0" fontId="11" fillId="0" borderId="0" xfId="0" applyFont="1" applyAlignment="1">
      <alignment horizontal="right" vertical="center"/>
    </xf>
    <xf numFmtId="0" fontId="5" fillId="0" borderId="0" xfId="0" applyFont="1" applyAlignment="1">
      <alignment vertical="center" wrapText="1"/>
    </xf>
    <xf numFmtId="176" fontId="5" fillId="0" borderId="0" xfId="0" applyNumberFormat="1" applyFont="1" applyAlignment="1">
      <alignment vertical="center" wrapText="1"/>
    </xf>
    <xf numFmtId="0" fontId="11" fillId="0" borderId="0" xfId="0" applyFont="1" applyAlignment="1">
      <alignment horizontal="right" vertical="center" wrapText="1"/>
    </xf>
    <xf numFmtId="0" fontId="6" fillId="0" borderId="0" xfId="0" applyFont="1" applyAlignment="1">
      <alignment horizontal="center" vertical="center" shrinkToFit="1"/>
    </xf>
    <xf numFmtId="0" fontId="6" fillId="0" borderId="0" xfId="0" applyFont="1" applyAlignment="1">
      <alignment horizontal="left" vertical="center"/>
    </xf>
    <xf numFmtId="0" fontId="6" fillId="0" borderId="0" xfId="0" applyFont="1" applyAlignment="1">
      <alignment vertical="center"/>
    </xf>
    <xf numFmtId="176" fontId="11" fillId="14" borderId="87" xfId="0" applyNumberFormat="1" applyFont="1" applyFill="1" applyBorder="1" applyAlignment="1">
      <alignment vertical="center" shrinkToFit="1"/>
    </xf>
    <xf numFmtId="0" fontId="11" fillId="5" borderId="87" xfId="0" applyFont="1" applyFill="1" applyBorder="1" applyAlignment="1">
      <alignment horizontal="left" vertical="center" shrinkToFit="1"/>
    </xf>
    <xf numFmtId="176" fontId="11" fillId="5" borderId="87" xfId="0" applyNumberFormat="1" applyFont="1" applyFill="1" applyBorder="1" applyAlignment="1">
      <alignment vertical="center" shrinkToFit="1"/>
    </xf>
    <xf numFmtId="182" fontId="5" fillId="0" borderId="61" xfId="0" applyNumberFormat="1" applyFont="1" applyBorder="1">
      <alignment vertical="center"/>
    </xf>
    <xf numFmtId="0" fontId="11" fillId="0" borderId="87" xfId="0" applyFont="1" applyBorder="1">
      <alignment vertical="center"/>
    </xf>
    <xf numFmtId="0" fontId="11" fillId="0" borderId="0" xfId="0" applyFont="1" applyBorder="1" applyAlignment="1">
      <alignment vertical="center" wrapText="1"/>
    </xf>
    <xf numFmtId="0" fontId="11" fillId="5" borderId="0" xfId="0" applyFont="1" applyFill="1" applyBorder="1" applyAlignment="1">
      <alignment horizontal="left" vertical="center" shrinkToFit="1"/>
    </xf>
    <xf numFmtId="176" fontId="11" fillId="0" borderId="87" xfId="0" applyNumberFormat="1" applyFont="1" applyBorder="1">
      <alignment vertical="center"/>
    </xf>
    <xf numFmtId="0" fontId="11" fillId="5" borderId="87" xfId="0" applyFont="1" applyFill="1" applyBorder="1" applyAlignment="1">
      <alignment horizontal="center" vertical="center" shrinkToFit="1"/>
    </xf>
    <xf numFmtId="0" fontId="21" fillId="15" borderId="88" xfId="0" applyFont="1" applyFill="1" applyBorder="1" applyAlignment="1">
      <alignment horizontal="center" vertical="center"/>
    </xf>
    <xf numFmtId="0" fontId="11" fillId="3" borderId="87" xfId="0" applyFont="1" applyFill="1" applyBorder="1">
      <alignment vertical="center"/>
    </xf>
    <xf numFmtId="0" fontId="11" fillId="3" borderId="87" xfId="0" applyFont="1" applyFill="1" applyBorder="1" applyAlignment="1" applyProtection="1">
      <alignment horizontal="left" vertical="center"/>
      <protection locked="0"/>
    </xf>
    <xf numFmtId="0" fontId="11" fillId="3" borderId="0" xfId="0" applyFont="1" applyFill="1" applyAlignment="1" applyProtection="1">
      <alignment horizontal="left" vertical="center"/>
      <protection locked="0"/>
    </xf>
    <xf numFmtId="0" fontId="9" fillId="0" borderId="0" xfId="0" applyFont="1" applyAlignment="1" applyProtection="1">
      <alignment horizontal="left" vertical="center"/>
      <protection locked="0"/>
    </xf>
    <xf numFmtId="176" fontId="17" fillId="0" borderId="0" xfId="0" applyNumberFormat="1" applyFont="1" applyProtection="1">
      <alignment vertical="center"/>
      <protection locked="0"/>
    </xf>
    <xf numFmtId="0" fontId="11" fillId="3" borderId="0" xfId="0" applyFont="1" applyFill="1" applyAlignment="1" applyProtection="1">
      <alignment horizontal="left" vertical="center" shrinkToFit="1"/>
      <protection locked="0"/>
    </xf>
    <xf numFmtId="0" fontId="11" fillId="0" borderId="0" xfId="0" applyFont="1" applyAlignment="1" applyProtection="1">
      <alignment horizontal="center" vertical="center"/>
      <protection locked="0"/>
    </xf>
    <xf numFmtId="0" fontId="5" fillId="0" borderId="0" xfId="0" applyFont="1" applyProtection="1">
      <alignment vertical="center"/>
      <protection locked="0"/>
    </xf>
    <xf numFmtId="0" fontId="10" fillId="6" borderId="0" xfId="0" applyFont="1" applyFill="1" applyBorder="1" applyAlignment="1" applyProtection="1">
      <alignment horizontal="center" vertical="center" wrapText="1"/>
      <protection locked="0"/>
    </xf>
    <xf numFmtId="10" fontId="9" fillId="0" borderId="0" xfId="0" applyNumberFormat="1" applyFont="1" applyBorder="1" applyAlignment="1" applyProtection="1">
      <alignment horizontal="right" vertical="center" indent="1"/>
      <protection locked="0"/>
    </xf>
    <xf numFmtId="10" fontId="9" fillId="0" borderId="0" xfId="0" applyNumberFormat="1" applyFont="1" applyAlignment="1" applyProtection="1">
      <alignment horizontal="right" vertical="center" indent="1"/>
      <protection locked="0"/>
    </xf>
    <xf numFmtId="0" fontId="9" fillId="0" borderId="0" xfId="0" applyFont="1" applyProtection="1">
      <alignment vertical="center"/>
      <protection locked="0"/>
    </xf>
    <xf numFmtId="0" fontId="23" fillId="0" borderId="0" xfId="0" applyFont="1" applyAlignment="1">
      <alignment horizontal="center" vertical="center"/>
    </xf>
    <xf numFmtId="0" fontId="16" fillId="0" borderId="21" xfId="0" applyFont="1" applyBorder="1" applyAlignment="1">
      <alignment vertical="center" wrapText="1"/>
    </xf>
    <xf numFmtId="177" fontId="5" fillId="0" borderId="22" xfId="1" applyNumberFormat="1" applyFont="1" applyBorder="1">
      <alignment vertical="center"/>
    </xf>
    <xf numFmtId="0" fontId="23" fillId="0" borderId="91" xfId="0" applyFont="1" applyBorder="1" applyAlignment="1">
      <alignment horizontal="center" vertical="center"/>
    </xf>
    <xf numFmtId="0" fontId="24" fillId="0" borderId="92" xfId="0" applyFont="1" applyBorder="1" applyAlignment="1">
      <alignment horizontal="center" vertical="center"/>
    </xf>
    <xf numFmtId="177" fontId="5" fillId="0" borderId="93" xfId="1" applyNumberFormat="1" applyFont="1" applyBorder="1">
      <alignment vertical="center"/>
    </xf>
    <xf numFmtId="0" fontId="24" fillId="0" borderId="94" xfId="0" applyFont="1" applyBorder="1" applyAlignment="1">
      <alignment horizontal="center" vertical="center"/>
    </xf>
    <xf numFmtId="0" fontId="16" fillId="0" borderId="95" xfId="0" applyFont="1" applyBorder="1" applyAlignment="1">
      <alignment vertical="center" wrapText="1"/>
    </xf>
    <xf numFmtId="177" fontId="5" fillId="0" borderId="96" xfId="1" applyNumberFormat="1" applyFont="1" applyBorder="1">
      <alignment vertical="center"/>
    </xf>
    <xf numFmtId="177" fontId="5" fillId="0" borderId="97" xfId="1" applyNumberFormat="1" applyFont="1" applyBorder="1">
      <alignment vertical="center"/>
    </xf>
    <xf numFmtId="0" fontId="10" fillId="2" borderId="5" xfId="0" applyFont="1" applyFill="1" applyBorder="1" applyAlignment="1">
      <alignment horizontal="center" vertical="center"/>
    </xf>
    <xf numFmtId="0" fontId="25" fillId="0" borderId="0" xfId="0" applyFont="1">
      <alignment vertical="center"/>
    </xf>
    <xf numFmtId="0" fontId="9" fillId="0" borderId="5" xfId="0" applyFont="1" applyBorder="1" applyAlignment="1">
      <alignment horizontal="left" vertical="center"/>
    </xf>
    <xf numFmtId="0" fontId="10" fillId="10" borderId="5" xfId="0" applyFont="1" applyFill="1" applyBorder="1" applyAlignment="1">
      <alignment horizontal="center" vertical="center"/>
    </xf>
    <xf numFmtId="0" fontId="26" fillId="10" borderId="5" xfId="0" applyFont="1" applyFill="1" applyBorder="1" applyAlignment="1">
      <alignment horizontal="center" vertical="center"/>
    </xf>
    <xf numFmtId="185" fontId="9" fillId="0" borderId="5" xfId="0" applyNumberFormat="1" applyFont="1" applyBorder="1">
      <alignment vertical="center"/>
    </xf>
    <xf numFmtId="0" fontId="10" fillId="12" borderId="5" xfId="0" applyFont="1" applyFill="1" applyBorder="1">
      <alignment vertical="center"/>
    </xf>
    <xf numFmtId="0" fontId="10" fillId="12" borderId="5" xfId="0" applyFont="1" applyFill="1" applyBorder="1" applyAlignment="1">
      <alignment horizontal="center" vertical="center" shrinkToFit="1"/>
    </xf>
    <xf numFmtId="0" fontId="9" fillId="0" borderId="5" xfId="0" applyFont="1" applyBorder="1">
      <alignment vertical="center"/>
    </xf>
    <xf numFmtId="182" fontId="17" fillId="0" borderId="55" xfId="0" applyNumberFormat="1" applyFont="1" applyBorder="1">
      <alignment vertical="center"/>
    </xf>
    <xf numFmtId="0" fontId="15" fillId="4" borderId="5" xfId="0" applyFont="1" applyFill="1" applyBorder="1" applyAlignment="1">
      <alignment horizontal="center" vertical="center" wrapText="1"/>
    </xf>
    <xf numFmtId="177" fontId="5" fillId="0" borderId="5" xfId="1" applyNumberFormat="1" applyFont="1" applyFill="1" applyBorder="1" applyAlignment="1">
      <alignment horizontal="right" vertical="center"/>
    </xf>
    <xf numFmtId="0" fontId="21" fillId="3" borderId="0" xfId="0" applyFont="1" applyFill="1" applyBorder="1" applyAlignment="1">
      <alignment horizontal="left" vertical="center"/>
    </xf>
    <xf numFmtId="0" fontId="21" fillId="3" borderId="0" xfId="0" applyFont="1" applyFill="1" applyBorder="1" applyAlignment="1">
      <alignment horizontal="left" vertical="center" wrapText="1"/>
    </xf>
    <xf numFmtId="177" fontId="9" fillId="0" borderId="5" xfId="1" applyNumberFormat="1" applyFont="1" applyBorder="1">
      <alignment vertical="center"/>
    </xf>
    <xf numFmtId="0" fontId="5" fillId="0" borderId="5" xfId="0" applyFont="1" applyBorder="1" applyAlignment="1">
      <alignment horizontal="center" vertical="center"/>
    </xf>
    <xf numFmtId="0" fontId="5" fillId="0" borderId="5" xfId="0" applyFont="1" applyBorder="1" applyAlignment="1">
      <alignment horizontal="center" vertical="center" wrapText="1"/>
    </xf>
    <xf numFmtId="0" fontId="16" fillId="0" borderId="26" xfId="0" applyFont="1" applyBorder="1" applyAlignment="1">
      <alignment vertical="top" wrapText="1"/>
    </xf>
    <xf numFmtId="0" fontId="16" fillId="0" borderId="26" xfId="0" applyFont="1" applyFill="1" applyBorder="1" applyAlignment="1">
      <alignment vertical="top" wrapText="1"/>
    </xf>
    <xf numFmtId="0" fontId="21" fillId="15" borderId="99" xfId="0" applyFont="1" applyFill="1" applyBorder="1" applyAlignment="1">
      <alignment horizontal="center" vertical="center"/>
    </xf>
    <xf numFmtId="0" fontId="11" fillId="3" borderId="100" xfId="0" applyFont="1" applyFill="1" applyBorder="1" applyAlignment="1" applyProtection="1">
      <alignment horizontal="left" vertical="center"/>
      <protection locked="0"/>
    </xf>
    <xf numFmtId="176" fontId="21" fillId="15" borderId="82" xfId="0" applyNumberFormat="1" applyFont="1" applyFill="1" applyBorder="1" applyAlignment="1">
      <alignment horizontal="center" vertical="center"/>
    </xf>
    <xf numFmtId="181" fontId="5" fillId="0" borderId="101" xfId="0" applyNumberFormat="1" applyFont="1" applyBorder="1" applyAlignment="1">
      <alignment vertical="center"/>
    </xf>
    <xf numFmtId="0" fontId="20" fillId="15" borderId="82" xfId="0" applyFont="1" applyFill="1" applyBorder="1" applyAlignment="1">
      <alignment horizontal="center" vertical="center"/>
    </xf>
    <xf numFmtId="0" fontId="5" fillId="0" borderId="87" xfId="0" applyFont="1" applyBorder="1" applyAlignment="1">
      <alignment horizontal="center" vertical="center"/>
    </xf>
    <xf numFmtId="176" fontId="17" fillId="0" borderId="87" xfId="0" applyNumberFormat="1" applyFont="1" applyBorder="1" applyProtection="1">
      <alignment vertical="center"/>
      <protection locked="0"/>
    </xf>
    <xf numFmtId="0" fontId="21" fillId="15" borderId="99" xfId="0" applyFont="1" applyFill="1" applyBorder="1" applyAlignment="1">
      <alignment horizontal="center" vertical="center" shrinkToFit="1"/>
    </xf>
    <xf numFmtId="0" fontId="11" fillId="3" borderId="87" xfId="0" applyFont="1" applyFill="1" applyBorder="1" applyAlignment="1">
      <alignment horizontal="left" vertical="center"/>
    </xf>
    <xf numFmtId="0" fontId="11" fillId="3" borderId="0" xfId="0" applyFont="1" applyFill="1" applyAlignment="1">
      <alignment horizontal="left" vertical="center" wrapText="1"/>
    </xf>
    <xf numFmtId="0" fontId="17" fillId="3" borderId="87" xfId="0" applyFont="1" applyFill="1" applyBorder="1" applyAlignment="1">
      <alignment horizontal="right" vertical="center"/>
    </xf>
    <xf numFmtId="0" fontId="29" fillId="0" borderId="0" xfId="0" applyFont="1">
      <alignment vertical="center"/>
    </xf>
    <xf numFmtId="186" fontId="9" fillId="0" borderId="5" xfId="7" applyNumberFormat="1" applyFont="1" applyBorder="1">
      <alignment vertical="center"/>
    </xf>
    <xf numFmtId="186" fontId="9" fillId="0" borderId="5" xfId="0" applyNumberFormat="1" applyFont="1" applyBorder="1" applyAlignment="1">
      <alignment horizontal="right" vertical="center"/>
    </xf>
    <xf numFmtId="186" fontId="9" fillId="0" borderId="5" xfId="0" applyNumberFormat="1" applyFont="1" applyBorder="1">
      <alignment vertical="center"/>
    </xf>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9" fillId="0" borderId="0" xfId="0" applyFont="1" applyAlignment="1">
      <alignment vertical="center"/>
    </xf>
    <xf numFmtId="0" fontId="10" fillId="17" borderId="65" xfId="0" applyFont="1" applyFill="1" applyBorder="1" applyAlignment="1">
      <alignment horizontal="center" vertical="center"/>
    </xf>
    <xf numFmtId="0" fontId="10" fillId="17" borderId="66" xfId="0" applyFont="1" applyFill="1" applyBorder="1" applyAlignment="1">
      <alignment horizontal="center" vertical="center"/>
    </xf>
    <xf numFmtId="0" fontId="10" fillId="17" borderId="5" xfId="0" applyFont="1" applyFill="1" applyBorder="1" applyAlignment="1">
      <alignment horizontal="center" vertical="center"/>
    </xf>
    <xf numFmtId="0" fontId="10" fillId="13" borderId="65" xfId="0" applyFont="1" applyFill="1" applyBorder="1" applyAlignment="1">
      <alignment horizontal="center" vertical="center"/>
    </xf>
    <xf numFmtId="0" fontId="10" fillId="13" borderId="66" xfId="0" applyFont="1" applyFill="1" applyBorder="1" applyAlignment="1">
      <alignment horizontal="center" vertical="center"/>
    </xf>
    <xf numFmtId="0" fontId="10" fillId="13" borderId="5" xfId="0" applyFont="1" applyFill="1" applyBorder="1" applyAlignment="1">
      <alignment horizontal="center" vertical="center"/>
    </xf>
    <xf numFmtId="0" fontId="10" fillId="13" borderId="5" xfId="0" applyFont="1" applyFill="1" applyBorder="1" applyAlignment="1">
      <alignment horizontal="center" vertical="center" shrinkToFit="1"/>
    </xf>
    <xf numFmtId="0" fontId="10" fillId="0" borderId="42" xfId="0" applyFont="1" applyFill="1" applyBorder="1" applyAlignment="1">
      <alignment horizontal="center" vertical="center"/>
    </xf>
    <xf numFmtId="0" fontId="10" fillId="0" borderId="0" xfId="0" applyFont="1" applyFill="1" applyBorder="1" applyAlignment="1">
      <alignment horizontal="center" vertical="center"/>
    </xf>
    <xf numFmtId="176" fontId="9" fillId="0" borderId="42" xfId="0" applyNumberFormat="1" applyFont="1" applyFill="1" applyBorder="1" applyAlignment="1">
      <alignment horizontal="right" vertical="center"/>
    </xf>
    <xf numFmtId="176" fontId="9" fillId="0" borderId="0" xfId="0" applyNumberFormat="1" applyFont="1" applyFill="1" applyBorder="1" applyAlignment="1">
      <alignment horizontal="right" vertical="center"/>
    </xf>
    <xf numFmtId="0" fontId="9" fillId="0" borderId="0" xfId="0" applyFont="1" applyAlignment="1">
      <alignment horizontal="center" vertical="center"/>
    </xf>
    <xf numFmtId="0" fontId="9" fillId="0" borderId="0" xfId="0" applyFont="1" applyBorder="1" applyAlignment="1">
      <alignment horizontal="center" vertical="center"/>
    </xf>
    <xf numFmtId="0" fontId="9" fillId="0" borderId="55" xfId="0" applyFont="1" applyBorder="1">
      <alignment vertical="center"/>
    </xf>
    <xf numFmtId="0" fontId="9" fillId="0" borderId="55" xfId="0" applyFont="1" applyBorder="1" applyAlignment="1">
      <alignment horizontal="center" vertical="center"/>
    </xf>
    <xf numFmtId="0" fontId="9" fillId="0" borderId="55" xfId="0" applyFont="1" applyBorder="1" applyAlignment="1">
      <alignment horizontal="center" vertical="center" shrinkToFit="1"/>
    </xf>
    <xf numFmtId="0" fontId="9" fillId="0" borderId="55" xfId="0" applyFont="1" applyBorder="1" applyAlignment="1">
      <alignment horizontal="left" vertical="center"/>
    </xf>
    <xf numFmtId="186" fontId="9" fillId="0" borderId="55" xfId="0" applyNumberFormat="1" applyFont="1" applyBorder="1">
      <alignment vertical="center"/>
    </xf>
    <xf numFmtId="177" fontId="9" fillId="0" borderId="55" xfId="1" applyNumberFormat="1" applyFont="1" applyBorder="1">
      <alignment vertical="center"/>
    </xf>
    <xf numFmtId="0" fontId="30" fillId="0" borderId="55" xfId="0" applyFont="1" applyFill="1" applyBorder="1" applyAlignment="1">
      <alignment horizontal="center" vertical="center"/>
    </xf>
    <xf numFmtId="0" fontId="9" fillId="0" borderId="55" xfId="0" applyFont="1" applyBorder="1" applyAlignment="1">
      <alignment horizontal="left" vertical="center" wrapText="1"/>
    </xf>
    <xf numFmtId="186" fontId="9" fillId="0" borderId="55" xfId="7" applyNumberFormat="1" applyFont="1" applyBorder="1">
      <alignment vertical="center"/>
    </xf>
    <xf numFmtId="177" fontId="9" fillId="0" borderId="0" xfId="1" applyNumberFormat="1" applyFont="1">
      <alignment vertical="center"/>
    </xf>
    <xf numFmtId="0" fontId="30" fillId="0" borderId="55" xfId="0" applyFont="1" applyBorder="1" applyAlignment="1">
      <alignment horizontal="center" vertical="center"/>
    </xf>
    <xf numFmtId="0" fontId="31" fillId="0" borderId="55" xfId="0" applyFont="1" applyBorder="1" applyAlignment="1">
      <alignment vertical="center" wrapText="1"/>
    </xf>
    <xf numFmtId="0" fontId="9" fillId="16" borderId="0" xfId="0" applyNumberFormat="1" applyFont="1" applyFill="1">
      <alignment vertical="center"/>
    </xf>
    <xf numFmtId="0" fontId="9" fillId="0" borderId="55" xfId="0" applyFont="1" applyBorder="1" applyAlignment="1">
      <alignment vertical="center" wrapText="1"/>
    </xf>
    <xf numFmtId="0" fontId="29" fillId="0" borderId="5" xfId="0" applyFont="1" applyBorder="1" applyAlignment="1">
      <alignment vertical="top" wrapText="1"/>
    </xf>
    <xf numFmtId="0" fontId="29" fillId="0" borderId="5" xfId="0" applyFont="1" applyFill="1" applyBorder="1" applyAlignment="1">
      <alignment vertical="top" wrapText="1"/>
    </xf>
    <xf numFmtId="176" fontId="5" fillId="0" borderId="85" xfId="0" applyNumberFormat="1" applyFont="1" applyBorder="1">
      <alignment vertical="center"/>
    </xf>
    <xf numFmtId="0" fontId="11" fillId="3" borderId="102" xfId="0" applyFont="1" applyFill="1" applyBorder="1" applyAlignment="1">
      <alignment horizontal="center" vertical="center"/>
    </xf>
    <xf numFmtId="176" fontId="5" fillId="0" borderId="102" xfId="0" applyNumberFormat="1" applyFont="1" applyBorder="1">
      <alignment vertical="center"/>
    </xf>
    <xf numFmtId="0" fontId="9" fillId="0" borderId="55" xfId="0" applyFont="1" applyBorder="1" applyAlignment="1">
      <alignment horizontal="center" vertical="center" shrinkToFit="1"/>
    </xf>
    <xf numFmtId="0" fontId="5" fillId="0" borderId="5" xfId="0" applyFont="1" applyFill="1" applyBorder="1" applyAlignment="1">
      <alignment horizontal="left" vertical="center" wrapText="1"/>
    </xf>
    <xf numFmtId="0" fontId="5" fillId="0" borderId="5" xfId="0" applyFont="1" applyFill="1" applyBorder="1" applyAlignment="1">
      <alignment vertical="center" shrinkToFit="1"/>
    </xf>
    <xf numFmtId="0" fontId="5" fillId="0" borderId="0" xfId="0" applyFont="1">
      <alignment vertical="center"/>
    </xf>
    <xf numFmtId="0" fontId="5" fillId="0" borderId="0" xfId="0" applyFont="1">
      <alignment vertical="center"/>
    </xf>
    <xf numFmtId="0" fontId="5" fillId="0" borderId="0" xfId="0" applyFont="1" applyAlignment="1">
      <alignment horizontal="left" vertical="center"/>
    </xf>
    <xf numFmtId="0" fontId="9" fillId="0" borderId="0" xfId="0" applyFont="1">
      <alignment vertical="center"/>
    </xf>
    <xf numFmtId="0" fontId="5" fillId="0" borderId="0" xfId="0" applyFont="1">
      <alignment vertical="center"/>
    </xf>
    <xf numFmtId="3" fontId="5" fillId="0" borderId="55" xfId="0" applyNumberFormat="1" applyFont="1" applyBorder="1">
      <alignment vertical="center"/>
    </xf>
    <xf numFmtId="0" fontId="16" fillId="0" borderId="45" xfId="0" applyFont="1" applyBorder="1" applyAlignment="1">
      <alignment horizontal="left" vertical="center" indent="1"/>
    </xf>
    <xf numFmtId="176" fontId="5" fillId="0" borderId="61" xfId="0" applyNumberFormat="1" applyFont="1" applyBorder="1">
      <alignment vertical="center"/>
    </xf>
    <xf numFmtId="0" fontId="13" fillId="0" borderId="45" xfId="0" applyFont="1" applyBorder="1" applyAlignment="1">
      <alignment horizontal="left" vertical="center" indent="1"/>
    </xf>
    <xf numFmtId="0" fontId="13" fillId="0" borderId="45" xfId="0" applyFont="1" applyBorder="1" applyAlignment="1">
      <alignment horizontal="left" vertical="center" wrapText="1" indent="1"/>
    </xf>
    <xf numFmtId="0" fontId="12" fillId="0" borderId="10" xfId="0" applyFont="1" applyBorder="1" applyAlignment="1">
      <alignment horizontal="left" vertical="center" wrapText="1" indent="1"/>
    </xf>
    <xf numFmtId="0" fontId="8" fillId="18" borderId="5" xfId="0" applyFont="1" applyFill="1" applyBorder="1" applyAlignment="1">
      <alignment horizontal="center" vertical="center"/>
    </xf>
    <xf numFmtId="0" fontId="11" fillId="8" borderId="0" xfId="0" applyFont="1" applyFill="1">
      <alignment vertical="center"/>
    </xf>
    <xf numFmtId="176" fontId="8" fillId="18" borderId="10" xfId="0" applyNumberFormat="1" applyFont="1" applyFill="1" applyBorder="1" applyAlignment="1">
      <alignment horizontal="right" vertical="center" shrinkToFit="1"/>
    </xf>
    <xf numFmtId="176" fontId="8" fillId="19" borderId="10" xfId="0" applyNumberFormat="1" applyFont="1" applyFill="1" applyBorder="1" applyAlignment="1">
      <alignment vertical="center" shrinkToFit="1"/>
    </xf>
    <xf numFmtId="177" fontId="8" fillId="18" borderId="29" xfId="0" applyNumberFormat="1" applyFont="1" applyFill="1" applyBorder="1" applyAlignment="1">
      <alignment horizontal="right" vertical="center" shrinkToFit="1"/>
    </xf>
    <xf numFmtId="0" fontId="5" fillId="0" borderId="6" xfId="0" applyFont="1" applyBorder="1" applyAlignment="1">
      <alignment horizontal="left" vertical="center"/>
    </xf>
    <xf numFmtId="0" fontId="11" fillId="8" borderId="0" xfId="0" applyFont="1" applyFill="1" applyAlignment="1">
      <alignment vertical="center" wrapText="1"/>
    </xf>
    <xf numFmtId="0" fontId="5" fillId="0" borderId="29" xfId="0" applyFont="1" applyBorder="1" applyAlignment="1">
      <alignment horizontal="left" vertical="center"/>
    </xf>
    <xf numFmtId="177" fontId="5" fillId="0" borderId="0" xfId="0" applyNumberFormat="1" applyFont="1" applyBorder="1" applyAlignment="1">
      <alignment horizontal="right" vertical="center"/>
    </xf>
    <xf numFmtId="176" fontId="8" fillId="19" borderId="0" xfId="0" applyNumberFormat="1" applyFont="1" applyFill="1" applyBorder="1" applyAlignment="1">
      <alignment vertical="center" shrinkToFit="1"/>
    </xf>
    <xf numFmtId="177" fontId="8" fillId="18" borderId="0" xfId="0" applyNumberFormat="1" applyFont="1" applyFill="1" applyBorder="1" applyAlignment="1">
      <alignment horizontal="right" vertical="center" shrinkToFit="1"/>
    </xf>
    <xf numFmtId="0" fontId="17" fillId="0" borderId="0" xfId="0" applyFont="1">
      <alignment vertical="center"/>
    </xf>
    <xf numFmtId="0" fontId="16" fillId="0" borderId="6" xfId="0" applyFont="1" applyBorder="1" applyAlignment="1">
      <alignment horizontal="left" vertical="center"/>
    </xf>
    <xf numFmtId="0" fontId="16" fillId="0" borderId="29" xfId="0" applyFont="1" applyBorder="1" applyAlignment="1">
      <alignment horizontal="left" vertical="center"/>
    </xf>
    <xf numFmtId="0" fontId="16" fillId="0" borderId="6" xfId="0" applyFont="1" applyBorder="1" applyAlignment="1">
      <alignment vertical="center"/>
    </xf>
    <xf numFmtId="0" fontId="16" fillId="0" borderId="29" xfId="0" applyFont="1" applyBorder="1">
      <alignment vertical="center"/>
    </xf>
    <xf numFmtId="0" fontId="16" fillId="0" borderId="29" xfId="0" applyFont="1" applyBorder="1" applyAlignment="1">
      <alignment vertical="center"/>
    </xf>
    <xf numFmtId="38" fontId="5" fillId="0" borderId="0" xfId="0" applyNumberFormat="1" applyFont="1" applyAlignment="1">
      <alignment vertical="center" wrapText="1"/>
    </xf>
    <xf numFmtId="177" fontId="8" fillId="0" borderId="0" xfId="0" applyNumberFormat="1" applyFont="1" applyFill="1" applyBorder="1" applyAlignment="1">
      <alignment horizontal="right" vertical="center"/>
    </xf>
    <xf numFmtId="0" fontId="11" fillId="3" borderId="0" xfId="0" applyFont="1" applyFill="1" applyAlignment="1">
      <alignment vertical="center"/>
    </xf>
    <xf numFmtId="176" fontId="17" fillId="3" borderId="0" xfId="0" applyNumberFormat="1" applyFont="1" applyFill="1" applyAlignment="1">
      <alignment vertical="center"/>
    </xf>
    <xf numFmtId="176" fontId="17" fillId="0" borderId="0" xfId="0" applyNumberFormat="1" applyFont="1" applyAlignment="1">
      <alignment vertical="center"/>
    </xf>
    <xf numFmtId="0" fontId="16" fillId="0" borderId="8" xfId="0" applyFont="1" applyBorder="1" applyAlignment="1">
      <alignment horizontal="left" vertical="center"/>
    </xf>
    <xf numFmtId="0" fontId="16" fillId="0" borderId="44" xfId="0" applyFont="1" applyBorder="1" applyAlignment="1">
      <alignment horizontal="left" vertical="center"/>
    </xf>
    <xf numFmtId="0" fontId="10" fillId="0" borderId="0" xfId="0" applyFont="1">
      <alignment vertical="center"/>
    </xf>
    <xf numFmtId="0" fontId="11" fillId="0" borderId="0" xfId="0" applyFont="1" applyBorder="1" applyAlignment="1">
      <alignment horizontal="right" vertical="center"/>
    </xf>
    <xf numFmtId="38" fontId="11" fillId="0" borderId="0" xfId="0" applyNumberFormat="1" applyFont="1" applyBorder="1" applyAlignment="1">
      <alignment horizontal="right" vertical="center"/>
    </xf>
    <xf numFmtId="0" fontId="35" fillId="0" borderId="0" xfId="0" applyFont="1">
      <alignment vertical="center"/>
    </xf>
    <xf numFmtId="38" fontId="11" fillId="0" borderId="0" xfId="0" applyNumberFormat="1" applyFont="1" applyBorder="1">
      <alignment vertical="center"/>
    </xf>
    <xf numFmtId="3" fontId="5" fillId="0" borderId="0" xfId="0" applyNumberFormat="1" applyFont="1">
      <alignment vertical="center"/>
    </xf>
    <xf numFmtId="0" fontId="13" fillId="0" borderId="0" xfId="0" applyFont="1">
      <alignment vertical="center"/>
    </xf>
    <xf numFmtId="0" fontId="14" fillId="5" borderId="6" xfId="0" applyFont="1" applyFill="1" applyBorder="1" applyAlignment="1">
      <alignment horizontal="center" vertical="center"/>
    </xf>
    <xf numFmtId="0" fontId="14" fillId="5" borderId="29" xfId="0" applyFont="1" applyFill="1" applyBorder="1" applyAlignment="1">
      <alignment horizontal="center" vertical="center"/>
    </xf>
    <xf numFmtId="0" fontId="36" fillId="5" borderId="5" xfId="0" applyFont="1" applyFill="1" applyBorder="1" applyAlignment="1">
      <alignment horizontal="center" vertical="center" textRotation="255"/>
    </xf>
    <xf numFmtId="0" fontId="36" fillId="5" borderId="5" xfId="0" applyFont="1" applyFill="1" applyBorder="1" applyAlignment="1">
      <alignment horizontal="center" vertical="center" textRotation="255" wrapText="1"/>
    </xf>
    <xf numFmtId="176" fontId="13" fillId="0" borderId="5" xfId="0" applyNumberFormat="1" applyFont="1" applyBorder="1" applyAlignment="1">
      <alignment vertical="center" shrinkToFit="1"/>
    </xf>
    <xf numFmtId="176" fontId="14" fillId="0" borderId="5" xfId="0" applyNumberFormat="1" applyFont="1" applyBorder="1" applyAlignment="1">
      <alignment vertical="center" shrinkToFit="1"/>
    </xf>
    <xf numFmtId="0" fontId="36" fillId="5" borderId="6" xfId="0" applyFont="1" applyFill="1" applyBorder="1" applyAlignment="1">
      <alignment horizontal="center" vertical="center" textRotation="255"/>
    </xf>
    <xf numFmtId="0" fontId="36" fillId="5" borderId="6" xfId="0" applyFont="1" applyFill="1" applyBorder="1" applyAlignment="1">
      <alignment horizontal="center" vertical="center" textRotation="255" wrapText="1"/>
    </xf>
    <xf numFmtId="176" fontId="14" fillId="0" borderId="106" xfId="0" applyNumberFormat="1" applyFont="1" applyBorder="1" applyAlignment="1">
      <alignment vertical="center" shrinkToFit="1"/>
    </xf>
    <xf numFmtId="176" fontId="13" fillId="0" borderId="29" xfId="0" applyNumberFormat="1" applyFont="1" applyBorder="1" applyAlignment="1">
      <alignment vertical="center" shrinkToFit="1"/>
    </xf>
    <xf numFmtId="176" fontId="14" fillId="0" borderId="29" xfId="0" applyNumberFormat="1" applyFont="1" applyBorder="1" applyAlignment="1">
      <alignment vertical="center" shrinkToFit="1"/>
    </xf>
    <xf numFmtId="176" fontId="13" fillId="0" borderId="6" xfId="0" applyNumberFormat="1" applyFont="1" applyBorder="1" applyAlignment="1">
      <alignment vertical="center" shrinkToFit="1"/>
    </xf>
    <xf numFmtId="176" fontId="14" fillId="0" borderId="6" xfId="0" applyNumberFormat="1" applyFont="1" applyBorder="1" applyAlignment="1">
      <alignment vertical="center" shrinkToFit="1"/>
    </xf>
    <xf numFmtId="176" fontId="13" fillId="0" borderId="106" xfId="0" applyNumberFormat="1" applyFont="1" applyBorder="1" applyAlignment="1">
      <alignment vertical="center" shrinkToFit="1"/>
    </xf>
    <xf numFmtId="0" fontId="14" fillId="5" borderId="29" xfId="0" applyFont="1" applyFill="1" applyBorder="1" applyAlignment="1">
      <alignment horizontal="center" vertical="center" shrinkToFit="1"/>
    </xf>
    <xf numFmtId="176" fontId="14" fillId="5" borderId="29" xfId="0" applyNumberFormat="1" applyFont="1" applyFill="1" applyBorder="1" applyAlignment="1">
      <alignment vertical="center" shrinkToFit="1"/>
    </xf>
    <xf numFmtId="0" fontId="37" fillId="0" borderId="0" xfId="0" applyFont="1">
      <alignment vertical="center"/>
    </xf>
    <xf numFmtId="0" fontId="5" fillId="0" borderId="84" xfId="0" applyFont="1" applyBorder="1" applyAlignment="1">
      <alignment vertical="center" shrinkToFit="1"/>
    </xf>
    <xf numFmtId="0" fontId="17" fillId="8" borderId="0" xfId="0" applyFont="1" applyFill="1">
      <alignment vertical="center"/>
    </xf>
    <xf numFmtId="0" fontId="17" fillId="0" borderId="0" xfId="0" applyFont="1" applyBorder="1">
      <alignment vertical="center"/>
    </xf>
    <xf numFmtId="0" fontId="17" fillId="0" borderId="83" xfId="0" applyFont="1" applyBorder="1">
      <alignment vertical="center"/>
    </xf>
    <xf numFmtId="38" fontId="5" fillId="0" borderId="0" xfId="0" applyNumberFormat="1" applyFont="1" applyBorder="1" applyAlignment="1">
      <alignment vertical="center" wrapText="1"/>
    </xf>
    <xf numFmtId="0" fontId="17" fillId="8" borderId="0" xfId="0" applyFont="1" applyFill="1" applyAlignment="1">
      <alignment horizontal="center" vertical="center"/>
    </xf>
    <xf numFmtId="38" fontId="17" fillId="8" borderId="0" xfId="0" applyNumberFormat="1" applyFont="1" applyFill="1">
      <alignment vertical="center"/>
    </xf>
    <xf numFmtId="0" fontId="17" fillId="8" borderId="0" xfId="0" applyFont="1" applyFill="1" applyBorder="1">
      <alignment vertical="center"/>
    </xf>
    <xf numFmtId="38" fontId="17" fillId="8" borderId="0" xfId="0" applyNumberFormat="1" applyFont="1" applyFill="1" applyBorder="1">
      <alignment vertical="center"/>
    </xf>
    <xf numFmtId="0" fontId="11" fillId="8" borderId="0" xfId="0" applyFont="1" applyFill="1" applyAlignment="1">
      <alignment horizontal="left" vertical="center"/>
    </xf>
    <xf numFmtId="0" fontId="11" fillId="8" borderId="0" xfId="0" applyFont="1" applyFill="1" applyAlignment="1">
      <alignment horizontal="center" vertical="center"/>
    </xf>
    <xf numFmtId="0" fontId="11" fillId="0" borderId="0" xfId="0" applyFont="1" applyFill="1" applyAlignment="1">
      <alignment horizontal="left" vertical="center"/>
    </xf>
    <xf numFmtId="0" fontId="17" fillId="0" borderId="0" xfId="0" applyFont="1" applyFill="1" applyBorder="1">
      <alignment vertical="center"/>
    </xf>
    <xf numFmtId="0" fontId="17" fillId="0" borderId="82" xfId="0" applyFont="1" applyBorder="1">
      <alignment vertical="center"/>
    </xf>
    <xf numFmtId="0" fontId="11" fillId="0" borderId="0" xfId="0" applyFont="1" applyFill="1" applyAlignment="1">
      <alignment horizontal="center" vertical="center"/>
    </xf>
    <xf numFmtId="0" fontId="11" fillId="0" borderId="0" xfId="0" applyFont="1" applyFill="1">
      <alignment vertical="center"/>
    </xf>
    <xf numFmtId="0" fontId="17" fillId="0" borderId="0" xfId="0" applyFont="1" applyFill="1" applyAlignment="1">
      <alignment horizontal="center" vertical="center"/>
    </xf>
    <xf numFmtId="0" fontId="17" fillId="0" borderId="0" xfId="0" applyFont="1" applyFill="1">
      <alignment vertical="center"/>
    </xf>
    <xf numFmtId="38" fontId="17" fillId="0" borderId="0" xfId="0" applyNumberFormat="1" applyFont="1" applyFill="1">
      <alignment vertical="center"/>
    </xf>
    <xf numFmtId="0" fontId="39" fillId="15" borderId="108" xfId="0" applyFont="1" applyFill="1" applyBorder="1">
      <alignment vertical="center"/>
    </xf>
    <xf numFmtId="0" fontId="39" fillId="15" borderId="109" xfId="0" applyFont="1" applyFill="1" applyBorder="1">
      <alignment vertical="center"/>
    </xf>
    <xf numFmtId="0" fontId="39" fillId="15" borderId="31" xfId="0" applyFont="1" applyFill="1" applyBorder="1">
      <alignment vertical="center"/>
    </xf>
    <xf numFmtId="0" fontId="38" fillId="15" borderId="31" xfId="0" applyFont="1" applyFill="1" applyBorder="1" applyAlignment="1">
      <alignment vertical="center"/>
    </xf>
    <xf numFmtId="0" fontId="17" fillId="6" borderId="111" xfId="0" applyFont="1" applyFill="1" applyBorder="1" applyAlignment="1">
      <alignment vertical="center" shrinkToFit="1"/>
    </xf>
    <xf numFmtId="0" fontId="17" fillId="6" borderId="107" xfId="0" applyFont="1" applyFill="1" applyBorder="1" applyAlignment="1">
      <alignment vertical="center" shrinkToFit="1"/>
    </xf>
    <xf numFmtId="0" fontId="5" fillId="6" borderId="107" xfId="0" applyFont="1" applyFill="1" applyBorder="1" applyAlignment="1">
      <alignment vertical="center" shrinkToFit="1"/>
    </xf>
    <xf numFmtId="38" fontId="5" fillId="6" borderId="112" xfId="0" applyNumberFormat="1" applyFont="1" applyFill="1" applyBorder="1">
      <alignment vertical="center"/>
    </xf>
    <xf numFmtId="38" fontId="5" fillId="6" borderId="112" xfId="0" applyNumberFormat="1" applyFont="1" applyFill="1" applyBorder="1" applyAlignment="1">
      <alignment vertical="center" shrinkToFit="1"/>
    </xf>
    <xf numFmtId="0" fontId="17" fillId="0" borderId="113" xfId="0" applyFont="1" applyBorder="1" applyAlignment="1">
      <alignment vertical="center" shrinkToFit="1"/>
    </xf>
    <xf numFmtId="0" fontId="17" fillId="0" borderId="107" xfId="0" applyFont="1" applyBorder="1" applyAlignment="1">
      <alignment vertical="center" shrinkToFit="1"/>
    </xf>
    <xf numFmtId="0" fontId="5" fillId="0" borderId="107" xfId="0" applyFont="1" applyBorder="1" applyAlignment="1">
      <alignment vertical="center" shrinkToFit="1"/>
    </xf>
    <xf numFmtId="38" fontId="5" fillId="0" borderId="112" xfId="0" applyNumberFormat="1" applyFont="1" applyBorder="1">
      <alignment vertical="center"/>
    </xf>
    <xf numFmtId="38" fontId="5" fillId="0" borderId="107" xfId="0" applyNumberFormat="1" applyFont="1" applyBorder="1" applyAlignment="1">
      <alignment vertical="center" shrinkToFit="1"/>
    </xf>
    <xf numFmtId="38" fontId="5" fillId="6" borderId="107" xfId="0" applyNumberFormat="1" applyFont="1" applyFill="1" applyBorder="1" applyAlignment="1">
      <alignment vertical="center" shrinkToFit="1"/>
    </xf>
    <xf numFmtId="0" fontId="11" fillId="0" borderId="112" xfId="0" applyFont="1" applyBorder="1">
      <alignment vertical="center"/>
    </xf>
    <xf numFmtId="0" fontId="5" fillId="0" borderId="108" xfId="0" applyFont="1" applyBorder="1" applyAlignment="1">
      <alignment vertical="center" shrinkToFit="1"/>
    </xf>
    <xf numFmtId="0" fontId="5" fillId="0" borderId="115" xfId="0" applyFont="1" applyBorder="1" applyAlignment="1">
      <alignment vertical="center" shrinkToFit="1"/>
    </xf>
    <xf numFmtId="0" fontId="17" fillId="0" borderId="99" xfId="0" applyFont="1" applyBorder="1">
      <alignment vertical="center"/>
    </xf>
    <xf numFmtId="0" fontId="17" fillId="0" borderId="55" xfId="0" applyFont="1" applyFill="1" applyBorder="1">
      <alignment vertical="center"/>
    </xf>
    <xf numFmtId="38" fontId="17" fillId="0" borderId="83" xfId="0" applyNumberFormat="1" applyFont="1" applyBorder="1">
      <alignment vertical="center"/>
    </xf>
    <xf numFmtId="38" fontId="17" fillId="0" borderId="99" xfId="0" applyNumberFormat="1" applyFont="1" applyBorder="1">
      <alignment vertical="center"/>
    </xf>
    <xf numFmtId="38" fontId="17" fillId="6" borderId="31" xfId="0" applyNumberFormat="1" applyFont="1" applyFill="1" applyBorder="1">
      <alignment vertical="center"/>
    </xf>
    <xf numFmtId="0" fontId="17" fillId="6" borderId="31" xfId="0" applyFont="1" applyFill="1" applyBorder="1">
      <alignment vertical="center"/>
    </xf>
    <xf numFmtId="38" fontId="17" fillId="6" borderId="110" xfId="0" applyNumberFormat="1" applyFont="1" applyFill="1" applyBorder="1">
      <alignment vertical="center"/>
    </xf>
    <xf numFmtId="38" fontId="17" fillId="0" borderId="31" xfId="0" applyNumberFormat="1" applyFont="1" applyBorder="1">
      <alignment vertical="center"/>
    </xf>
    <xf numFmtId="0" fontId="17" fillId="0" borderId="31" xfId="0" applyFont="1" applyBorder="1">
      <alignment vertical="center"/>
    </xf>
    <xf numFmtId="0" fontId="33" fillId="0" borderId="0" xfId="0" applyFont="1" applyFill="1" applyAlignment="1">
      <alignment vertical="top" wrapText="1"/>
    </xf>
    <xf numFmtId="0" fontId="5" fillId="0" borderId="55" xfId="0" applyFont="1" applyFill="1" applyBorder="1" applyAlignment="1">
      <alignment vertical="center" shrinkToFit="1"/>
    </xf>
    <xf numFmtId="0" fontId="17" fillId="6" borderId="88" xfId="0" applyFont="1" applyFill="1" applyBorder="1">
      <alignment vertical="center"/>
    </xf>
    <xf numFmtId="0" fontId="17" fillId="0" borderId="88" xfId="0" applyFont="1" applyBorder="1">
      <alignment vertical="center"/>
    </xf>
    <xf numFmtId="0" fontId="40" fillId="0" borderId="0" xfId="0" applyFont="1">
      <alignment vertical="center"/>
    </xf>
    <xf numFmtId="0" fontId="38" fillId="15" borderId="110" xfId="0" applyFont="1" applyFill="1" applyBorder="1">
      <alignment vertical="center"/>
    </xf>
    <xf numFmtId="0" fontId="17" fillId="6" borderId="110" xfId="0" applyFont="1" applyFill="1" applyBorder="1">
      <alignment vertical="center"/>
    </xf>
    <xf numFmtId="0" fontId="17" fillId="0" borderId="110" xfId="0" applyFont="1" applyBorder="1">
      <alignment vertical="center"/>
    </xf>
    <xf numFmtId="0" fontId="17" fillId="0" borderId="0" xfId="0" applyFont="1" applyFill="1" applyAlignment="1">
      <alignment vertical="center"/>
    </xf>
    <xf numFmtId="38" fontId="17" fillId="0" borderId="0" xfId="0" applyNumberFormat="1" applyFont="1" applyFill="1" applyBorder="1">
      <alignment vertical="center"/>
    </xf>
    <xf numFmtId="0" fontId="17" fillId="0" borderId="0" xfId="0" applyFont="1" applyFill="1" applyAlignment="1">
      <alignment horizontal="left" vertical="center"/>
    </xf>
    <xf numFmtId="0" fontId="32" fillId="0" borderId="30" xfId="0" applyFont="1" applyFill="1" applyBorder="1">
      <alignment vertical="center"/>
    </xf>
    <xf numFmtId="0" fontId="41" fillId="0" borderId="0" xfId="0" applyFont="1" applyFill="1" applyAlignment="1">
      <alignment horizontal="left" vertical="center"/>
    </xf>
    <xf numFmtId="38" fontId="0" fillId="0" borderId="0" xfId="0" applyNumberFormat="1" applyFill="1">
      <alignment vertical="center"/>
    </xf>
    <xf numFmtId="0" fontId="0" fillId="0" borderId="0" xfId="0" applyFill="1" applyAlignment="1">
      <alignment horizontal="left" vertical="center"/>
    </xf>
    <xf numFmtId="0" fontId="17" fillId="0" borderId="0" xfId="0" applyFont="1" applyFill="1" applyBorder="1" applyAlignment="1">
      <alignment horizontal="left" vertical="center"/>
    </xf>
    <xf numFmtId="38" fontId="17" fillId="6" borderId="83" xfId="0" applyNumberFormat="1" applyFont="1" applyFill="1" applyBorder="1">
      <alignment vertical="center"/>
    </xf>
    <xf numFmtId="0" fontId="16" fillId="0" borderId="5" xfId="0" applyFont="1" applyBorder="1" applyAlignment="1">
      <alignment vertical="center" shrinkToFit="1"/>
    </xf>
    <xf numFmtId="0" fontId="16" fillId="0" borderId="29" xfId="0" applyFont="1" applyBorder="1" applyAlignment="1">
      <alignment horizontal="left" vertical="center" shrinkToFit="1"/>
    </xf>
    <xf numFmtId="0" fontId="16" fillId="0" borderId="5" xfId="0" applyFont="1" applyBorder="1" applyAlignment="1">
      <alignment horizontal="left" vertical="center" shrinkToFit="1"/>
    </xf>
    <xf numFmtId="0" fontId="16" fillId="0" borderId="6" xfId="0" applyFont="1" applyBorder="1" applyAlignment="1">
      <alignment horizontal="left" vertical="center" shrinkToFit="1"/>
    </xf>
    <xf numFmtId="0" fontId="16" fillId="0" borderId="29" xfId="0" applyFont="1" applyBorder="1" applyAlignment="1">
      <alignment vertical="center" shrinkToFit="1"/>
    </xf>
    <xf numFmtId="0" fontId="16" fillId="0" borderId="45" xfId="0" applyFont="1" applyBorder="1" applyAlignment="1">
      <alignment horizontal="left" vertical="center" wrapText="1" indent="1"/>
    </xf>
    <xf numFmtId="0" fontId="9" fillId="0" borderId="5" xfId="0" applyFont="1" applyBorder="1" applyAlignment="1">
      <alignment vertical="center" wrapText="1"/>
    </xf>
    <xf numFmtId="0" fontId="16" fillId="0" borderId="74" xfId="0" applyFont="1" applyBorder="1" applyAlignment="1">
      <alignment horizontal="left" vertical="center" wrapText="1" indent="1"/>
    </xf>
    <xf numFmtId="0" fontId="16" fillId="0" borderId="75" xfId="0" applyFont="1" applyBorder="1" applyAlignment="1">
      <alignment horizontal="left" vertical="center" wrapText="1" indent="1"/>
    </xf>
    <xf numFmtId="176" fontId="13" fillId="0" borderId="116" xfId="0" applyNumberFormat="1" applyFont="1" applyBorder="1" applyAlignment="1">
      <alignment vertical="center" shrinkToFit="1"/>
    </xf>
    <xf numFmtId="0" fontId="21" fillId="15" borderId="110" xfId="0" applyFont="1" applyFill="1" applyBorder="1" applyAlignment="1">
      <alignment horizontal="center" vertical="center"/>
    </xf>
    <xf numFmtId="0" fontId="39" fillId="15" borderId="110" xfId="0" applyFont="1" applyFill="1" applyBorder="1">
      <alignment vertical="center"/>
    </xf>
    <xf numFmtId="0" fontId="5" fillId="6" borderId="84" xfId="0" applyFont="1" applyFill="1" applyBorder="1" applyAlignment="1">
      <alignment vertical="center" shrinkToFit="1"/>
    </xf>
    <xf numFmtId="0" fontId="5" fillId="6" borderId="117" xfId="0" applyFont="1" applyFill="1" applyBorder="1">
      <alignment vertical="center"/>
    </xf>
    <xf numFmtId="0" fontId="5" fillId="6" borderId="0" xfId="0" applyFont="1" applyFill="1" applyBorder="1">
      <alignment vertical="center"/>
    </xf>
    <xf numFmtId="0" fontId="5" fillId="6" borderId="118" xfId="0" applyFont="1" applyFill="1" applyBorder="1">
      <alignment vertical="center"/>
    </xf>
    <xf numFmtId="0" fontId="5" fillId="6" borderId="0" xfId="0" applyFont="1" applyFill="1">
      <alignment vertical="center"/>
    </xf>
    <xf numFmtId="0" fontId="17" fillId="0" borderId="101" xfId="0" applyFont="1" applyFill="1" applyBorder="1">
      <alignment vertical="center"/>
    </xf>
    <xf numFmtId="0" fontId="17" fillId="0" borderId="87" xfId="0" applyFont="1" applyFill="1" applyBorder="1">
      <alignment vertical="center"/>
    </xf>
    <xf numFmtId="0" fontId="5" fillId="0" borderId="84" xfId="0" applyFont="1" applyFill="1" applyBorder="1" applyAlignment="1">
      <alignment vertical="center" shrinkToFit="1"/>
    </xf>
    <xf numFmtId="0" fontId="5" fillId="0" borderId="119" xfId="0" applyFont="1" applyFill="1" applyBorder="1" applyAlignment="1">
      <alignment vertical="center" shrinkToFit="1"/>
    </xf>
    <xf numFmtId="0" fontId="11" fillId="0" borderId="87" xfId="0" applyFont="1" applyFill="1" applyBorder="1" applyAlignment="1">
      <alignment horizontal="right" vertical="center"/>
    </xf>
    <xf numFmtId="0" fontId="5" fillId="6" borderId="112" xfId="0" applyFont="1" applyFill="1" applyBorder="1">
      <alignment vertical="center"/>
    </xf>
    <xf numFmtId="0" fontId="5" fillId="0" borderId="112" xfId="0" applyFont="1" applyBorder="1">
      <alignment vertical="center"/>
    </xf>
    <xf numFmtId="0" fontId="17" fillId="6" borderId="31" xfId="0" applyFont="1" applyFill="1" applyBorder="1" applyAlignment="1">
      <alignment vertical="center"/>
    </xf>
    <xf numFmtId="0" fontId="17" fillId="0" borderId="31" xfId="0" applyFont="1" applyBorder="1" applyAlignment="1">
      <alignment vertical="center"/>
    </xf>
    <xf numFmtId="0" fontId="38" fillId="15" borderId="0" xfId="0" applyFont="1" applyFill="1" applyBorder="1" applyAlignment="1">
      <alignment vertical="center"/>
    </xf>
    <xf numFmtId="0" fontId="38" fillId="15" borderId="0" xfId="0" applyFont="1" applyFill="1" applyBorder="1">
      <alignment vertical="center"/>
    </xf>
    <xf numFmtId="38" fontId="17" fillId="6" borderId="88" xfId="0" applyNumberFormat="1" applyFont="1" applyFill="1" applyBorder="1">
      <alignment vertical="center"/>
    </xf>
    <xf numFmtId="0" fontId="38" fillId="15" borderId="117" xfId="0" applyFont="1" applyFill="1" applyBorder="1">
      <alignment vertical="center"/>
    </xf>
    <xf numFmtId="0" fontId="38" fillId="15" borderId="0" xfId="0" applyFont="1" applyFill="1" applyBorder="1" applyAlignment="1">
      <alignment horizontal="left" vertical="center"/>
    </xf>
    <xf numFmtId="0" fontId="21" fillId="15" borderId="118" xfId="0" applyFont="1" applyFill="1" applyBorder="1">
      <alignment vertical="center"/>
    </xf>
    <xf numFmtId="0" fontId="17" fillId="6" borderId="83" xfId="0" applyFont="1" applyFill="1" applyBorder="1" applyAlignment="1">
      <alignment horizontal="left" vertical="center"/>
    </xf>
    <xf numFmtId="0" fontId="17" fillId="0" borderId="83" xfId="0" applyFont="1" applyBorder="1" applyAlignment="1">
      <alignment horizontal="left" vertical="center"/>
    </xf>
    <xf numFmtId="0" fontId="38" fillId="15" borderId="30" xfId="0" applyFont="1" applyFill="1" applyBorder="1">
      <alignment vertical="center"/>
    </xf>
    <xf numFmtId="0" fontId="45" fillId="0" borderId="0" xfId="0" applyFont="1" applyAlignment="1">
      <alignment horizontal="distributed" vertical="center" wrapText="1"/>
    </xf>
    <xf numFmtId="0" fontId="13" fillId="0" borderId="0" xfId="0" applyFont="1" applyAlignment="1">
      <alignment horizontal="left" vertical="center" wrapText="1"/>
    </xf>
    <xf numFmtId="38" fontId="17" fillId="3" borderId="87" xfId="7" applyFont="1" applyFill="1" applyBorder="1" applyAlignment="1">
      <alignment horizontal="right" vertical="center"/>
    </xf>
    <xf numFmtId="0" fontId="5" fillId="0" borderId="101" xfId="0" applyFont="1" applyBorder="1">
      <alignment vertical="center"/>
    </xf>
    <xf numFmtId="0" fontId="5" fillId="0" borderId="84" xfId="0" applyFont="1" applyBorder="1">
      <alignment vertical="center"/>
    </xf>
    <xf numFmtId="176" fontId="5" fillId="0" borderId="101" xfId="0" applyNumberFormat="1" applyFont="1" applyBorder="1">
      <alignment vertical="center"/>
    </xf>
    <xf numFmtId="176" fontId="5" fillId="0" borderId="84" xfId="0" applyNumberFormat="1" applyFont="1" applyBorder="1">
      <alignment vertical="center"/>
    </xf>
    <xf numFmtId="0" fontId="11" fillId="3" borderId="87" xfId="0" applyFont="1" applyFill="1" applyBorder="1" applyAlignment="1">
      <alignment horizontal="center" vertical="center"/>
    </xf>
    <xf numFmtId="0" fontId="17" fillId="8" borderId="87" xfId="0" applyFont="1" applyFill="1" applyBorder="1" applyAlignment="1">
      <alignment horizontal="center" vertical="center"/>
    </xf>
    <xf numFmtId="0" fontId="17" fillId="0" borderId="87" xfId="0" applyFont="1" applyFill="1" applyBorder="1" applyAlignment="1">
      <alignment horizontal="right" vertical="center"/>
    </xf>
    <xf numFmtId="0" fontId="17" fillId="6" borderId="0" xfId="0" applyFont="1" applyFill="1" applyBorder="1" applyAlignment="1">
      <alignment vertical="center"/>
    </xf>
    <xf numFmtId="0" fontId="38" fillId="15" borderId="87" xfId="0" applyFont="1" applyFill="1" applyBorder="1" applyAlignment="1">
      <alignment vertical="center"/>
    </xf>
    <xf numFmtId="0" fontId="17" fillId="6" borderId="0" xfId="0" applyFont="1" applyFill="1" applyBorder="1">
      <alignment vertical="center"/>
    </xf>
    <xf numFmtId="0" fontId="17" fillId="6" borderId="117" xfId="0" applyFont="1" applyFill="1" applyBorder="1">
      <alignment vertical="center"/>
    </xf>
    <xf numFmtId="0" fontId="38" fillId="15" borderId="87" xfId="0" applyFont="1" applyFill="1" applyBorder="1" applyAlignment="1">
      <alignment horizontal="center" vertical="center"/>
    </xf>
    <xf numFmtId="0" fontId="38" fillId="15" borderId="87" xfId="0" applyFont="1" applyFill="1" applyBorder="1" applyAlignment="1">
      <alignment horizontal="right"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7" fillId="6" borderId="30" xfId="0" applyFont="1" applyFill="1" applyBorder="1" applyAlignment="1">
      <alignment horizontal="left" vertical="center"/>
    </xf>
    <xf numFmtId="0" fontId="15" fillId="0" borderId="106" xfId="0" applyFont="1" applyBorder="1" applyAlignment="1">
      <alignment vertical="center" shrinkToFit="1"/>
    </xf>
    <xf numFmtId="0" fontId="16" fillId="0" borderId="116" xfId="0" applyFont="1" applyBorder="1" applyAlignment="1">
      <alignment horizontal="left" vertical="center" shrinkToFit="1"/>
    </xf>
    <xf numFmtId="0" fontId="16" fillId="0" borderId="116" xfId="0" applyFont="1" applyBorder="1" applyAlignment="1">
      <alignment vertical="center" shrinkToFit="1"/>
    </xf>
    <xf numFmtId="0" fontId="15" fillId="0" borderId="106" xfId="0" applyFont="1" applyFill="1" applyBorder="1" applyAlignment="1">
      <alignment vertical="center" shrinkToFit="1"/>
    </xf>
    <xf numFmtId="0" fontId="8"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10" fillId="0" borderId="5" xfId="0" applyFont="1" applyFill="1" applyBorder="1" applyAlignment="1">
      <alignment horizontal="center" vertical="center"/>
    </xf>
    <xf numFmtId="0" fontId="9" fillId="0" borderId="0" xfId="0" applyFont="1" applyFill="1" applyAlignment="1">
      <alignment vertical="center"/>
    </xf>
    <xf numFmtId="0" fontId="10" fillId="0" borderId="5" xfId="0" applyFont="1" applyFill="1" applyBorder="1" applyAlignment="1">
      <alignment vertical="center"/>
    </xf>
    <xf numFmtId="0" fontId="10" fillId="0" borderId="5" xfId="0" applyFont="1" applyFill="1" applyBorder="1" applyAlignment="1">
      <alignment horizontal="center" vertical="center" shrinkToFit="1"/>
    </xf>
    <xf numFmtId="0" fontId="8" fillId="20" borderId="120"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9" fillId="0" borderId="5" xfId="0" applyFont="1" applyFill="1" applyBorder="1" applyAlignment="1">
      <alignment horizontal="left" vertical="center"/>
    </xf>
    <xf numFmtId="186" fontId="9" fillId="0" borderId="5" xfId="7" applyNumberFormat="1" applyFont="1" applyFill="1" applyBorder="1" applyAlignment="1">
      <alignment vertical="center"/>
    </xf>
    <xf numFmtId="0" fontId="9" fillId="0" borderId="5" xfId="0" applyFont="1" applyFill="1" applyBorder="1" applyAlignment="1">
      <alignment vertical="center"/>
    </xf>
    <xf numFmtId="185" fontId="9" fillId="0" borderId="5" xfId="0" applyNumberFormat="1" applyFont="1" applyFill="1" applyBorder="1" applyAlignment="1">
      <alignment vertical="center"/>
    </xf>
    <xf numFmtId="0" fontId="5" fillId="0" borderId="29" xfId="0" applyFont="1" applyBorder="1" applyAlignment="1">
      <alignment vertical="center" shrinkToFit="1"/>
    </xf>
    <xf numFmtId="186" fontId="5" fillId="0" borderId="29" xfId="0" applyNumberFormat="1" applyFont="1" applyBorder="1" applyAlignment="1">
      <alignment vertical="center" shrinkToFit="1"/>
    </xf>
    <xf numFmtId="186" fontId="5" fillId="0" borderId="5" xfId="0" applyNumberFormat="1" applyFont="1" applyBorder="1" applyAlignment="1">
      <alignment vertical="center" shrinkToFit="1"/>
    </xf>
    <xf numFmtId="186" fontId="5" fillId="0" borderId="5" xfId="1" applyNumberFormat="1" applyFont="1" applyFill="1" applyBorder="1" applyAlignment="1">
      <alignment horizontal="right" vertical="center" shrinkToFit="1"/>
    </xf>
    <xf numFmtId="186" fontId="5" fillId="0" borderId="6" xfId="1" applyNumberFormat="1" applyFont="1" applyFill="1" applyBorder="1" applyAlignment="1">
      <alignment horizontal="right" vertical="center" shrinkToFit="1"/>
    </xf>
    <xf numFmtId="0" fontId="5" fillId="0" borderId="120" xfId="0" applyFont="1" applyBorder="1" applyAlignment="1">
      <alignment vertical="center" shrinkToFit="1"/>
    </xf>
    <xf numFmtId="186" fontId="5" fillId="0" borderId="120" xfId="0" applyNumberFormat="1" applyFont="1" applyBorder="1" applyAlignment="1">
      <alignment vertical="center" shrinkToFit="1"/>
    </xf>
    <xf numFmtId="0" fontId="8" fillId="2" borderId="122" xfId="0" applyFont="1" applyFill="1" applyBorder="1" applyAlignment="1">
      <alignment horizontal="left" vertical="center"/>
    </xf>
    <xf numFmtId="0" fontId="8" fillId="2" borderId="123" xfId="0" applyFont="1" applyFill="1" applyBorder="1" applyAlignment="1">
      <alignment horizontal="left" vertical="center"/>
    </xf>
    <xf numFmtId="186" fontId="8" fillId="2" borderId="124" xfId="1" applyNumberFormat="1" applyFont="1" applyFill="1" applyBorder="1" applyAlignment="1">
      <alignment horizontal="right" vertical="center" shrinkToFit="1"/>
    </xf>
    <xf numFmtId="0" fontId="8" fillId="20" borderId="7" xfId="0" applyFont="1" applyFill="1" applyBorder="1" applyAlignment="1">
      <alignment vertical="center" shrinkToFit="1"/>
    </xf>
    <xf numFmtId="176" fontId="5" fillId="0" borderId="0" xfId="0" applyNumberFormat="1" applyFont="1" applyBorder="1" applyAlignment="1">
      <alignment vertical="center"/>
    </xf>
    <xf numFmtId="177" fontId="5" fillId="0" borderId="0" xfId="1" applyNumberFormat="1" applyFont="1" applyFill="1" applyBorder="1" applyAlignment="1">
      <alignment horizontal="right" vertical="center"/>
    </xf>
    <xf numFmtId="0" fontId="25" fillId="0" borderId="0" xfId="0" applyFont="1" applyAlignment="1">
      <alignment vertical="center"/>
    </xf>
    <xf numFmtId="0" fontId="5" fillId="0" borderId="124" xfId="0" applyFont="1" applyBorder="1" applyAlignment="1">
      <alignment vertical="center" shrinkToFit="1"/>
    </xf>
    <xf numFmtId="186" fontId="5" fillId="0" borderId="124" xfId="0" applyNumberFormat="1" applyFont="1" applyBorder="1" applyAlignment="1">
      <alignment vertical="center"/>
    </xf>
    <xf numFmtId="186" fontId="5" fillId="0" borderId="5" xfId="0" applyNumberFormat="1" applyFont="1" applyBorder="1" applyAlignment="1">
      <alignment vertical="center"/>
    </xf>
    <xf numFmtId="0" fontId="8" fillId="20" borderId="6" xfId="0" applyFont="1" applyFill="1" applyBorder="1" applyAlignment="1">
      <alignment vertical="center" shrinkToFit="1"/>
    </xf>
    <xf numFmtId="0" fontId="8" fillId="20" borderId="6" xfId="0" applyFont="1" applyFill="1" applyBorder="1" applyAlignment="1">
      <alignment horizontal="center" vertical="center" shrinkToFit="1"/>
    </xf>
    <xf numFmtId="186" fontId="5" fillId="0" borderId="5" xfId="0" applyNumberFormat="1" applyFont="1" applyBorder="1" applyAlignment="1">
      <alignment horizontal="right" vertical="center"/>
    </xf>
    <xf numFmtId="0" fontId="5" fillId="0" borderId="67" xfId="0" applyFont="1" applyBorder="1" applyAlignment="1">
      <alignment vertical="center" shrinkToFit="1"/>
    </xf>
    <xf numFmtId="0" fontId="5" fillId="0" borderId="71" xfId="0" applyFont="1" applyBorder="1" applyAlignment="1">
      <alignment horizontal="left" vertical="center" shrinkToFit="1"/>
    </xf>
    <xf numFmtId="187" fontId="5" fillId="0" borderId="10" xfId="0" applyNumberFormat="1" applyFont="1" applyBorder="1" applyAlignment="1">
      <alignment vertical="center"/>
    </xf>
    <xf numFmtId="0" fontId="5" fillId="0" borderId="72" xfId="0" applyFont="1" applyBorder="1" applyAlignment="1">
      <alignment horizontal="left" vertical="center" shrinkToFit="1"/>
    </xf>
    <xf numFmtId="0" fontId="5" fillId="0" borderId="68" xfId="0" applyFont="1" applyBorder="1" applyAlignment="1">
      <alignment vertical="center" shrinkToFit="1"/>
    </xf>
    <xf numFmtId="0" fontId="5" fillId="0" borderId="73" xfId="0" applyFont="1" applyBorder="1" applyAlignment="1">
      <alignment horizontal="left" vertical="center" shrinkToFit="1"/>
    </xf>
    <xf numFmtId="186" fontId="5" fillId="0" borderId="120" xfId="0" applyNumberFormat="1" applyFont="1" applyBorder="1" applyAlignment="1">
      <alignment vertical="center"/>
    </xf>
    <xf numFmtId="186" fontId="5" fillId="0" borderId="5" xfId="1" applyNumberFormat="1" applyFont="1" applyFill="1" applyBorder="1" applyAlignment="1">
      <alignment horizontal="right" vertical="center"/>
    </xf>
    <xf numFmtId="0" fontId="26" fillId="0" borderId="5" xfId="0" applyFont="1" applyFill="1" applyBorder="1" applyAlignment="1">
      <alignment horizontal="center" vertical="center"/>
    </xf>
    <xf numFmtId="0" fontId="8" fillId="20" borderId="29" xfId="0" applyFont="1" applyFill="1" applyBorder="1" applyAlignment="1">
      <alignment vertical="center" shrinkToFit="1"/>
    </xf>
    <xf numFmtId="188" fontId="5" fillId="0" borderId="0" xfId="0" applyNumberFormat="1" applyFont="1" applyBorder="1" applyAlignment="1">
      <alignment vertical="center" shrinkToFit="1"/>
    </xf>
    <xf numFmtId="186" fontId="5" fillId="0" borderId="124" xfId="0" applyNumberFormat="1" applyFont="1" applyBorder="1" applyAlignment="1">
      <alignment vertical="center" shrinkToFit="1"/>
    </xf>
    <xf numFmtId="186" fontId="9" fillId="0" borderId="5" xfId="7" applyNumberFormat="1" applyFont="1" applyFill="1" applyBorder="1" applyAlignment="1">
      <alignment vertical="center" shrinkToFit="1"/>
    </xf>
    <xf numFmtId="186" fontId="8" fillId="20" borderId="29" xfId="0" applyNumberFormat="1" applyFont="1" applyFill="1" applyBorder="1" applyAlignment="1">
      <alignment vertical="center" shrinkToFit="1"/>
    </xf>
    <xf numFmtId="9" fontId="8" fillId="20" borderId="29" xfId="1" applyFont="1" applyFill="1" applyBorder="1" applyAlignment="1">
      <alignment horizontal="right" vertical="center" shrinkToFit="1"/>
    </xf>
    <xf numFmtId="0" fontId="8" fillId="2" borderId="44" xfId="0" applyFont="1" applyFill="1" applyBorder="1" applyAlignment="1">
      <alignment horizontal="left" vertical="center"/>
    </xf>
    <xf numFmtId="0" fontId="8" fillId="2" borderId="3" xfId="0" applyFont="1" applyFill="1" applyBorder="1" applyAlignment="1">
      <alignment horizontal="left" vertical="center"/>
    </xf>
    <xf numFmtId="186" fontId="8" fillId="2" borderId="29" xfId="0" applyNumberFormat="1" applyFont="1" applyFill="1" applyBorder="1" applyAlignment="1">
      <alignment horizontal="right" vertical="center"/>
    </xf>
    <xf numFmtId="186" fontId="8" fillId="2" borderId="29" xfId="1" applyNumberFormat="1" applyFont="1" applyFill="1" applyBorder="1" applyAlignment="1">
      <alignment horizontal="right" vertical="center"/>
    </xf>
    <xf numFmtId="0" fontId="9" fillId="0" borderId="5" xfId="0" applyFont="1" applyFill="1" applyBorder="1" applyAlignment="1">
      <alignment horizontal="center" vertical="center"/>
    </xf>
    <xf numFmtId="0" fontId="10" fillId="0" borderId="120" xfId="0" applyFont="1" applyFill="1" applyBorder="1" applyAlignment="1">
      <alignment horizontal="center" vertical="center" shrinkToFit="1"/>
    </xf>
    <xf numFmtId="0" fontId="9" fillId="0" borderId="5" xfId="0" applyFont="1" applyFill="1" applyBorder="1" applyAlignment="1">
      <alignment vertical="center" shrinkToFit="1"/>
    </xf>
    <xf numFmtId="0" fontId="9" fillId="0" borderId="124" xfId="0" applyFont="1" applyFill="1" applyBorder="1" applyAlignment="1">
      <alignment vertical="center" shrinkToFit="1"/>
    </xf>
    <xf numFmtId="186" fontId="9" fillId="0" borderId="124" xfId="0" applyNumberFormat="1" applyFont="1" applyFill="1" applyBorder="1" applyAlignment="1">
      <alignment vertical="center" shrinkToFit="1"/>
    </xf>
    <xf numFmtId="9" fontId="9" fillId="0" borderId="124" xfId="0" applyNumberFormat="1" applyFont="1" applyFill="1" applyBorder="1" applyAlignment="1">
      <alignment horizontal="center" vertical="center" shrinkToFit="1"/>
    </xf>
    <xf numFmtId="0" fontId="9" fillId="0" borderId="5" xfId="0" applyFont="1" applyFill="1" applyBorder="1" applyAlignment="1">
      <alignment horizontal="left" vertical="center" shrinkToFit="1"/>
    </xf>
    <xf numFmtId="186" fontId="9" fillId="0" borderId="5" xfId="0" applyNumberFormat="1" applyFont="1" applyFill="1" applyBorder="1" applyAlignment="1">
      <alignment vertical="center" shrinkToFit="1"/>
    </xf>
    <xf numFmtId="9" fontId="9" fillId="0" borderId="5" xfId="0" applyNumberFormat="1" applyFont="1" applyFill="1" applyBorder="1" applyAlignment="1">
      <alignment horizontal="center" vertical="center" shrinkToFit="1"/>
    </xf>
    <xf numFmtId="0" fontId="9" fillId="0" borderId="120" xfId="0" applyFont="1" applyFill="1" applyBorder="1" applyAlignment="1">
      <alignment vertical="center" shrinkToFit="1"/>
    </xf>
    <xf numFmtId="186" fontId="9" fillId="0" borderId="120" xfId="0" applyNumberFormat="1" applyFont="1" applyFill="1" applyBorder="1" applyAlignment="1">
      <alignment vertical="center" shrinkToFit="1"/>
    </xf>
    <xf numFmtId="9" fontId="9" fillId="0" borderId="120" xfId="0" applyNumberFormat="1" applyFont="1" applyFill="1" applyBorder="1" applyAlignment="1">
      <alignment horizontal="center" vertical="center" shrinkToFit="1"/>
    </xf>
    <xf numFmtId="0" fontId="10" fillId="0" borderId="29" xfId="0" applyFont="1" applyFill="1" applyBorder="1" applyAlignment="1">
      <alignment vertical="center" shrinkToFit="1"/>
    </xf>
    <xf numFmtId="9" fontId="9" fillId="0" borderId="124" xfId="0" applyNumberFormat="1" applyFont="1" applyFill="1" applyBorder="1" applyAlignment="1">
      <alignment vertical="center" shrinkToFit="1"/>
    </xf>
    <xf numFmtId="0" fontId="8" fillId="21" borderId="120" xfId="0" applyFont="1" applyFill="1" applyBorder="1" applyAlignment="1">
      <alignment horizontal="center" vertical="center" shrinkToFit="1"/>
    </xf>
    <xf numFmtId="0" fontId="8" fillId="22" borderId="5" xfId="0" applyFont="1" applyFill="1" applyBorder="1" applyAlignment="1">
      <alignment horizontal="center" vertical="center" shrinkToFit="1"/>
    </xf>
    <xf numFmtId="0" fontId="8" fillId="22" borderId="122" xfId="0" applyFont="1" applyFill="1" applyBorder="1" applyAlignment="1">
      <alignment horizontal="left" vertical="center"/>
    </xf>
    <xf numFmtId="0" fontId="8" fillId="22" borderId="123" xfId="0" applyFont="1" applyFill="1" applyBorder="1" applyAlignment="1">
      <alignment horizontal="left" vertical="center"/>
    </xf>
    <xf numFmtId="186" fontId="8" fillId="22" borderId="124" xfId="1" applyNumberFormat="1" applyFont="1" applyFill="1" applyBorder="1" applyAlignment="1">
      <alignment horizontal="right" vertical="center" shrinkToFit="1"/>
    </xf>
    <xf numFmtId="0" fontId="8" fillId="21" borderId="7" xfId="0" applyFont="1" applyFill="1" applyBorder="1" applyAlignment="1">
      <alignment vertical="center" shrinkToFit="1"/>
    </xf>
    <xf numFmtId="0" fontId="8" fillId="21" borderId="29" xfId="0" applyFont="1" applyFill="1" applyBorder="1" applyAlignment="1">
      <alignment vertical="center" shrinkToFit="1"/>
    </xf>
    <xf numFmtId="186" fontId="8" fillId="21" borderId="29" xfId="0" applyNumberFormat="1" applyFont="1" applyFill="1" applyBorder="1" applyAlignment="1">
      <alignment vertical="center" shrinkToFit="1"/>
    </xf>
    <xf numFmtId="9" fontId="8" fillId="21" borderId="29" xfId="1" applyFont="1" applyFill="1" applyBorder="1" applyAlignment="1">
      <alignment horizontal="right" vertical="center" shrinkToFit="1"/>
    </xf>
    <xf numFmtId="9" fontId="9" fillId="0" borderId="5" xfId="1" applyFont="1" applyFill="1" applyBorder="1" applyAlignment="1">
      <alignment horizontal="right" vertical="center" shrinkToFit="1"/>
    </xf>
    <xf numFmtId="0" fontId="10" fillId="0" borderId="5" xfId="0" applyFont="1" applyFill="1" applyBorder="1" applyAlignment="1">
      <alignment vertical="center" shrinkToFit="1"/>
    </xf>
    <xf numFmtId="0" fontId="9" fillId="0" borderId="5" xfId="0" applyFont="1" applyFill="1" applyBorder="1" applyAlignment="1">
      <alignment horizontal="left" vertical="center" wrapText="1" shrinkToFit="1"/>
    </xf>
    <xf numFmtId="177" fontId="5" fillId="0" borderId="124" xfId="1" applyNumberFormat="1" applyFont="1" applyBorder="1" applyAlignment="1">
      <alignment horizontal="center" vertical="center" shrinkToFit="1"/>
    </xf>
    <xf numFmtId="177" fontId="5" fillId="0" borderId="5" xfId="1" applyNumberFormat="1" applyFont="1" applyBorder="1" applyAlignment="1">
      <alignment horizontal="center" vertical="center" shrinkToFit="1"/>
    </xf>
    <xf numFmtId="177" fontId="5" fillId="0" borderId="120" xfId="1" applyNumberFormat="1" applyFont="1" applyBorder="1" applyAlignment="1">
      <alignment horizontal="center" vertical="center" shrinkToFit="1"/>
    </xf>
    <xf numFmtId="186" fontId="5" fillId="0" borderId="130" xfId="0" applyNumberFormat="1" applyFont="1" applyBorder="1" applyAlignment="1">
      <alignment vertical="center"/>
    </xf>
    <xf numFmtId="186" fontId="5" fillId="0" borderId="130" xfId="1" applyNumberFormat="1" applyFont="1" applyFill="1" applyBorder="1" applyAlignment="1">
      <alignment horizontal="right" vertical="center"/>
    </xf>
    <xf numFmtId="0" fontId="38" fillId="8" borderId="87" xfId="0" applyFont="1" applyFill="1" applyBorder="1" applyAlignment="1">
      <alignment horizontal="center" vertical="center"/>
    </xf>
    <xf numFmtId="0" fontId="38" fillId="8" borderId="132" xfId="0" applyFont="1" applyFill="1" applyBorder="1" applyAlignment="1">
      <alignment horizontal="center" vertical="center"/>
    </xf>
    <xf numFmtId="0" fontId="17" fillId="8" borderId="133" xfId="0" applyFont="1" applyFill="1" applyBorder="1">
      <alignment vertical="center"/>
    </xf>
    <xf numFmtId="38" fontId="17" fillId="8" borderId="133" xfId="0" applyNumberFormat="1" applyFont="1" applyFill="1" applyBorder="1">
      <alignment vertical="center"/>
    </xf>
    <xf numFmtId="0" fontId="8" fillId="22" borderId="5" xfId="0" applyFont="1" applyFill="1" applyBorder="1" applyAlignment="1">
      <alignment horizontal="center" vertical="center"/>
    </xf>
    <xf numFmtId="0" fontId="38" fillId="8" borderId="132" xfId="0" applyFont="1" applyFill="1" applyBorder="1">
      <alignment vertical="center"/>
    </xf>
    <xf numFmtId="176" fontId="8" fillId="22" borderId="10" xfId="0" applyNumberFormat="1" applyFont="1" applyFill="1" applyBorder="1" applyAlignment="1">
      <alignment horizontal="right" vertical="center" shrinkToFit="1"/>
    </xf>
    <xf numFmtId="176" fontId="8" fillId="21" borderId="10" xfId="0" applyNumberFormat="1" applyFont="1" applyFill="1" applyBorder="1" applyAlignment="1">
      <alignment vertical="center" shrinkToFit="1"/>
    </xf>
    <xf numFmtId="177" fontId="8" fillId="22" borderId="29" xfId="0" applyNumberFormat="1" applyFont="1" applyFill="1" applyBorder="1" applyAlignment="1">
      <alignment horizontal="right" vertical="center" shrinkToFit="1"/>
    </xf>
    <xf numFmtId="187" fontId="5" fillId="0" borderId="11" xfId="0" applyNumberFormat="1" applyFont="1" applyBorder="1" applyAlignment="1">
      <alignment vertical="center"/>
    </xf>
    <xf numFmtId="187" fontId="5" fillId="0" borderId="12" xfId="0" applyNumberFormat="1" applyFont="1" applyBorder="1" applyAlignment="1">
      <alignment vertical="center"/>
    </xf>
    <xf numFmtId="187" fontId="5" fillId="0" borderId="76" xfId="0" applyNumberFormat="1" applyFont="1" applyBorder="1" applyAlignment="1">
      <alignment vertical="center"/>
    </xf>
    <xf numFmtId="187" fontId="5" fillId="0" borderId="77" xfId="0" applyNumberFormat="1" applyFont="1" applyBorder="1" applyAlignment="1">
      <alignment vertical="center"/>
    </xf>
    <xf numFmtId="187" fontId="5" fillId="0" borderId="134" xfId="0" applyNumberFormat="1" applyFont="1" applyBorder="1" applyAlignment="1">
      <alignment vertical="center"/>
    </xf>
    <xf numFmtId="0" fontId="8" fillId="0" borderId="0" xfId="0" applyFont="1" applyAlignment="1">
      <alignment horizontal="center" vertical="center"/>
    </xf>
    <xf numFmtId="0" fontId="5" fillId="0" borderId="135" xfId="0" applyFont="1" applyBorder="1">
      <alignment vertical="center"/>
    </xf>
    <xf numFmtId="0" fontId="8" fillId="18" borderId="136" xfId="0" applyFont="1" applyFill="1" applyBorder="1" applyAlignment="1">
      <alignment horizontal="center" vertical="center"/>
    </xf>
    <xf numFmtId="0" fontId="8" fillId="18" borderId="137" xfId="0" applyFont="1" applyFill="1" applyBorder="1" applyAlignment="1">
      <alignment horizontal="center" vertical="center"/>
    </xf>
    <xf numFmtId="0" fontId="8" fillId="18" borderId="138" xfId="0" applyFont="1" applyFill="1" applyBorder="1" applyAlignment="1">
      <alignment horizontal="center" vertical="center"/>
    </xf>
    <xf numFmtId="0" fontId="8" fillId="0" borderId="139" xfId="0" applyFont="1" applyBorder="1">
      <alignment vertical="center"/>
    </xf>
    <xf numFmtId="0" fontId="8" fillId="0" borderId="140" xfId="0" applyFont="1" applyBorder="1" applyAlignment="1">
      <alignment horizontal="center" vertical="center"/>
    </xf>
    <xf numFmtId="0" fontId="8" fillId="0" borderId="141" xfId="0" applyFont="1" applyBorder="1" applyAlignment="1">
      <alignment horizontal="center" vertical="center"/>
    </xf>
    <xf numFmtId="0" fontId="8" fillId="0" borderId="142" xfId="0" applyFont="1" applyBorder="1">
      <alignment vertical="center"/>
    </xf>
    <xf numFmtId="0" fontId="8" fillId="0" borderId="143" xfId="0" applyFont="1" applyBorder="1" applyAlignment="1">
      <alignment horizontal="center" vertical="center"/>
    </xf>
    <xf numFmtId="0" fontId="8" fillId="0" borderId="144" xfId="0" applyFont="1" applyBorder="1" applyAlignment="1">
      <alignment horizontal="center" vertical="center"/>
    </xf>
    <xf numFmtId="0" fontId="8" fillId="0" borderId="145" xfId="0" applyFont="1" applyBorder="1">
      <alignment vertical="center"/>
    </xf>
    <xf numFmtId="0" fontId="38" fillId="8" borderId="146" xfId="0" applyFont="1" applyFill="1" applyBorder="1" applyAlignment="1">
      <alignment horizontal="center" vertical="center"/>
    </xf>
    <xf numFmtId="0" fontId="38" fillId="8" borderId="0" xfId="0" applyFont="1" applyFill="1" applyBorder="1" applyAlignment="1">
      <alignment horizontal="center" vertical="center"/>
    </xf>
    <xf numFmtId="38" fontId="17" fillId="8" borderId="147" xfId="0" applyNumberFormat="1" applyFont="1" applyFill="1" applyBorder="1">
      <alignment vertical="center"/>
    </xf>
    <xf numFmtId="0" fontId="8" fillId="18" borderId="148" xfId="0" applyFont="1" applyFill="1" applyBorder="1" applyAlignment="1">
      <alignment horizontal="center" vertical="center"/>
    </xf>
    <xf numFmtId="0" fontId="8" fillId="18" borderId="149" xfId="0" applyFont="1" applyFill="1" applyBorder="1" applyAlignment="1">
      <alignment horizontal="center" vertical="center"/>
    </xf>
    <xf numFmtId="0" fontId="8" fillId="18" borderId="150" xfId="0" applyFont="1" applyFill="1" applyBorder="1" applyAlignment="1">
      <alignment horizontal="center" vertical="center"/>
    </xf>
    <xf numFmtId="0" fontId="8" fillId="0" borderId="151" xfId="0" applyFont="1" applyBorder="1">
      <alignment vertical="center"/>
    </xf>
    <xf numFmtId="0" fontId="8" fillId="0" borderId="152" xfId="0" applyFont="1" applyBorder="1" applyAlignment="1">
      <alignment horizontal="center" vertical="center"/>
    </xf>
    <xf numFmtId="0" fontId="8" fillId="0" borderId="153" xfId="0" applyFont="1" applyBorder="1" applyAlignment="1">
      <alignment horizontal="center" vertical="center"/>
    </xf>
    <xf numFmtId="0" fontId="8" fillId="0" borderId="154" xfId="0" applyFont="1" applyBorder="1" applyAlignment="1">
      <alignment horizontal="center" vertical="center"/>
    </xf>
    <xf numFmtId="0" fontId="8" fillId="0" borderId="155" xfId="0" applyFont="1" applyBorder="1">
      <alignment vertical="center"/>
    </xf>
    <xf numFmtId="0" fontId="17" fillId="8" borderId="156" xfId="0" applyFont="1" applyFill="1" applyBorder="1">
      <alignment vertical="center"/>
    </xf>
    <xf numFmtId="38" fontId="17" fillId="8" borderId="156" xfId="0" applyNumberFormat="1" applyFont="1" applyFill="1" applyBorder="1">
      <alignment vertical="center"/>
    </xf>
    <xf numFmtId="38" fontId="17" fillId="8" borderId="157" xfId="0" applyNumberFormat="1" applyFont="1" applyFill="1" applyBorder="1">
      <alignment vertical="center"/>
    </xf>
    <xf numFmtId="0" fontId="8" fillId="0" borderId="158" xfId="0" applyFont="1" applyBorder="1">
      <alignment vertical="center"/>
    </xf>
    <xf numFmtId="0" fontId="17" fillId="6" borderId="159" xfId="0" applyFont="1" applyFill="1" applyBorder="1" applyAlignment="1">
      <alignment vertical="center" shrinkToFit="1"/>
    </xf>
    <xf numFmtId="0" fontId="21" fillId="6" borderId="88" xfId="0" applyFont="1" applyFill="1" applyBorder="1">
      <alignment vertical="center"/>
    </xf>
    <xf numFmtId="0" fontId="21" fillId="6" borderId="114" xfId="0" applyFont="1" applyFill="1" applyBorder="1">
      <alignment vertical="center"/>
    </xf>
    <xf numFmtId="38" fontId="21" fillId="6" borderId="31" xfId="0" applyNumberFormat="1" applyFont="1" applyFill="1" applyBorder="1">
      <alignment vertical="center"/>
    </xf>
    <xf numFmtId="38" fontId="21" fillId="6" borderId="107" xfId="0" applyNumberFormat="1" applyFont="1" applyFill="1" applyBorder="1" applyAlignment="1">
      <alignment vertical="center" shrinkToFit="1"/>
    </xf>
    <xf numFmtId="0" fontId="5" fillId="6" borderId="108" xfId="0" applyFont="1" applyFill="1" applyBorder="1" applyAlignment="1">
      <alignment vertical="center" shrinkToFit="1"/>
    </xf>
    <xf numFmtId="0" fontId="5" fillId="6" borderId="115" xfId="0" applyFont="1" applyFill="1" applyBorder="1" applyAlignment="1">
      <alignment vertical="center" shrinkToFit="1"/>
    </xf>
    <xf numFmtId="0" fontId="21" fillId="6" borderId="112" xfId="0" applyFont="1" applyFill="1" applyBorder="1">
      <alignment vertical="center"/>
    </xf>
    <xf numFmtId="0" fontId="5" fillId="0" borderId="5" xfId="0" applyFont="1" applyBorder="1" applyAlignment="1">
      <alignment horizontal="left" vertical="center" shrinkToFit="1"/>
    </xf>
    <xf numFmtId="176" fontId="5" fillId="0" borderId="5" xfId="7" applyNumberFormat="1" applyFont="1" applyBorder="1" applyAlignment="1">
      <alignment vertical="center" shrinkToFit="1"/>
    </xf>
    <xf numFmtId="177" fontId="5" fillId="0" borderId="5" xfId="0" applyNumberFormat="1" applyFont="1" applyBorder="1" applyAlignment="1">
      <alignment horizontal="right" vertical="center" shrinkToFit="1"/>
    </xf>
    <xf numFmtId="176" fontId="5" fillId="0" borderId="5" xfId="0" applyNumberFormat="1" applyFont="1" applyBorder="1" applyAlignment="1">
      <alignment horizontal="right" vertical="center" shrinkToFit="1"/>
    </xf>
    <xf numFmtId="0" fontId="8" fillId="2" borderId="5" xfId="0" applyFont="1" applyFill="1" applyBorder="1" applyAlignment="1">
      <alignment horizontal="left" vertical="center" shrinkToFit="1"/>
    </xf>
    <xf numFmtId="176" fontId="8" fillId="2" borderId="5" xfId="0" applyNumberFormat="1" applyFont="1" applyFill="1" applyBorder="1" applyAlignment="1">
      <alignment horizontal="right" vertical="center" shrinkToFit="1"/>
    </xf>
    <xf numFmtId="177" fontId="8" fillId="2" borderId="5" xfId="1" applyNumberFormat="1" applyFont="1" applyFill="1" applyBorder="1" applyAlignment="1">
      <alignment horizontal="right" vertical="center" shrinkToFit="1"/>
    </xf>
    <xf numFmtId="176" fontId="5" fillId="0" borderId="5" xfId="7" applyNumberFormat="1" applyFont="1" applyBorder="1" applyAlignment="1">
      <alignment horizontal="right" vertical="center" shrinkToFit="1"/>
    </xf>
    <xf numFmtId="177" fontId="5" fillId="0" borderId="5" xfId="1" applyNumberFormat="1" applyFont="1" applyBorder="1" applyAlignment="1">
      <alignment horizontal="right" vertical="center" shrinkToFit="1"/>
    </xf>
    <xf numFmtId="176" fontId="5" fillId="0" borderId="5" xfId="0" applyNumberFormat="1" applyFont="1" applyBorder="1" applyAlignment="1">
      <alignment vertical="center" shrinkToFit="1"/>
    </xf>
    <xf numFmtId="0" fontId="5" fillId="0" borderId="0" xfId="0" applyFont="1" applyAlignment="1">
      <alignment horizontal="left" vertical="center" shrinkToFit="1"/>
    </xf>
    <xf numFmtId="0" fontId="5" fillId="0" borderId="0" xfId="0" applyNumberFormat="1" applyFont="1" applyAlignment="1">
      <alignment vertical="center" shrinkToFit="1"/>
    </xf>
    <xf numFmtId="177" fontId="5" fillId="0" borderId="0" xfId="0" applyNumberFormat="1" applyFont="1" applyAlignment="1">
      <alignment vertical="center" shrinkToFit="1"/>
    </xf>
    <xf numFmtId="0" fontId="8" fillId="0" borderId="0" xfId="0" applyFont="1" applyAlignment="1">
      <alignment vertical="center" shrinkToFit="1"/>
    </xf>
    <xf numFmtId="0" fontId="7" fillId="0" borderId="0" xfId="0" applyFont="1" applyAlignment="1">
      <alignment vertical="center" shrinkToFit="1"/>
    </xf>
    <xf numFmtId="177" fontId="5" fillId="0" borderId="5" xfId="0" applyNumberFormat="1" applyFont="1" applyBorder="1" applyAlignment="1">
      <alignment vertical="center" shrinkToFit="1"/>
    </xf>
    <xf numFmtId="178" fontId="5" fillId="0" borderId="10" xfId="0" applyNumberFormat="1" applyFont="1" applyBorder="1" applyAlignment="1">
      <alignment vertical="center" shrinkToFit="1"/>
    </xf>
    <xf numFmtId="180" fontId="5" fillId="0" borderId="10" xfId="1" applyNumberFormat="1" applyFont="1" applyBorder="1" applyAlignment="1">
      <alignment horizontal="right" vertical="center" shrinkToFit="1"/>
    </xf>
    <xf numFmtId="180" fontId="5" fillId="0" borderId="11" xfId="1" applyNumberFormat="1" applyFont="1" applyBorder="1" applyAlignment="1">
      <alignment horizontal="right" vertical="center" shrinkToFit="1"/>
    </xf>
    <xf numFmtId="180" fontId="5" fillId="0" borderId="12" xfId="1" applyNumberFormat="1" applyFont="1" applyBorder="1" applyAlignment="1">
      <alignment horizontal="right" vertical="center" shrinkToFit="1"/>
    </xf>
    <xf numFmtId="177" fontId="5" fillId="0" borderId="5" xfId="1" applyNumberFormat="1" applyFont="1" applyFill="1" applyBorder="1" applyAlignment="1">
      <alignment horizontal="right" vertical="center" shrinkToFit="1"/>
    </xf>
    <xf numFmtId="178" fontId="5" fillId="0" borderId="76" xfId="0" applyNumberFormat="1" applyFont="1" applyBorder="1" applyAlignment="1">
      <alignment horizontal="right" vertical="center" shrinkToFit="1"/>
    </xf>
    <xf numFmtId="180" fontId="5" fillId="0" borderId="76" xfId="1" applyNumberFormat="1" applyFont="1" applyBorder="1" applyAlignment="1">
      <alignment horizontal="right" vertical="center" shrinkToFit="1"/>
    </xf>
    <xf numFmtId="178" fontId="5" fillId="0" borderId="77" xfId="0" applyNumberFormat="1" applyFont="1" applyBorder="1" applyAlignment="1">
      <alignment vertical="center" shrinkToFit="1"/>
    </xf>
    <xf numFmtId="178" fontId="5" fillId="0" borderId="77" xfId="0" applyNumberFormat="1" applyFont="1" applyBorder="1" applyAlignment="1">
      <alignment horizontal="right" vertical="center" shrinkToFit="1"/>
    </xf>
    <xf numFmtId="180" fontId="5" fillId="0" borderId="77" xfId="1" applyNumberFormat="1" applyFont="1" applyBorder="1" applyAlignment="1">
      <alignment horizontal="right" vertical="center" shrinkToFit="1"/>
    </xf>
    <xf numFmtId="178" fontId="5" fillId="0" borderId="78" xfId="0" applyNumberFormat="1" applyFont="1" applyBorder="1" applyAlignment="1">
      <alignment vertical="center" shrinkToFit="1"/>
    </xf>
    <xf numFmtId="178" fontId="5" fillId="0" borderId="78" xfId="0" applyNumberFormat="1" applyFont="1" applyBorder="1" applyAlignment="1">
      <alignment horizontal="right" vertical="center" shrinkToFit="1"/>
    </xf>
    <xf numFmtId="180" fontId="5" fillId="0" borderId="78" xfId="1" applyNumberFormat="1" applyFont="1" applyBorder="1" applyAlignment="1">
      <alignment horizontal="right" vertical="center" shrinkToFit="1"/>
    </xf>
    <xf numFmtId="0" fontId="8" fillId="2" borderId="5" xfId="0" applyFont="1" applyFill="1" applyBorder="1" applyAlignment="1">
      <alignment horizontal="right" vertical="center" shrinkToFit="1"/>
    </xf>
    <xf numFmtId="0" fontId="8" fillId="2" borderId="5" xfId="0" applyFont="1" applyFill="1" applyBorder="1" applyAlignment="1">
      <alignment vertical="center" shrinkToFit="1"/>
    </xf>
    <xf numFmtId="38" fontId="5" fillId="0" borderId="5" xfId="0" applyNumberFormat="1" applyFont="1" applyFill="1" applyBorder="1" applyAlignment="1">
      <alignment vertical="center" shrinkToFit="1"/>
    </xf>
    <xf numFmtId="177" fontId="5" fillId="0" borderId="5" xfId="0" applyNumberFormat="1" applyFont="1" applyFill="1" applyBorder="1" applyAlignment="1">
      <alignment horizontal="right" vertical="center" shrinkToFit="1"/>
    </xf>
    <xf numFmtId="38" fontId="5" fillId="0" borderId="5" xfId="0" applyNumberFormat="1" applyFont="1" applyBorder="1" applyAlignment="1">
      <alignment vertical="center" shrinkToFit="1"/>
    </xf>
    <xf numFmtId="0" fontId="8" fillId="10" borderId="5" xfId="0" applyFont="1" applyFill="1" applyBorder="1" applyAlignment="1">
      <alignment horizontal="center" vertical="center" shrinkToFit="1"/>
    </xf>
    <xf numFmtId="0" fontId="15" fillId="10" borderId="5" xfId="0" applyFont="1" applyFill="1" applyBorder="1" applyAlignment="1">
      <alignment horizontal="center" vertical="center" shrinkToFit="1"/>
    </xf>
    <xf numFmtId="0" fontId="8" fillId="10" borderId="5" xfId="0" applyFont="1" applyFill="1" applyBorder="1" applyAlignment="1">
      <alignment horizontal="left" vertical="center" shrinkToFit="1"/>
    </xf>
    <xf numFmtId="176" fontId="8" fillId="10" borderId="5" xfId="0" applyNumberFormat="1" applyFont="1" applyFill="1" applyBorder="1" applyAlignment="1">
      <alignment horizontal="right" vertical="center" shrinkToFit="1"/>
    </xf>
    <xf numFmtId="177" fontId="8" fillId="10" borderId="5" xfId="1" applyNumberFormat="1" applyFont="1" applyFill="1" applyBorder="1" applyAlignment="1">
      <alignment horizontal="right" vertical="center" shrinkToFit="1"/>
    </xf>
    <xf numFmtId="179" fontId="5" fillId="0" borderId="5" xfId="0" applyNumberFormat="1" applyFont="1" applyBorder="1" applyAlignment="1">
      <alignment vertical="center" shrinkToFit="1"/>
    </xf>
    <xf numFmtId="178" fontId="5" fillId="0" borderId="76" xfId="0" applyNumberFormat="1" applyFont="1" applyBorder="1" applyAlignment="1">
      <alignment vertical="center" shrinkToFit="1"/>
    </xf>
    <xf numFmtId="177" fontId="5" fillId="11" borderId="5" xfId="0" applyNumberFormat="1" applyFont="1" applyFill="1" applyBorder="1" applyAlignment="1">
      <alignment horizontal="right" vertical="center" shrinkToFit="1"/>
    </xf>
    <xf numFmtId="0" fontId="8" fillId="10" borderId="5" xfId="0" applyFont="1" applyFill="1" applyBorder="1" applyAlignment="1">
      <alignment horizontal="right" vertical="center" shrinkToFit="1"/>
    </xf>
    <xf numFmtId="38" fontId="5" fillId="0" borderId="5" xfId="7" applyFont="1" applyBorder="1" applyAlignment="1">
      <alignment vertical="center" shrinkToFit="1"/>
    </xf>
    <xf numFmtId="38" fontId="5" fillId="0" borderId="5" xfId="7" applyFont="1" applyBorder="1" applyAlignment="1">
      <alignment horizontal="right" vertical="center" shrinkToFit="1"/>
    </xf>
    <xf numFmtId="176" fontId="8" fillId="0" borderId="0" xfId="0" applyNumberFormat="1" applyFont="1" applyFill="1" applyBorder="1" applyAlignment="1">
      <alignment horizontal="right" vertical="center" shrinkToFit="1"/>
    </xf>
    <xf numFmtId="177" fontId="8" fillId="0" borderId="0" xfId="1" applyNumberFormat="1" applyFont="1" applyFill="1" applyBorder="1" applyAlignment="1">
      <alignment horizontal="right" vertical="center" shrinkToFit="1"/>
    </xf>
    <xf numFmtId="38" fontId="5" fillId="0" borderId="5" xfId="7" applyFont="1" applyBorder="1" applyAlignment="1">
      <alignment horizontal="right" shrinkToFit="1"/>
    </xf>
    <xf numFmtId="0" fontId="13" fillId="0" borderId="5" xfId="0" applyFont="1" applyBorder="1" applyAlignment="1">
      <alignment vertical="center" wrapText="1"/>
    </xf>
    <xf numFmtId="0" fontId="16" fillId="0" borderId="5" xfId="0" applyFont="1" applyBorder="1">
      <alignment vertical="center"/>
    </xf>
    <xf numFmtId="0" fontId="8" fillId="12" borderId="5" xfId="0" applyFont="1" applyFill="1" applyBorder="1" applyAlignment="1">
      <alignment vertical="center" shrinkToFit="1"/>
    </xf>
    <xf numFmtId="0" fontId="8" fillId="12" borderId="5" xfId="0" applyFont="1" applyFill="1" applyBorder="1" applyAlignment="1">
      <alignment horizontal="center" vertical="center" shrinkToFit="1"/>
    </xf>
    <xf numFmtId="176" fontId="17" fillId="0" borderId="5" xfId="0" applyNumberFormat="1" applyFont="1" applyBorder="1" applyAlignment="1">
      <alignment vertical="center" shrinkToFit="1"/>
    </xf>
    <xf numFmtId="176" fontId="8" fillId="12" borderId="5" xfId="0" applyNumberFormat="1" applyFont="1" applyFill="1" applyBorder="1" applyAlignment="1">
      <alignment vertical="center" shrinkToFit="1"/>
    </xf>
    <xf numFmtId="177" fontId="8" fillId="12" borderId="5" xfId="1" applyNumberFormat="1" applyFont="1" applyFill="1" applyBorder="1" applyAlignment="1">
      <alignment vertical="center" shrinkToFit="1"/>
    </xf>
    <xf numFmtId="0" fontId="8" fillId="8" borderId="0" xfId="0" applyFont="1" applyFill="1" applyBorder="1" applyAlignment="1">
      <alignment vertical="center" shrinkToFit="1"/>
    </xf>
    <xf numFmtId="176" fontId="8" fillId="8" borderId="5" xfId="0" applyNumberFormat="1" applyFont="1" applyFill="1" applyBorder="1" applyAlignment="1">
      <alignment vertical="center" shrinkToFit="1"/>
    </xf>
    <xf numFmtId="177" fontId="8" fillId="8" borderId="5" xfId="0" applyNumberFormat="1" applyFont="1" applyFill="1" applyBorder="1" applyAlignment="1">
      <alignment vertical="center" shrinkToFit="1"/>
    </xf>
    <xf numFmtId="177" fontId="8" fillId="8" borderId="0" xfId="0" applyNumberFormat="1" applyFont="1" applyFill="1" applyBorder="1" applyAlignment="1">
      <alignment vertical="center" shrinkToFit="1"/>
    </xf>
    <xf numFmtId="176" fontId="8" fillId="8" borderId="5" xfId="7" applyNumberFormat="1" applyFont="1" applyFill="1" applyBorder="1" applyAlignment="1">
      <alignment vertical="center" shrinkToFit="1"/>
    </xf>
    <xf numFmtId="177" fontId="8" fillId="0" borderId="5" xfId="1" applyNumberFormat="1" applyFont="1" applyBorder="1" applyAlignment="1">
      <alignment vertical="center" shrinkToFit="1"/>
    </xf>
    <xf numFmtId="178" fontId="5" fillId="0" borderId="7" xfId="7" applyNumberFormat="1" applyFont="1" applyBorder="1" applyAlignment="1">
      <alignment vertical="center" shrinkToFit="1"/>
    </xf>
    <xf numFmtId="180" fontId="5" fillId="0" borderId="6" xfId="1" applyNumberFormat="1" applyFont="1" applyBorder="1" applyAlignment="1">
      <alignment horizontal="right" vertical="center" shrinkToFit="1"/>
    </xf>
    <xf numFmtId="177" fontId="5" fillId="0" borderId="0" xfId="1" applyNumberFormat="1" applyFont="1" applyBorder="1" applyAlignment="1">
      <alignment vertical="center" shrinkToFit="1"/>
    </xf>
    <xf numFmtId="178" fontId="5" fillId="0" borderId="6" xfId="7" applyNumberFormat="1" applyFont="1" applyBorder="1" applyAlignment="1">
      <alignment vertical="center" shrinkToFit="1"/>
    </xf>
    <xf numFmtId="178" fontId="5" fillId="0" borderId="45" xfId="7" applyNumberFormat="1" applyFont="1" applyBorder="1" applyAlignment="1">
      <alignment vertical="center" shrinkToFit="1"/>
    </xf>
    <xf numFmtId="180" fontId="5" fillId="0" borderId="45" xfId="1" applyNumberFormat="1" applyFont="1" applyBorder="1" applyAlignment="1">
      <alignment horizontal="right" vertical="center" shrinkToFit="1"/>
    </xf>
    <xf numFmtId="178" fontId="5" fillId="0" borderId="11" xfId="7" applyNumberFormat="1" applyFont="1" applyBorder="1" applyAlignment="1">
      <alignment vertical="center" shrinkToFit="1"/>
    </xf>
    <xf numFmtId="178" fontId="5" fillId="0" borderId="12" xfId="7" applyNumberFormat="1" applyFont="1" applyBorder="1" applyAlignment="1">
      <alignment vertical="center" shrinkToFit="1"/>
    </xf>
    <xf numFmtId="178" fontId="5" fillId="0" borderId="29" xfId="7" applyNumberFormat="1" applyFont="1" applyBorder="1" applyAlignment="1">
      <alignment vertical="center" shrinkToFit="1"/>
    </xf>
    <xf numFmtId="180" fontId="5" fillId="0" borderId="29" xfId="1" applyNumberFormat="1" applyFont="1" applyBorder="1" applyAlignment="1">
      <alignment horizontal="right" vertical="center" shrinkToFit="1"/>
    </xf>
    <xf numFmtId="176" fontId="8" fillId="0" borderId="5" xfId="7" applyNumberFormat="1" applyFont="1" applyBorder="1" applyAlignment="1">
      <alignment vertical="center" shrinkToFit="1"/>
    </xf>
    <xf numFmtId="177" fontId="8" fillId="0" borderId="5" xfId="1" applyNumberFormat="1" applyFont="1" applyBorder="1" applyAlignment="1">
      <alignment horizontal="right" vertical="center" shrinkToFit="1"/>
    </xf>
    <xf numFmtId="177" fontId="8" fillId="0" borderId="0" xfId="1" applyNumberFormat="1" applyFont="1" applyBorder="1" applyAlignment="1">
      <alignment vertical="center" shrinkToFit="1"/>
    </xf>
    <xf numFmtId="176" fontId="8" fillId="12" borderId="5" xfId="7" applyNumberFormat="1" applyFont="1" applyFill="1" applyBorder="1" applyAlignment="1">
      <alignment vertical="center" shrinkToFit="1"/>
    </xf>
    <xf numFmtId="177" fontId="8" fillId="8" borderId="0" xfId="1" applyNumberFormat="1" applyFont="1" applyFill="1" applyBorder="1" applyAlignment="1">
      <alignment vertical="center" shrinkToFit="1"/>
    </xf>
    <xf numFmtId="176" fontId="8" fillId="0" borderId="5" xfId="0" applyNumberFormat="1" applyFont="1" applyFill="1" applyBorder="1" applyAlignment="1">
      <alignment vertical="center" shrinkToFit="1"/>
    </xf>
    <xf numFmtId="177" fontId="8" fillId="0" borderId="5" xfId="1" applyNumberFormat="1" applyFont="1" applyFill="1" applyBorder="1" applyAlignment="1">
      <alignment vertical="center" shrinkToFit="1"/>
    </xf>
    <xf numFmtId="177" fontId="8" fillId="0" borderId="0" xfId="1" applyNumberFormat="1" applyFont="1" applyFill="1" applyBorder="1" applyAlignment="1">
      <alignment vertical="center" shrinkToFit="1"/>
    </xf>
    <xf numFmtId="176" fontId="8" fillId="0" borderId="5" xfId="7" applyNumberFormat="1" applyFont="1" applyFill="1" applyBorder="1" applyAlignment="1">
      <alignment vertical="center" shrinkToFit="1"/>
    </xf>
    <xf numFmtId="178" fontId="5" fillId="0" borderId="6" xfId="0" applyNumberFormat="1" applyFont="1" applyBorder="1" applyAlignment="1">
      <alignment vertical="center" shrinkToFit="1"/>
    </xf>
    <xf numFmtId="180" fontId="5" fillId="0" borderId="7" xfId="1" applyNumberFormat="1" applyFont="1" applyBorder="1" applyAlignment="1">
      <alignment horizontal="right" vertical="center" shrinkToFit="1"/>
    </xf>
    <xf numFmtId="176" fontId="8" fillId="0" borderId="5" xfId="0" applyNumberFormat="1" applyFont="1" applyBorder="1" applyAlignment="1">
      <alignment vertical="center" shrinkToFit="1"/>
    </xf>
    <xf numFmtId="0" fontId="5" fillId="0" borderId="0" xfId="0" applyFont="1" applyFill="1" applyAlignment="1">
      <alignment vertical="center" shrinkToFit="1"/>
    </xf>
    <xf numFmtId="0" fontId="8" fillId="12" borderId="43" xfId="0" applyFont="1" applyFill="1" applyBorder="1" applyAlignment="1">
      <alignment horizontal="center" vertical="center" shrinkToFit="1"/>
    </xf>
    <xf numFmtId="0" fontId="8" fillId="12" borderId="27" xfId="0" applyFont="1" applyFill="1" applyBorder="1" applyAlignment="1">
      <alignment horizontal="center" vertical="center" shrinkToFit="1"/>
    </xf>
    <xf numFmtId="176" fontId="5" fillId="0" borderId="43" xfId="0" applyNumberFormat="1" applyFont="1" applyBorder="1" applyAlignment="1">
      <alignment vertical="center" shrinkToFit="1"/>
    </xf>
    <xf numFmtId="177" fontId="5" fillId="0" borderId="27" xfId="1" applyNumberFormat="1" applyFont="1" applyFill="1" applyBorder="1" applyAlignment="1">
      <alignment horizontal="right" vertical="center" shrinkToFit="1"/>
    </xf>
    <xf numFmtId="176" fontId="5" fillId="0" borderId="43" xfId="0" applyNumberFormat="1" applyFont="1" applyFill="1" applyBorder="1" applyAlignment="1">
      <alignment vertical="center" shrinkToFit="1"/>
    </xf>
    <xf numFmtId="177" fontId="5" fillId="0" borderId="27" xfId="0" applyNumberFormat="1" applyFont="1" applyFill="1" applyBorder="1" applyAlignment="1">
      <alignment horizontal="right" vertical="center" shrinkToFit="1"/>
    </xf>
    <xf numFmtId="176" fontId="5" fillId="0" borderId="43" xfId="7" applyNumberFormat="1" applyFont="1" applyBorder="1" applyAlignment="1">
      <alignment vertical="center" shrinkToFit="1"/>
    </xf>
    <xf numFmtId="177" fontId="5" fillId="0" borderId="27" xfId="1" applyNumberFormat="1" applyFont="1" applyBorder="1" applyAlignment="1">
      <alignment horizontal="right" vertical="center" shrinkToFit="1"/>
    </xf>
    <xf numFmtId="177" fontId="5" fillId="0" borderId="41" xfId="1" applyNumberFormat="1" applyFont="1" applyBorder="1" applyAlignment="1">
      <alignment horizontal="right" vertical="center" shrinkToFit="1"/>
    </xf>
    <xf numFmtId="177" fontId="5" fillId="0" borderId="27" xfId="0" applyNumberFormat="1" applyFont="1" applyBorder="1" applyAlignment="1">
      <alignment horizontal="right" vertical="center" shrinkToFit="1"/>
    </xf>
    <xf numFmtId="177" fontId="5" fillId="0" borderId="41" xfId="1" applyNumberFormat="1" applyFont="1" applyFill="1" applyBorder="1" applyAlignment="1">
      <alignment horizontal="right" vertical="center" shrinkToFit="1"/>
    </xf>
    <xf numFmtId="176" fontId="8" fillId="13" borderId="43" xfId="0" applyNumberFormat="1" applyFont="1" applyFill="1" applyBorder="1" applyAlignment="1">
      <alignment vertical="center" shrinkToFit="1"/>
    </xf>
    <xf numFmtId="177" fontId="8" fillId="12" borderId="27" xfId="1" applyNumberFormat="1" applyFont="1" applyFill="1" applyBorder="1" applyAlignment="1">
      <alignment vertical="center" shrinkToFit="1"/>
    </xf>
    <xf numFmtId="177" fontId="8" fillId="13" borderId="27" xfId="0" applyNumberFormat="1" applyFont="1" applyFill="1" applyBorder="1" applyAlignment="1">
      <alignment vertical="center" shrinkToFit="1"/>
    </xf>
    <xf numFmtId="176" fontId="8" fillId="12" borderId="43" xfId="0" applyNumberFormat="1" applyFont="1" applyFill="1" applyBorder="1" applyAlignment="1">
      <alignment vertical="center" shrinkToFit="1"/>
    </xf>
    <xf numFmtId="177" fontId="8" fillId="12" borderId="27" xfId="0" applyNumberFormat="1" applyFont="1" applyFill="1" applyBorder="1" applyAlignment="1">
      <alignment vertical="center" shrinkToFit="1"/>
    </xf>
    <xf numFmtId="0" fontId="5" fillId="0" borderId="26" xfId="0" applyFont="1" applyBorder="1" applyAlignment="1">
      <alignment horizontal="left" vertical="center" shrinkToFit="1"/>
    </xf>
    <xf numFmtId="176" fontId="5" fillId="0" borderId="43" xfId="0" applyNumberFormat="1" applyFont="1" applyBorder="1" applyAlignment="1">
      <alignment horizontal="right" vertical="center" shrinkToFit="1"/>
    </xf>
    <xf numFmtId="177" fontId="5" fillId="0" borderId="41" xfId="0" applyNumberFormat="1" applyFont="1" applyBorder="1" applyAlignment="1">
      <alignment horizontal="right" vertical="center" shrinkToFit="1"/>
    </xf>
    <xf numFmtId="0" fontId="5" fillId="0" borderId="7" xfId="0" applyFont="1" applyBorder="1" applyAlignment="1">
      <alignment vertical="center" shrinkToFit="1"/>
    </xf>
    <xf numFmtId="0" fontId="8" fillId="0" borderId="0" xfId="0" applyFont="1" applyFill="1" applyAlignment="1">
      <alignment vertical="center" shrinkToFit="1"/>
    </xf>
    <xf numFmtId="177" fontId="5" fillId="8" borderId="0" xfId="1" applyNumberFormat="1" applyFont="1" applyFill="1" applyAlignment="1">
      <alignment vertical="center" shrinkToFit="1"/>
    </xf>
    <xf numFmtId="176" fontId="8" fillId="13" borderId="5" xfId="0" applyNumberFormat="1" applyFont="1" applyFill="1" applyBorder="1" applyAlignment="1">
      <alignment vertical="center" shrinkToFit="1"/>
    </xf>
    <xf numFmtId="177" fontId="8" fillId="8" borderId="0" xfId="1" applyNumberFormat="1" applyFont="1" applyFill="1" applyAlignment="1">
      <alignment vertical="center" shrinkToFit="1"/>
    </xf>
    <xf numFmtId="38" fontId="8" fillId="12" borderId="5" xfId="7" applyFont="1" applyFill="1" applyBorder="1" applyAlignment="1">
      <alignment vertical="center" shrinkToFit="1"/>
    </xf>
    <xf numFmtId="0" fontId="14" fillId="12" borderId="43" xfId="0" applyFont="1" applyFill="1" applyBorder="1" applyAlignment="1">
      <alignment horizontal="center" vertical="center" shrinkToFit="1"/>
    </xf>
    <xf numFmtId="0" fontId="14" fillId="12" borderId="47" xfId="0" applyFont="1" applyFill="1" applyBorder="1" applyAlignment="1">
      <alignment horizontal="center" vertical="center" shrinkToFit="1"/>
    </xf>
    <xf numFmtId="0" fontId="14" fillId="12" borderId="49" xfId="0" applyFont="1" applyFill="1" applyBorder="1" applyAlignment="1">
      <alignment horizontal="center" vertical="center" shrinkToFit="1"/>
    </xf>
    <xf numFmtId="0" fontId="14" fillId="12" borderId="27" xfId="0" applyFont="1" applyFill="1" applyBorder="1" applyAlignment="1">
      <alignment horizontal="center" vertical="center" shrinkToFit="1"/>
    </xf>
    <xf numFmtId="38" fontId="5" fillId="0" borderId="43" xfId="0" applyNumberFormat="1" applyFont="1" applyFill="1" applyBorder="1" applyAlignment="1">
      <alignment vertical="center" shrinkToFit="1"/>
    </xf>
    <xf numFmtId="38" fontId="5" fillId="0" borderId="49" xfId="7" applyFont="1" applyFill="1" applyBorder="1" applyAlignment="1">
      <alignment horizontal="right" vertical="center" shrinkToFit="1"/>
    </xf>
    <xf numFmtId="38" fontId="5" fillId="0" borderId="49" xfId="0" applyNumberFormat="1" applyFont="1" applyFill="1" applyBorder="1" applyAlignment="1">
      <alignment vertical="center" shrinkToFit="1"/>
    </xf>
    <xf numFmtId="38" fontId="8" fillId="12" borderId="43" xfId="0" applyNumberFormat="1" applyFont="1" applyFill="1" applyBorder="1" applyAlignment="1">
      <alignment vertical="center" shrinkToFit="1"/>
    </xf>
    <xf numFmtId="177" fontId="8" fillId="12" borderId="41" xfId="1" applyNumberFormat="1" applyFont="1" applyFill="1" applyBorder="1" applyAlignment="1">
      <alignment vertical="center" shrinkToFit="1"/>
    </xf>
    <xf numFmtId="0" fontId="14" fillId="12" borderId="26" xfId="0" applyFont="1" applyFill="1" applyBorder="1" applyAlignment="1">
      <alignment horizontal="center" vertical="center" shrinkToFit="1"/>
    </xf>
    <xf numFmtId="0" fontId="14" fillId="12" borderId="48" xfId="0" applyFont="1" applyFill="1" applyBorder="1" applyAlignment="1">
      <alignment horizontal="center" vertical="center" shrinkToFit="1"/>
    </xf>
    <xf numFmtId="177" fontId="5" fillId="0" borderId="48" xfId="1" applyNumberFormat="1" applyFont="1" applyFill="1" applyBorder="1" applyAlignment="1">
      <alignment horizontal="right" vertical="center" shrinkToFit="1"/>
    </xf>
    <xf numFmtId="38" fontId="5" fillId="0" borderId="43" xfId="0" applyNumberFormat="1" applyFont="1" applyBorder="1" applyAlignment="1">
      <alignment vertical="center" shrinkToFit="1"/>
    </xf>
    <xf numFmtId="177" fontId="8" fillId="12" borderId="47" xfId="1" applyNumberFormat="1" applyFont="1" applyFill="1" applyBorder="1" applyAlignment="1">
      <alignment vertical="center" shrinkToFit="1"/>
    </xf>
    <xf numFmtId="38" fontId="5" fillId="0" borderId="49" xfId="0" applyNumberFormat="1" applyFont="1" applyBorder="1" applyAlignment="1">
      <alignment vertical="center" shrinkToFit="1"/>
    </xf>
    <xf numFmtId="177" fontId="5" fillId="0" borderId="47" xfId="1" applyNumberFormat="1" applyFont="1" applyBorder="1" applyAlignment="1">
      <alignment horizontal="right" vertical="center" shrinkToFit="1"/>
    </xf>
    <xf numFmtId="38" fontId="5" fillId="0" borderId="28" xfId="0" applyNumberFormat="1" applyFont="1" applyBorder="1" applyAlignment="1">
      <alignment vertical="center" shrinkToFit="1"/>
    </xf>
    <xf numFmtId="177" fontId="5" fillId="0" borderId="48" xfId="1" applyNumberFormat="1" applyFont="1" applyBorder="1" applyAlignment="1">
      <alignment horizontal="right" vertical="center" shrinkToFit="1"/>
    </xf>
    <xf numFmtId="0" fontId="13" fillId="0" borderId="5" xfId="0" applyFont="1" applyFill="1" applyBorder="1" applyAlignment="1">
      <alignment horizontal="left" vertical="center" shrinkToFit="1"/>
    </xf>
    <xf numFmtId="0" fontId="13" fillId="0" borderId="5" xfId="0" applyFont="1" applyBorder="1" applyAlignment="1">
      <alignment horizontal="left" vertical="center" shrinkToFit="1"/>
    </xf>
    <xf numFmtId="0" fontId="5" fillId="0" borderId="101" xfId="0" applyFont="1" applyFill="1" applyBorder="1" applyAlignment="1">
      <alignment vertical="center" shrinkToFit="1"/>
    </xf>
    <xf numFmtId="0" fontId="8" fillId="18" borderId="5" xfId="0" applyFont="1" applyFill="1" applyBorder="1" applyAlignment="1">
      <alignment horizontal="center" vertical="center" shrinkToFit="1"/>
    </xf>
    <xf numFmtId="176" fontId="5" fillId="0" borderId="10" xfId="0" applyNumberFormat="1" applyFont="1" applyBorder="1" applyAlignment="1">
      <alignment horizontal="right" vertical="center" shrinkToFit="1"/>
    </xf>
    <xf numFmtId="177" fontId="5" fillId="0" borderId="29" xfId="0" applyNumberFormat="1" applyFont="1" applyBorder="1" applyAlignment="1">
      <alignment horizontal="right" vertical="center" shrinkToFit="1"/>
    </xf>
    <xf numFmtId="176" fontId="5" fillId="0" borderId="10" xfId="0" applyNumberFormat="1" applyFont="1" applyBorder="1" applyAlignment="1">
      <alignment vertical="center" shrinkToFit="1"/>
    </xf>
    <xf numFmtId="177" fontId="5" fillId="0" borderId="29" xfId="0" applyNumberFormat="1" applyFont="1" applyBorder="1" applyAlignment="1">
      <alignment vertical="center" shrinkToFit="1"/>
    </xf>
    <xf numFmtId="0" fontId="8" fillId="23" borderId="5" xfId="0" applyFont="1" applyFill="1" applyBorder="1" applyAlignment="1">
      <alignment horizontal="center" vertical="center"/>
    </xf>
    <xf numFmtId="0" fontId="8" fillId="23" borderId="5" xfId="0" applyFont="1" applyFill="1" applyBorder="1" applyAlignment="1">
      <alignment horizontal="center" vertical="center" wrapText="1"/>
    </xf>
    <xf numFmtId="0" fontId="8" fillId="23" borderId="6" xfId="0" applyFont="1" applyFill="1" applyBorder="1" applyAlignment="1">
      <alignment horizontal="left" vertical="center" indent="1"/>
    </xf>
    <xf numFmtId="0" fontId="8" fillId="23" borderId="29" xfId="0" applyFont="1" applyFill="1" applyBorder="1" applyAlignment="1">
      <alignment horizontal="left" vertical="center" indent="1"/>
    </xf>
    <xf numFmtId="176" fontId="8" fillId="23" borderId="10" xfId="0" applyNumberFormat="1" applyFont="1" applyFill="1" applyBorder="1" applyAlignment="1">
      <alignment horizontal="right" vertical="center" shrinkToFit="1"/>
    </xf>
    <xf numFmtId="176" fontId="8" fillId="24" borderId="10" xfId="0" applyNumberFormat="1" applyFont="1" applyFill="1" applyBorder="1" applyAlignment="1">
      <alignment vertical="center" shrinkToFit="1"/>
    </xf>
    <xf numFmtId="177" fontId="8" fillId="23" borderId="29" xfId="0" applyNumberFormat="1" applyFont="1" applyFill="1" applyBorder="1" applyAlignment="1">
      <alignment horizontal="right" vertical="center" shrinkToFit="1"/>
    </xf>
    <xf numFmtId="0" fontId="15" fillId="25" borderId="5" xfId="0" applyFont="1" applyFill="1" applyBorder="1" applyAlignment="1">
      <alignment horizontal="center" vertical="center"/>
    </xf>
    <xf numFmtId="0" fontId="15" fillId="25" borderId="5" xfId="0" applyFont="1" applyFill="1" applyBorder="1" applyAlignment="1">
      <alignment horizontal="center" vertical="center" wrapText="1"/>
    </xf>
    <xf numFmtId="0" fontId="15" fillId="26" borderId="5" xfId="0" applyFont="1" applyFill="1" applyBorder="1" applyAlignment="1">
      <alignment horizontal="center" vertical="center"/>
    </xf>
    <xf numFmtId="0" fontId="15" fillId="26" borderId="5" xfId="0" applyFont="1" applyFill="1" applyBorder="1" applyAlignment="1">
      <alignment horizontal="center" vertical="center" wrapText="1"/>
    </xf>
    <xf numFmtId="0" fontId="8" fillId="23" borderId="5" xfId="0" applyFont="1" applyFill="1" applyBorder="1" applyAlignment="1">
      <alignment horizontal="center" vertical="center" shrinkToFit="1"/>
    </xf>
    <xf numFmtId="177" fontId="5" fillId="0" borderId="7" xfId="0" applyNumberFormat="1" applyFont="1" applyBorder="1" applyAlignment="1">
      <alignment horizontal="right" vertical="center" shrinkToFit="1"/>
    </xf>
    <xf numFmtId="176" fontId="16" fillId="0" borderId="10" xfId="0" applyNumberFormat="1" applyFont="1" applyBorder="1" applyAlignment="1">
      <alignment horizontal="right" vertical="center" shrinkToFit="1"/>
    </xf>
    <xf numFmtId="176" fontId="16" fillId="0" borderId="10" xfId="0" applyNumberFormat="1" applyFont="1" applyBorder="1" applyAlignment="1">
      <alignment vertical="center" shrinkToFit="1"/>
    </xf>
    <xf numFmtId="177" fontId="16" fillId="0" borderId="12" xfId="0" applyNumberFormat="1" applyFont="1" applyBorder="1" applyAlignment="1">
      <alignment horizontal="right" vertical="center" shrinkToFit="1"/>
    </xf>
    <xf numFmtId="176" fontId="15" fillId="25" borderId="10" xfId="0" applyNumberFormat="1" applyFont="1" applyFill="1" applyBorder="1" applyAlignment="1">
      <alignment horizontal="right" vertical="center" shrinkToFit="1"/>
    </xf>
    <xf numFmtId="177" fontId="15" fillId="25" borderId="12" xfId="0" applyNumberFormat="1" applyFont="1" applyFill="1" applyBorder="1" applyAlignment="1">
      <alignment horizontal="right" vertical="center" shrinkToFit="1"/>
    </xf>
    <xf numFmtId="176" fontId="15" fillId="26" borderId="10" xfId="0" applyNumberFormat="1" applyFont="1" applyFill="1" applyBorder="1" applyAlignment="1">
      <alignment horizontal="right" vertical="center" shrinkToFit="1"/>
    </xf>
    <xf numFmtId="177" fontId="15" fillId="26" borderId="12" xfId="0" applyNumberFormat="1" applyFont="1" applyFill="1" applyBorder="1" applyAlignment="1">
      <alignment horizontal="right" vertical="center" shrinkToFit="1"/>
    </xf>
    <xf numFmtId="176" fontId="8" fillId="0" borderId="56" xfId="0" applyNumberFormat="1" applyFont="1" applyBorder="1" applyAlignment="1">
      <alignment vertical="center" shrinkToFit="1"/>
    </xf>
    <xf numFmtId="176" fontId="5" fillId="0" borderId="50" xfId="0" applyNumberFormat="1" applyFont="1" applyBorder="1" applyAlignment="1">
      <alignment vertical="center" shrinkToFit="1"/>
    </xf>
    <xf numFmtId="176" fontId="5" fillId="0" borderId="53" xfId="0" applyNumberFormat="1" applyFont="1" applyBorder="1" applyAlignment="1">
      <alignment vertical="center" shrinkToFit="1"/>
    </xf>
    <xf numFmtId="182" fontId="8" fillId="4" borderId="21" xfId="0" applyNumberFormat="1" applyFont="1" applyFill="1" applyBorder="1" applyAlignment="1">
      <alignment horizontal="right" vertical="center" shrinkToFit="1"/>
    </xf>
    <xf numFmtId="177" fontId="8" fillId="4" borderId="27" xfId="0" applyNumberFormat="1" applyFont="1" applyFill="1" applyBorder="1" applyAlignment="1">
      <alignment horizontal="right" vertical="center" shrinkToFit="1"/>
    </xf>
    <xf numFmtId="176" fontId="5" fillId="0" borderId="56" xfId="0" applyNumberFormat="1" applyFont="1" applyBorder="1" applyAlignment="1">
      <alignment vertical="center" shrinkToFit="1"/>
    </xf>
    <xf numFmtId="176" fontId="5" fillId="0" borderId="52" xfId="0" applyNumberFormat="1" applyFont="1" applyBorder="1" applyAlignment="1">
      <alignment vertical="center" shrinkToFit="1"/>
    </xf>
    <xf numFmtId="176" fontId="5" fillId="0" borderId="58" xfId="0" applyNumberFormat="1" applyFont="1" applyBorder="1" applyAlignment="1">
      <alignment vertical="center" shrinkToFit="1"/>
    </xf>
    <xf numFmtId="176" fontId="5" fillId="0" borderId="103" xfId="0" applyNumberFormat="1" applyFont="1" applyBorder="1" applyAlignment="1">
      <alignment vertical="center" shrinkToFit="1"/>
    </xf>
    <xf numFmtId="176" fontId="5" fillId="0" borderId="59" xfId="0" applyNumberFormat="1" applyFont="1" applyBorder="1" applyAlignment="1">
      <alignment vertical="center" shrinkToFit="1"/>
    </xf>
    <xf numFmtId="177" fontId="5" fillId="0" borderId="63" xfId="0" applyNumberFormat="1" applyFont="1" applyBorder="1" applyAlignment="1">
      <alignment horizontal="right" vertical="center" shrinkToFit="1"/>
    </xf>
    <xf numFmtId="176" fontId="5" fillId="0" borderId="54" xfId="0" applyNumberFormat="1" applyFont="1" applyBorder="1" applyAlignment="1">
      <alignment vertical="center" shrinkToFit="1"/>
    </xf>
    <xf numFmtId="176" fontId="5" fillId="0" borderId="51" xfId="0" applyNumberFormat="1" applyFont="1" applyBorder="1" applyAlignment="1">
      <alignment vertical="center" shrinkToFit="1"/>
    </xf>
    <xf numFmtId="176" fontId="5" fillId="0" borderId="39" xfId="0" applyNumberFormat="1" applyFont="1" applyBorder="1" applyAlignment="1">
      <alignment vertical="center" shrinkToFit="1"/>
    </xf>
    <xf numFmtId="177" fontId="5" fillId="0" borderId="29" xfId="1" applyNumberFormat="1" applyFont="1" applyBorder="1" applyAlignment="1">
      <alignment vertical="center" shrinkToFit="1"/>
    </xf>
    <xf numFmtId="177" fontId="5" fillId="0" borderId="12" xfId="0" applyNumberFormat="1" applyFont="1" applyBorder="1" applyAlignment="1">
      <alignment horizontal="right" vertical="center" shrinkToFit="1"/>
    </xf>
    <xf numFmtId="176" fontId="5" fillId="0" borderId="104" xfId="0" applyNumberFormat="1" applyFont="1" applyBorder="1" applyAlignment="1">
      <alignment horizontal="right" vertical="center" shrinkToFit="1"/>
    </xf>
    <xf numFmtId="176" fontId="5" fillId="0" borderId="105" xfId="0" applyNumberFormat="1" applyFont="1" applyBorder="1" applyAlignment="1">
      <alignment horizontal="right" vertical="center" shrinkToFit="1"/>
    </xf>
    <xf numFmtId="178" fontId="5" fillId="0" borderId="105" xfId="0" applyNumberFormat="1" applyFont="1" applyBorder="1" applyAlignment="1">
      <alignment vertical="center" shrinkToFit="1"/>
    </xf>
    <xf numFmtId="178" fontId="5" fillId="0" borderId="11" xfId="0" applyNumberFormat="1" applyFont="1" applyBorder="1" applyAlignment="1">
      <alignment vertical="center" shrinkToFit="1"/>
    </xf>
    <xf numFmtId="0" fontId="5" fillId="0" borderId="71" xfId="0" applyFont="1" applyBorder="1" applyAlignment="1">
      <alignment horizontal="left" vertical="center" indent="1" shrinkToFit="1"/>
    </xf>
    <xf numFmtId="0" fontId="16" fillId="0" borderId="74" xfId="0" applyFont="1" applyBorder="1" applyAlignment="1">
      <alignment horizontal="left" vertical="center" indent="1" shrinkToFit="1"/>
    </xf>
    <xf numFmtId="186" fontId="8" fillId="21" borderId="120" xfId="0" applyNumberFormat="1" applyFont="1" applyFill="1" applyBorder="1" applyAlignment="1">
      <alignment vertical="center"/>
    </xf>
    <xf numFmtId="186" fontId="8" fillId="21" borderId="120" xfId="1" applyNumberFormat="1" applyFont="1" applyFill="1" applyBorder="1" applyAlignment="1">
      <alignment horizontal="right" vertical="center"/>
    </xf>
    <xf numFmtId="186" fontId="8" fillId="20" borderId="7" xfId="0" applyNumberFormat="1" applyFont="1" applyFill="1" applyBorder="1" applyAlignment="1">
      <alignment vertical="center" shrinkToFit="1"/>
    </xf>
    <xf numFmtId="186" fontId="8" fillId="21" borderId="7" xfId="0" applyNumberFormat="1" applyFont="1" applyFill="1" applyBorder="1" applyAlignment="1">
      <alignment vertical="center" shrinkToFit="1"/>
    </xf>
    <xf numFmtId="186" fontId="8" fillId="2" borderId="124" xfId="0" applyNumberFormat="1" applyFont="1" applyFill="1" applyBorder="1" applyAlignment="1">
      <alignment horizontal="right" vertical="center" shrinkToFit="1"/>
    </xf>
    <xf numFmtId="186" fontId="8" fillId="22" borderId="124" xfId="0" applyNumberFormat="1" applyFont="1" applyFill="1" applyBorder="1" applyAlignment="1">
      <alignment horizontal="right" vertical="center" shrinkToFit="1"/>
    </xf>
    <xf numFmtId="0" fontId="17" fillId="6" borderId="31" xfId="0" applyFont="1" applyFill="1" applyBorder="1" applyAlignment="1">
      <alignment horizontal="left" vertical="center"/>
    </xf>
    <xf numFmtId="0" fontId="11" fillId="3" borderId="0" xfId="0" applyFont="1" applyFill="1" applyBorder="1" applyAlignment="1" applyProtection="1">
      <alignment horizontal="left" vertical="center"/>
      <protection locked="0"/>
    </xf>
    <xf numFmtId="176" fontId="17" fillId="0" borderId="84" xfId="0" applyNumberFormat="1" applyFont="1" applyBorder="1" applyProtection="1">
      <alignment vertical="center"/>
      <protection locked="0"/>
    </xf>
    <xf numFmtId="0" fontId="25" fillId="0" borderId="5" xfId="0" applyFont="1" applyBorder="1">
      <alignment vertical="center"/>
    </xf>
    <xf numFmtId="0" fontId="13" fillId="0" borderId="0" xfId="0" applyFont="1" applyBorder="1" applyAlignment="1"/>
    <xf numFmtId="0" fontId="13" fillId="0" borderId="0" xfId="0" applyFont="1" applyBorder="1" applyAlignment="1">
      <alignment shrinkToFit="1"/>
    </xf>
    <xf numFmtId="0" fontId="8" fillId="10" borderId="0" xfId="0" applyFont="1" applyFill="1" applyBorder="1" applyAlignment="1">
      <alignment horizontal="center" vertical="center" shrinkToFit="1"/>
    </xf>
    <xf numFmtId="177" fontId="5" fillId="0" borderId="0" xfId="0" applyNumberFormat="1" applyFont="1" applyBorder="1" applyAlignment="1">
      <alignment horizontal="right" vertical="center" shrinkToFit="1"/>
    </xf>
    <xf numFmtId="177" fontId="5" fillId="11" borderId="0" xfId="0" applyNumberFormat="1" applyFont="1" applyFill="1" applyBorder="1" applyAlignment="1">
      <alignment horizontal="right" vertical="center" shrinkToFit="1"/>
    </xf>
    <xf numFmtId="0" fontId="8" fillId="12" borderId="0" xfId="0" applyFont="1" applyFill="1" applyBorder="1" applyAlignment="1">
      <alignment horizontal="center" vertical="center" shrinkToFit="1"/>
    </xf>
    <xf numFmtId="177" fontId="5" fillId="0" borderId="0" xfId="1" applyNumberFormat="1" applyFont="1" applyBorder="1" applyAlignment="1">
      <alignment horizontal="right" vertical="center" shrinkToFit="1"/>
    </xf>
    <xf numFmtId="177" fontId="8" fillId="12" borderId="0" xfId="1" applyNumberFormat="1" applyFont="1" applyFill="1" applyBorder="1" applyAlignment="1">
      <alignment vertical="center" shrinkToFit="1"/>
    </xf>
    <xf numFmtId="0" fontId="5" fillId="0" borderId="69" xfId="0" applyFont="1" applyBorder="1" applyAlignment="1">
      <alignment horizontal="left" vertical="center"/>
    </xf>
    <xf numFmtId="0" fontId="5" fillId="0" borderId="2" xfId="0" applyFont="1" applyBorder="1" applyAlignment="1">
      <alignment horizontal="left" vertical="center"/>
    </xf>
    <xf numFmtId="0" fontId="5" fillId="0" borderId="26" xfId="0" applyFont="1" applyBorder="1" applyAlignment="1">
      <alignment horizontal="left" vertical="center" wrapText="1"/>
    </xf>
    <xf numFmtId="0" fontId="0" fillId="0" borderId="28" xfId="0" applyBorder="1" applyAlignment="1">
      <alignment horizontal="left" vertical="center" wrapText="1"/>
    </xf>
    <xf numFmtId="0" fontId="16" fillId="0" borderId="26" xfId="0" applyFont="1" applyBorder="1" applyAlignment="1">
      <alignment horizontal="left" vertical="center" wrapText="1"/>
    </xf>
    <xf numFmtId="0" fontId="46" fillId="0" borderId="28" xfId="0" applyFont="1" applyBorder="1" applyAlignment="1">
      <alignment horizontal="left" vertical="center" wrapText="1"/>
    </xf>
    <xf numFmtId="0" fontId="12" fillId="0" borderId="69" xfId="0" applyFont="1" applyBorder="1" applyAlignment="1">
      <alignment horizontal="left" vertical="center" shrinkToFit="1"/>
    </xf>
    <xf numFmtId="0" fontId="12" fillId="0" borderId="2" xfId="0" applyFont="1" applyBorder="1" applyAlignment="1">
      <alignment horizontal="left" vertical="center" shrinkToFit="1"/>
    </xf>
    <xf numFmtId="0" fontId="16" fillId="0" borderId="69" xfId="0" applyFont="1" applyBorder="1" applyAlignment="1">
      <alignment horizontal="left" vertical="center" wrapText="1"/>
    </xf>
    <xf numFmtId="0" fontId="46" fillId="0" borderId="2" xfId="0" applyFont="1" applyBorder="1" applyAlignment="1">
      <alignment horizontal="left" vertical="center" wrapText="1"/>
    </xf>
    <xf numFmtId="0" fontId="5" fillId="0" borderId="69" xfId="0" applyFont="1" applyBorder="1" applyAlignment="1">
      <alignment horizontal="left" vertical="center" wrapText="1"/>
    </xf>
    <xf numFmtId="0" fontId="0" fillId="0" borderId="2" xfId="0" applyBorder="1" applyAlignment="1">
      <alignment horizontal="left" vertical="center" wrapText="1"/>
    </xf>
    <xf numFmtId="0" fontId="5" fillId="0" borderId="8" xfId="0" applyFont="1" applyBorder="1" applyAlignment="1">
      <alignment horizontal="left" vertical="center" wrapText="1"/>
    </xf>
    <xf numFmtId="0" fontId="5" fillId="0" borderId="64" xfId="0" applyFont="1" applyBorder="1" applyAlignment="1">
      <alignment horizontal="left" vertical="center" wrapText="1"/>
    </xf>
    <xf numFmtId="0" fontId="0" fillId="0" borderId="1" xfId="0" applyBorder="1" applyAlignment="1">
      <alignment horizontal="left" vertical="center" wrapText="1"/>
    </xf>
    <xf numFmtId="0" fontId="5" fillId="0" borderId="26" xfId="0" applyFont="1" applyBorder="1" applyAlignment="1">
      <alignment horizontal="left" vertical="center"/>
    </xf>
    <xf numFmtId="0" fontId="5" fillId="0" borderId="28" xfId="0" applyFont="1" applyBorder="1" applyAlignment="1">
      <alignment horizontal="left" vertical="center"/>
    </xf>
    <xf numFmtId="183" fontId="5" fillId="0" borderId="3" xfId="0" applyNumberFormat="1" applyFont="1" applyBorder="1" applyAlignment="1">
      <alignment horizontal="right" vertical="center"/>
    </xf>
    <xf numFmtId="184" fontId="5" fillId="0" borderId="3" xfId="0" applyNumberFormat="1" applyFont="1" applyBorder="1" applyAlignment="1">
      <alignment horizontal="right" vertical="center"/>
    </xf>
    <xf numFmtId="0" fontId="12" fillId="0" borderId="26" xfId="0" applyFont="1" applyBorder="1" applyAlignment="1">
      <alignment horizontal="left" vertical="center" shrinkToFit="1"/>
    </xf>
    <xf numFmtId="0" fontId="12" fillId="0" borderId="28" xfId="0" applyFont="1" applyBorder="1" applyAlignment="1">
      <alignment horizontal="left" vertical="center" shrinkToFit="1"/>
    </xf>
    <xf numFmtId="0" fontId="13" fillId="0" borderId="26" xfId="0" applyFont="1" applyBorder="1" applyAlignment="1">
      <alignment horizontal="left" vertical="center" wrapText="1"/>
    </xf>
    <xf numFmtId="0" fontId="41" fillId="0" borderId="28" xfId="0" applyFont="1" applyBorder="1" applyAlignment="1">
      <alignment horizontal="left" vertical="center" wrapText="1"/>
    </xf>
    <xf numFmtId="0" fontId="13" fillId="0" borderId="69" xfId="0" applyFont="1" applyBorder="1" applyAlignment="1">
      <alignment horizontal="left" vertical="center" wrapText="1"/>
    </xf>
    <xf numFmtId="0" fontId="41" fillId="0" borderId="2" xfId="0" applyFont="1" applyBorder="1" applyAlignment="1">
      <alignment horizontal="left" vertical="center" wrapText="1"/>
    </xf>
    <xf numFmtId="0" fontId="6" fillId="0" borderId="0" xfId="0" applyFont="1" applyAlignment="1">
      <alignment horizontal="center" vertical="center"/>
    </xf>
    <xf numFmtId="0" fontId="13" fillId="0" borderId="3" xfId="0" applyFont="1" applyBorder="1" applyAlignment="1"/>
    <xf numFmtId="0" fontId="13" fillId="0" borderId="27" xfId="0" applyFont="1" applyBorder="1" applyAlignment="1">
      <alignment horizontal="left" vertical="center" wrapText="1"/>
    </xf>
    <xf numFmtId="0" fontId="13" fillId="0" borderId="26" xfId="0" applyFont="1" applyBorder="1" applyAlignment="1">
      <alignment horizontal="left" vertical="center"/>
    </xf>
    <xf numFmtId="0" fontId="13" fillId="0" borderId="27" xfId="0" applyFont="1" applyBorder="1" applyAlignment="1">
      <alignment horizontal="left" vertical="center"/>
    </xf>
    <xf numFmtId="0" fontId="8" fillId="12" borderId="5" xfId="0" applyFont="1" applyFill="1" applyBorder="1" applyAlignment="1">
      <alignment horizontal="left" vertical="center" wrapText="1"/>
    </xf>
    <xf numFmtId="0" fontId="8" fillId="12" borderId="5" xfId="0" applyFont="1" applyFill="1" applyBorder="1" applyAlignment="1">
      <alignment horizontal="left" vertical="center"/>
    </xf>
    <xf numFmtId="0" fontId="13" fillId="0" borderId="8" xfId="0" applyFont="1" applyFill="1" applyBorder="1" applyAlignment="1">
      <alignment horizontal="left" vertical="center"/>
    </xf>
    <xf numFmtId="0" fontId="13" fillId="0" borderId="9" xfId="0" applyFont="1" applyFill="1" applyBorder="1" applyAlignment="1">
      <alignment horizontal="left" vertical="center"/>
    </xf>
    <xf numFmtId="0" fontId="12" fillId="0" borderId="26" xfId="0" applyFont="1" applyBorder="1" applyAlignment="1">
      <alignment horizontal="left" vertical="center" wrapText="1"/>
    </xf>
    <xf numFmtId="0" fontId="12" fillId="0" borderId="27" xfId="0" applyFont="1" applyBorder="1" applyAlignment="1">
      <alignment horizontal="left" vertical="center" wrapText="1"/>
    </xf>
    <xf numFmtId="0" fontId="8" fillId="12" borderId="26" xfId="0" applyFont="1" applyFill="1" applyBorder="1" applyAlignment="1">
      <alignment horizontal="center" vertical="center" shrinkToFit="1"/>
    </xf>
    <xf numFmtId="0" fontId="8" fillId="12" borderId="28" xfId="0" applyFont="1" applyFill="1" applyBorder="1" applyAlignment="1">
      <alignment horizontal="center" vertical="center" shrinkToFit="1"/>
    </xf>
    <xf numFmtId="0" fontId="8" fillId="12" borderId="27" xfId="0" applyFont="1" applyFill="1" applyBorder="1" applyAlignment="1">
      <alignment horizontal="center" vertical="center" shrinkToFit="1"/>
    </xf>
    <xf numFmtId="0" fontId="15" fillId="12" borderId="28" xfId="0" applyFont="1" applyFill="1" applyBorder="1" applyAlignment="1">
      <alignment horizontal="center" vertical="center" shrinkToFit="1"/>
    </xf>
    <xf numFmtId="0" fontId="15" fillId="12" borderId="27" xfId="0" applyFont="1" applyFill="1" applyBorder="1" applyAlignment="1">
      <alignment horizontal="center" vertical="center" shrinkToFit="1"/>
    </xf>
    <xf numFmtId="0" fontId="5" fillId="12" borderId="5" xfId="0" applyFont="1" applyFill="1" applyBorder="1" applyAlignment="1">
      <alignment horizontal="center" vertical="center" shrinkToFit="1"/>
    </xf>
    <xf numFmtId="0" fontId="8" fillId="12" borderId="8" xfId="0" applyFont="1" applyFill="1" applyBorder="1" applyAlignment="1">
      <alignment horizontal="center" vertical="center" shrinkToFit="1"/>
    </xf>
    <xf numFmtId="0" fontId="8" fillId="12" borderId="9" xfId="0" applyFont="1" applyFill="1" applyBorder="1" applyAlignment="1">
      <alignment horizontal="center" vertical="center" shrinkToFit="1"/>
    </xf>
    <xf numFmtId="0" fontId="8" fillId="12" borderId="44" xfId="0" applyFont="1" applyFill="1" applyBorder="1" applyAlignment="1">
      <alignment horizontal="center" vertical="center" shrinkToFit="1"/>
    </xf>
    <xf numFmtId="0" fontId="8" fillId="12" borderId="46" xfId="0" applyFont="1" applyFill="1" applyBorder="1" applyAlignment="1">
      <alignment horizontal="center" vertical="center" shrinkToFit="1"/>
    </xf>
    <xf numFmtId="0" fontId="13" fillId="0" borderId="0" xfId="0" applyFont="1" applyBorder="1" applyAlignment="1"/>
    <xf numFmtId="0" fontId="13" fillId="0" borderId="0" xfId="0" applyFont="1" applyBorder="1" applyAlignment="1">
      <alignment shrinkToFit="1"/>
    </xf>
    <xf numFmtId="0" fontId="16" fillId="0" borderId="0" xfId="0" applyNumberFormat="1" applyFont="1" applyBorder="1" applyAlignment="1">
      <alignment horizontal="right" vertical="center"/>
    </xf>
    <xf numFmtId="0" fontId="16" fillId="0" borderId="24" xfId="0" applyFont="1" applyBorder="1" applyAlignment="1">
      <alignment horizontal="right" vertical="center"/>
    </xf>
    <xf numFmtId="0" fontId="16" fillId="0" borderId="80" xfId="0" applyFont="1" applyBorder="1" applyAlignment="1">
      <alignment horizontal="right" vertical="center"/>
    </xf>
    <xf numFmtId="0" fontId="16" fillId="0" borderId="81" xfId="0" applyFont="1" applyBorder="1" applyAlignment="1">
      <alignment horizontal="right" vertical="center"/>
    </xf>
    <xf numFmtId="176" fontId="5" fillId="4" borderId="26" xfId="0" applyNumberFormat="1" applyFont="1" applyFill="1" applyBorder="1" applyAlignment="1">
      <alignment horizontal="center" vertical="center" shrinkToFit="1"/>
    </xf>
    <xf numFmtId="176" fontId="5" fillId="4" borderId="28" xfId="0" applyNumberFormat="1" applyFont="1" applyFill="1" applyBorder="1" applyAlignment="1">
      <alignment horizontal="center" vertical="center" shrinkToFit="1"/>
    </xf>
    <xf numFmtId="176" fontId="5" fillId="4" borderId="27" xfId="0" applyNumberFormat="1" applyFont="1" applyFill="1" applyBorder="1" applyAlignment="1">
      <alignment horizontal="center" vertical="center" shrinkToFit="1"/>
    </xf>
    <xf numFmtId="176" fontId="8" fillId="4" borderId="26" xfId="0" applyNumberFormat="1" applyFont="1" applyFill="1" applyBorder="1" applyAlignment="1">
      <alignment horizontal="center" vertical="center" shrinkToFit="1"/>
    </xf>
    <xf numFmtId="176" fontId="8" fillId="4" borderId="28" xfId="0" applyNumberFormat="1" applyFont="1" applyFill="1" applyBorder="1" applyAlignment="1">
      <alignment horizontal="center" vertical="center" shrinkToFit="1"/>
    </xf>
    <xf numFmtId="176" fontId="8" fillId="4" borderId="27" xfId="0" applyNumberFormat="1" applyFont="1" applyFill="1" applyBorder="1" applyAlignment="1">
      <alignment horizontal="center" vertical="center" shrinkToFit="1"/>
    </xf>
    <xf numFmtId="20" fontId="15" fillId="4" borderId="6" xfId="0" applyNumberFormat="1" applyFont="1" applyFill="1" applyBorder="1" applyAlignment="1">
      <alignment horizontal="center" vertical="center"/>
    </xf>
    <xf numFmtId="20" fontId="15" fillId="4" borderId="7" xfId="0" applyNumberFormat="1" applyFont="1" applyFill="1" applyBorder="1" applyAlignment="1">
      <alignment horizontal="center" vertical="center"/>
    </xf>
    <xf numFmtId="0" fontId="15" fillId="4" borderId="8" xfId="0" applyFont="1" applyFill="1" applyBorder="1" applyAlignment="1">
      <alignment horizontal="center" vertical="center" shrinkToFit="1"/>
    </xf>
    <xf numFmtId="0" fontId="15" fillId="4" borderId="4" xfId="0" applyFont="1" applyFill="1" applyBorder="1" applyAlignment="1">
      <alignment horizontal="center" vertical="center" shrinkToFit="1"/>
    </xf>
    <xf numFmtId="0" fontId="15" fillId="4" borderId="9" xfId="0" applyFont="1" applyFill="1" applyBorder="1" applyAlignment="1">
      <alignment horizontal="center" vertical="center" shrinkToFit="1"/>
    </xf>
    <xf numFmtId="0" fontId="15" fillId="4" borderId="21" xfId="0" applyFont="1" applyFill="1" applyBorder="1" applyAlignment="1">
      <alignment horizontal="center" vertical="center" shrinkToFit="1"/>
    </xf>
    <xf numFmtId="0" fontId="15" fillId="4" borderId="22" xfId="0" applyFont="1" applyFill="1" applyBorder="1" applyAlignment="1">
      <alignment horizontal="center" vertical="center" shrinkToFit="1"/>
    </xf>
    <xf numFmtId="0" fontId="15" fillId="4" borderId="8"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9" xfId="0" applyFont="1" applyFill="1" applyBorder="1" applyAlignment="1">
      <alignment horizontal="center" vertical="center"/>
    </xf>
    <xf numFmtId="0" fontId="15" fillId="4" borderId="21" xfId="0" applyFont="1" applyFill="1" applyBorder="1" applyAlignment="1">
      <alignment horizontal="center" vertical="center"/>
    </xf>
    <xf numFmtId="0" fontId="15" fillId="4" borderId="22" xfId="0" applyFont="1" applyFill="1" applyBorder="1" applyAlignment="1">
      <alignment horizontal="center" vertical="center"/>
    </xf>
    <xf numFmtId="0" fontId="15" fillId="4" borderId="21" xfId="0" applyFont="1" applyFill="1" applyBorder="1" applyAlignment="1">
      <alignment horizontal="center" vertical="center" wrapText="1"/>
    </xf>
    <xf numFmtId="176" fontId="8" fillId="4" borderId="26" xfId="0" applyNumberFormat="1" applyFont="1" applyFill="1" applyBorder="1" applyAlignment="1">
      <alignment horizontal="center" vertical="center"/>
    </xf>
    <xf numFmtId="176" fontId="8" fillId="4" borderId="28" xfId="0" applyNumberFormat="1" applyFont="1" applyFill="1" applyBorder="1" applyAlignment="1">
      <alignment horizontal="center" vertical="center"/>
    </xf>
    <xf numFmtId="176" fontId="8" fillId="4" borderId="27" xfId="0" applyNumberFormat="1" applyFont="1" applyFill="1" applyBorder="1" applyAlignment="1">
      <alignment horizontal="center" vertical="center"/>
    </xf>
    <xf numFmtId="0" fontId="16" fillId="8" borderId="26" xfId="0" applyFont="1" applyFill="1" applyBorder="1" applyAlignment="1">
      <alignment horizontal="right" vertical="center"/>
    </xf>
    <xf numFmtId="0" fontId="16" fillId="8" borderId="28" xfId="0" applyFont="1" applyFill="1" applyBorder="1" applyAlignment="1">
      <alignment horizontal="right" vertical="center"/>
    </xf>
    <xf numFmtId="0" fontId="16" fillId="8" borderId="27" xfId="0" applyFont="1" applyFill="1" applyBorder="1" applyAlignment="1">
      <alignment horizontal="right" vertical="center"/>
    </xf>
    <xf numFmtId="20" fontId="15" fillId="4" borderId="29" xfId="0" applyNumberFormat="1" applyFont="1" applyFill="1" applyBorder="1" applyAlignment="1">
      <alignment horizontal="center" vertical="center"/>
    </xf>
    <xf numFmtId="0" fontId="15" fillId="4" borderId="26" xfId="0" applyFont="1" applyFill="1" applyBorder="1" applyAlignment="1">
      <alignment horizontal="center" vertical="center"/>
    </xf>
    <xf numFmtId="0" fontId="15" fillId="4" borderId="28" xfId="0" applyFont="1" applyFill="1" applyBorder="1" applyAlignment="1">
      <alignment horizontal="center" vertical="center"/>
    </xf>
    <xf numFmtId="0" fontId="15" fillId="4" borderId="27" xfId="0" applyFont="1" applyFill="1" applyBorder="1" applyAlignment="1">
      <alignment horizontal="center" vertical="center"/>
    </xf>
    <xf numFmtId="0" fontId="14" fillId="4" borderId="26" xfId="0" applyFont="1" applyFill="1" applyBorder="1" applyAlignment="1">
      <alignment horizontal="center" vertical="center"/>
    </xf>
    <xf numFmtId="0" fontId="14" fillId="4" borderId="27" xfId="0" applyFont="1" applyFill="1" applyBorder="1" applyAlignment="1">
      <alignment horizontal="center" vertical="center"/>
    </xf>
    <xf numFmtId="0" fontId="14" fillId="4" borderId="26" xfId="0" applyFont="1" applyFill="1" applyBorder="1" applyAlignment="1">
      <alignment horizontal="center" vertical="center" wrapText="1"/>
    </xf>
    <xf numFmtId="0" fontId="14" fillId="4" borderId="27" xfId="0" applyFont="1" applyFill="1" applyBorder="1" applyAlignment="1">
      <alignment horizontal="center" vertical="center" wrapText="1"/>
    </xf>
    <xf numFmtId="176" fontId="5" fillId="4" borderId="26" xfId="0" applyNumberFormat="1" applyFont="1" applyFill="1" applyBorder="1" applyAlignment="1">
      <alignment horizontal="center" vertical="center" wrapText="1"/>
    </xf>
    <xf numFmtId="176" fontId="5" fillId="4" borderId="28" xfId="0" applyNumberFormat="1" applyFont="1" applyFill="1" applyBorder="1" applyAlignment="1">
      <alignment horizontal="center" vertical="center" wrapText="1"/>
    </xf>
    <xf numFmtId="176" fontId="5" fillId="4" borderId="27" xfId="0" applyNumberFormat="1" applyFont="1" applyFill="1" applyBorder="1" applyAlignment="1">
      <alignment horizontal="center" vertical="center" wrapText="1"/>
    </xf>
    <xf numFmtId="0" fontId="15" fillId="4" borderId="26" xfId="0" applyFont="1" applyFill="1" applyBorder="1" applyAlignment="1">
      <alignment horizontal="justify" vertical="center" wrapText="1"/>
    </xf>
    <xf numFmtId="0" fontId="15" fillId="4" borderId="27" xfId="0" applyFont="1" applyFill="1" applyBorder="1" applyAlignment="1">
      <alignment horizontal="justify"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6" xfId="0" applyFont="1" applyFill="1" applyBorder="1" applyAlignment="1">
      <alignment horizontal="center" vertical="center" wrapText="1"/>
    </xf>
    <xf numFmtId="176" fontId="5" fillId="4" borderId="26" xfId="0" applyNumberFormat="1" applyFont="1" applyFill="1" applyBorder="1" applyAlignment="1">
      <alignment horizontal="center" vertical="center"/>
    </xf>
    <xf numFmtId="176" fontId="5" fillId="4" borderId="28" xfId="0" applyNumberFormat="1" applyFont="1" applyFill="1" applyBorder="1" applyAlignment="1">
      <alignment horizontal="center" vertical="center"/>
    </xf>
    <xf numFmtId="176" fontId="5" fillId="4" borderId="27" xfId="0" applyNumberFormat="1" applyFont="1" applyFill="1" applyBorder="1" applyAlignment="1">
      <alignment horizontal="center" vertical="center"/>
    </xf>
    <xf numFmtId="20" fontId="8" fillId="4" borderId="6" xfId="0" applyNumberFormat="1" applyFont="1" applyFill="1" applyBorder="1" applyAlignment="1">
      <alignment horizontal="center" vertical="center" shrinkToFit="1"/>
    </xf>
    <xf numFmtId="20" fontId="8" fillId="4" borderId="7" xfId="0" applyNumberFormat="1"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4" xfId="0" applyFont="1" applyFill="1" applyBorder="1" applyAlignment="1">
      <alignment horizontal="center" vertical="center" shrinkToFit="1"/>
    </xf>
    <xf numFmtId="0" fontId="8" fillId="4" borderId="9" xfId="0" applyFont="1" applyFill="1" applyBorder="1" applyAlignment="1">
      <alignment horizontal="center" vertical="center" shrinkToFit="1"/>
    </xf>
    <xf numFmtId="0" fontId="14" fillId="4" borderId="13" xfId="0" applyFont="1" applyFill="1" applyBorder="1" applyAlignment="1">
      <alignment horizontal="center" vertical="center" shrinkToFit="1"/>
    </xf>
    <xf numFmtId="0" fontId="14" fillId="4" borderId="14" xfId="0" applyFont="1" applyFill="1" applyBorder="1" applyAlignment="1">
      <alignment horizontal="center" vertical="center" shrinkToFit="1"/>
    </xf>
    <xf numFmtId="0" fontId="6" fillId="0" borderId="0" xfId="0" applyFont="1" applyAlignment="1">
      <alignment horizontal="left" vertical="center" shrinkToFit="1"/>
    </xf>
    <xf numFmtId="0" fontId="8" fillId="0" borderId="3" xfId="0" applyFont="1" applyBorder="1" applyAlignment="1">
      <alignment horizontal="center" vertical="center" shrinkToFit="1"/>
    </xf>
    <xf numFmtId="0" fontId="5" fillId="0" borderId="6" xfId="0" applyFont="1" applyBorder="1" applyAlignment="1">
      <alignment horizontal="left" vertical="center"/>
    </xf>
    <xf numFmtId="0" fontId="0" fillId="0" borderId="29" xfId="0" applyBorder="1" applyAlignment="1">
      <alignment horizontal="left" vertical="center"/>
    </xf>
    <xf numFmtId="0" fontId="5" fillId="0" borderId="29" xfId="0" applyFont="1" applyBorder="1" applyAlignment="1">
      <alignment horizontal="left" vertical="center"/>
    </xf>
    <xf numFmtId="0" fontId="8" fillId="18" borderId="6" xfId="0" applyFont="1" applyFill="1" applyBorder="1" applyAlignment="1">
      <alignment horizontal="left" vertical="center"/>
    </xf>
    <xf numFmtId="0" fontId="8" fillId="18" borderId="29" xfId="0" applyFont="1" applyFill="1" applyBorder="1" applyAlignment="1">
      <alignment horizontal="left" vertical="center"/>
    </xf>
    <xf numFmtId="0" fontId="13" fillId="0" borderId="6" xfId="0" applyFont="1" applyBorder="1" applyAlignment="1">
      <alignment horizontal="justify" vertical="center" wrapText="1"/>
    </xf>
    <xf numFmtId="0" fontId="13" fillId="0" borderId="29" xfId="0" applyFont="1" applyBorder="1" applyAlignment="1">
      <alignment horizontal="justify" vertical="center" wrapText="1"/>
    </xf>
    <xf numFmtId="0" fontId="12" fillId="0" borderId="6" xfId="0" applyFont="1" applyBorder="1" applyAlignment="1">
      <alignment horizontal="left" vertical="center" wrapText="1" indent="1"/>
    </xf>
    <xf numFmtId="0" fontId="12" fillId="0" borderId="29" xfId="0" applyFont="1" applyBorder="1" applyAlignment="1">
      <alignment horizontal="left" vertical="center" wrapText="1" indent="1"/>
    </xf>
    <xf numFmtId="0" fontId="16" fillId="0" borderId="6" xfId="0" applyFont="1" applyBorder="1" applyAlignment="1">
      <alignment horizontal="left" vertical="center"/>
    </xf>
    <xf numFmtId="0" fontId="5" fillId="0" borderId="6" xfId="0" applyFont="1" applyBorder="1" applyAlignment="1">
      <alignment horizontal="left" vertical="center" shrinkToFit="1"/>
    </xf>
    <xf numFmtId="0" fontId="0" fillId="0" borderId="29" xfId="0" applyBorder="1" applyAlignment="1">
      <alignment horizontal="left" vertical="center" shrinkToFit="1"/>
    </xf>
    <xf numFmtId="0" fontId="8" fillId="22" borderId="6" xfId="0" applyFont="1" applyFill="1" applyBorder="1" applyAlignment="1">
      <alignment horizontal="left" vertical="center"/>
    </xf>
    <xf numFmtId="0" fontId="0" fillId="21" borderId="29" xfId="0" applyFill="1" applyBorder="1" applyAlignment="1">
      <alignment horizontal="left" vertical="center"/>
    </xf>
    <xf numFmtId="0" fontId="8" fillId="18" borderId="6" xfId="0" applyFont="1" applyFill="1" applyBorder="1" applyAlignment="1">
      <alignment horizontal="left" vertical="center" shrinkToFit="1"/>
    </xf>
    <xf numFmtId="0" fontId="16" fillId="0" borderId="6" xfId="0" applyFont="1" applyBorder="1" applyAlignment="1">
      <alignment horizontal="justify" vertical="center" wrapText="1"/>
    </xf>
    <xf numFmtId="0" fontId="16" fillId="0" borderId="29" xfId="0" applyFont="1" applyBorder="1" applyAlignment="1">
      <alignment horizontal="justify" vertical="center" wrapText="1"/>
    </xf>
    <xf numFmtId="0" fontId="34" fillId="0" borderId="6" xfId="0" applyFont="1" applyBorder="1" applyAlignment="1">
      <alignment horizontal="justify" vertical="center" wrapText="1"/>
    </xf>
    <xf numFmtId="0" fontId="34" fillId="0" borderId="29" xfId="0" applyFont="1" applyBorder="1" applyAlignment="1">
      <alignment horizontal="justify" vertical="center" wrapText="1"/>
    </xf>
    <xf numFmtId="0" fontId="5" fillId="0" borderId="6" xfId="0" applyFont="1" applyBorder="1" applyAlignment="1">
      <alignment horizontal="left" vertical="center" wrapText="1"/>
    </xf>
    <xf numFmtId="0" fontId="5" fillId="0" borderId="29" xfId="0" applyFont="1" applyBorder="1" applyAlignment="1">
      <alignment horizontal="left" vertical="center" wrapText="1"/>
    </xf>
    <xf numFmtId="0" fontId="5" fillId="0" borderId="6" xfId="0" applyFont="1" applyBorder="1" applyAlignment="1">
      <alignment horizontal="justify" vertical="top" wrapText="1"/>
    </xf>
    <xf numFmtId="0" fontId="5" fillId="0" borderId="29" xfId="0" applyFont="1" applyBorder="1" applyAlignment="1">
      <alignment horizontal="justify" vertical="top" wrapText="1"/>
    </xf>
    <xf numFmtId="0" fontId="5" fillId="0" borderId="6" xfId="0" applyFont="1" applyBorder="1" applyAlignment="1">
      <alignment horizontal="justify" vertical="center" wrapText="1"/>
    </xf>
    <xf numFmtId="0" fontId="5" fillId="0" borderId="29" xfId="0" applyFont="1" applyBorder="1" applyAlignment="1">
      <alignment horizontal="justify" vertical="center" wrapText="1"/>
    </xf>
    <xf numFmtId="0" fontId="5" fillId="0" borderId="6" xfId="0" applyFont="1" applyBorder="1" applyAlignment="1">
      <alignment vertical="center" shrinkToFit="1"/>
    </xf>
    <xf numFmtId="0" fontId="5" fillId="0" borderId="29" xfId="0" applyFont="1" applyBorder="1" applyAlignment="1">
      <alignment vertical="center" shrinkToFit="1"/>
    </xf>
    <xf numFmtId="0" fontId="8" fillId="23" borderId="6" xfId="0" applyFont="1" applyFill="1" applyBorder="1" applyAlignment="1">
      <alignment horizontal="left" vertical="center" indent="1"/>
    </xf>
    <xf numFmtId="0" fontId="8" fillId="23" borderId="29" xfId="0" applyFont="1" applyFill="1" applyBorder="1" applyAlignment="1">
      <alignment horizontal="left" vertical="center" indent="1"/>
    </xf>
    <xf numFmtId="0" fontId="8" fillId="23" borderId="6" xfId="0" applyFont="1" applyFill="1" applyBorder="1" applyAlignment="1">
      <alignment horizontal="left" vertical="center"/>
    </xf>
    <xf numFmtId="0" fontId="8" fillId="23" borderId="29" xfId="0" applyFont="1" applyFill="1" applyBorder="1" applyAlignment="1">
      <alignment horizontal="left" vertical="center"/>
    </xf>
    <xf numFmtId="0" fontId="16" fillId="0" borderId="29" xfId="0" applyFont="1" applyBorder="1" applyAlignment="1">
      <alignment horizontal="left" vertical="center"/>
    </xf>
    <xf numFmtId="0" fontId="16" fillId="0" borderId="6" xfId="0" applyFont="1" applyBorder="1" applyAlignment="1">
      <alignment vertical="center"/>
    </xf>
    <xf numFmtId="0" fontId="16" fillId="0" borderId="29" xfId="0" applyFont="1" applyBorder="1" applyAlignment="1">
      <alignment vertical="center"/>
    </xf>
    <xf numFmtId="0" fontId="16" fillId="0" borderId="7" xfId="0" applyFont="1" applyBorder="1" applyAlignment="1">
      <alignment horizontal="justify" vertical="center" wrapText="1"/>
    </xf>
    <xf numFmtId="0" fontId="16" fillId="0" borderId="6" xfId="0" applyFont="1" applyBorder="1" applyAlignment="1">
      <alignment horizontal="justify" vertical="top" wrapText="1"/>
    </xf>
    <xf numFmtId="0" fontId="16" fillId="0" borderId="29" xfId="0" applyFont="1" applyBorder="1" applyAlignment="1">
      <alignment horizontal="justify" vertical="top" wrapText="1"/>
    </xf>
    <xf numFmtId="0" fontId="12" fillId="0" borderId="6" xfId="0" applyFont="1" applyBorder="1" applyAlignment="1">
      <alignment horizontal="justify" vertical="center" wrapText="1"/>
    </xf>
    <xf numFmtId="0" fontId="12" fillId="0" borderId="29" xfId="0" applyFont="1" applyBorder="1" applyAlignment="1">
      <alignment horizontal="justify" vertical="center" wrapText="1"/>
    </xf>
    <xf numFmtId="0" fontId="12" fillId="0" borderId="6" xfId="0" applyFont="1" applyBorder="1" applyAlignment="1">
      <alignment horizontal="justify" vertical="top" wrapText="1"/>
    </xf>
    <xf numFmtId="0" fontId="12" fillId="0" borderId="29" xfId="0" applyFont="1" applyBorder="1" applyAlignment="1">
      <alignment horizontal="justify" vertical="top" wrapText="1"/>
    </xf>
    <xf numFmtId="0" fontId="15" fillId="26" borderId="6" xfId="0" applyFont="1" applyFill="1" applyBorder="1" applyAlignment="1">
      <alignment horizontal="left" vertical="center" indent="1"/>
    </xf>
    <xf numFmtId="0" fontId="15" fillId="26" borderId="29" xfId="0" applyFont="1" applyFill="1" applyBorder="1" applyAlignment="1">
      <alignment horizontal="left" vertical="center" indent="1"/>
    </xf>
    <xf numFmtId="0" fontId="15" fillId="26" borderId="26" xfId="0" applyFont="1" applyFill="1" applyBorder="1" applyAlignment="1">
      <alignment horizontal="center" vertical="center"/>
    </xf>
    <xf numFmtId="0" fontId="15" fillId="26" borderId="28" xfId="0" applyFont="1" applyFill="1" applyBorder="1" applyAlignment="1">
      <alignment horizontal="center" vertical="center"/>
    </xf>
    <xf numFmtId="0" fontId="15" fillId="26" borderId="27" xfId="0" applyFont="1" applyFill="1" applyBorder="1" applyAlignment="1">
      <alignment horizontal="center" vertical="center"/>
    </xf>
    <xf numFmtId="0" fontId="15" fillId="26" borderId="6" xfId="0" applyFont="1" applyFill="1" applyBorder="1" applyAlignment="1">
      <alignment horizontal="center" vertical="center"/>
    </xf>
    <xf numFmtId="0" fontId="15" fillId="26" borderId="29" xfId="0" applyFont="1" applyFill="1" applyBorder="1" applyAlignment="1">
      <alignment horizontal="center" vertical="center"/>
    </xf>
    <xf numFmtId="0" fontId="15" fillId="25" borderId="6" xfId="0" applyFont="1" applyFill="1" applyBorder="1" applyAlignment="1">
      <alignment horizontal="left" vertical="center" indent="1"/>
    </xf>
    <xf numFmtId="0" fontId="15" fillId="25" borderId="29" xfId="0" applyFont="1" applyFill="1" applyBorder="1" applyAlignment="1">
      <alignment horizontal="left" vertical="center" indent="1"/>
    </xf>
    <xf numFmtId="0" fontId="15" fillId="25" borderId="6" xfId="0" applyFont="1" applyFill="1" applyBorder="1" applyAlignment="1">
      <alignment horizontal="center" vertical="center"/>
    </xf>
    <xf numFmtId="0" fontId="15" fillId="25" borderId="29" xfId="0" applyFont="1" applyFill="1" applyBorder="1" applyAlignment="1">
      <alignment horizontal="center" vertical="center"/>
    </xf>
    <xf numFmtId="0" fontId="15" fillId="25" borderId="26" xfId="0" applyFont="1" applyFill="1" applyBorder="1" applyAlignment="1">
      <alignment horizontal="center" vertical="center"/>
    </xf>
    <xf numFmtId="0" fontId="15" fillId="25" borderId="28" xfId="0" applyFont="1" applyFill="1" applyBorder="1" applyAlignment="1">
      <alignment horizontal="center" vertical="center"/>
    </xf>
    <xf numFmtId="0" fontId="15" fillId="25" borderId="27" xfId="0" applyFont="1" applyFill="1" applyBorder="1" applyAlignment="1">
      <alignment horizontal="center" vertical="center"/>
    </xf>
    <xf numFmtId="0" fontId="14" fillId="5" borderId="26" xfId="0" applyFont="1" applyFill="1" applyBorder="1" applyAlignment="1">
      <alignment horizontal="center" vertical="center"/>
    </xf>
    <xf numFmtId="0" fontId="14" fillId="5" borderId="28" xfId="0" applyFont="1" applyFill="1" applyBorder="1" applyAlignment="1">
      <alignment horizontal="center" vertical="center"/>
    </xf>
    <xf numFmtId="0" fontId="14" fillId="5" borderId="2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29" xfId="0" applyFont="1" applyFill="1" applyBorder="1" applyAlignment="1">
      <alignment horizontal="center" vertical="center"/>
    </xf>
    <xf numFmtId="0" fontId="14" fillId="5" borderId="7" xfId="0" applyFont="1" applyFill="1" applyBorder="1" applyAlignment="1">
      <alignment horizontal="center" vertical="center"/>
    </xf>
    <xf numFmtId="0" fontId="5" fillId="0" borderId="64" xfId="0" applyFont="1" applyBorder="1" applyAlignment="1">
      <alignment horizontal="left" vertical="center" shrinkToFit="1"/>
    </xf>
    <xf numFmtId="0" fontId="5" fillId="0" borderId="125" xfId="0" applyFont="1" applyBorder="1" applyAlignment="1">
      <alignment horizontal="left" vertical="center" shrinkToFit="1"/>
    </xf>
    <xf numFmtId="0" fontId="8" fillId="2" borderId="65" xfId="0" applyFont="1" applyFill="1" applyBorder="1" applyAlignment="1">
      <alignment horizontal="center" vertical="center" shrinkToFit="1"/>
    </xf>
    <xf numFmtId="0" fontId="8" fillId="2" borderId="121" xfId="0" applyFont="1" applyFill="1" applyBorder="1" applyAlignment="1">
      <alignment horizontal="center" vertical="center" shrinkToFit="1"/>
    </xf>
    <xf numFmtId="0" fontId="5" fillId="0" borderId="69" xfId="0" applyFont="1" applyBorder="1" applyAlignment="1">
      <alignment horizontal="center" vertical="center" shrinkToFit="1"/>
    </xf>
    <xf numFmtId="0" fontId="5" fillId="0" borderId="98" xfId="0" applyFont="1" applyBorder="1" applyAlignment="1">
      <alignment horizontal="center" vertical="center" shrinkToFit="1"/>
    </xf>
    <xf numFmtId="0" fontId="8" fillId="2" borderId="65" xfId="0" applyFont="1" applyFill="1" applyBorder="1" applyAlignment="1">
      <alignment horizontal="center" vertical="center"/>
    </xf>
    <xf numFmtId="0" fontId="8" fillId="2" borderId="121" xfId="0" applyFont="1" applyFill="1" applyBorder="1" applyAlignment="1">
      <alignment horizontal="center" vertical="center"/>
    </xf>
    <xf numFmtId="0" fontId="5" fillId="0" borderId="70" xfId="0" applyFont="1" applyBorder="1" applyAlignment="1">
      <alignment horizontal="left" vertical="center" shrinkToFit="1"/>
    </xf>
    <xf numFmtId="0" fontId="5" fillId="0" borderId="131" xfId="0" applyFont="1" applyBorder="1" applyAlignment="1">
      <alignment horizontal="left" vertical="center" shrinkToFit="1"/>
    </xf>
    <xf numFmtId="0" fontId="8" fillId="22" borderId="65" xfId="0" applyFont="1" applyFill="1" applyBorder="1" applyAlignment="1">
      <alignment horizontal="center" vertical="center" shrinkToFit="1"/>
    </xf>
    <xf numFmtId="0" fontId="8" fillId="22" borderId="121" xfId="0" applyFont="1" applyFill="1" applyBorder="1" applyAlignment="1">
      <alignment horizontal="center" vertical="center" shrinkToFit="1"/>
    </xf>
    <xf numFmtId="0" fontId="5" fillId="0" borderId="128" xfId="0" applyFont="1" applyBorder="1" applyAlignment="1">
      <alignment horizontal="left" vertical="center" shrinkToFit="1"/>
    </xf>
    <xf numFmtId="0" fontId="5" fillId="0" borderId="129" xfId="0" applyFont="1" applyBorder="1" applyAlignment="1">
      <alignment horizontal="left" vertical="center" shrinkToFit="1"/>
    </xf>
    <xf numFmtId="0" fontId="8" fillId="21" borderId="126" xfId="0" applyFont="1" applyFill="1" applyBorder="1" applyAlignment="1">
      <alignment horizontal="left" vertical="center" shrinkToFit="1"/>
    </xf>
    <xf numFmtId="0" fontId="8" fillId="21" borderId="127" xfId="0" applyFont="1" applyFill="1" applyBorder="1" applyAlignment="1">
      <alignment horizontal="left" vertical="center" shrinkToFit="1"/>
    </xf>
    <xf numFmtId="0" fontId="8" fillId="22" borderId="65" xfId="0" applyFont="1" applyFill="1" applyBorder="1" applyAlignment="1">
      <alignment horizontal="center" vertical="center"/>
    </xf>
    <xf numFmtId="0" fontId="8" fillId="22" borderId="121" xfId="0" applyFont="1" applyFill="1" applyBorder="1" applyAlignment="1">
      <alignment horizontal="center" vertical="center"/>
    </xf>
    <xf numFmtId="0" fontId="9" fillId="0" borderId="69" xfId="0" applyFont="1" applyBorder="1" applyAlignment="1">
      <alignment vertical="center" wrapText="1"/>
    </xf>
    <xf numFmtId="0" fontId="25" fillId="0" borderId="2" xfId="0" applyFont="1" applyBorder="1" applyAlignment="1">
      <alignment vertical="center" wrapText="1"/>
    </xf>
    <xf numFmtId="0" fontId="9" fillId="0" borderId="69" xfId="0" applyFont="1" applyBorder="1" applyAlignment="1">
      <alignment vertical="center"/>
    </xf>
    <xf numFmtId="0" fontId="9" fillId="0" borderId="2" xfId="0" applyFont="1" applyBorder="1" applyAlignment="1">
      <alignment vertical="center"/>
    </xf>
    <xf numFmtId="0" fontId="9" fillId="0" borderId="98" xfId="0" applyFont="1" applyBorder="1" applyAlignment="1">
      <alignment vertical="center" wrapText="1"/>
    </xf>
    <xf numFmtId="0" fontId="9" fillId="0" borderId="2" xfId="0" applyFont="1" applyBorder="1" applyAlignment="1">
      <alignment vertical="center" wrapText="1"/>
    </xf>
    <xf numFmtId="0" fontId="9" fillId="0" borderId="64" xfId="0" applyFont="1" applyBorder="1" applyAlignment="1">
      <alignment vertical="center" wrapText="1"/>
    </xf>
    <xf numFmtId="0" fontId="25" fillId="0" borderId="1" xfId="0" applyFont="1" applyBorder="1" applyAlignment="1">
      <alignment vertical="center" wrapText="1"/>
    </xf>
    <xf numFmtId="0" fontId="9" fillId="0" borderId="55" xfId="0" applyFont="1" applyBorder="1" applyAlignment="1">
      <alignment horizontal="center" vertical="center" shrinkToFit="1"/>
    </xf>
    <xf numFmtId="0" fontId="24" fillId="0" borderId="0"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cellXfs>
  <cellStyles count="9">
    <cellStyle name="パーセント" xfId="1" builtinId="5"/>
    <cellStyle name="桁区切り" xfId="7" builtinId="6"/>
    <cellStyle name="桁区切り 2" xfId="8" xr:uid="{00000000-0005-0000-0000-000002000000}"/>
    <cellStyle name="標準" xfId="0" builtinId="0"/>
    <cellStyle name="標準 2" xfId="2" xr:uid="{00000000-0005-0000-0000-000004000000}"/>
    <cellStyle name="標準 2 2" xfId="3" xr:uid="{00000000-0005-0000-0000-000005000000}"/>
    <cellStyle name="標準 3" xfId="4" xr:uid="{00000000-0005-0000-0000-000006000000}"/>
    <cellStyle name="標準 4" xfId="5" xr:uid="{00000000-0005-0000-0000-000007000000}"/>
    <cellStyle name="標準 4 2" xfId="6" xr:uid="{00000000-0005-0000-0000-000008000000}"/>
  </cellStyles>
  <dxfs count="1027">
    <dxf>
      <font>
        <b val="0"/>
        <i val="0"/>
        <strike val="0"/>
        <condense val="0"/>
        <extend val="0"/>
        <outline val="0"/>
        <shadow val="0"/>
        <u val="none"/>
        <vertAlign val="baseline"/>
        <sz val="11"/>
        <color auto="1"/>
        <name val="メイリオ"/>
        <scheme val="none"/>
      </font>
      <numFmt numFmtId="6" formatCode="#,##0;[Red]\-#,##0"/>
      <fill>
        <patternFill patternType="solid">
          <fgColor theme="4" tint="0.79998168889431442"/>
          <bgColor theme="4" tint="0.79998168889431442"/>
        </patternFill>
      </fill>
      <border diagonalUp="0" diagonalDown="0">
        <start/>
        <end/>
        <top style="thin">
          <color theme="4" tint="0.39997558519241921"/>
        </top>
        <bottom style="thin">
          <color theme="4" tint="0.39997558519241921"/>
        </bottom>
        <vertical/>
        <horizontal/>
      </border>
    </dxf>
    <dxf>
      <font>
        <b val="0"/>
        <i val="0"/>
        <strike val="0"/>
        <condense val="0"/>
        <extend val="0"/>
        <outline val="0"/>
        <shadow val="0"/>
        <u val="none"/>
        <vertAlign val="baseline"/>
        <sz val="11"/>
        <color auto="1"/>
        <name val="メイリオ"/>
        <scheme val="none"/>
      </font>
      <fill>
        <patternFill patternType="solid">
          <fgColor theme="4" tint="0.79998168889431442"/>
          <bgColor theme="4" tint="0.79998168889431442"/>
        </patternFill>
      </fill>
      <alignment horizontal="left" vertical="center" textRotation="0" wrapText="0" indent="0" justifyLastLine="0" shrinkToFit="0" readingOrder="0"/>
      <border diagonalUp="0" diagonalDown="0">
        <start/>
        <end/>
        <top style="thin">
          <color theme="4" tint="0.39997558519241921"/>
        </top>
        <bottom style="thin">
          <color theme="4" tint="0.39997558519241921"/>
        </bottom>
        <vertical/>
        <horizontal/>
      </border>
    </dxf>
    <dxf>
      <border outline="0">
        <top style="thin">
          <color theme="4" tint="0.39997558519241921"/>
        </top>
      </border>
    </dxf>
    <dxf>
      <border outline="0">
        <start style="thin">
          <color theme="4" tint="0.39997558519241921"/>
        </start>
        <end style="thin">
          <color theme="4" tint="0.39997558519241921"/>
        </end>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auto="1"/>
        <name val="メイリオ"/>
        <scheme val="none"/>
      </font>
      <fill>
        <patternFill patternType="solid">
          <fgColor theme="4"/>
          <bgColor theme="4"/>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border outline="0">
        <top style="thin">
          <color theme="4" tint="0.39997558519241921"/>
        </top>
      </border>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numFmt numFmtId="6" formatCode="#,##0;[Red]\-#,##0"/>
      <fill>
        <patternFill patternType="none">
          <fgColor indexed="64"/>
          <bgColor indexed="65"/>
        </patternFill>
      </fill>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dxf>
    <dxf>
      <border outline="0">
        <bottom style="thin">
          <color theme="4" tint="0.39997558519241921"/>
        </bottom>
      </border>
    </dxf>
    <dxf>
      <font>
        <b/>
        <i val="0"/>
        <strike val="0"/>
        <condense val="0"/>
        <extend val="0"/>
        <outline val="0"/>
        <shadow val="0"/>
        <u val="none"/>
        <vertAlign val="baseline"/>
        <sz val="11"/>
        <color theme="1"/>
        <name val="ＭＳ Ｐゴシック"/>
        <scheme val="minor"/>
      </font>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border diagonalUp="0" diagonalDown="0">
        <start/>
        <end/>
        <top style="thin">
          <color theme="4" tint="0.39997558519241921"/>
        </top>
        <bottom/>
        <vertical/>
        <horizontal/>
      </border>
    </dxf>
    <dxf>
      <border outline="0">
        <start style="thin">
          <color theme="4" tint="0.39997558519241921"/>
        </start>
        <end style="thin">
          <color theme="4" tint="0.39997558519241921"/>
        </end>
        <top style="thin">
          <color theme="4" tint="0.39997558519241921"/>
        </top>
        <bottom style="thin">
          <color theme="4" tint="0.39997558519241921"/>
        </bottom>
      </border>
    </dxf>
    <dxf>
      <font>
        <b val="0"/>
        <i val="0"/>
        <strike val="0"/>
        <condense val="0"/>
        <extend val="0"/>
        <outline val="0"/>
        <shadow val="0"/>
        <u val="none"/>
        <vertAlign val="baseline"/>
        <sz val="11"/>
        <color auto="1"/>
        <name val="メイリオ"/>
        <scheme val="none"/>
      </font>
    </dxf>
    <dxf>
      <font>
        <b/>
        <i val="0"/>
        <strike val="0"/>
        <condense val="0"/>
        <extend val="0"/>
        <outline val="0"/>
        <shadow val="0"/>
        <u val="none"/>
        <vertAlign val="baseline"/>
        <sz val="11"/>
        <color auto="1"/>
        <name val="メイリオ"/>
        <scheme val="none"/>
      </font>
      <fill>
        <patternFill patternType="solid">
          <fgColor theme="4"/>
          <bgColor theme="4"/>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6" formatCode="#,##0;[Red]\-#,##0"/>
    </dxf>
    <dxf>
      <font>
        <b/>
        <i val="0"/>
        <strike val="0"/>
        <condense val="0"/>
        <extend val="0"/>
        <outline val="0"/>
        <shadow val="0"/>
        <u val="none"/>
        <vertAlign val="baseline"/>
        <sz val="11"/>
        <color auto="1"/>
        <name val="メイリオ"/>
        <scheme val="none"/>
      </font>
      <fill>
        <patternFill patternType="solid">
          <fgColor theme="4"/>
          <bgColor theme="4"/>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メイリオ"/>
        <scheme val="none"/>
      </font>
      <border diagonalUp="0" diagonalDown="0">
        <start style="thin">
          <color theme="4" tint="0.39997558519241921"/>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border diagonalUp="0" diagonalDown="0">
        <start style="thin">
          <color theme="4" tint="0.39997558519241921"/>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border diagonalUp="0" diagonalDown="0">
        <start/>
        <end/>
        <top style="thin">
          <color theme="4" tint="0.39997558519241921"/>
        </top>
        <bottom/>
        <vertical/>
        <horizontal/>
      </border>
    </dxf>
    <dxf>
      <border outline="0">
        <start style="thin">
          <color theme="4" tint="0.39997558519241921"/>
        </start>
        <end style="thin">
          <color theme="4" tint="0.39997558519241921"/>
        </end>
        <top style="thin">
          <color theme="4" tint="0.39997558519241921"/>
        </top>
        <bottom style="thin">
          <color theme="4" tint="0.39997558519241921"/>
        </bottom>
      </border>
    </dxf>
    <dxf>
      <font>
        <b/>
        <i val="0"/>
        <strike val="0"/>
        <condense val="0"/>
        <extend val="0"/>
        <outline val="0"/>
        <shadow val="0"/>
        <u val="none"/>
        <vertAlign val="baseline"/>
        <sz val="11"/>
        <color auto="1"/>
        <name val="メイリオ"/>
        <scheme val="none"/>
      </font>
      <fill>
        <patternFill patternType="solid">
          <fgColor theme="4"/>
          <bgColor theme="4"/>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6" formatCode="#,##0;[Red]\-#,##0"/>
      <border diagonalUp="0" diagonalDown="0">
        <start/>
        <end/>
        <top style="thin">
          <color theme="4" tint="0.39997558519241921"/>
        </top>
        <bottom/>
        <vertical/>
        <horizontal/>
      </border>
    </dxf>
    <dxf>
      <font>
        <b val="0"/>
        <i val="0"/>
        <strike val="0"/>
        <condense val="0"/>
        <extend val="0"/>
        <outline val="0"/>
        <shadow val="0"/>
        <u val="none"/>
        <vertAlign val="baseline"/>
        <sz val="11"/>
        <color auto="1"/>
        <name val="メイリオ"/>
        <scheme val="none"/>
      </font>
      <border diagonalUp="0" diagonalDown="0">
        <start/>
        <end/>
        <top style="thin">
          <color theme="4" tint="0.39997558519241921"/>
        </top>
        <bottom/>
        <vertical/>
        <horizontal/>
      </border>
    </dxf>
    <dxf>
      <border outline="0">
        <start style="thin">
          <color theme="4" tint="0.39997558519241921"/>
        </start>
        <end style="thin">
          <color theme="4" tint="0.39997558519241921"/>
        </end>
        <top style="thin">
          <color theme="4" tint="0.39997558519241921"/>
        </top>
        <bottom style="thin">
          <color theme="4" tint="0.39997558519241921"/>
        </bottom>
      </border>
    </dxf>
    <dxf>
      <font>
        <b/>
        <i val="0"/>
        <strike val="0"/>
        <condense val="0"/>
        <extend val="0"/>
        <outline val="0"/>
        <shadow val="0"/>
        <u val="none"/>
        <vertAlign val="baseline"/>
        <sz val="11"/>
        <color auto="1"/>
        <name val="メイリオ"/>
        <scheme val="none"/>
      </font>
      <fill>
        <patternFill patternType="solid">
          <fgColor theme="4"/>
          <bgColor theme="4"/>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border diagonalUp="0" diagonalDown="0">
        <start style="thin">
          <color theme="0"/>
        </start>
        <end/>
        <top style="thin">
          <color theme="4" tint="0.39997558519241921"/>
        </top>
        <bottom/>
        <vertical/>
        <horizontal/>
      </border>
    </dxf>
    <dxf>
      <font>
        <b val="0"/>
        <i val="0"/>
        <strike val="0"/>
        <condense val="0"/>
        <extend val="0"/>
        <outline val="0"/>
        <shadow val="0"/>
        <u val="none"/>
        <vertAlign val="baseline"/>
        <sz val="11"/>
        <color theme="1"/>
        <name val="メイリオ"/>
        <family val="3"/>
        <charset val="128"/>
        <scheme val="none"/>
      </font>
      <numFmt numFmtId="6" formatCode="#,##0;[Red]\-#,##0"/>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numFmt numFmtId="6" formatCode="#,##0;[Red]\-#,##0"/>
      <fill>
        <patternFill patternType="solid">
          <fgColor theme="4" tint="0.79998168889431442"/>
          <bgColor theme="4" tint="0.79998168889431442"/>
        </patternFill>
      </fill>
      <border diagonalUp="0" diagonalDown="0">
        <start style="thin">
          <color theme="0"/>
        </start>
        <end/>
        <top style="thin">
          <color theme="4" tint="0.39997558519241921"/>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fill>
        <patternFill patternType="solid">
          <fgColor theme="4" tint="0.79998168889431442"/>
          <bgColor theme="4" tint="0.79998168889431442"/>
        </patternFill>
      </fill>
      <alignment horizontal="general" vertical="center" textRotation="0" wrapText="0" indent="0" justifyLastLine="0" shrinkToFit="1" readingOrder="0"/>
      <border diagonalUp="0" diagonalDown="0">
        <start style="thin">
          <color theme="0"/>
        </start>
        <end/>
        <top style="thin">
          <color theme="0"/>
        </top>
        <bottom/>
        <vertical/>
        <horizontal/>
      </border>
    </dxf>
    <dxf>
      <border outline="0">
        <end style="thin">
          <color theme="4" tint="0.39997558519241921"/>
        </end>
        <bottom style="thin">
          <color theme="4" tint="0.39997558519241921"/>
        </bottom>
      </border>
    </dxf>
    <dxf>
      <font>
        <b val="0"/>
        <i val="0"/>
        <strike val="0"/>
        <condense val="0"/>
        <extend val="0"/>
        <outline val="0"/>
        <shadow val="0"/>
        <u val="none"/>
        <vertAlign val="baseline"/>
        <sz val="11"/>
        <color theme="1"/>
        <name val="メイリオ"/>
        <family val="3"/>
        <charset val="128"/>
        <scheme val="none"/>
      </font>
      <border diagonalUp="0" diagonalDown="0">
        <start style="thin">
          <color theme="0"/>
        </start>
        <end/>
        <top style="thin">
          <color theme="4" tint="0.39997558519241921"/>
        </top>
        <bottom/>
        <vertical/>
        <horizontal/>
      </border>
    </dxf>
    <dxf>
      <font>
        <b val="0"/>
        <i val="0"/>
        <strike val="0"/>
        <condense val="0"/>
        <extend val="0"/>
        <outline val="0"/>
        <shadow val="0"/>
        <u val="none"/>
        <vertAlign val="baseline"/>
        <sz val="11"/>
        <color theme="1"/>
        <name val="メイリオ"/>
        <family val="3"/>
        <charset val="128"/>
        <scheme val="none"/>
      </font>
      <numFmt numFmtId="6" formatCode="#,##0;[Red]\-#,##0"/>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theme="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family val="3"/>
        <charset val="128"/>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border outline="0">
        <end style="thin">
          <color theme="4" tint="0.39997558519241921"/>
        </end>
        <bottom style="thin">
          <color theme="4" tint="0.39997558519241921"/>
        </bottom>
      </border>
    </dxf>
    <dxf>
      <font>
        <b/>
        <i val="0"/>
        <strike val="0"/>
        <condense val="0"/>
        <extend val="0"/>
        <outline val="0"/>
        <shadow val="0"/>
        <u val="none"/>
        <vertAlign val="baseline"/>
        <sz val="11"/>
        <color auto="1"/>
        <name val="メイリオ"/>
        <family val="3"/>
        <charset val="128"/>
        <scheme val="none"/>
      </font>
      <fill>
        <patternFill patternType="solid">
          <fgColor theme="4"/>
          <bgColor theme="4"/>
        </patternFill>
      </fill>
      <alignment horizontal="general"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numFmt numFmtId="6" formatCode="#,##0;[Red]\-#,##0"/>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0"/>
        <name val="メイリオ"/>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auto="1"/>
        <name val="メイリオ"/>
        <scheme val="none"/>
      </font>
      <fill>
        <patternFill patternType="none">
          <fgColor indexed="64"/>
          <bgColor indexed="65"/>
        </patternFill>
      </fill>
    </dxf>
    <dxf>
      <font>
        <b val="0"/>
        <i val="0"/>
        <strike val="0"/>
        <condense val="0"/>
        <extend val="0"/>
        <outline val="0"/>
        <shadow val="0"/>
        <u val="none"/>
        <vertAlign val="baseline"/>
        <sz val="11"/>
        <color theme="1"/>
        <name val="メイリオ"/>
        <scheme val="none"/>
      </font>
      <fill>
        <patternFill patternType="none">
          <fgColor indexed="64"/>
          <bgColor indexed="65"/>
        </patternFill>
      </fill>
    </dxf>
    <dxf>
      <font>
        <b val="0"/>
        <i val="0"/>
        <strike val="0"/>
        <condense val="0"/>
        <extend val="0"/>
        <outline val="0"/>
        <shadow val="0"/>
        <u val="none"/>
        <vertAlign val="baseline"/>
        <sz val="11"/>
        <color theme="0"/>
        <name val="メイリオ"/>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dxf>
    <dxf>
      <font>
        <b val="0"/>
        <i val="0"/>
        <strike val="0"/>
        <condense val="0"/>
        <extend val="0"/>
        <outline val="0"/>
        <shadow val="0"/>
        <u val="none"/>
        <vertAlign val="baseline"/>
        <sz val="11"/>
        <color auto="1"/>
        <name val="メイリオ"/>
        <scheme val="none"/>
      </font>
      <fill>
        <patternFill patternType="solid">
          <fgColor indexed="64"/>
          <bgColor theme="0"/>
        </patternFill>
      </fill>
    </dxf>
    <dxf>
      <font>
        <b val="0"/>
        <i val="0"/>
        <strike val="0"/>
        <condense val="0"/>
        <extend val="0"/>
        <outline val="0"/>
        <shadow val="0"/>
        <u val="none"/>
        <vertAlign val="baseline"/>
        <sz val="11"/>
        <color auto="1"/>
        <name val="メイリオ"/>
        <scheme val="none"/>
      </font>
      <fill>
        <patternFill patternType="solid">
          <fgColor indexed="64"/>
          <bgColor theme="0"/>
        </patternFill>
      </fill>
    </dxf>
    <dxf>
      <font>
        <b val="0"/>
        <i val="0"/>
        <strike val="0"/>
        <condense val="0"/>
        <extend val="0"/>
        <outline val="0"/>
        <shadow val="0"/>
        <u val="none"/>
        <vertAlign val="baseline"/>
        <sz val="11"/>
        <color auto="1"/>
        <name val="メイリオ"/>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numFmt numFmtId="6" formatCode="#,##0;[Red]\-#,##0"/>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font>
        <b val="0"/>
        <i val="0"/>
        <strike val="0"/>
        <condense val="0"/>
        <extend val="0"/>
        <outline val="0"/>
        <shadow val="0"/>
        <u val="none"/>
        <vertAlign val="baseline"/>
        <sz val="11"/>
        <color auto="1"/>
        <name val="メイリオ"/>
        <scheme val="none"/>
      </font>
      <fill>
        <patternFill patternType="solid">
          <fgColor indexed="64"/>
          <bgColor theme="0"/>
        </patternFill>
      </fill>
      <border diagonalUp="0" diagonalDown="0">
        <start style="thin">
          <color theme="8"/>
        </start>
        <end style="thin">
          <color theme="8"/>
        </end>
        <top style="thin">
          <color theme="8"/>
        </top>
        <bottom style="thin">
          <color theme="8"/>
        </bottom>
        <vertical/>
        <horizontal/>
      </border>
    </dxf>
    <dxf>
      <border outline="0">
        <end style="thin">
          <color theme="8"/>
        </end>
        <bottom style="thin">
          <color theme="8"/>
        </bottom>
      </border>
    </dxf>
    <dxf>
      <font>
        <b val="0"/>
        <i val="0"/>
        <strike val="0"/>
        <condense val="0"/>
        <extend val="0"/>
        <outline val="0"/>
        <shadow val="0"/>
        <u val="none"/>
        <vertAlign val="baseline"/>
        <sz val="11"/>
        <color auto="1"/>
        <name val="メイリオ"/>
        <scheme val="none"/>
      </font>
      <fill>
        <patternFill patternType="solid">
          <fgColor indexed="64"/>
          <bgColor theme="0"/>
        </patternFill>
      </fill>
    </dxf>
    <dxf>
      <font>
        <b/>
        <i val="0"/>
        <strike val="0"/>
        <condense val="0"/>
        <extend val="0"/>
        <outline val="0"/>
        <shadow val="0"/>
        <u val="none"/>
        <vertAlign val="baseline"/>
        <sz val="11"/>
        <color auto="1"/>
        <name val="メイリオ"/>
        <scheme val="none"/>
      </font>
      <fill>
        <patternFill patternType="solid">
          <fgColor indexed="64"/>
          <bgColor theme="0"/>
        </patternFill>
      </fill>
      <alignment horizontal="center" vertical="center" textRotation="0" wrapText="0" indent="0" justifyLastLine="0" shrinkToFit="0" readingOrder="0"/>
      <border diagonalUp="0" diagonalDown="0" outline="0">
        <start style="thin">
          <color theme="8"/>
        </start>
        <end style="thin">
          <color theme="8"/>
        </end>
        <top/>
        <bottom/>
      </border>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6" formatCode="#,##0;[Red]\-#,##0"/>
      <alignment horizontal="general" vertical="center" textRotation="0" wrapText="1" indent="0" justifyLastLine="0" shrinkToFit="0" readingOrder="0"/>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9"/>
        <color theme="0"/>
        <name val="メイリオ"/>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theme="1"/>
        <name val="メイリオ"/>
        <scheme val="none"/>
      </font>
      <fill>
        <patternFill patternType="none">
          <fgColor indexed="64"/>
          <bgColor auto="1"/>
        </patternFill>
      </fill>
      <alignment horizontal="general" vertical="center" textRotation="0" wrapText="0" indent="0" justifyLastLine="0" shrinkToFit="1" readingOrder="0"/>
    </dxf>
    <dxf>
      <font>
        <b val="0"/>
        <i val="0"/>
        <strike val="0"/>
        <condense val="0"/>
        <extend val="0"/>
        <outline val="0"/>
        <shadow val="0"/>
        <u val="none"/>
        <vertAlign val="baseline"/>
        <sz val="11"/>
        <color theme="0"/>
        <name val="メイリオ"/>
        <scheme val="none"/>
      </font>
      <fill>
        <patternFill patternType="none">
          <fgColor indexed="64"/>
          <bgColor auto="1"/>
        </patternFill>
      </fill>
    </dxf>
    <dxf>
      <font>
        <b val="0"/>
        <i val="0"/>
        <strike val="0"/>
        <condense val="0"/>
        <extend val="0"/>
        <outline val="0"/>
        <shadow val="0"/>
        <u val="none"/>
        <vertAlign val="baseline"/>
        <sz val="11"/>
        <color auto="1"/>
        <name val="メイリオ"/>
        <scheme val="none"/>
      </font>
      <fill>
        <patternFill patternType="none">
          <fgColor indexed="64"/>
          <bgColor auto="1"/>
        </patternFill>
      </fill>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auto="1"/>
        <name val="メイリオ"/>
        <scheme val="none"/>
      </font>
      <fill>
        <patternFill patternType="none">
          <fgColor indexed="64"/>
          <bgColor auto="1"/>
        </patternFill>
      </fill>
    </dxf>
    <dxf>
      <font>
        <b val="0"/>
        <i val="0"/>
        <strike val="0"/>
        <condense val="0"/>
        <extend val="0"/>
        <outline val="0"/>
        <shadow val="0"/>
        <u val="none"/>
        <vertAlign val="baseline"/>
        <sz val="11"/>
        <color auto="1"/>
        <name val="メイリオ"/>
        <scheme val="none"/>
      </font>
      <fill>
        <patternFill patternType="none">
          <fgColor indexed="64"/>
          <bgColor auto="1"/>
        </patternFill>
      </fill>
    </dxf>
    <dxf>
      <font>
        <b val="0"/>
        <i val="0"/>
        <strike val="0"/>
        <condense val="0"/>
        <extend val="0"/>
        <outline val="0"/>
        <shadow val="0"/>
        <u val="none"/>
        <vertAlign val="baseline"/>
        <sz val="11"/>
        <color theme="1"/>
        <name val="メイリオ"/>
        <scheme val="none"/>
      </font>
    </dxf>
    <dxf>
      <border outline="0">
        <bottom style="thin">
          <color theme="0"/>
        </bottom>
      </border>
    </dxf>
    <dxf>
      <font>
        <b val="0"/>
        <i val="0"/>
        <strike val="0"/>
        <condense val="0"/>
        <extend val="0"/>
        <outline val="0"/>
        <shadow val="0"/>
        <u val="none"/>
        <vertAlign val="baseline"/>
        <sz val="11"/>
        <color theme="1"/>
        <name val="メイリオ"/>
        <scheme val="none"/>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メイリオ"/>
        <scheme val="none"/>
      </font>
      <alignment horizontal="general" vertical="center" textRotation="0" wrapText="0" indent="0" justifyLastLine="0" shrinkToFit="1" readingOrder="0"/>
      <border diagonalUp="0" diagonalDown="0">
        <start style="thin">
          <color theme="0"/>
        </start>
        <end style="thin">
          <color theme="0"/>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border diagonalUp="0" diagonalDown="0">
        <start style="thin">
          <color theme="0"/>
        </start>
        <end/>
        <top style="thin">
          <color theme="0"/>
        </top>
        <bottom/>
        <vertical/>
        <horizontal/>
      </border>
    </dxf>
    <dxf>
      <border outline="0">
        <bottom style="thin">
          <color theme="0"/>
        </bottom>
      </border>
    </dxf>
    <dxf>
      <font>
        <b val="0"/>
        <i val="0"/>
        <strike val="0"/>
        <condense val="0"/>
        <extend val="0"/>
        <outline val="0"/>
        <shadow val="0"/>
        <u val="none"/>
        <vertAlign val="baseline"/>
        <sz val="11"/>
        <color auto="1"/>
        <name val="メイリオ"/>
        <scheme val="none"/>
      </font>
      <alignment horizontal="general" vertical="center" textRotation="0" wrapText="0" indent="0" justifyLastLine="0" shrinkToFit="1" readingOrder="0"/>
    </dxf>
    <dxf>
      <font>
        <b/>
        <i val="0"/>
        <strike val="0"/>
        <condense val="0"/>
        <extend val="0"/>
        <outline val="0"/>
        <shadow val="0"/>
        <u val="none"/>
        <vertAlign val="baseline"/>
        <sz val="9"/>
        <color auto="1"/>
        <name val="メイリオ"/>
        <scheme val="none"/>
      </font>
      <fill>
        <patternFill patternType="solid">
          <fgColor theme="4"/>
          <bgColor theme="4"/>
        </patternFill>
      </fill>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style="thin">
          <color theme="0"/>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outline="0">
        <start/>
        <end style="thin">
          <color theme="0"/>
        </end>
        <top style="thin">
          <color theme="0"/>
        </top>
        <bottom style="thin">
          <color theme="0"/>
        </bottom>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outline="0">
        <start/>
        <end style="thin">
          <color theme="0"/>
        </end>
        <top style="thin">
          <color theme="0"/>
        </top>
        <bottom style="thin">
          <color theme="0"/>
        </bottom>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alignment vertical="center" textRotation="0" wrapText="1"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outline="0">
        <start/>
        <end style="thin">
          <color theme="0"/>
        </end>
        <top style="thin">
          <color theme="0"/>
        </top>
        <bottom style="thin">
          <color theme="0"/>
        </bottom>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numFmt numFmtId="176" formatCode="#,##0_ ;[Red]\-#,##0\ "/>
      <border diagonalUp="0" diagonalDown="0" outline="0">
        <start/>
        <end style="thin">
          <color theme="0"/>
        </end>
        <top style="thin">
          <color theme="0"/>
        </top>
        <bottom style="thin">
          <color theme="0"/>
        </bottom>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0"/>
        <name val="メイリオ"/>
        <scheme val="none"/>
      </font>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end style="thin">
          <color theme="0"/>
        </end>
        <top style="thin">
          <color theme="0"/>
        </top>
        <bottom style="thin">
          <color theme="0"/>
        </bottom>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outline="0">
        <start/>
        <end style="thin">
          <color theme="0"/>
        </end>
        <top style="thin">
          <color theme="0"/>
        </top>
        <bottom style="thin">
          <color theme="0"/>
        </bottom>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style="thin">
          <color theme="0"/>
        </start>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dxf>
    <dxf>
      <font>
        <b val="0"/>
        <i val="0"/>
        <strike val="0"/>
        <condense val="0"/>
        <extend val="0"/>
        <outline val="0"/>
        <shadow val="0"/>
        <u val="none"/>
        <vertAlign val="baseline"/>
        <sz val="11"/>
        <color theme="1"/>
        <name val="メイリオ"/>
        <scheme val="none"/>
      </font>
      <numFmt numFmtId="182" formatCode="#,##0_ "/>
      <fill>
        <patternFill patternType="solid">
          <fgColor theme="4" tint="0.79998168889431442"/>
          <bgColor theme="4" tint="0.79998168889431442"/>
        </patternFill>
      </fill>
      <border diagonalUp="0" diagonalDown="0">
        <start style="thin">
          <color theme="0"/>
        </start>
        <end style="thin">
          <color theme="0"/>
        </end>
        <top style="thin">
          <color theme="0"/>
        </top>
        <bottom/>
        <vertical/>
        <horizontal/>
      </border>
    </dxf>
    <dxf>
      <border outline="0">
        <top style="thin">
          <color theme="4" tint="0.39997558519241921"/>
        </top>
      </border>
    </dxf>
    <dxf>
      <font>
        <b val="0"/>
        <i val="0"/>
        <strike val="0"/>
        <condense val="0"/>
        <extend val="0"/>
        <outline val="0"/>
        <shadow val="0"/>
        <u val="none"/>
        <vertAlign val="baseline"/>
        <sz val="11"/>
        <color theme="1"/>
        <name val="メイリオ"/>
        <scheme val="none"/>
      </font>
      <numFmt numFmtId="182" formatCode="#,##0_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dxf>
    <dxf>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alignment horizontal="center" vertical="center" textRotation="0" indent="0" justifyLastLine="0" shrinkToFit="0" readingOrder="0"/>
    </dxf>
    <dxf>
      <font>
        <b val="0"/>
        <i val="0"/>
        <strike val="0"/>
        <condense val="0"/>
        <extend val="0"/>
        <outline val="0"/>
        <shadow val="0"/>
        <u val="none"/>
        <vertAlign val="baseline"/>
        <sz val="11"/>
        <color theme="1"/>
        <name val="メイリオ"/>
        <scheme val="none"/>
      </font>
      <numFmt numFmtId="181" formatCode="#,##0_);[Red]\(#,##0\)"/>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font>
        <b val="0"/>
        <i val="0"/>
        <strike val="0"/>
        <condense val="0"/>
        <extend val="0"/>
        <outline val="0"/>
        <shadow val="0"/>
        <u val="none"/>
        <vertAlign val="baseline"/>
        <sz val="11"/>
        <color theme="1"/>
        <name val="メイリオ"/>
        <scheme val="none"/>
      </font>
      <alignment horizontal="center"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82" formatCode="#,##0_ "/>
      <border diagonalUp="0" diagonalDown="0">
        <start style="thin">
          <color theme="0"/>
        </start>
        <end style="thin">
          <color theme="0"/>
        </end>
        <top style="thin">
          <color theme="0"/>
        </top>
        <bottom/>
        <vertical/>
        <horizontal/>
      </border>
    </dxf>
    <dxf>
      <font>
        <b val="0"/>
        <i val="0"/>
        <strike val="0"/>
        <condense val="0"/>
        <extend val="0"/>
        <outline val="0"/>
        <shadow val="0"/>
        <u val="none"/>
        <vertAlign val="baseline"/>
        <sz val="11"/>
        <color theme="0"/>
        <name val="メイリオ"/>
        <scheme val="none"/>
      </font>
      <alignment horizontal="general" vertical="center" textRotation="0" wrapText="1" indent="0" justifyLastLine="0" shrinkToFit="0" readingOrder="0"/>
    </dxf>
    <dxf>
      <border outline="0">
        <top style="thin">
          <color theme="4" tint="0.39997558519241921"/>
        </top>
      </border>
    </dxf>
    <dxf>
      <border outline="0">
        <bottom style="thin">
          <color theme="4" tint="0.39997558519241921"/>
        </bottom>
      </border>
    </dxf>
    <dxf>
      <font>
        <b val="0"/>
        <i val="0"/>
        <strike val="0"/>
        <condense val="0"/>
        <extend val="0"/>
        <outline val="0"/>
        <shadow val="0"/>
        <u val="none"/>
        <vertAlign val="baseline"/>
        <sz val="11"/>
        <color theme="1"/>
        <name val="メイリオ"/>
        <scheme val="none"/>
      </font>
      <numFmt numFmtId="182" formatCode="#,##0_ "/>
      <fill>
        <patternFill patternType="solid">
          <fgColor theme="4" tint="0.79998168889431442"/>
          <bgColor theme="4" tint="0.79998168889431442"/>
        </patternFill>
      </fill>
      <border diagonalUp="0" diagonalDown="0">
        <start style="thin">
          <color theme="0"/>
        </start>
        <end style="thin">
          <color theme="0"/>
        </end>
        <top style="thin">
          <color theme="0"/>
        </top>
        <bottom/>
        <vertical/>
        <horizontal/>
      </border>
    </dxf>
    <dxf>
      <border outline="0">
        <top style="thin">
          <color theme="4" tint="0.39997558519241921"/>
        </top>
      </border>
    </dxf>
    <dxf>
      <font>
        <b val="0"/>
        <i val="0"/>
        <strike val="0"/>
        <condense val="0"/>
        <extend val="0"/>
        <outline val="0"/>
        <shadow val="0"/>
        <u val="none"/>
        <vertAlign val="baseline"/>
        <sz val="11"/>
        <color theme="1"/>
        <name val="メイリオ"/>
        <scheme val="none"/>
      </font>
      <numFmt numFmtId="182" formatCode="#,##0_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dxf>
    <dxf>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alignment horizontal="center" vertical="center" textRotation="0" indent="0" justifyLastLine="0" shrinkToFit="0" readingOrder="0"/>
    </dxf>
    <dxf>
      <font>
        <b val="0"/>
        <i val="0"/>
        <strike val="0"/>
        <condense val="0"/>
        <extend val="0"/>
        <outline val="0"/>
        <shadow val="0"/>
        <u val="none"/>
        <vertAlign val="baseline"/>
        <sz val="11"/>
        <color theme="1"/>
        <name val="メイリオ"/>
        <scheme val="none"/>
      </font>
      <numFmt numFmtId="176" formatCode="#,##0_ ;[Red]\-#,##0\ "/>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alignment horizontal="center" vertical="center" textRotation="0" indent="0" justifyLastLine="0" shrinkToFit="0" readingOrder="0"/>
    </dxf>
    <dxf>
      <font>
        <b val="0"/>
        <i val="0"/>
        <strike val="0"/>
        <condense val="0"/>
        <extend val="0"/>
        <outline val="0"/>
        <shadow val="0"/>
        <u val="none"/>
        <vertAlign val="baseline"/>
        <sz val="11"/>
        <color theme="1"/>
        <name val="メイリオ"/>
        <scheme val="none"/>
      </font>
      <numFmt numFmtId="181" formatCode="#,##0_);[Red]\(#,##0\)"/>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font>
        <b val="0"/>
        <i val="0"/>
        <strike val="0"/>
        <condense val="0"/>
        <extend val="0"/>
        <outline val="0"/>
        <shadow val="0"/>
        <u val="none"/>
        <vertAlign val="baseline"/>
        <sz val="11"/>
        <color theme="1"/>
        <name val="メイリオ"/>
        <scheme val="none"/>
      </font>
      <alignment horizontal="center"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1"/>
        <color theme="1"/>
        <name val="メイリオ"/>
        <scheme val="none"/>
      </font>
      <border diagonalUp="0" diagonalDown="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border diagonalUp="0" diagonalDown="0" outline="0">
        <start style="thin">
          <color theme="0"/>
        </start>
        <end style="thin">
          <color theme="0"/>
        </end>
        <top/>
        <bottom/>
      </border>
    </dxf>
    <dxf>
      <font>
        <b val="0"/>
        <i val="0"/>
        <strike val="0"/>
        <condense val="0"/>
        <extend val="0"/>
        <outline val="0"/>
        <shadow val="0"/>
        <u val="none"/>
        <vertAlign val="baseline"/>
        <sz val="11"/>
        <color theme="1"/>
        <name val="メイリオ"/>
        <scheme val="none"/>
      </font>
      <border diagonalUp="0" diagonalDown="0">
        <start style="thin">
          <color theme="0"/>
        </start>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dxf>
    <dxf>
      <font>
        <b val="0"/>
        <i val="0"/>
        <strike val="0"/>
        <condense val="0"/>
        <extend val="0"/>
        <outline val="0"/>
        <shadow val="0"/>
        <u val="none"/>
        <vertAlign val="baseline"/>
        <sz val="11"/>
        <color theme="1"/>
        <name val="メイリオ"/>
        <scheme val="none"/>
      </font>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dxf>
    <dxf>
      <font>
        <b val="0"/>
        <i val="0"/>
        <strike val="0"/>
        <condense val="0"/>
        <extend val="0"/>
        <outline val="0"/>
        <shadow val="0"/>
        <u val="none"/>
        <vertAlign val="baseline"/>
        <sz val="11"/>
        <color auto="1"/>
        <name val="メイリオ"/>
        <scheme val="none"/>
      </font>
      <numFmt numFmtId="182" formatCode="#,##0_ "/>
      <border diagonalUp="0" diagonalDown="0" outline="0">
        <start style="thin">
          <color theme="0"/>
        </start>
        <end style="thin">
          <color theme="0"/>
        </end>
        <top style="thin">
          <color theme="0"/>
        </top>
        <bottom style="thin">
          <color theme="0"/>
        </bottom>
      </border>
    </dxf>
    <dxf>
      <font>
        <b val="0"/>
        <i val="0"/>
        <strike val="0"/>
        <condense val="0"/>
        <extend val="0"/>
        <outline val="0"/>
        <shadow val="0"/>
        <u val="none"/>
        <vertAlign val="baseline"/>
        <sz val="11"/>
        <color theme="1"/>
        <name val="メイリオ"/>
        <scheme val="none"/>
      </font>
      <border outline="0">
        <end style="thin">
          <color theme="0"/>
        </end>
      </border>
    </dxf>
    <dxf>
      <border outline="0">
        <top style="thin">
          <color theme="4" tint="0.39997558519241921"/>
        </top>
      </border>
    </dxf>
    <dxf>
      <border outline="0">
        <bottom style="thin">
          <color theme="4" tint="0.39997558519241921"/>
        </bottom>
      </border>
    </dxf>
    <dxf>
      <font>
        <b val="0"/>
        <i val="0"/>
        <strike val="0"/>
        <condense val="0"/>
        <extend val="0"/>
        <outline val="0"/>
        <shadow val="0"/>
        <u val="none"/>
        <vertAlign val="baseline"/>
        <sz val="11"/>
        <color theme="1"/>
        <name val="メイリオ"/>
        <scheme val="none"/>
      </font>
    </dxf>
    <dxf>
      <font>
        <b val="0"/>
        <i val="0"/>
        <strike val="0"/>
        <condense val="0"/>
        <extend val="0"/>
        <outline val="0"/>
        <shadow val="0"/>
        <u val="none"/>
        <vertAlign val="baseline"/>
        <sz val="11"/>
        <color theme="1"/>
        <name val="メイリオ"/>
        <scheme val="none"/>
      </font>
      <numFmt numFmtId="182" formatCode="#,##0_ "/>
      <fill>
        <patternFill patternType="solid">
          <fgColor theme="4" tint="0.79998168889431442"/>
          <bgColor theme="4" tint="0.79998168889431442"/>
        </patternFill>
      </fill>
      <border diagonalUp="0" diagonalDown="0">
        <start style="thin">
          <color theme="0"/>
        </start>
        <end style="thin">
          <color theme="0"/>
        </end>
        <top style="thin">
          <color theme="0"/>
        </top>
        <bottom/>
        <vertical/>
        <horizontal/>
      </border>
    </dxf>
    <dxf>
      <border outline="0">
        <top style="thin">
          <color theme="4" tint="0.39997558519241921"/>
        </top>
      </border>
    </dxf>
    <dxf>
      <font>
        <b val="0"/>
        <i val="0"/>
        <strike val="0"/>
        <condense val="0"/>
        <extend val="0"/>
        <outline val="0"/>
        <shadow val="0"/>
        <u val="none"/>
        <vertAlign val="baseline"/>
        <sz val="12"/>
        <color theme="1"/>
        <name val="メイリオ"/>
        <scheme val="none"/>
      </font>
    </dxf>
    <dxf>
      <font>
        <b val="0"/>
        <i val="0"/>
        <strike val="0"/>
        <condense val="0"/>
        <extend val="0"/>
        <outline val="0"/>
        <shadow val="0"/>
        <u val="none"/>
        <vertAlign val="baseline"/>
        <sz val="11"/>
        <color theme="1"/>
        <name val="メイリオ"/>
        <scheme val="none"/>
      </font>
      <numFmt numFmtId="182" formatCode="#,##0_ "/>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dxf>
    <dxf>
      <alignment horizontal="center" vertical="center" textRotation="0" wrapText="0" indent="0" justifyLastLine="0" shrinkToFit="0" readingOrder="0"/>
    </dxf>
    <dxf>
      <font>
        <b val="0"/>
        <i val="0"/>
        <strike val="0"/>
        <condense val="0"/>
        <extend val="0"/>
        <outline val="0"/>
        <shadow val="0"/>
        <u val="none"/>
        <vertAlign val="baseline"/>
        <sz val="11"/>
        <color theme="1"/>
        <name val="メイリオ"/>
        <scheme val="none"/>
      </font>
      <numFmt numFmtId="176" formatCode="#,##0_ ;[Red]\-#,##0\ "/>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alignment horizontal="center" vertical="center" textRotation="0" indent="0" justifyLastLine="0" shrinkToFit="0" readingOrder="0"/>
    </dxf>
    <dxf>
      <font>
        <b val="0"/>
        <i val="0"/>
        <strike val="0"/>
        <condense val="0"/>
        <extend val="0"/>
        <outline val="0"/>
        <shadow val="0"/>
        <u val="none"/>
        <vertAlign val="baseline"/>
        <sz val="11"/>
        <color theme="1"/>
        <name val="メイリオ"/>
        <scheme val="none"/>
      </font>
      <numFmt numFmtId="176" formatCode="#,##0_ ;[Red]\-#,##0\ "/>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alignment horizontal="center" vertical="center" textRotation="0" indent="0" justifyLastLine="0" shrinkToFit="0" readingOrder="0"/>
    </dxf>
    <dxf>
      <font>
        <b val="0"/>
        <i val="0"/>
        <strike val="0"/>
        <condense val="0"/>
        <extend val="0"/>
        <outline val="0"/>
        <shadow val="0"/>
        <u val="none"/>
        <vertAlign val="baseline"/>
        <sz val="11"/>
        <color theme="1"/>
        <name val="メイリオ"/>
        <scheme val="none"/>
      </font>
      <numFmt numFmtId="181" formatCode="#,##0_);[Red]\(#,##0\)"/>
      <alignment horizontal="general" vertical="center" textRotation="0" wrapText="0" indent="0" justifyLastLine="0" shrinkToFit="0" readingOrder="0"/>
      <border diagonalUp="0" diagonalDown="0">
        <start style="thin">
          <color theme="0"/>
        </start>
        <end style="thin">
          <color theme="0"/>
        </end>
        <top style="thin">
          <color theme="0"/>
        </top>
        <bottom style="thin">
          <color theme="0"/>
        </bottom>
        <vertical/>
        <horizontal/>
      </border>
    </dxf>
    <dxf>
      <font>
        <b val="0"/>
        <i val="0"/>
        <strike val="0"/>
        <condense val="0"/>
        <extend val="0"/>
        <outline val="0"/>
        <shadow val="0"/>
        <u val="none"/>
        <vertAlign val="baseline"/>
        <sz val="11"/>
        <color theme="0"/>
        <name val="メイリオ"/>
        <scheme val="none"/>
      </font>
      <numFmt numFmtId="176" formatCode="#,##0_ ;[Red]\-#,##0\ "/>
    </dxf>
    <dxf>
      <font>
        <b val="0"/>
        <i val="0"/>
        <strike val="0"/>
        <condense val="0"/>
        <extend val="0"/>
        <outline val="0"/>
        <shadow val="0"/>
        <u val="none"/>
        <vertAlign val="baseline"/>
        <sz val="11"/>
        <color theme="1"/>
        <name val="メイリオ"/>
        <scheme val="none"/>
      </font>
      <alignment horizontal="left" vertical="center" textRotation="0" wrapText="0" indent="0" justifyLastLine="0" shrinkToFit="0" readingOrder="0"/>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protection locked="0" hidden="0"/>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protection locked="0" hidden="0"/>
    </dxf>
    <dxf>
      <border outline="0">
        <top style="thin">
          <color theme="4" tint="0.39997558519241921"/>
        </top>
      </border>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protection locked="0" hidden="0"/>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protection locked="0" hidden="0"/>
    </dxf>
    <dxf>
      <protection locked="0" hidden="0"/>
    </dxf>
    <dxf>
      <font>
        <b val="0"/>
        <i val="0"/>
        <strike val="0"/>
        <condense val="0"/>
        <extend val="0"/>
        <outline val="0"/>
        <shadow val="0"/>
        <u val="none"/>
        <vertAlign val="baseline"/>
        <sz val="11"/>
        <color auto="1"/>
        <name val="メイリオ"/>
        <scheme val="none"/>
      </font>
      <numFmt numFmtId="176" formatCode="#,##0_ ;[Red]\-#,##0\ "/>
      <border diagonalUp="0" diagonalDown="0">
        <start style="thin">
          <color theme="0"/>
        </start>
        <end style="thin">
          <color theme="0"/>
        </end>
        <top style="thin">
          <color theme="0"/>
        </top>
        <bottom style="thin">
          <color theme="0"/>
        </bottom>
        <vertical/>
        <horizontal/>
      </border>
      <protection locked="0" hidden="0"/>
    </dxf>
    <dxf>
      <font>
        <b val="0"/>
        <i val="0"/>
        <strike val="0"/>
        <condense val="0"/>
        <extend val="0"/>
        <outline val="0"/>
        <shadow val="0"/>
        <u val="none"/>
        <vertAlign val="baseline"/>
        <sz val="11"/>
        <color theme="0"/>
        <name val="メイリオ"/>
        <scheme val="none"/>
      </font>
      <fill>
        <patternFill patternType="solid">
          <fgColor indexed="64"/>
          <bgColor theme="5" tint="-0.499984740745262"/>
        </patternFill>
      </fill>
      <alignment horizontal="left" vertical="center" textRotation="0" wrapText="0" indent="0" justifyLastLine="0" shrinkToFit="0" readingOrder="0"/>
      <protection locked="0" hidden="0"/>
    </dxf>
    <dxf>
      <protection locked="0" hidden="0"/>
    </dxf>
    <dxf>
      <protection locked="0" hidden="0"/>
    </dxf>
  </dxfs>
  <tableStyles count="0" defaultTableStyle="TableStyleMedium2" defaultPivotStyle="PivotStyleLight16"/>
  <colors>
    <mruColors>
      <color rgb="FF669B76"/>
      <color rgb="FF4D99BB"/>
      <color rgb="FF8BB397"/>
      <color rgb="FF3C7D9B"/>
      <color rgb="FFF8C8B2"/>
      <color rgb="FFEAE4D1"/>
      <color rgb="FFFF7C80"/>
      <color rgb="FFF8FED2"/>
      <color rgb="FFFAFD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worksheet" Target="worksheets/sheet26.xml"/><Relationship Id="rId39" Type="http://purl.oclc.org/ooxml/officeDocument/relationships/worksheet" Target="worksheets/sheet39.xml"/><Relationship Id="rId21" Type="http://purl.oclc.org/ooxml/officeDocument/relationships/worksheet" Target="worksheets/sheet21.xml"/><Relationship Id="rId34" Type="http://purl.oclc.org/ooxml/officeDocument/relationships/worksheet" Target="worksheets/sheet34.xml"/><Relationship Id="rId42" Type="http://purl.oclc.org/ooxml/officeDocument/relationships/worksheet" Target="worksheets/sheet42.xml"/><Relationship Id="rId47" Type="http://purl.oclc.org/ooxml/officeDocument/relationships/worksheet" Target="worksheets/sheet47.xml"/><Relationship Id="rId50" Type="http://purl.oclc.org/ooxml/officeDocument/relationships/sharedStrings" Target="sharedStrings.xml"/><Relationship Id="rId7" Type="http://purl.oclc.org/ooxml/officeDocument/relationships/worksheet" Target="worksheets/sheet7.xml"/><Relationship Id="rId2" Type="http://purl.oclc.org/ooxml/officeDocument/relationships/worksheet" Target="worksheets/sheet2.xml"/><Relationship Id="rId16" Type="http://purl.oclc.org/ooxml/officeDocument/relationships/worksheet" Target="worksheets/sheet16.xml"/><Relationship Id="rId29" Type="http://purl.oclc.org/ooxml/officeDocument/relationships/worksheet" Target="worksheets/sheet29.xml"/><Relationship Id="rId11" Type="http://purl.oclc.org/ooxml/officeDocument/relationships/worksheet" Target="worksheets/sheet11.xml"/><Relationship Id="rId24" Type="http://purl.oclc.org/ooxml/officeDocument/relationships/worksheet" Target="worksheets/sheet24.xml"/><Relationship Id="rId32" Type="http://purl.oclc.org/ooxml/officeDocument/relationships/worksheet" Target="worksheets/sheet32.xml"/><Relationship Id="rId37" Type="http://purl.oclc.org/ooxml/officeDocument/relationships/worksheet" Target="worksheets/sheet37.xml"/><Relationship Id="rId40" Type="http://purl.oclc.org/ooxml/officeDocument/relationships/worksheet" Target="worksheets/sheet40.xml"/><Relationship Id="rId45" Type="http://purl.oclc.org/ooxml/officeDocument/relationships/worksheet" Target="worksheets/sheet45.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worksheet" Target="worksheets/sheet28.xml"/><Relationship Id="rId36" Type="http://purl.oclc.org/ooxml/officeDocument/relationships/worksheet" Target="worksheets/sheet36.xml"/><Relationship Id="rId49" Type="http://purl.oclc.org/ooxml/officeDocument/relationships/styles" Target="styles.xml"/><Relationship Id="rId10" Type="http://purl.oclc.org/ooxml/officeDocument/relationships/worksheet" Target="worksheets/sheet10.xml"/><Relationship Id="rId19" Type="http://purl.oclc.org/ooxml/officeDocument/relationships/worksheet" Target="worksheets/sheet19.xml"/><Relationship Id="rId31" Type="http://purl.oclc.org/ooxml/officeDocument/relationships/worksheet" Target="worksheets/sheet31.xml"/><Relationship Id="rId44" Type="http://purl.oclc.org/ooxml/officeDocument/relationships/worksheet" Target="worksheets/sheet44.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worksheet" Target="worksheets/sheet27.xml"/><Relationship Id="rId30" Type="http://purl.oclc.org/ooxml/officeDocument/relationships/worksheet" Target="worksheets/sheet30.xml"/><Relationship Id="rId35" Type="http://purl.oclc.org/ooxml/officeDocument/relationships/worksheet" Target="worksheets/sheet35.xml"/><Relationship Id="rId43" Type="http://purl.oclc.org/ooxml/officeDocument/relationships/worksheet" Target="worksheets/sheet43.xml"/><Relationship Id="rId48" Type="http://purl.oclc.org/ooxml/officeDocument/relationships/theme" Target="theme/theme1.xml"/><Relationship Id="rId8" Type="http://purl.oclc.org/ooxml/officeDocument/relationships/worksheet" Target="worksheets/sheet8.xml"/><Relationship Id="rId51" Type="http://purl.oclc.org/ooxml/officeDocument/relationships/calcChain" Target="calcChain.xml"/><Relationship Id="rId3" Type="http://purl.oclc.org/ooxml/officeDocument/relationships/worksheet" Target="worksheets/sheet3.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worksheet" Target="worksheets/sheet33.xml"/><Relationship Id="rId38" Type="http://purl.oclc.org/ooxml/officeDocument/relationships/worksheet" Target="worksheets/sheet38.xml"/><Relationship Id="rId46" Type="http://purl.oclc.org/ooxml/officeDocument/relationships/worksheet" Target="worksheets/sheet46.xml"/><Relationship Id="rId20" Type="http://purl.oclc.org/ooxml/officeDocument/relationships/worksheet" Target="worksheets/sheet20.xml"/><Relationship Id="rId41" Type="http://purl.oclc.org/ooxml/officeDocument/relationships/worksheet" Target="worksheets/sheet41.xml"/><Relationship Id="rId1" Type="http://purl.oclc.org/ooxml/officeDocument/relationships/worksheet" Target="worksheets/sheet1.xml"/><Relationship Id="rId6" Type="http://purl.oclc.org/ooxml/officeDocument/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ja-JP" sz="1200" b="1"/>
              <a:t>年齢区分</a:t>
            </a:r>
          </a:p>
        </c:rich>
      </c:tx>
      <c:layout>
        <c:manualLayout>
          <c:xMode val="edge"/>
          <c:yMode val="edge"/>
          <c:x val="0.38648181712605029"/>
          <c:y val="1.6987671231044367E-2"/>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pieChart>
        <c:varyColors val="1"/>
        <c:ser>
          <c:idx val="0"/>
          <c:order val="0"/>
          <c:tx>
            <c:strRef>
              <c:f>'グラフ(年齢区分）'!$N$4</c:f>
              <c:strCache>
                <c:ptCount val="1"/>
                <c:pt idx="0">
                  <c:v>全体</c:v>
                </c:pt>
              </c:strCache>
            </c:strRef>
          </c:tx>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F8BB-452E-BFB8-1A1D90280907}"/>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F8BB-452E-BFB8-1A1D90280907}"/>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F8BB-452E-BFB8-1A1D90280907}"/>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F8BB-452E-BFB8-1A1D90280907}"/>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F8BB-452E-BFB8-1A1D90280907}"/>
              </c:ext>
            </c:extLst>
          </c:dPt>
          <c:dPt>
            <c:idx val="5"/>
            <c:bubble3D val="0"/>
            <c:spPr>
              <a:gradFill rotWithShape="1">
                <a:gsLst>
                  <a:gs pos="0%">
                    <a:schemeClr val="accent6">
                      <a:tint val="50%"/>
                      <a:satMod val="300%"/>
                    </a:schemeClr>
                  </a:gs>
                  <a:gs pos="35%">
                    <a:schemeClr val="accent6">
                      <a:tint val="37%"/>
                      <a:satMod val="300%"/>
                    </a:schemeClr>
                  </a:gs>
                  <a:gs pos="100%">
                    <a:schemeClr val="accent6">
                      <a:tint val="15%"/>
                      <a:satMod val="350%"/>
                    </a:schemeClr>
                  </a:gs>
                </a:gsLst>
                <a:lin ang="16200000" scaled="1"/>
              </a:gradFill>
              <a:ln w="9525" cap="flat" cmpd="sng" algn="ctr">
                <a:solidFill>
                  <a:schemeClr val="accent6">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F8BB-452E-BFB8-1A1D90280907}"/>
              </c:ext>
            </c:extLst>
          </c:dPt>
          <c:dPt>
            <c:idx val="6"/>
            <c:bubble3D val="0"/>
            <c:spPr>
              <a:gradFill rotWithShape="1">
                <a:gsLst>
                  <a:gs pos="0%">
                    <a:schemeClr val="accent1">
                      <a:lumMod val="60%"/>
                      <a:tint val="50%"/>
                      <a:satMod val="300%"/>
                    </a:schemeClr>
                  </a:gs>
                  <a:gs pos="35%">
                    <a:schemeClr val="accent1">
                      <a:lumMod val="60%"/>
                      <a:tint val="37%"/>
                      <a:satMod val="300%"/>
                    </a:schemeClr>
                  </a:gs>
                  <a:gs pos="100%">
                    <a:schemeClr val="accent1">
                      <a:lumMod val="60%"/>
                      <a:tint val="15%"/>
                      <a:satMod val="350%"/>
                    </a:schemeClr>
                  </a:gs>
                </a:gsLst>
                <a:lin ang="16200000" scaled="1"/>
              </a:gradFill>
              <a:ln w="9525" cap="flat" cmpd="sng" algn="ctr">
                <a:solidFill>
                  <a:schemeClr val="accent1">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F8BB-452E-BFB8-1A1D90280907}"/>
              </c:ext>
            </c:extLst>
          </c:dPt>
          <c:dPt>
            <c:idx val="7"/>
            <c:bubble3D val="0"/>
            <c:spPr>
              <a:gradFill rotWithShape="1">
                <a:gsLst>
                  <a:gs pos="0%">
                    <a:schemeClr val="accent2">
                      <a:lumMod val="60%"/>
                      <a:tint val="50%"/>
                      <a:satMod val="300%"/>
                    </a:schemeClr>
                  </a:gs>
                  <a:gs pos="35%">
                    <a:schemeClr val="accent2">
                      <a:lumMod val="60%"/>
                      <a:tint val="37%"/>
                      <a:satMod val="300%"/>
                    </a:schemeClr>
                  </a:gs>
                  <a:gs pos="100%">
                    <a:schemeClr val="accent2">
                      <a:lumMod val="60%"/>
                      <a:tint val="15%"/>
                      <a:satMod val="350%"/>
                    </a:schemeClr>
                  </a:gs>
                </a:gsLst>
                <a:lin ang="16200000" scaled="1"/>
              </a:gradFill>
              <a:ln w="9525" cap="flat" cmpd="sng" algn="ctr">
                <a:solidFill>
                  <a:schemeClr val="accent2">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F8BB-452E-BFB8-1A1D90280907}"/>
              </c:ext>
            </c:extLst>
          </c:dPt>
          <c:dPt>
            <c:idx val="8"/>
            <c:bubble3D val="0"/>
            <c:spPr>
              <a:gradFill rotWithShape="1">
                <a:gsLst>
                  <a:gs pos="0%">
                    <a:schemeClr val="accent3">
                      <a:lumMod val="60%"/>
                      <a:tint val="50%"/>
                      <a:satMod val="300%"/>
                    </a:schemeClr>
                  </a:gs>
                  <a:gs pos="35%">
                    <a:schemeClr val="accent3">
                      <a:lumMod val="60%"/>
                      <a:tint val="37%"/>
                      <a:satMod val="300%"/>
                    </a:schemeClr>
                  </a:gs>
                  <a:gs pos="100%">
                    <a:schemeClr val="accent3">
                      <a:lumMod val="60%"/>
                      <a:tint val="15%"/>
                      <a:satMod val="350%"/>
                    </a:schemeClr>
                  </a:gs>
                </a:gsLst>
                <a:lin ang="16200000" scaled="1"/>
              </a:gradFill>
              <a:ln w="9525" cap="flat" cmpd="sng" algn="ctr">
                <a:solidFill>
                  <a:schemeClr val="accent3">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F8BB-452E-BFB8-1A1D90280907}"/>
              </c:ext>
            </c:extLst>
          </c:dPt>
          <c:dPt>
            <c:idx val="9"/>
            <c:bubble3D val="0"/>
            <c:spPr>
              <a:gradFill rotWithShape="1">
                <a:gsLst>
                  <a:gs pos="0%">
                    <a:schemeClr val="accent4">
                      <a:lumMod val="60%"/>
                      <a:tint val="50%"/>
                      <a:satMod val="300%"/>
                    </a:schemeClr>
                  </a:gs>
                  <a:gs pos="35%">
                    <a:schemeClr val="accent4">
                      <a:lumMod val="60%"/>
                      <a:tint val="37%"/>
                      <a:satMod val="300%"/>
                    </a:schemeClr>
                  </a:gs>
                  <a:gs pos="100%">
                    <a:schemeClr val="accent4">
                      <a:lumMod val="60%"/>
                      <a:tint val="15%"/>
                      <a:satMod val="350%"/>
                    </a:schemeClr>
                  </a:gs>
                </a:gsLst>
                <a:lin ang="16200000" scaled="1"/>
              </a:gradFill>
              <a:ln w="9525" cap="flat" cmpd="sng" algn="ctr">
                <a:solidFill>
                  <a:schemeClr val="accent4">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3-CBC7-4A13-80EC-771273AC296E}"/>
              </c:ext>
            </c:extLst>
          </c:dPt>
          <c:dLbls>
            <c:dLbl>
              <c:idx val="1"/>
              <c:layout>
                <c:manualLayout>
                  <c:x val="0.1654797385620915"/>
                  <c:y val="6.5291666666666666E-3"/>
                </c:manualLayout>
              </c:layout>
              <c:showLegendKey val="0"/>
              <c:showVal val="1"/>
              <c:showCatName val="1"/>
              <c:showSerName val="0"/>
              <c:showPercent val="1"/>
              <c:showBubbleSize val="0"/>
              <c:separator>
</c:separator>
              <c:extLst>
                <c:ext xmlns:c15="http://schemas.microsoft.com/office/drawing/2012/chart" uri="{CE6537A1-D6FC-4f65-9D91-7224C49458BB}">
                  <c15:layout>
                    <c:manualLayout>
                      <c:w val="0.12824509803921569"/>
                      <c:h val="0.17982847222222223"/>
                    </c:manualLayout>
                  </c15:layout>
                </c:ext>
                <c:ext xmlns:c16="http://schemas.microsoft.com/office/drawing/2014/chart" uri="{C3380CC4-5D6E-409C-BE32-E72D297353CC}">
                  <c16:uniqueId val="{00000003-F8BB-452E-BFB8-1A1D90280907}"/>
                </c:ext>
              </c:extLst>
            </c:dLbl>
            <c:dLbl>
              <c:idx val="2"/>
              <c:layout>
                <c:manualLayout>
                  <c:x val="0.1579875816993464"/>
                  <c:y val="0.10841701388888889"/>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F8BB-452E-BFB8-1A1D90280907}"/>
                </c:ext>
              </c:extLst>
            </c:dLbl>
            <c:dLbl>
              <c:idx val="3"/>
              <c:layout>
                <c:manualLayout>
                  <c:x val="0.16864918300653595"/>
                  <c:y val="0.18855104166666667"/>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F8BB-452E-BFB8-1A1D90280907}"/>
                </c:ext>
              </c:extLst>
            </c:dLbl>
            <c:dLbl>
              <c:idx val="8"/>
              <c:layout>
                <c:manualLayout>
                  <c:x val="-0.28123921568627452"/>
                  <c:y val="-3.7262152777777766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F8BB-452E-BFB8-1A1D90280907}"/>
                </c:ext>
              </c:extLst>
            </c:dLbl>
            <c:numFmt formatCode="0.0%" sourceLinked="0"/>
            <c:spPr>
              <a:noFill/>
              <a:ln>
                <a:noFill/>
              </a:ln>
              <a:effectLst/>
            </c:spPr>
            <c:txPr>
              <a:bodyPr rot="0" spcFirstLastPara="1" vertOverflow="ellipsis" vert="horz" wrap="square" anchor="ctr" anchorCtr="1"/>
              <a:lstStyle/>
              <a:p>
                <a:pPr>
                  <a:defRPr sz="700" b="0" i="0" u="none" strike="noStrike" kern="1200" baseline="0%">
                    <a:solidFill>
                      <a:schemeClr val="tx1">
                        <a:lumMod val="65%"/>
                        <a:lumOff val="35%"/>
                      </a:schemeClr>
                    </a:solidFill>
                    <a:latin typeface="メイリオ" panose="020B0604030504040204" pitchFamily="50" charset="-128"/>
                    <a:ea typeface="メイリオ" panose="020B0604030504040204" pitchFamily="50" charset="-128"/>
                    <a:cs typeface="+mn-cs"/>
                  </a:defRPr>
                </a:pPr>
                <a:endParaRPr lang="ja-JP"/>
              </a:p>
            </c:txPr>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'グラフ(年齢区分）'!$M$5:$M$14</c:f>
              <c:strCache>
                <c:ptCount val="10"/>
                <c:pt idx="0">
                  <c:v>19歳以下</c:v>
                </c:pt>
                <c:pt idx="1">
                  <c:v>20歳代</c:v>
                </c:pt>
                <c:pt idx="2">
                  <c:v>30歳代</c:v>
                </c:pt>
                <c:pt idx="3">
                  <c:v>40歳代</c:v>
                </c:pt>
                <c:pt idx="4">
                  <c:v>50歳代</c:v>
                </c:pt>
                <c:pt idx="5">
                  <c:v>60歳代</c:v>
                </c:pt>
                <c:pt idx="6">
                  <c:v>70歳代</c:v>
                </c:pt>
                <c:pt idx="7">
                  <c:v>80歳代</c:v>
                </c:pt>
                <c:pt idx="8">
                  <c:v>90歳以上</c:v>
                </c:pt>
                <c:pt idx="9">
                  <c:v>不明</c:v>
                </c:pt>
              </c:strCache>
            </c:strRef>
          </c:cat>
          <c:val>
            <c:numRef>
              <c:f>'グラフ(年齢区分）'!$N$5:$N$14</c:f>
              <c:numCache>
                <c:formatCode>#,##0"人"</c:formatCode>
                <c:ptCount val="10"/>
                <c:pt idx="0">
                  <c:v>166</c:v>
                </c:pt>
                <c:pt idx="1">
                  <c:v>342</c:v>
                </c:pt>
                <c:pt idx="2">
                  <c:v>512</c:v>
                </c:pt>
                <c:pt idx="3">
                  <c:v>1052</c:v>
                </c:pt>
                <c:pt idx="4">
                  <c:v>2378</c:v>
                </c:pt>
                <c:pt idx="5">
                  <c:v>2348</c:v>
                </c:pt>
                <c:pt idx="6">
                  <c:v>3361</c:v>
                </c:pt>
                <c:pt idx="7">
                  <c:v>3230</c:v>
                </c:pt>
                <c:pt idx="8">
                  <c:v>770</c:v>
                </c:pt>
                <c:pt idx="9">
                  <c:v>1</c:v>
                </c:pt>
              </c:numCache>
            </c:numRef>
          </c:val>
          <c:extLst>
            <c:ext xmlns:c16="http://schemas.microsoft.com/office/drawing/2014/chart" uri="{C3380CC4-5D6E-409C-BE32-E72D297353CC}">
              <c16:uniqueId val="{00000012-F8BB-452E-BFB8-1A1D90280907}"/>
            </c:ext>
          </c:extLst>
        </c:ser>
        <c:dLbls>
          <c:showLegendKey val="0"/>
          <c:showVal val="1"/>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sz="700">
          <a:latin typeface="メイリオ" panose="020B0604030504040204" pitchFamily="50" charset="-128"/>
          <a:ea typeface="メイリオ" panose="020B0604030504040204" pitchFamily="50" charset="-128"/>
        </a:defRPr>
      </a:pPr>
      <a:endParaRPr lang="ja-JP"/>
    </a:p>
  </c:txPr>
  <c:printSettings>
    <c:headerFooter>
      <c:oddHeader>&amp;C○○市町村（○○保健所圏域）の在院患者の状況</c:oddHeader>
    </c:headerFooter>
    <c:pageMargins b="0.75" l="0.7" r="0.7" t="0.75" header="0.3" footer="0.3"/>
    <c:pageSetup orientation="portrait"/>
  </c:printSettings>
</c:chartSpace>
</file>

<file path=xl/charts/chart10.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altLang="ja-JP" sz="1200" b="1">
                <a:latin typeface="メイリオ" panose="020B0604030504040204" pitchFamily="50" charset="-128"/>
                <a:ea typeface="メイリオ" panose="020B0604030504040204" pitchFamily="50" charset="-128"/>
              </a:rPr>
              <a:t>65</a:t>
            </a:r>
            <a:r>
              <a:rPr lang="ja-JP" altLang="en-US" sz="1200" b="1">
                <a:latin typeface="メイリオ" panose="020B0604030504040204" pitchFamily="50" charset="-128"/>
                <a:ea typeface="メイリオ" panose="020B0604030504040204" pitchFamily="50" charset="-128"/>
              </a:rPr>
              <a:t>歳以上</a:t>
            </a:r>
            <a:endParaRPr lang="ja-JP" sz="1200" b="1">
              <a:latin typeface="メイリオ" panose="020B0604030504040204" pitchFamily="50" charset="-128"/>
              <a:ea typeface="メイリオ" panose="020B0604030504040204" pitchFamily="50" charset="-128"/>
            </a:endParaRPr>
          </a:p>
        </c:rich>
      </c:tx>
      <c:layout>
        <c:manualLayout>
          <c:xMode val="edge"/>
          <c:yMode val="edge"/>
          <c:x val="0.36990981962620362"/>
          <c:y val="8.4938356155221835E-3"/>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barChart>
        <c:barDir val="bar"/>
        <c:grouping val="clustered"/>
        <c:varyColors val="0"/>
        <c:ser>
          <c:idx val="0"/>
          <c:order val="0"/>
          <c:tx>
            <c:strRef>
              <c:f>'グラフ(疾患名)'!$O$45</c:f>
              <c:strCache>
                <c:ptCount val="1"/>
                <c:pt idx="0">
                  <c:v>人数</c:v>
                </c:pt>
              </c:strCache>
            </c:strRef>
          </c:tx>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Pt>
            <c:idx val="0"/>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196B-4E6B-9279-E7EDE4536D1F}"/>
              </c:ext>
            </c:extLst>
          </c:dPt>
          <c:dPt>
            <c:idx val="1"/>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196B-4E6B-9279-E7EDE4536D1F}"/>
              </c:ext>
            </c:extLst>
          </c:dPt>
          <c:dPt>
            <c:idx val="2"/>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196B-4E6B-9279-E7EDE4536D1F}"/>
              </c:ext>
            </c:extLst>
          </c:dPt>
          <c:dPt>
            <c:idx val="3"/>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196B-4E6B-9279-E7EDE4536D1F}"/>
              </c:ext>
            </c:extLst>
          </c:dPt>
          <c:dPt>
            <c:idx val="4"/>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196B-4E6B-9279-E7EDE4536D1F}"/>
              </c:ext>
            </c:extLst>
          </c:dPt>
          <c:dPt>
            <c:idx val="5"/>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196B-4E6B-9279-E7EDE4536D1F}"/>
              </c:ext>
            </c:extLst>
          </c:dPt>
          <c:dPt>
            <c:idx val="6"/>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196B-4E6B-9279-E7EDE4536D1F}"/>
              </c:ext>
            </c:extLst>
          </c:dPt>
          <c:dPt>
            <c:idx val="7"/>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196B-4E6B-9279-E7EDE4536D1F}"/>
              </c:ext>
            </c:extLst>
          </c:dPt>
          <c:dPt>
            <c:idx val="8"/>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196B-4E6B-9279-E7EDE4536D1F}"/>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'グラフ(疾患名)'!$T$5:$T$16</c:f>
              <c:strCache>
                <c:ptCount val="12"/>
                <c:pt idx="0">
                  <c:v>F0</c:v>
                </c:pt>
                <c:pt idx="1">
                  <c:v>F1</c:v>
                </c:pt>
                <c:pt idx="2">
                  <c:v>F2</c:v>
                </c:pt>
                <c:pt idx="3">
                  <c:v>F3</c:v>
                </c:pt>
                <c:pt idx="4">
                  <c:v>F4</c:v>
                </c:pt>
                <c:pt idx="5">
                  <c:v>F5</c:v>
                </c:pt>
                <c:pt idx="6">
                  <c:v>F6</c:v>
                </c:pt>
                <c:pt idx="7">
                  <c:v>F7</c:v>
                </c:pt>
                <c:pt idx="8">
                  <c:v>F8</c:v>
                </c:pt>
                <c:pt idx="9">
                  <c:v>F9</c:v>
                </c:pt>
                <c:pt idx="10">
                  <c:v>てんかん</c:v>
                </c:pt>
                <c:pt idx="11">
                  <c:v>その他</c:v>
                </c:pt>
              </c:strCache>
            </c:strRef>
          </c:cat>
          <c:val>
            <c:numRef>
              <c:f>'グラフ(疾患名)'!$O$46:$O$57</c:f>
              <c:numCache>
                <c:formatCode>#,##0"人"</c:formatCode>
                <c:ptCount val="12"/>
                <c:pt idx="0">
                  <c:v>3755</c:v>
                </c:pt>
                <c:pt idx="1">
                  <c:v>350</c:v>
                </c:pt>
                <c:pt idx="2">
                  <c:v>3126</c:v>
                </c:pt>
                <c:pt idx="3">
                  <c:v>1002</c:v>
                </c:pt>
                <c:pt idx="4">
                  <c:v>101</c:v>
                </c:pt>
                <c:pt idx="5">
                  <c:v>6</c:v>
                </c:pt>
                <c:pt idx="6">
                  <c:v>7</c:v>
                </c:pt>
                <c:pt idx="7">
                  <c:v>56</c:v>
                </c:pt>
                <c:pt idx="8">
                  <c:v>9</c:v>
                </c:pt>
                <c:pt idx="9">
                  <c:v>11</c:v>
                </c:pt>
                <c:pt idx="10">
                  <c:v>19</c:v>
                </c:pt>
                <c:pt idx="11">
                  <c:v>51</c:v>
                </c:pt>
              </c:numCache>
            </c:numRef>
          </c:val>
          <c:extLst>
            <c:ext xmlns:c16="http://schemas.microsoft.com/office/drawing/2014/chart" uri="{C3380CC4-5D6E-409C-BE32-E72D297353CC}">
              <c16:uniqueId val="{00000012-196B-4E6B-9279-E7EDE4536D1F}"/>
            </c:ext>
          </c:extLst>
        </c:ser>
        <c:dLbls>
          <c:showLegendKey val="0"/>
          <c:showVal val="0"/>
          <c:showCatName val="0"/>
          <c:showSerName val="0"/>
          <c:showPercent val="0"/>
          <c:showBubbleSize val="0"/>
        </c:dLbls>
        <c:gapWidth val="100"/>
        <c:axId val="635408048"/>
        <c:axId val="635413872"/>
      </c:barChart>
      <c:valAx>
        <c:axId val="635413872"/>
        <c:scaling>
          <c:orientation val="minMax"/>
        </c:scaling>
        <c:delete val="0"/>
        <c:axPos val="t"/>
        <c:majorGridlines>
          <c:spPr>
            <a:ln w="9525" cap="flat" cmpd="sng" algn="ctr">
              <a:solidFill>
                <a:schemeClr val="tx1">
                  <a:lumMod val="15%"/>
                  <a:lumOff val="85%"/>
                </a:schemeClr>
              </a:solidFill>
              <a:round/>
            </a:ln>
            <a:effectLst/>
          </c:spPr>
        </c:majorGridlines>
        <c:numFmt formatCode="#,##0&quot;人&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5408048"/>
        <c:crosses val="autoZero"/>
        <c:crossBetween val="between"/>
      </c:valAx>
      <c:catAx>
        <c:axId val="635408048"/>
        <c:scaling>
          <c:orientation val="maxMin"/>
        </c:scaling>
        <c:delete val="0"/>
        <c:axPos val="l"/>
        <c:numFmt formatCode="General" sourceLinked="1"/>
        <c:majorTickMark val="out"/>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5413872"/>
        <c:crosses val="autoZero"/>
        <c:auto val="1"/>
        <c:lblAlgn val="ctr"/>
        <c:lblOffset val="100"/>
        <c:noMultiLvlLbl val="0"/>
      </c:cat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11.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altLang="ja-JP" sz="1200" b="1">
                <a:latin typeface="メイリオ" panose="020B0604030504040204" pitchFamily="50" charset="-128"/>
                <a:ea typeface="メイリオ" panose="020B0604030504040204" pitchFamily="50" charset="-128"/>
              </a:rPr>
              <a:t>65</a:t>
            </a:r>
            <a:r>
              <a:rPr lang="ja-JP" altLang="en-US" sz="1200" b="1">
                <a:latin typeface="メイリオ" panose="020B0604030504040204" pitchFamily="50" charset="-128"/>
                <a:ea typeface="メイリオ" panose="020B0604030504040204" pitchFamily="50" charset="-128"/>
              </a:rPr>
              <a:t>歳以上＿寛解・院内寛解群</a:t>
            </a:r>
            <a:endParaRPr lang="ja-JP" sz="1200" b="1">
              <a:latin typeface="メイリオ" panose="020B0604030504040204" pitchFamily="50" charset="-128"/>
              <a:ea typeface="メイリオ" panose="020B0604030504040204" pitchFamily="50" charset="-128"/>
            </a:endParaRPr>
          </a:p>
        </c:rich>
      </c:tx>
      <c:layout>
        <c:manualLayout>
          <c:xMode val="edge"/>
          <c:yMode val="edge"/>
          <c:x val="0.159632072694495"/>
          <c:y val="8.4938356155221835E-3"/>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barChart>
        <c:barDir val="bar"/>
        <c:grouping val="clustered"/>
        <c:varyColors val="0"/>
        <c:ser>
          <c:idx val="2"/>
          <c:order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Pt>
            <c:idx val="0"/>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F055-4CA5-BF89-8FDF1AA0C46E}"/>
              </c:ext>
            </c:extLst>
          </c:dPt>
          <c:dPt>
            <c:idx val="1"/>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F055-4CA5-BF89-8FDF1AA0C46E}"/>
              </c:ext>
            </c:extLst>
          </c:dPt>
          <c:dPt>
            <c:idx val="2"/>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F055-4CA5-BF89-8FDF1AA0C46E}"/>
              </c:ext>
            </c:extLst>
          </c:dPt>
          <c:dPt>
            <c:idx val="3"/>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F055-4CA5-BF89-8FDF1AA0C46E}"/>
              </c:ext>
            </c:extLst>
          </c:dPt>
          <c:dPt>
            <c:idx val="4"/>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F055-4CA5-BF89-8FDF1AA0C46E}"/>
              </c:ext>
            </c:extLst>
          </c:dPt>
          <c:dPt>
            <c:idx val="5"/>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F055-4CA5-BF89-8FDF1AA0C46E}"/>
              </c:ext>
            </c:extLst>
          </c:dPt>
          <c:dPt>
            <c:idx val="6"/>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F055-4CA5-BF89-8FDF1AA0C46E}"/>
              </c:ext>
            </c:extLst>
          </c:dPt>
          <c:dPt>
            <c:idx val="7"/>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F055-4CA5-BF89-8FDF1AA0C46E}"/>
              </c:ext>
            </c:extLst>
          </c:dPt>
          <c:dPt>
            <c:idx val="8"/>
            <c:invertIfNegative val="0"/>
            <c:bubble3D val="0"/>
            <c:spPr>
              <a:solidFill>
                <a:srgbClr val="F8FED2"/>
              </a:solidFill>
              <a:ln w="9525" cap="flat" cmpd="sng" algn="ctr">
                <a:solidFill>
                  <a:srgbClr val="FFFF00"/>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F055-4CA5-BF89-8FDF1AA0C46E}"/>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'グラフ(疾患名)'!$T$5:$T$16</c:f>
              <c:strCache>
                <c:ptCount val="12"/>
                <c:pt idx="0">
                  <c:v>F0</c:v>
                </c:pt>
                <c:pt idx="1">
                  <c:v>F1</c:v>
                </c:pt>
                <c:pt idx="2">
                  <c:v>F2</c:v>
                </c:pt>
                <c:pt idx="3">
                  <c:v>F3</c:v>
                </c:pt>
                <c:pt idx="4">
                  <c:v>F4</c:v>
                </c:pt>
                <c:pt idx="5">
                  <c:v>F5</c:v>
                </c:pt>
                <c:pt idx="6">
                  <c:v>F6</c:v>
                </c:pt>
                <c:pt idx="7">
                  <c:v>F7</c:v>
                </c:pt>
                <c:pt idx="8">
                  <c:v>F8</c:v>
                </c:pt>
                <c:pt idx="9">
                  <c:v>F9</c:v>
                </c:pt>
                <c:pt idx="10">
                  <c:v>てんかん</c:v>
                </c:pt>
                <c:pt idx="11">
                  <c:v>その他</c:v>
                </c:pt>
              </c:strCache>
            </c:strRef>
          </c:cat>
          <c:val>
            <c:numRef>
              <c:f>'グラフ(疾患名)'!$P$46:$P$57</c:f>
              <c:numCache>
                <c:formatCode>#,##0"人"</c:formatCode>
                <c:ptCount val="12"/>
                <c:pt idx="0">
                  <c:v>249</c:v>
                </c:pt>
                <c:pt idx="1">
                  <c:v>89</c:v>
                </c:pt>
                <c:pt idx="2">
                  <c:v>293</c:v>
                </c:pt>
                <c:pt idx="3">
                  <c:v>163</c:v>
                </c:pt>
                <c:pt idx="4">
                  <c:v>21</c:v>
                </c:pt>
                <c:pt idx="5">
                  <c:v>0</c:v>
                </c:pt>
                <c:pt idx="6">
                  <c:v>4</c:v>
                </c:pt>
                <c:pt idx="7">
                  <c:v>3</c:v>
                </c:pt>
                <c:pt idx="8">
                  <c:v>1</c:v>
                </c:pt>
                <c:pt idx="9">
                  <c:v>3</c:v>
                </c:pt>
                <c:pt idx="10">
                  <c:v>2</c:v>
                </c:pt>
                <c:pt idx="11">
                  <c:v>4</c:v>
                </c:pt>
              </c:numCache>
            </c:numRef>
          </c:val>
          <c:extLst>
            <c:ext xmlns:c16="http://schemas.microsoft.com/office/drawing/2014/chart" uri="{C3380CC4-5D6E-409C-BE32-E72D297353CC}">
              <c16:uniqueId val="{00000012-F055-4CA5-BF89-8FDF1AA0C46E}"/>
            </c:ext>
          </c:extLst>
        </c:ser>
        <c:dLbls>
          <c:showLegendKey val="0"/>
          <c:showVal val="0"/>
          <c:showCatName val="0"/>
          <c:showSerName val="0"/>
          <c:showPercent val="0"/>
          <c:showBubbleSize val="0"/>
        </c:dLbls>
        <c:gapWidth val="100"/>
        <c:axId val="292094896"/>
        <c:axId val="292097808"/>
      </c:barChart>
      <c:valAx>
        <c:axId val="292097808"/>
        <c:scaling>
          <c:orientation val="minMax"/>
        </c:scaling>
        <c:delete val="0"/>
        <c:axPos val="t"/>
        <c:majorGridlines>
          <c:spPr>
            <a:ln w="9525" cap="flat" cmpd="sng" algn="ctr">
              <a:solidFill>
                <a:schemeClr val="tx1">
                  <a:lumMod val="15%"/>
                  <a:lumOff val="85%"/>
                </a:schemeClr>
              </a:solidFill>
              <a:round/>
            </a:ln>
            <a:effectLst/>
          </c:spPr>
        </c:majorGridlines>
        <c:numFmt formatCode="#,##0&quot;人&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292094896"/>
        <c:crosses val="autoZero"/>
        <c:crossBetween val="between"/>
      </c:valAx>
      <c:catAx>
        <c:axId val="292094896"/>
        <c:scaling>
          <c:orientation val="maxMin"/>
        </c:scaling>
        <c:delete val="0"/>
        <c:axPos val="l"/>
        <c:numFmt formatCode="General" sourceLinked="1"/>
        <c:majorTickMark val="out"/>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292097808"/>
        <c:crosses val="autoZero"/>
        <c:auto val="1"/>
        <c:lblAlgn val="ctr"/>
        <c:lblOffset val="100"/>
        <c:noMultiLvlLbl val="0"/>
      </c:cat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altLang="ja-JP" sz="1200" b="1">
                <a:latin typeface="メイリオ" panose="020B0604030504040204" pitchFamily="50" charset="-128"/>
                <a:ea typeface="メイリオ" panose="020B0604030504040204" pitchFamily="50" charset="-128"/>
              </a:rPr>
              <a:t>1</a:t>
            </a:r>
            <a:r>
              <a:rPr lang="ja-JP" altLang="en-US" sz="1200" b="1">
                <a:latin typeface="メイリオ" panose="020B0604030504040204" pitchFamily="50" charset="-128"/>
                <a:ea typeface="メイリオ" panose="020B0604030504040204" pitchFamily="50" charset="-128"/>
              </a:rPr>
              <a:t>年以上＿寛解・院内寛解群</a:t>
            </a:r>
            <a:endParaRPr lang="ja-JP" sz="1200" b="1">
              <a:latin typeface="メイリオ" panose="020B0604030504040204" pitchFamily="50" charset="-128"/>
              <a:ea typeface="メイリオ" panose="020B0604030504040204" pitchFamily="50" charset="-128"/>
            </a:endParaRPr>
          </a:p>
        </c:rich>
      </c:tx>
      <c:layout>
        <c:manualLayout>
          <c:xMode val="edge"/>
          <c:yMode val="edge"/>
          <c:x val="0.22917408818129503"/>
          <c:y val="1.2740753423283275E-2"/>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barChart>
        <c:barDir val="bar"/>
        <c:grouping val="clustered"/>
        <c:varyColors val="0"/>
        <c:ser>
          <c:idx val="0"/>
          <c:order val="0"/>
          <c:tx>
            <c:strRef>
              <c:f>'グラフ(疾患名)'!$R$23</c:f>
              <c:strCache>
                <c:ptCount val="1"/>
                <c:pt idx="0">
                  <c:v>計</c:v>
                </c:pt>
              </c:strCache>
            </c:strRef>
          </c:tx>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Pt>
            <c:idx val="0"/>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35F0-45D8-9675-A466BE431B89}"/>
              </c:ext>
            </c:extLst>
          </c:dPt>
          <c:dPt>
            <c:idx val="1"/>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35F0-45D8-9675-A466BE431B89}"/>
              </c:ext>
            </c:extLst>
          </c:dPt>
          <c:dPt>
            <c:idx val="2"/>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35F0-45D8-9675-A466BE431B89}"/>
              </c:ext>
            </c:extLst>
          </c:dPt>
          <c:dPt>
            <c:idx val="3"/>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35F0-45D8-9675-A466BE431B89}"/>
              </c:ext>
            </c:extLst>
          </c:dPt>
          <c:dPt>
            <c:idx val="4"/>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35F0-45D8-9675-A466BE431B89}"/>
              </c:ext>
            </c:extLst>
          </c:dPt>
          <c:dPt>
            <c:idx val="5"/>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35F0-45D8-9675-A466BE431B89}"/>
              </c:ext>
            </c:extLst>
          </c:dPt>
          <c:dPt>
            <c:idx val="6"/>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35F0-45D8-9675-A466BE431B89}"/>
              </c:ext>
            </c:extLst>
          </c:dPt>
          <c:dPt>
            <c:idx val="7"/>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35F0-45D8-9675-A466BE431B89}"/>
              </c:ext>
            </c:extLst>
          </c:dPt>
          <c:dPt>
            <c:idx val="8"/>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35F0-45D8-9675-A466BE431B89}"/>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'グラフ(疾患名)'!$T$5:$T$16</c:f>
              <c:strCache>
                <c:ptCount val="12"/>
                <c:pt idx="0">
                  <c:v>F0</c:v>
                </c:pt>
                <c:pt idx="1">
                  <c:v>F1</c:v>
                </c:pt>
                <c:pt idx="2">
                  <c:v>F2</c:v>
                </c:pt>
                <c:pt idx="3">
                  <c:v>F3</c:v>
                </c:pt>
                <c:pt idx="4">
                  <c:v>F4</c:v>
                </c:pt>
                <c:pt idx="5">
                  <c:v>F5</c:v>
                </c:pt>
                <c:pt idx="6">
                  <c:v>F6</c:v>
                </c:pt>
                <c:pt idx="7">
                  <c:v>F7</c:v>
                </c:pt>
                <c:pt idx="8">
                  <c:v>F8</c:v>
                </c:pt>
                <c:pt idx="9">
                  <c:v>F9</c:v>
                </c:pt>
                <c:pt idx="10">
                  <c:v>てんかん</c:v>
                </c:pt>
                <c:pt idx="11">
                  <c:v>その他</c:v>
                </c:pt>
              </c:strCache>
            </c:strRef>
          </c:cat>
          <c:val>
            <c:numRef>
              <c:f>'グラフ(疾患名)'!$R$24:$R$35</c:f>
              <c:numCache>
                <c:formatCode>#,##0"人"</c:formatCode>
                <c:ptCount val="12"/>
                <c:pt idx="0">
                  <c:v>90</c:v>
                </c:pt>
                <c:pt idx="1">
                  <c:v>38</c:v>
                </c:pt>
                <c:pt idx="2">
                  <c:v>331</c:v>
                </c:pt>
                <c:pt idx="3">
                  <c:v>78</c:v>
                </c:pt>
                <c:pt idx="4">
                  <c:v>12</c:v>
                </c:pt>
                <c:pt idx="5">
                  <c:v>1</c:v>
                </c:pt>
                <c:pt idx="6">
                  <c:v>2</c:v>
                </c:pt>
                <c:pt idx="7">
                  <c:v>10</c:v>
                </c:pt>
                <c:pt idx="8">
                  <c:v>2</c:v>
                </c:pt>
                <c:pt idx="9">
                  <c:v>4</c:v>
                </c:pt>
                <c:pt idx="10">
                  <c:v>1</c:v>
                </c:pt>
                <c:pt idx="11">
                  <c:v>4</c:v>
                </c:pt>
              </c:numCache>
            </c:numRef>
          </c:val>
          <c:extLst>
            <c:ext xmlns:c16="http://schemas.microsoft.com/office/drawing/2014/chart" uri="{C3380CC4-5D6E-409C-BE32-E72D297353CC}">
              <c16:uniqueId val="{00000012-35F0-45D8-9675-A466BE431B89}"/>
            </c:ext>
          </c:extLst>
        </c:ser>
        <c:dLbls>
          <c:showLegendKey val="0"/>
          <c:showVal val="0"/>
          <c:showCatName val="0"/>
          <c:showSerName val="0"/>
          <c:showPercent val="0"/>
          <c:showBubbleSize val="0"/>
        </c:dLbls>
        <c:gapWidth val="100"/>
        <c:axId val="630611664"/>
        <c:axId val="630606256"/>
      </c:barChart>
      <c:valAx>
        <c:axId val="630606256"/>
        <c:scaling>
          <c:orientation val="minMax"/>
        </c:scaling>
        <c:delete val="0"/>
        <c:axPos val="t"/>
        <c:majorGridlines>
          <c:spPr>
            <a:ln w="9525" cap="flat" cmpd="sng" algn="ctr">
              <a:solidFill>
                <a:schemeClr val="tx1">
                  <a:lumMod val="15%"/>
                  <a:lumOff val="85%"/>
                </a:schemeClr>
              </a:solidFill>
              <a:round/>
            </a:ln>
            <a:effectLst/>
          </c:spPr>
        </c:majorGridlines>
        <c:numFmt formatCode="#,##0&quot;人&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0611664"/>
        <c:crosses val="autoZero"/>
        <c:crossBetween val="between"/>
      </c:valAx>
      <c:catAx>
        <c:axId val="630611664"/>
        <c:scaling>
          <c:orientation val="maxMin"/>
        </c:scaling>
        <c:delete val="0"/>
        <c:axPos val="l"/>
        <c:numFmt formatCode="General" sourceLinked="1"/>
        <c:majorTickMark val="out"/>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0606256"/>
        <c:crosses val="autoZero"/>
        <c:auto val="1"/>
        <c:lblAlgn val="ctr"/>
        <c:lblOffset val="100"/>
        <c:noMultiLvlLbl val="0"/>
      </c:cat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r>
              <a:rPr lang="ja-JP" altLang="en-US" sz="1200" b="1"/>
              <a:t>在院期間＿患者全体</a:t>
            </a:r>
            <a:endParaRPr lang="ja-JP" sz="1200" b="1"/>
          </a:p>
        </c:rich>
      </c:tx>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barChart>
        <c:barDir val="bar"/>
        <c:grouping val="stacked"/>
        <c:varyColors val="0"/>
        <c:ser>
          <c:idx val="0"/>
          <c:order val="0"/>
          <c:tx>
            <c:strRef>
              <c:f>'グラフ(在院期間) '!$M$3</c:f>
              <c:strCache>
                <c:ptCount val="1"/>
                <c:pt idx="0">
                  <c:v>65歳未満</c:v>
                </c:pt>
              </c:strCache>
            </c:strRef>
          </c:tx>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c:spPr>
          <c:invertIfNegative val="0"/>
          <c:dLbls>
            <c:dLbl>
              <c:idx val="0"/>
              <c:tx>
                <c:rich>
                  <a:bodyPr/>
                  <a:lstStyle/>
                  <a:p>
                    <a:fld id="{E8416F97-6677-4C75-8B9D-E737EF156502}" type="CELLRANGE">
                      <a:rPr lang="en-US" altLang="ja-JP"/>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92B7-4A50-8C5E-7771008A3F96}"/>
                </c:ext>
              </c:extLst>
            </c:dLbl>
            <c:dLbl>
              <c:idx val="1"/>
              <c:tx>
                <c:rich>
                  <a:bodyPr/>
                  <a:lstStyle/>
                  <a:p>
                    <a:fld id="{0F0F678C-E842-4C60-AD82-A32E5B87E673}" type="CELLRANGE">
                      <a:rPr lang="ja-JP" altLang="en-US"/>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92B7-4A50-8C5E-7771008A3F96}"/>
                </c:ext>
              </c:extLst>
            </c:dLbl>
            <c:dLbl>
              <c:idx val="2"/>
              <c:tx>
                <c:rich>
                  <a:bodyPr/>
                  <a:lstStyle/>
                  <a:p>
                    <a:fld id="{E09B2785-0359-4EEF-91C0-BE7DDDAD83C7}" type="CELLRANGE">
                      <a:rPr lang="ja-JP" altLang="en-US"/>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92B7-4A50-8C5E-7771008A3F96}"/>
                </c:ext>
              </c:extLst>
            </c:dLbl>
            <c:dLbl>
              <c:idx val="3"/>
              <c:tx>
                <c:rich>
                  <a:bodyPr/>
                  <a:lstStyle/>
                  <a:p>
                    <a:fld id="{0F3A1FE7-427D-4B90-A834-D21EFB971A75}" type="CELLRANGE">
                      <a:rPr lang="ja-JP" altLang="en-US"/>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92B7-4A50-8C5E-7771008A3F9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
                        <a:lumOff val="50%"/>
                      </a:schemeClr>
                    </a:solidFill>
                    <a:latin typeface="+mn-lt"/>
                    <a:ea typeface="+mn-ea"/>
                    <a:cs typeface="+mn-cs"/>
                  </a:defRPr>
                </a:pPr>
                <a:endParaRPr lang="ja-JP"/>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'!$L$4:$L$7</c:f>
              <c:strCache>
                <c:ptCount val="4"/>
                <c:pt idx="0">
                  <c:v>1年未満</c:v>
                </c:pt>
                <c:pt idx="1">
                  <c:v>1年以上5年未満</c:v>
                </c:pt>
                <c:pt idx="2">
                  <c:v>5年以上10年未満</c:v>
                </c:pt>
                <c:pt idx="3">
                  <c:v>10年以上</c:v>
                </c:pt>
              </c:strCache>
            </c:strRef>
          </c:cat>
          <c:val>
            <c:numRef>
              <c:f>'グラフ(在院期間) '!$M$4:$M$7</c:f>
              <c:numCache>
                <c:formatCode>#,##0"人"</c:formatCode>
                <c:ptCount val="4"/>
                <c:pt idx="0">
                  <c:v>2805</c:v>
                </c:pt>
                <c:pt idx="1">
                  <c:v>1260</c:v>
                </c:pt>
                <c:pt idx="2">
                  <c:v>754</c:v>
                </c:pt>
                <c:pt idx="3">
                  <c:v>848</c:v>
                </c:pt>
              </c:numCache>
            </c:numRef>
          </c:val>
          <c:extLst>
            <c:ext xmlns:c15="http://schemas.microsoft.com/office/drawing/2012/chart" uri="{02D57815-91ED-43cb-92C2-25804820EDAC}">
              <c15:datalabelsRange>
                <c15:f>'グラフ(在院期間) '!$P$4:$P$7</c15:f>
                <c15:dlblRangeCache>
                  <c:ptCount val="4"/>
                  <c:pt idx="0">
                    <c:v>43.9%</c:v>
                  </c:pt>
                  <c:pt idx="1">
                    <c:v>31.9%</c:v>
                  </c:pt>
                  <c:pt idx="2">
                    <c:v>41.7%</c:v>
                  </c:pt>
                  <c:pt idx="3">
                    <c:v>42.3%</c:v>
                  </c:pt>
                </c15:dlblRangeCache>
              </c15:datalabelsRange>
            </c:ext>
            <c:ext xmlns:c16="http://schemas.microsoft.com/office/drawing/2014/chart" uri="{C3380CC4-5D6E-409C-BE32-E72D297353CC}">
              <c16:uniqueId val="{00000000-92B7-4A50-8C5E-7771008A3F96}"/>
            </c:ext>
          </c:extLst>
        </c:ser>
        <c:ser>
          <c:idx val="1"/>
          <c:order val="1"/>
          <c:tx>
            <c:strRef>
              <c:f>'グラフ(在院期間) '!$N$3</c:f>
              <c:strCache>
                <c:ptCount val="1"/>
                <c:pt idx="0">
                  <c:v>65歳以上</c:v>
                </c:pt>
              </c:strCache>
            </c:strRef>
          </c:tx>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Lbls>
            <c:dLbl>
              <c:idx val="0"/>
              <c:tx>
                <c:rich>
                  <a:bodyPr/>
                  <a:lstStyle/>
                  <a:p>
                    <a:fld id="{FCB30FDE-89C9-4C5D-97FE-79B07988C2A7}" type="CELLRANGE">
                      <a:rPr lang="en-US" altLang="ja-JP"/>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92B7-4A50-8C5E-7771008A3F96}"/>
                </c:ext>
              </c:extLst>
            </c:dLbl>
            <c:dLbl>
              <c:idx val="1"/>
              <c:tx>
                <c:rich>
                  <a:bodyPr/>
                  <a:lstStyle/>
                  <a:p>
                    <a:fld id="{375282F8-D447-4F37-B825-2C8E24012AA6}" type="CELLRANGE">
                      <a:rPr lang="ja-JP" altLang="en-US"/>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92B7-4A50-8C5E-7771008A3F96}"/>
                </c:ext>
              </c:extLst>
            </c:dLbl>
            <c:dLbl>
              <c:idx val="2"/>
              <c:tx>
                <c:rich>
                  <a:bodyPr/>
                  <a:lstStyle/>
                  <a:p>
                    <a:fld id="{40630F96-488D-4CDD-AB1C-1BFA6D941B8A}" type="CELLRANGE">
                      <a:rPr lang="ja-JP" altLang="en-US"/>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92B7-4A50-8C5E-7771008A3F96}"/>
                </c:ext>
              </c:extLst>
            </c:dLbl>
            <c:dLbl>
              <c:idx val="3"/>
              <c:tx>
                <c:rich>
                  <a:bodyPr/>
                  <a:lstStyle/>
                  <a:p>
                    <a:fld id="{37516C51-1044-47FB-B316-0547840B2011}" type="CELLRANGE">
                      <a:rPr lang="ja-JP" altLang="en-US"/>
                      <a:pPr/>
                      <a:t>[CELLRANGE]</a:t>
                    </a:fld>
                    <a:endParaRPr lang="ja-JP" altLang="en-US"/>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92B7-4A50-8C5E-7771008A3F9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
                        <a:lumOff val="50%"/>
                      </a:schemeClr>
                    </a:solidFill>
                    <a:latin typeface="+mn-lt"/>
                    <a:ea typeface="+mn-ea"/>
                    <a:cs typeface="+mn-cs"/>
                  </a:defRPr>
                </a:pPr>
                <a:endParaRPr lang="ja-JP"/>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'!$L$4:$L$7</c:f>
              <c:strCache>
                <c:ptCount val="4"/>
                <c:pt idx="0">
                  <c:v>1年未満</c:v>
                </c:pt>
                <c:pt idx="1">
                  <c:v>1年以上5年未満</c:v>
                </c:pt>
                <c:pt idx="2">
                  <c:v>5年以上10年未満</c:v>
                </c:pt>
                <c:pt idx="3">
                  <c:v>10年以上</c:v>
                </c:pt>
              </c:strCache>
            </c:strRef>
          </c:cat>
          <c:val>
            <c:numRef>
              <c:f>'グラフ(在院期間) '!$N$4:$N$7</c:f>
              <c:numCache>
                <c:formatCode>#,##0"人"</c:formatCode>
                <c:ptCount val="4"/>
                <c:pt idx="0">
                  <c:v>3589</c:v>
                </c:pt>
                <c:pt idx="1">
                  <c:v>2695</c:v>
                </c:pt>
                <c:pt idx="2">
                  <c:v>1052</c:v>
                </c:pt>
                <c:pt idx="3">
                  <c:v>1157</c:v>
                </c:pt>
              </c:numCache>
            </c:numRef>
          </c:val>
          <c:extLst>
            <c:ext xmlns:c15="http://schemas.microsoft.com/office/drawing/2012/chart" uri="{02D57815-91ED-43cb-92C2-25804820EDAC}">
              <c15:datalabelsRange>
                <c15:f>'グラフ(在院期間) '!$Q$4:$Q$7</c15:f>
                <c15:dlblRangeCache>
                  <c:ptCount val="4"/>
                  <c:pt idx="0">
                    <c:v>56.1%</c:v>
                  </c:pt>
                  <c:pt idx="1">
                    <c:v>68.1%</c:v>
                  </c:pt>
                  <c:pt idx="2">
                    <c:v>58.3%</c:v>
                  </c:pt>
                  <c:pt idx="3">
                    <c:v>57.7%</c:v>
                  </c:pt>
                </c15:dlblRangeCache>
              </c15:datalabelsRange>
            </c:ext>
            <c:ext xmlns:c16="http://schemas.microsoft.com/office/drawing/2014/chart" uri="{C3380CC4-5D6E-409C-BE32-E72D297353CC}">
              <c16:uniqueId val="{00000001-92B7-4A50-8C5E-7771008A3F96}"/>
            </c:ext>
          </c:extLst>
        </c:ser>
        <c:dLbls>
          <c:showLegendKey val="0"/>
          <c:showVal val="0"/>
          <c:showCatName val="0"/>
          <c:showSerName val="0"/>
          <c:showPercent val="0"/>
          <c:showBubbleSize val="0"/>
        </c:dLbls>
        <c:gapWidth val="150"/>
        <c:overlap val="100"/>
        <c:axId val="116807760"/>
        <c:axId val="116801936"/>
      </c:barChart>
      <c:catAx>
        <c:axId val="116807760"/>
        <c:scaling>
          <c:orientation val="minMax"/>
        </c:scaling>
        <c:delete val="0"/>
        <c:axPos val="l"/>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1936"/>
        <c:crosses val="autoZero"/>
        <c:auto val="1"/>
        <c:lblAlgn val="ctr"/>
        <c:lblOffset val="100"/>
        <c:noMultiLvlLbl val="0"/>
      </c:catAx>
      <c:valAx>
        <c:axId val="116801936"/>
        <c:scaling>
          <c:orientation val="minMax"/>
        </c:scaling>
        <c:delete val="0"/>
        <c:axPos val="b"/>
        <c:majorGridlines>
          <c:spPr>
            <a:ln w="9525" cap="flat" cmpd="sng" algn="ctr">
              <a:solidFill>
                <a:schemeClr val="tx1">
                  <a:lumMod val="15%"/>
                  <a:lumOff val="85%"/>
                </a:schemeClr>
              </a:solidFill>
              <a:round/>
            </a:ln>
            <a:effectLst/>
          </c:spPr>
        </c:maj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7760"/>
        <c:crosses val="autoZero"/>
        <c:crossBetween val="between"/>
      </c:valAx>
      <c:dTable>
        <c:showHorzBorder val="1"/>
        <c:showVertBorder val="1"/>
        <c:showOutline val="1"/>
        <c:showKeys val="0"/>
        <c:spPr>
          <a:noFill/>
          <a:ln w="9525">
            <a:solidFill>
              <a:schemeClr val="tx1">
                <a:lumMod val="15%"/>
                <a:lumOff val="85%"/>
              </a:schemeClr>
            </a:solidFill>
          </a:ln>
          <a:effectLst/>
        </c:spPr>
        <c:txPr>
          <a:bodyPr rot="0" spcFirstLastPara="1" vertOverflow="ellipsis" vert="horz" wrap="square" anchor="ctr" anchorCtr="1"/>
          <a:lstStyle/>
          <a:p>
            <a:pPr rtl="0">
              <a:defRPr sz="800" b="0" i="0" u="none" strike="noStrike" kern="1200" baseline="0%">
                <a:solidFill>
                  <a:schemeClr val="tx1">
                    <a:lumMod val="50%"/>
                    <a:lumOff val="50%"/>
                  </a:schemeClr>
                </a:solidFill>
                <a:latin typeface="+mn-lt"/>
                <a:ea typeface="+mn-ea"/>
                <a:cs typeface="+mn-cs"/>
              </a:defRPr>
            </a:pPr>
            <a:endParaRPr lang="ja-JP"/>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oddHeader>&amp;C&amp;"游ゴシック,太字"&amp;14R4年度　大阪府の在院患者の状況&amp;R&amp;"游ゴシック,標準"&amp;10R4.6.30時点</c:oddHeader>
    </c:headerFooter>
    <c:pageMargins b="0.75" l="0.7" r="0.7" t="0.75" header="0.3" footer="0.3"/>
    <c:pageSetup paperSize="9" orientation="landscape"/>
  </c:printSettings>
</c:chartSpace>
</file>

<file path=xl/charts/chart14.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r>
              <a:rPr lang="ja-JP" altLang="en-US" sz="1200" b="1"/>
              <a:t>在院期間＿寛解・院内寛解群</a:t>
            </a:r>
            <a:endParaRPr lang="ja-JP" sz="1200" b="1"/>
          </a:p>
        </c:rich>
      </c:tx>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barChart>
        <c:barDir val="bar"/>
        <c:grouping val="stacked"/>
        <c:varyColors val="0"/>
        <c:ser>
          <c:idx val="0"/>
          <c:order val="0"/>
          <c:tx>
            <c:strRef>
              <c:f>'グラフ(在院期間) '!$M$8</c:f>
              <c:strCache>
                <c:ptCount val="1"/>
                <c:pt idx="0">
                  <c:v>65歳未満</c:v>
                </c:pt>
              </c:strCache>
            </c:strRef>
          </c:tx>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c:spPr>
          <c:invertIfNegative val="0"/>
          <c:dLbls>
            <c:dLbl>
              <c:idx val="0"/>
              <c:tx>
                <c:rich>
                  <a:bodyPr/>
                  <a:lstStyle/>
                  <a:p>
                    <a:fld id="{70EDD03D-6E1E-4150-80FF-D6759FB899BE}"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ED21-42B9-A33C-BF0B0FC6CD8F}"/>
                </c:ext>
              </c:extLst>
            </c:dLbl>
            <c:dLbl>
              <c:idx val="1"/>
              <c:tx>
                <c:rich>
                  <a:bodyPr/>
                  <a:lstStyle/>
                  <a:p>
                    <a:fld id="{AE86E8D2-9AA6-4C78-95A2-AB1F6B6183BF}"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ED21-42B9-A33C-BF0B0FC6CD8F}"/>
                </c:ext>
              </c:extLst>
            </c:dLbl>
            <c:dLbl>
              <c:idx val="2"/>
              <c:layout>
                <c:manualLayout>
                  <c:x val="-6.632380182828003E-3"/>
                  <c:y val="-3.6002834868887314E-2"/>
                </c:manualLayout>
              </c:layout>
              <c:tx>
                <c:rich>
                  <a:bodyPr/>
                  <a:lstStyle/>
                  <a:p>
                    <a:fld id="{9CB342B7-D776-4EDD-ABA6-35F798D2165D}"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ED21-42B9-A33C-BF0B0FC6CD8F}"/>
                </c:ext>
              </c:extLst>
            </c:dLbl>
            <c:dLbl>
              <c:idx val="3"/>
              <c:layout>
                <c:manualLayout>
                  <c:x val="3.3050219888893333E-2"/>
                  <c:y val="-7.6506024096385544E-2"/>
                </c:manualLayout>
              </c:layout>
              <c:tx>
                <c:rich>
                  <a:bodyPr/>
                  <a:lstStyle/>
                  <a:p>
                    <a:fld id="{7DBCCA26-9BA8-434D-90D6-D116F74918E0}"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D21-42B9-A33C-BF0B0FC6CD8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endParaRPr lang="ja-JP"/>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'!$L$9:$L$12</c:f>
              <c:strCache>
                <c:ptCount val="4"/>
                <c:pt idx="0">
                  <c:v>1年未満</c:v>
                </c:pt>
                <c:pt idx="1">
                  <c:v>1年以上5年未満</c:v>
                </c:pt>
                <c:pt idx="2">
                  <c:v>5年以上10年未満</c:v>
                </c:pt>
                <c:pt idx="3">
                  <c:v>10年以上</c:v>
                </c:pt>
              </c:strCache>
            </c:strRef>
          </c:cat>
          <c:val>
            <c:numRef>
              <c:f>'グラフ(在院期間) '!$M$9:$M$12</c:f>
              <c:numCache>
                <c:formatCode>#,##0"人"</c:formatCode>
                <c:ptCount val="4"/>
                <c:pt idx="0">
                  <c:v>754</c:v>
                </c:pt>
                <c:pt idx="1">
                  <c:v>116</c:v>
                </c:pt>
                <c:pt idx="2">
                  <c:v>59</c:v>
                </c:pt>
                <c:pt idx="3">
                  <c:v>42</c:v>
                </c:pt>
              </c:numCache>
            </c:numRef>
          </c:val>
          <c:extLst>
            <c:ext xmlns:c15="http://schemas.microsoft.com/office/drawing/2012/chart" uri="{02D57815-91ED-43cb-92C2-25804820EDAC}">
              <c15:datalabelsRange>
                <c15:f>'グラフ(在院期間) '!$P$9:$P$12</c15:f>
                <c15:dlblRangeCache>
                  <c:ptCount val="4"/>
                  <c:pt idx="0">
                    <c:v>61.3%</c:v>
                  </c:pt>
                  <c:pt idx="1">
                    <c:v>36.5%</c:v>
                  </c:pt>
                  <c:pt idx="2">
                    <c:v>40.7%</c:v>
                  </c:pt>
                  <c:pt idx="3">
                    <c:v>38.2%</c:v>
                  </c:pt>
                </c15:dlblRangeCache>
              </c15:datalabelsRange>
            </c:ext>
            <c:ext xmlns:c16="http://schemas.microsoft.com/office/drawing/2014/chart" uri="{C3380CC4-5D6E-409C-BE32-E72D297353CC}">
              <c16:uniqueId val="{00000000-ED21-42B9-A33C-BF0B0FC6CD8F}"/>
            </c:ext>
          </c:extLst>
        </c:ser>
        <c:ser>
          <c:idx val="1"/>
          <c:order val="1"/>
          <c:tx>
            <c:strRef>
              <c:f>'グラフ(在院期間) '!$N$8</c:f>
              <c:strCache>
                <c:ptCount val="1"/>
                <c:pt idx="0">
                  <c:v>65歳以上</c:v>
                </c:pt>
              </c:strCache>
            </c:strRef>
          </c:tx>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Lbls>
            <c:dLbl>
              <c:idx val="0"/>
              <c:tx>
                <c:rich>
                  <a:bodyPr/>
                  <a:lstStyle/>
                  <a:p>
                    <a:fld id="{DF781D6B-1CED-45A9-984B-D5C2D7ACBC86}"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ED21-42B9-A33C-BF0B0FC6CD8F}"/>
                </c:ext>
              </c:extLst>
            </c:dLbl>
            <c:dLbl>
              <c:idx val="1"/>
              <c:tx>
                <c:rich>
                  <a:bodyPr rot="0" spcFirstLastPara="1" vertOverflow="overflow" horzOverflow="overflow"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fld id="{FB94AE3D-0FD8-4B54-8FD1-692237C247D0}" type="CELLRANGE">
                      <a:rPr lang="en-US" altLang="ja-JP"/>
                      <a:pPr>
                        <a:defRPr sz="800"/>
                      </a:pPr>
                      <a:t>[CELLRANGE]</a:t>
                    </a:fld>
                    <a:endParaRPr lang="ja-JP" altLang="en-US"/>
                  </a:p>
                </c:rich>
              </c:tx>
              <c:spPr>
                <a:noFill/>
                <a:ln>
                  <a:noFill/>
                </a:ln>
                <a:effectLst/>
              </c:spPr>
              <c:txPr>
                <a:bodyPr rot="0" spcFirstLastPara="1" vertOverflow="overflow" horzOverflow="overflow"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endParaRPr lang="ja-JP"/>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ED21-42B9-A33C-BF0B0FC6CD8F}"/>
                </c:ext>
              </c:extLst>
            </c:dLbl>
            <c:dLbl>
              <c:idx val="2"/>
              <c:layout>
                <c:manualLayout>
                  <c:x val="0.13567010946949548"/>
                  <c:y val="0"/>
                </c:manualLayout>
              </c:layout>
              <c:tx>
                <c:rich>
                  <a:bodyPr/>
                  <a:lstStyle/>
                  <a:p>
                    <a:fld id="{33E9A383-56B7-4632-AEEB-CCAF584A632E}"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ED21-42B9-A33C-BF0B0FC6CD8F}"/>
                </c:ext>
              </c:extLst>
            </c:dLbl>
            <c:dLbl>
              <c:idx val="3"/>
              <c:layout>
                <c:manualLayout>
                  <c:x val="0.10596246584831066"/>
                  <c:y val="-2.7002126151665487E-2"/>
                </c:manualLayout>
              </c:layout>
              <c:tx>
                <c:rich>
                  <a:bodyPr/>
                  <a:lstStyle/>
                  <a:p>
                    <a:fld id="{D00439FD-2F01-4DE2-933C-6F8C5CEB4C5E}"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ED21-42B9-A33C-BF0B0FC6CD8F}"/>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endParaRPr lang="ja-JP"/>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'!$L$9:$L$12</c:f>
              <c:strCache>
                <c:ptCount val="4"/>
                <c:pt idx="0">
                  <c:v>1年未満</c:v>
                </c:pt>
                <c:pt idx="1">
                  <c:v>1年以上5年未満</c:v>
                </c:pt>
                <c:pt idx="2">
                  <c:v>5年以上10年未満</c:v>
                </c:pt>
                <c:pt idx="3">
                  <c:v>10年以上</c:v>
                </c:pt>
              </c:strCache>
            </c:strRef>
          </c:cat>
          <c:val>
            <c:numRef>
              <c:f>'グラフ(在院期間) '!$N$9:$N$12</c:f>
              <c:numCache>
                <c:formatCode>#,##0"人"</c:formatCode>
                <c:ptCount val="4"/>
                <c:pt idx="0">
                  <c:v>476</c:v>
                </c:pt>
                <c:pt idx="1">
                  <c:v>202</c:v>
                </c:pt>
                <c:pt idx="2">
                  <c:v>86</c:v>
                </c:pt>
                <c:pt idx="3">
                  <c:v>68</c:v>
                </c:pt>
              </c:numCache>
            </c:numRef>
          </c:val>
          <c:extLst>
            <c:ext xmlns:c15="http://schemas.microsoft.com/office/drawing/2012/chart" uri="{02D57815-91ED-43cb-92C2-25804820EDAC}">
              <c15:datalabelsRange>
                <c15:f>'グラフ(在院期間) '!$Q$9:$Q$12</c15:f>
                <c15:dlblRangeCache>
                  <c:ptCount val="4"/>
                  <c:pt idx="0">
                    <c:v>38.7%</c:v>
                  </c:pt>
                  <c:pt idx="1">
                    <c:v>63.5%</c:v>
                  </c:pt>
                  <c:pt idx="2">
                    <c:v>59.3%</c:v>
                  </c:pt>
                  <c:pt idx="3">
                    <c:v>61.8%</c:v>
                  </c:pt>
                </c15:dlblRangeCache>
              </c15:datalabelsRange>
            </c:ext>
            <c:ext xmlns:c16="http://schemas.microsoft.com/office/drawing/2014/chart" uri="{C3380CC4-5D6E-409C-BE32-E72D297353CC}">
              <c16:uniqueId val="{00000001-ED21-42B9-A33C-BF0B0FC6CD8F}"/>
            </c:ext>
          </c:extLst>
        </c:ser>
        <c:dLbls>
          <c:showLegendKey val="0"/>
          <c:showVal val="0"/>
          <c:showCatName val="0"/>
          <c:showSerName val="0"/>
          <c:showPercent val="0"/>
          <c:showBubbleSize val="0"/>
        </c:dLbls>
        <c:gapWidth val="150"/>
        <c:overlap val="100"/>
        <c:axId val="116807760"/>
        <c:axId val="116801936"/>
      </c:barChart>
      <c:catAx>
        <c:axId val="116807760"/>
        <c:scaling>
          <c:orientation val="minMax"/>
        </c:scaling>
        <c:delete val="0"/>
        <c:axPos val="l"/>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1936"/>
        <c:crosses val="autoZero"/>
        <c:auto val="1"/>
        <c:lblAlgn val="ctr"/>
        <c:lblOffset val="100"/>
        <c:noMultiLvlLbl val="0"/>
      </c:catAx>
      <c:valAx>
        <c:axId val="116801936"/>
        <c:scaling>
          <c:orientation val="minMax"/>
        </c:scaling>
        <c:delete val="0"/>
        <c:axPos val="b"/>
        <c:majorGridlines>
          <c:spPr>
            <a:ln w="9525" cap="flat" cmpd="sng" algn="ctr">
              <a:solidFill>
                <a:schemeClr val="tx1">
                  <a:lumMod val="15%"/>
                  <a:lumOff val="85%"/>
                </a:schemeClr>
              </a:solidFill>
              <a:round/>
            </a:ln>
            <a:effectLst/>
          </c:spPr>
        </c:maj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7760"/>
        <c:crosses val="autoZero"/>
        <c:crossBetween val="between"/>
      </c:valAx>
      <c:dTable>
        <c:showHorzBorder val="1"/>
        <c:showVertBorder val="1"/>
        <c:showOutline val="1"/>
        <c:showKeys val="0"/>
        <c:spPr>
          <a:noFill/>
          <a:ln w="9525">
            <a:solidFill>
              <a:schemeClr val="tx1">
                <a:lumMod val="15%"/>
                <a:lumOff val="85%"/>
              </a:schemeClr>
            </a:solidFill>
          </a:ln>
          <a:effectLst/>
        </c:spPr>
        <c:txPr>
          <a:bodyPr rot="0" spcFirstLastPara="1" vertOverflow="ellipsis" vert="horz" wrap="square" anchor="ctr" anchorCtr="1"/>
          <a:lstStyle/>
          <a:p>
            <a:pPr rtl="0">
              <a:defRPr sz="800" b="0" i="0" u="none" strike="noStrike" kern="1200" baseline="0%">
                <a:solidFill>
                  <a:schemeClr val="tx1">
                    <a:lumMod val="50%"/>
                    <a:lumOff val="50%"/>
                  </a:schemeClr>
                </a:solidFill>
                <a:latin typeface="+mn-lt"/>
                <a:ea typeface="+mn-ea"/>
                <a:cs typeface="+mn-cs"/>
              </a:defRPr>
            </a:pPr>
            <a:endParaRPr lang="ja-JP"/>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r>
              <a:rPr lang="ja-JP" altLang="en-US" sz="1200" b="1"/>
              <a:t>在院期間＿患者全体</a:t>
            </a:r>
            <a:endParaRPr lang="ja-JP" sz="1200" b="1"/>
          </a:p>
        </c:rich>
      </c:tx>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barChart>
        <c:barDir val="bar"/>
        <c:grouping val="stacked"/>
        <c:varyColors val="0"/>
        <c:ser>
          <c:idx val="0"/>
          <c:order val="0"/>
          <c:tx>
            <c:strRef>
              <c:f>'グラフ(在院期間)  (2)'!$M$19</c:f>
              <c:strCache>
                <c:ptCount val="1"/>
                <c:pt idx="0">
                  <c:v>65歳未満</c:v>
                </c:pt>
              </c:strCache>
            </c:strRef>
          </c:tx>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c:spPr>
          <c:invertIfNegative val="0"/>
          <c:dLbls>
            <c:dLbl>
              <c:idx val="0"/>
              <c:tx>
                <c:rich>
                  <a:bodyPr/>
                  <a:lstStyle/>
                  <a:p>
                    <a:fld id="{CEE09E7F-A822-4F65-A72D-6B4DCC0DBC48}"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1112-47EA-936E-DC321AD4966D}"/>
                </c:ext>
              </c:extLst>
            </c:dLbl>
            <c:dLbl>
              <c:idx val="1"/>
              <c:tx>
                <c:rich>
                  <a:bodyPr/>
                  <a:lstStyle/>
                  <a:p>
                    <a:fld id="{14E2AFF5-D442-4C8C-B139-610507A7FE5B}" type="CELLRANGE">
                      <a:rPr lang="ja-JP" altLang="en-US"/>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1112-47EA-936E-DC321AD4966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
                        <a:lumOff val="50%"/>
                      </a:schemeClr>
                    </a:solidFill>
                    <a:latin typeface="+mn-lt"/>
                    <a:ea typeface="+mn-ea"/>
                    <a:cs typeface="+mn-cs"/>
                  </a:defRPr>
                </a:pPr>
                <a:endParaRPr lang="ja-JP"/>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(2)'!$L$20:$L$21</c:f>
              <c:strCache>
                <c:ptCount val="2"/>
                <c:pt idx="0">
                  <c:v>1年未満</c:v>
                </c:pt>
                <c:pt idx="1">
                  <c:v>1年以上</c:v>
                </c:pt>
              </c:strCache>
            </c:strRef>
          </c:cat>
          <c:val>
            <c:numRef>
              <c:f>'グラフ(在院期間)  (2)'!$M$20:$M$21</c:f>
              <c:numCache>
                <c:formatCode>#,##0"人"</c:formatCode>
                <c:ptCount val="2"/>
                <c:pt idx="0">
                  <c:v>2805</c:v>
                </c:pt>
                <c:pt idx="1">
                  <c:v>2862</c:v>
                </c:pt>
              </c:numCache>
            </c:numRef>
          </c:val>
          <c:extLst>
            <c:ext xmlns:c15="http://schemas.microsoft.com/office/drawing/2012/chart" uri="{02D57815-91ED-43cb-92C2-25804820EDAC}">
              <c15:datalabelsRange>
                <c15:f>'グラフ(在院期間)  (2)'!$P$20:$P$21</c15:f>
                <c15:dlblRangeCache>
                  <c:ptCount val="2"/>
                  <c:pt idx="0">
                    <c:v>43.9%</c:v>
                  </c:pt>
                  <c:pt idx="1">
                    <c:v>36.9%</c:v>
                  </c:pt>
                </c15:dlblRangeCache>
              </c15:datalabelsRange>
            </c:ext>
            <c:ext xmlns:c16="http://schemas.microsoft.com/office/drawing/2014/chart" uri="{C3380CC4-5D6E-409C-BE32-E72D297353CC}">
              <c16:uniqueId val="{00000002-1112-47EA-936E-DC321AD4966D}"/>
            </c:ext>
          </c:extLst>
        </c:ser>
        <c:ser>
          <c:idx val="1"/>
          <c:order val="1"/>
          <c:tx>
            <c:strRef>
              <c:f>'グラフ(在院期間)  (2)'!$N$19</c:f>
              <c:strCache>
                <c:ptCount val="1"/>
                <c:pt idx="0">
                  <c:v>65歳以上</c:v>
                </c:pt>
              </c:strCache>
            </c:strRef>
          </c:tx>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Lbls>
            <c:dLbl>
              <c:idx val="0"/>
              <c:tx>
                <c:rich>
                  <a:bodyPr/>
                  <a:lstStyle/>
                  <a:p>
                    <a:fld id="{BC9D5BEF-D1B5-4BDE-A461-D43E70670CB8}"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1112-47EA-936E-DC321AD4966D}"/>
                </c:ext>
              </c:extLst>
            </c:dLbl>
            <c:dLbl>
              <c:idx val="1"/>
              <c:tx>
                <c:rich>
                  <a:bodyPr/>
                  <a:lstStyle/>
                  <a:p>
                    <a:fld id="{4AF03E54-943C-43C9-B0AE-8126595709B9}" type="CELLRANGE">
                      <a:rPr lang="ja-JP" altLang="en-US"/>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1112-47EA-936E-DC321AD4966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
                        <a:lumOff val="50%"/>
                      </a:schemeClr>
                    </a:solidFill>
                    <a:latin typeface="+mn-lt"/>
                    <a:ea typeface="+mn-ea"/>
                    <a:cs typeface="+mn-cs"/>
                  </a:defRPr>
                </a:pPr>
                <a:endParaRPr lang="ja-JP"/>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(2)'!$L$20:$L$21</c:f>
              <c:strCache>
                <c:ptCount val="2"/>
                <c:pt idx="0">
                  <c:v>1年未満</c:v>
                </c:pt>
                <c:pt idx="1">
                  <c:v>1年以上</c:v>
                </c:pt>
              </c:strCache>
            </c:strRef>
          </c:cat>
          <c:val>
            <c:numRef>
              <c:f>'グラフ(在院期間)  (2)'!$N$20:$N$21</c:f>
              <c:numCache>
                <c:formatCode>#,##0"人"</c:formatCode>
                <c:ptCount val="2"/>
                <c:pt idx="0">
                  <c:v>3589</c:v>
                </c:pt>
                <c:pt idx="1">
                  <c:v>4904</c:v>
                </c:pt>
              </c:numCache>
            </c:numRef>
          </c:val>
          <c:extLst>
            <c:ext xmlns:c15="http://schemas.microsoft.com/office/drawing/2012/chart" uri="{02D57815-91ED-43cb-92C2-25804820EDAC}">
              <c15:datalabelsRange>
                <c15:f>'グラフ(在院期間)  (2)'!$Q$20:$Q$21</c15:f>
                <c15:dlblRangeCache>
                  <c:ptCount val="2"/>
                  <c:pt idx="0">
                    <c:v>56.1%</c:v>
                  </c:pt>
                  <c:pt idx="1">
                    <c:v>63.1%</c:v>
                  </c:pt>
                </c15:dlblRangeCache>
              </c15:datalabelsRange>
            </c:ext>
            <c:ext xmlns:c16="http://schemas.microsoft.com/office/drawing/2014/chart" uri="{C3380CC4-5D6E-409C-BE32-E72D297353CC}">
              <c16:uniqueId val="{00000005-1112-47EA-936E-DC321AD4966D}"/>
            </c:ext>
          </c:extLst>
        </c:ser>
        <c:dLbls>
          <c:dLblPos val="ctr"/>
          <c:showLegendKey val="0"/>
          <c:showVal val="1"/>
          <c:showCatName val="0"/>
          <c:showSerName val="0"/>
          <c:showPercent val="0"/>
          <c:showBubbleSize val="0"/>
        </c:dLbls>
        <c:gapWidth val="150"/>
        <c:overlap val="100"/>
        <c:axId val="116807760"/>
        <c:axId val="116801936"/>
      </c:barChart>
      <c:catAx>
        <c:axId val="116807760"/>
        <c:scaling>
          <c:orientation val="minMax"/>
        </c:scaling>
        <c:delete val="0"/>
        <c:axPos val="l"/>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1936"/>
        <c:crosses val="autoZero"/>
        <c:auto val="1"/>
        <c:lblAlgn val="ctr"/>
        <c:lblOffset val="100"/>
        <c:noMultiLvlLbl val="0"/>
      </c:catAx>
      <c:valAx>
        <c:axId val="116801936"/>
        <c:scaling>
          <c:orientation val="minMax"/>
        </c:scaling>
        <c:delete val="0"/>
        <c:axPos val="b"/>
        <c:majorGridlines>
          <c:spPr>
            <a:ln w="9525" cap="flat" cmpd="sng" algn="ctr">
              <a:solidFill>
                <a:schemeClr val="tx1">
                  <a:lumMod val="15%"/>
                  <a:lumOff val="85%"/>
                </a:schemeClr>
              </a:solidFill>
              <a:round/>
            </a:ln>
            <a:effectLst/>
          </c:spPr>
        </c:maj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7760"/>
        <c:crosses val="autoZero"/>
        <c:crossBetween val="between"/>
      </c:valAx>
      <c:dTable>
        <c:showHorzBorder val="1"/>
        <c:showVertBorder val="1"/>
        <c:showOutline val="1"/>
        <c:showKeys val="0"/>
        <c:spPr>
          <a:noFill/>
          <a:ln w="9525">
            <a:solidFill>
              <a:schemeClr val="tx1">
                <a:lumMod val="15%"/>
                <a:lumOff val="85%"/>
              </a:schemeClr>
            </a:solidFill>
          </a:ln>
          <a:effectLst/>
        </c:spPr>
        <c:txPr>
          <a:bodyPr rot="0" spcFirstLastPara="1" vertOverflow="ellipsis" vert="horz" wrap="square" anchor="ctr" anchorCtr="1"/>
          <a:lstStyle/>
          <a:p>
            <a:pPr rtl="0">
              <a:defRPr sz="800" b="0" i="0" u="none" strike="noStrike" kern="1200" baseline="0%">
                <a:solidFill>
                  <a:schemeClr val="tx1">
                    <a:lumMod val="50%"/>
                    <a:lumOff val="50%"/>
                  </a:schemeClr>
                </a:solidFill>
                <a:latin typeface="+mn-lt"/>
                <a:ea typeface="+mn-ea"/>
                <a:cs typeface="+mn-cs"/>
              </a:defRPr>
            </a:pPr>
            <a:endParaRPr lang="ja-JP"/>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16.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r>
              <a:rPr lang="ja-JP" altLang="en-US" sz="1200" b="1"/>
              <a:t>在院期間＿寛解・院内寛解群</a:t>
            </a:r>
            <a:endParaRPr lang="ja-JP" sz="1200" b="1"/>
          </a:p>
        </c:rich>
      </c:tx>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barChart>
        <c:barDir val="bar"/>
        <c:grouping val="stacked"/>
        <c:varyColors val="0"/>
        <c:ser>
          <c:idx val="0"/>
          <c:order val="0"/>
          <c:tx>
            <c:strRef>
              <c:f>'グラフ(在院期間)  (2)'!$M$22</c:f>
              <c:strCache>
                <c:ptCount val="1"/>
                <c:pt idx="0">
                  <c:v>65歳未満</c:v>
                </c:pt>
              </c:strCache>
            </c:strRef>
          </c:tx>
          <c:spPr>
            <a:gradFill rotWithShape="1">
              <a:gsLst>
                <a:gs pos="0%">
                  <a:schemeClr val="accent6">
                    <a:tint val="50%"/>
                    <a:satMod val="300%"/>
                  </a:schemeClr>
                </a:gs>
                <a:gs pos="35%">
                  <a:schemeClr val="accent6">
                    <a:tint val="37%"/>
                    <a:satMod val="300%"/>
                  </a:schemeClr>
                </a:gs>
                <a:gs pos="100%">
                  <a:schemeClr val="accent6">
                    <a:tint val="15%"/>
                    <a:satMod val="350%"/>
                  </a:schemeClr>
                </a:gs>
              </a:gsLst>
              <a:lin ang="16200000" scaled="1"/>
            </a:gradFill>
            <a:ln w="9525" cap="flat" cmpd="sng" algn="ctr">
              <a:solidFill>
                <a:schemeClr val="accent6">
                  <a:shade val="95%"/>
                </a:schemeClr>
              </a:solidFill>
              <a:round/>
            </a:ln>
            <a:effectLst>
              <a:outerShdw blurRad="40000" dist="20000" dir="5400000" rotWithShape="0">
                <a:srgbClr val="000000">
                  <a:alpha val="38%"/>
                </a:srgbClr>
              </a:outerShdw>
            </a:effectLst>
          </c:spPr>
          <c:invertIfNegative val="0"/>
          <c:dLbls>
            <c:dLbl>
              <c:idx val="0"/>
              <c:tx>
                <c:rich>
                  <a:bodyPr/>
                  <a:lstStyle/>
                  <a:p>
                    <a:fld id="{881880B0-4082-4418-9DBB-C318C83264C3}"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DF6B-447D-A2E1-BC2C82C6B01C}"/>
                </c:ext>
              </c:extLst>
            </c:dLbl>
            <c:dLbl>
              <c:idx val="1"/>
              <c:tx>
                <c:rich>
                  <a:bodyPr/>
                  <a:lstStyle/>
                  <a:p>
                    <a:fld id="{61CB770D-73A9-4536-A72F-C6403D1B389F}"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DF6B-447D-A2E1-BC2C82C6B01C}"/>
                </c:ext>
              </c:extLst>
            </c:dLbl>
            <c:dLbl>
              <c:idx val="2"/>
              <c:layout>
                <c:manualLayout>
                  <c:x val="-6.632380182828003E-3"/>
                  <c:y val="-3.6002834868887314E-2"/>
                </c:manualLayout>
              </c:layout>
              <c:tx>
                <c:rich>
                  <a:bodyPr/>
                  <a:lstStyle/>
                  <a:p>
                    <a:fld id="{274410FC-5A5C-4664-A5AC-ABCEEFD0FE49}"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DF6B-447D-A2E1-BC2C82C6B01C}"/>
                </c:ext>
              </c:extLst>
            </c:dLbl>
            <c:dLbl>
              <c:idx val="3"/>
              <c:layout>
                <c:manualLayout>
                  <c:x val="3.3050219888893333E-2"/>
                  <c:y val="-7.6506024096385544E-2"/>
                </c:manualLayout>
              </c:layout>
              <c:tx>
                <c:rich>
                  <a:bodyPr/>
                  <a:lstStyle/>
                  <a:p>
                    <a:fld id="{24D671BE-4E31-4AC1-A24E-337F153E5A78}"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DF6B-447D-A2E1-BC2C82C6B01C}"/>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endParaRPr lang="ja-JP"/>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(2)'!$L$23:$L$24</c:f>
              <c:strCache>
                <c:ptCount val="2"/>
                <c:pt idx="0">
                  <c:v>1年未満</c:v>
                </c:pt>
                <c:pt idx="1">
                  <c:v>1年以上</c:v>
                </c:pt>
              </c:strCache>
            </c:strRef>
          </c:cat>
          <c:val>
            <c:numRef>
              <c:f>'グラフ(在院期間)  (2)'!$M$23:$M$24</c:f>
              <c:numCache>
                <c:formatCode>#,##0"人"</c:formatCode>
                <c:ptCount val="2"/>
                <c:pt idx="0">
                  <c:v>754</c:v>
                </c:pt>
                <c:pt idx="1">
                  <c:v>217</c:v>
                </c:pt>
              </c:numCache>
            </c:numRef>
          </c:val>
          <c:extLst>
            <c:ext xmlns:c15="http://schemas.microsoft.com/office/drawing/2012/chart" uri="{02D57815-91ED-43cb-92C2-25804820EDAC}">
              <c15:datalabelsRange>
                <c15:f>'グラフ(在院期間)  (2)'!$P$23:$P$24</c15:f>
                <c15:dlblRangeCache>
                  <c:ptCount val="2"/>
                  <c:pt idx="0">
                    <c:v>61.3%</c:v>
                  </c:pt>
                  <c:pt idx="1">
                    <c:v>37.9%</c:v>
                  </c:pt>
                </c15:dlblRangeCache>
              </c15:datalabelsRange>
            </c:ext>
            <c:ext xmlns:c16="http://schemas.microsoft.com/office/drawing/2014/chart" uri="{C3380CC4-5D6E-409C-BE32-E72D297353CC}">
              <c16:uniqueId val="{00000004-DF6B-447D-A2E1-BC2C82C6B01C}"/>
            </c:ext>
          </c:extLst>
        </c:ser>
        <c:ser>
          <c:idx val="1"/>
          <c:order val="1"/>
          <c:tx>
            <c:strRef>
              <c:f>'グラフ(在院期間)  (2)'!$N$22</c:f>
              <c:strCache>
                <c:ptCount val="1"/>
                <c:pt idx="0">
                  <c:v>65歳以上</c:v>
                </c:pt>
              </c:strCache>
            </c:strRef>
          </c:tx>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Lbls>
            <c:dLbl>
              <c:idx val="0"/>
              <c:tx>
                <c:rich>
                  <a:bodyPr/>
                  <a:lstStyle/>
                  <a:p>
                    <a:fld id="{135B3094-042C-4C86-AD89-53DBB28AC2BE}"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DF6B-447D-A2E1-BC2C82C6B01C}"/>
                </c:ext>
              </c:extLst>
            </c:dLbl>
            <c:dLbl>
              <c:idx val="1"/>
              <c:tx>
                <c:rich>
                  <a:bodyPr rot="0" spcFirstLastPara="1" vertOverflow="overflow" horzOverflow="overflow"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fld id="{DD1945B6-11A3-4A38-AF17-2D9C0DA5EEA9}" type="CELLRANGE">
                      <a:rPr lang="en-US" altLang="ja-JP"/>
                      <a:pPr>
                        <a:defRPr sz="800"/>
                      </a:pPr>
                      <a:t>[CELLRANGE]</a:t>
                    </a:fld>
                    <a:endParaRPr lang="ja-JP" altLang="en-US"/>
                  </a:p>
                </c:rich>
              </c:tx>
              <c:spPr>
                <a:noFill/>
                <a:ln>
                  <a:noFill/>
                </a:ln>
                <a:effectLst/>
              </c:spPr>
              <c:txPr>
                <a:bodyPr rot="0" spcFirstLastPara="1" vertOverflow="overflow" horzOverflow="overflow"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endParaRPr lang="ja-JP"/>
                </a:p>
              </c:txPr>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DF6B-447D-A2E1-BC2C82C6B01C}"/>
                </c:ext>
              </c:extLst>
            </c:dLbl>
            <c:dLbl>
              <c:idx val="2"/>
              <c:layout>
                <c:manualLayout>
                  <c:x val="0.13567010946949548"/>
                  <c:y val="0"/>
                </c:manualLayout>
              </c:layout>
              <c:tx>
                <c:rich>
                  <a:bodyPr/>
                  <a:lstStyle/>
                  <a:p>
                    <a:fld id="{78776ADA-6B63-4EC8-A823-9CF628006C12}"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DF6B-447D-A2E1-BC2C82C6B01C}"/>
                </c:ext>
              </c:extLst>
            </c:dLbl>
            <c:dLbl>
              <c:idx val="3"/>
              <c:layout>
                <c:manualLayout>
                  <c:x val="0.10596246584831066"/>
                  <c:y val="-2.7002126151665487E-2"/>
                </c:manualLayout>
              </c:layout>
              <c:tx>
                <c:rich>
                  <a:bodyPr/>
                  <a:lstStyle/>
                  <a:p>
                    <a:fld id="{10AFB482-CF89-4F63-8E5C-953673290398}" type="CELLRANGE">
                      <a:rPr lang="en-US" altLang="ja-JP"/>
                      <a:pPr/>
                      <a:t>[CELLRANGE]</a:t>
                    </a:fld>
                    <a:endParaRPr lang="ja-JP" alt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DF6B-447D-A2E1-BC2C82C6B01C}"/>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50%"/>
                        <a:lumOff val="50%"/>
                      </a:schemeClr>
                    </a:solidFill>
                    <a:latin typeface="+mn-lt"/>
                    <a:ea typeface="+mn-ea"/>
                    <a:cs typeface="+mn-cs"/>
                  </a:defRPr>
                </a:pPr>
                <a:endParaRPr lang="ja-JP"/>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
                          <a:lumOff val="65%"/>
                        </a:schemeClr>
                      </a:solidFill>
                    </a:ln>
                    <a:effectLst/>
                  </c:spPr>
                </c15:leaderLines>
              </c:ext>
            </c:extLst>
          </c:dLbls>
          <c:cat>
            <c:strRef>
              <c:f>'グラフ(在院期間)  (2)'!$L$23:$L$24</c:f>
              <c:strCache>
                <c:ptCount val="2"/>
                <c:pt idx="0">
                  <c:v>1年未満</c:v>
                </c:pt>
                <c:pt idx="1">
                  <c:v>1年以上</c:v>
                </c:pt>
              </c:strCache>
            </c:strRef>
          </c:cat>
          <c:val>
            <c:numRef>
              <c:f>'グラフ(在院期間)  (2)'!$N$23:$N$24</c:f>
              <c:numCache>
                <c:formatCode>#,##0"人"</c:formatCode>
                <c:ptCount val="2"/>
                <c:pt idx="0">
                  <c:v>476</c:v>
                </c:pt>
                <c:pt idx="1">
                  <c:v>356</c:v>
                </c:pt>
              </c:numCache>
            </c:numRef>
          </c:val>
          <c:extLst>
            <c:ext xmlns:c15="http://schemas.microsoft.com/office/drawing/2012/chart" uri="{02D57815-91ED-43cb-92C2-25804820EDAC}">
              <c15:datalabelsRange>
                <c15:f>'グラフ(在院期間)  (2)'!$Q$23:$Q$24</c15:f>
                <c15:dlblRangeCache>
                  <c:ptCount val="2"/>
                  <c:pt idx="0">
                    <c:v>38.7%</c:v>
                  </c:pt>
                  <c:pt idx="1">
                    <c:v>62.1%</c:v>
                  </c:pt>
                </c15:dlblRangeCache>
              </c15:datalabelsRange>
            </c:ext>
            <c:ext xmlns:c16="http://schemas.microsoft.com/office/drawing/2014/chart" uri="{C3380CC4-5D6E-409C-BE32-E72D297353CC}">
              <c16:uniqueId val="{00000009-DF6B-447D-A2E1-BC2C82C6B01C}"/>
            </c:ext>
          </c:extLst>
        </c:ser>
        <c:dLbls>
          <c:showLegendKey val="0"/>
          <c:showVal val="0"/>
          <c:showCatName val="0"/>
          <c:showSerName val="0"/>
          <c:showPercent val="0"/>
          <c:showBubbleSize val="0"/>
        </c:dLbls>
        <c:gapWidth val="150"/>
        <c:overlap val="100"/>
        <c:axId val="116807760"/>
        <c:axId val="116801936"/>
      </c:barChart>
      <c:catAx>
        <c:axId val="116807760"/>
        <c:scaling>
          <c:orientation val="minMax"/>
        </c:scaling>
        <c:delete val="0"/>
        <c:axPos val="l"/>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1936"/>
        <c:crosses val="autoZero"/>
        <c:auto val="1"/>
        <c:lblAlgn val="ctr"/>
        <c:lblOffset val="100"/>
        <c:noMultiLvlLbl val="0"/>
      </c:catAx>
      <c:valAx>
        <c:axId val="116801936"/>
        <c:scaling>
          <c:orientation val="minMax"/>
        </c:scaling>
        <c:delete val="0"/>
        <c:axPos val="b"/>
        <c:majorGridlines>
          <c:spPr>
            <a:ln w="9525" cap="flat" cmpd="sng" algn="ctr">
              <a:solidFill>
                <a:schemeClr val="tx1">
                  <a:lumMod val="15%"/>
                  <a:lumOff val="85%"/>
                </a:schemeClr>
              </a:solidFill>
              <a:round/>
            </a:ln>
            <a:effectLst/>
          </c:spPr>
        </c:maj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16807760"/>
        <c:crosses val="autoZero"/>
        <c:crossBetween val="between"/>
      </c:valAx>
      <c:dTable>
        <c:showHorzBorder val="1"/>
        <c:showVertBorder val="1"/>
        <c:showOutline val="1"/>
        <c:showKeys val="0"/>
        <c:spPr>
          <a:noFill/>
          <a:ln w="9525">
            <a:solidFill>
              <a:schemeClr val="tx1">
                <a:lumMod val="15%"/>
                <a:lumOff val="85%"/>
              </a:schemeClr>
            </a:solidFill>
          </a:ln>
          <a:effectLst/>
        </c:spPr>
        <c:txPr>
          <a:bodyPr rot="0" spcFirstLastPara="1" vertOverflow="ellipsis" vert="horz" wrap="square" anchor="ctr" anchorCtr="1"/>
          <a:lstStyle/>
          <a:p>
            <a:pPr rtl="0">
              <a:defRPr sz="800" b="0" i="0" u="none" strike="noStrike" kern="1200" baseline="0%">
                <a:solidFill>
                  <a:schemeClr val="tx1">
                    <a:lumMod val="50%"/>
                    <a:lumOff val="50%"/>
                  </a:schemeClr>
                </a:solidFill>
                <a:latin typeface="+mn-lt"/>
                <a:ea typeface="+mn-ea"/>
                <a:cs typeface="+mn-cs"/>
              </a:defRPr>
            </a:pPr>
            <a:endParaRPr lang="ja-JP"/>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17.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chemeClr val="tx1">
                    <a:lumMod val="50%"/>
                    <a:lumOff val="50%"/>
                  </a:schemeClr>
                </a:solidFill>
                <a:latin typeface="+mn-lt"/>
                <a:ea typeface="+mn-ea"/>
                <a:cs typeface="+mn-cs"/>
              </a:defRPr>
            </a:pPr>
            <a:r>
              <a:rPr lang="ja-JP" b="1"/>
              <a:t>退院阻害要因の有無</a:t>
            </a:r>
          </a:p>
        </c:rich>
      </c:tx>
      <c:layout>
        <c:manualLayout>
          <c:xMode val="edge"/>
          <c:yMode val="edge"/>
          <c:x val="0.34159014620726857"/>
          <c:y val="2.2882777777777776E-2"/>
        </c:manualLayout>
      </c:layout>
      <c:overlay val="0"/>
      <c:spPr>
        <a:noFill/>
        <a:ln>
          <a:noFill/>
        </a:ln>
        <a:effectLst/>
      </c:spPr>
      <c:txPr>
        <a:bodyPr rot="0" spcFirstLastPara="1" vertOverflow="ellipsis" vert="horz" wrap="square" anchor="ctr" anchorCtr="1"/>
        <a:lstStyle/>
        <a:p>
          <a:pPr>
            <a:defRPr sz="14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manualLayout>
          <c:layoutTarget val="inner"/>
          <c:xMode val="edge"/>
          <c:yMode val="edge"/>
          <c:x val="6.9531712199843887E-2"/>
          <c:y val="0.19912972222222222"/>
          <c:w val="0.87222222222222212"/>
          <c:h val="0.74600129172335139"/>
        </c:manualLayout>
      </c:layout>
      <c:ofPieChart>
        <c:ofPieType val="pie"/>
        <c:varyColors val="1"/>
        <c:ser>
          <c:idx val="0"/>
          <c:order val="0"/>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1C89-44F0-84D0-778BA3C76980}"/>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1C89-44F0-84D0-778BA3C76980}"/>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1C89-44F0-84D0-778BA3C76980}"/>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1C89-44F0-84D0-778BA3C76980}"/>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1C89-44F0-84D0-778BA3C76980}"/>
              </c:ext>
            </c:extLst>
          </c:dPt>
          <c:dLbls>
            <c:dLbl>
              <c:idx val="0"/>
              <c:layout>
                <c:manualLayout>
                  <c:x val="6.2782485875706215E-2"/>
                  <c:y val="-0.16807561728395062"/>
                </c:manualLayout>
              </c:layout>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17339924670433146"/>
                      <c:h val="0.47037037037037038"/>
                    </c:manualLayout>
                  </c15:layout>
                </c:ext>
                <c:ext xmlns:c16="http://schemas.microsoft.com/office/drawing/2014/chart" uri="{C3380CC4-5D6E-409C-BE32-E72D297353CC}">
                  <c16:uniqueId val="{00000001-1C89-44F0-84D0-778BA3C76980}"/>
                </c:ext>
              </c:extLst>
            </c:dLbl>
            <c:dLbl>
              <c:idx val="2"/>
              <c:layout>
                <c:manualLayout>
                  <c:x val="0.11914289077212806"/>
                  <c:y val="-0.21606543209876544"/>
                </c:manualLayout>
              </c:layout>
              <c:tx>
                <c:rich>
                  <a:bodyPr/>
                  <a:lstStyle/>
                  <a:p>
                    <a:fld id="{ECC973DD-5535-4DAC-8345-EEAE77E02AEA}" type="CATEGORYNAME">
                      <a:rPr lang="ja-JP" altLang="en-US"/>
                      <a:pPr/>
                      <a:t>[分類名]</a:t>
                    </a:fld>
                    <a:r>
                      <a:rPr lang="ja-JP" altLang="en-US" baseline="0%"/>
                      <a:t>
</a:t>
                    </a:r>
                    <a:fld id="{45955E22-DE0D-4B1C-94CB-C280599986F5}" type="VALUE">
                      <a:rPr lang="ja-JP" altLang="en-US" baseline="0%"/>
                      <a:pPr/>
                      <a:t>[値]</a:t>
                    </a:fld>
                    <a:r>
                      <a:rPr lang="ja-JP" altLang="en-US" baseline="0%"/>
                      <a:t>
</a:t>
                    </a:r>
                    <a:r>
                      <a:rPr lang="en-US" altLang="ja-JP" baseline="0%"/>
                      <a:t>88.1%</a:t>
                    </a:r>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1C89-44F0-84D0-778BA3C76980}"/>
                </c:ext>
              </c:extLst>
            </c:dLbl>
            <c:dLbl>
              <c:idx val="3"/>
              <c:tx>
                <c:rich>
                  <a:bodyPr/>
                  <a:lstStyle/>
                  <a:p>
                    <a:fld id="{35EC9FE9-0F83-49C3-8B57-30E81921C554}" type="CATEGORYNAME">
                      <a:rPr lang="ja-JP" altLang="en-US"/>
                      <a:pPr/>
                      <a:t>[分類名]</a:t>
                    </a:fld>
                    <a:r>
                      <a:rPr lang="ja-JP" altLang="en-US" baseline="0%"/>
                      <a:t>
</a:t>
                    </a:r>
                    <a:fld id="{34FE00D1-27D8-4A6A-9CF9-54A3704C452B}" type="VALUE">
                      <a:rPr lang="ja-JP" altLang="en-US" baseline="0%"/>
                      <a:pPr/>
                      <a:t>[値]</a:t>
                    </a:fld>
                    <a:r>
                      <a:rPr lang="ja-JP" altLang="en-US" baseline="0%"/>
                      <a:t>
</a:t>
                    </a:r>
                    <a:r>
                      <a:rPr lang="en-US" altLang="ja-JP" baseline="0%"/>
                      <a:t>11.9%</a:t>
                    </a:r>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1C89-44F0-84D0-778BA3C76980}"/>
                </c:ext>
              </c:extLst>
            </c:dLbl>
            <c:dLbl>
              <c:idx val="4"/>
              <c:layout>
                <c:manualLayout>
                  <c:x val="-3.5997292843691096E-2"/>
                  <c:y val="3.9743209876543208E-2"/>
                </c:manualLayout>
              </c:layout>
              <c:tx>
                <c:rich>
                  <a:bodyPr/>
                  <a:lstStyle/>
                  <a:p>
                    <a:r>
                      <a:rPr lang="ja-JP" altLang="en-US" baseline="0%"/>
                      <a:t>病状（主症状）が落ち着き、入院によらない形で治療ができる程度まで回復</a:t>
                    </a:r>
                  </a:p>
                  <a:p>
                    <a:fld id="{7F0892E7-840C-4598-A7A2-E00560B6A5DD}" type="VALUE">
                      <a:rPr lang="ja-JP" altLang="en-US" baseline="0%"/>
                      <a:pPr/>
                      <a:t>[値]</a:t>
                    </a:fld>
                    <a:endParaRPr lang="ja-JP" altLang="en-US" baseline="0%"/>
                  </a:p>
                  <a:p>
                    <a:fld id="{06981F6A-4E2F-444E-A025-F19EAE412878}" type="PERCENTAGE">
                      <a:rPr lang="en-US" altLang="ja-JP" baseline="0%"/>
                      <a:pPr/>
                      <a:t>[パーセンテージ]</a:t>
                    </a:fld>
                    <a:endParaRPr lang="ja-JP" altLang="en-US"/>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9-1C89-44F0-84D0-778BA3C76980}"/>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
                        <a:lumOff val="35%"/>
                      </a:schemeClr>
                    </a:solidFill>
                    <a:latin typeface="+mn-lt"/>
                    <a:ea typeface="+mn-ea"/>
                    <a:cs typeface="+mn-cs"/>
                  </a:defRPr>
                </a:pPr>
                <a:endParaRPr lang="ja-JP"/>
              </a:p>
            </c:txPr>
            <c:dLblPos val="bestFit"/>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'グラフ(退院阻害要因＿１) '!$O$9:$O$12</c:f>
              <c:strCache>
                <c:ptCount val="4"/>
                <c:pt idx="0">
                  <c:v>病状（主症状）が不安定で入院による治療が必要</c:v>
                </c:pt>
                <c:pt idx="1">
                  <c:v>退院予定</c:v>
                </c:pt>
                <c:pt idx="2">
                  <c:v>退院阻害要因がある</c:v>
                </c:pt>
                <c:pt idx="3">
                  <c:v>退院阻害要因がない</c:v>
                </c:pt>
              </c:strCache>
            </c:strRef>
          </c:cat>
          <c:val>
            <c:numRef>
              <c:f>'グラフ(退院阻害要因＿１) '!$P$9:$P$12</c:f>
              <c:numCache>
                <c:formatCode>#,##0"人"</c:formatCode>
                <c:ptCount val="4"/>
                <c:pt idx="0">
                  <c:v>10522</c:v>
                </c:pt>
                <c:pt idx="1">
                  <c:v>1656</c:v>
                </c:pt>
                <c:pt idx="2">
                  <c:v>1751</c:v>
                </c:pt>
                <c:pt idx="3">
                  <c:v>231</c:v>
                </c:pt>
              </c:numCache>
            </c:numRef>
          </c:val>
          <c:extLst>
            <c:ext xmlns:c16="http://schemas.microsoft.com/office/drawing/2014/chart" uri="{C3380CC4-5D6E-409C-BE32-E72D297353CC}">
              <c16:uniqueId val="{0000000A-1C89-44F0-84D0-778BA3C76980}"/>
            </c:ext>
          </c:extLst>
        </c:ser>
        <c:dLbls>
          <c:showLegendKey val="0"/>
          <c:showVal val="0"/>
          <c:showCatName val="0"/>
          <c:showSerName val="0"/>
          <c:showPercent val="0"/>
          <c:showBubbleSize val="0"/>
          <c:showLeaderLines val="1"/>
        </c:dLbls>
        <c:gapWidth val="100"/>
        <c:secondPieSize val="75"/>
        <c:serLines>
          <c:spPr>
            <a:ln w="9525">
              <a:solidFill>
                <a:schemeClr val="tx1">
                  <a:lumMod val="35%"/>
                  <a:lumOff val="65%"/>
                </a:schemeClr>
              </a:solidFill>
              <a:prstDash val="dash"/>
            </a:ln>
            <a:effectLst/>
          </c:spPr>
        </c:serLines>
      </c:of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r>
              <a:rPr lang="ja-JP" sz="1200" b="1"/>
              <a:t>退院阻害要因の有無</a:t>
            </a:r>
            <a:r>
              <a:rPr lang="ja-JP" altLang="en-US" sz="1200" b="1"/>
              <a:t>＿</a:t>
            </a:r>
            <a:r>
              <a:rPr lang="en-US" altLang="ja-JP" sz="1200" b="1"/>
              <a:t>1</a:t>
            </a:r>
            <a:r>
              <a:rPr lang="ja-JP" altLang="en-US" sz="1200" b="1"/>
              <a:t>年以上　寛解・院内寛解群</a:t>
            </a:r>
            <a:endParaRPr lang="ja-JP" sz="1200" b="1"/>
          </a:p>
        </c:rich>
      </c:tx>
      <c:layout>
        <c:manualLayout>
          <c:xMode val="edge"/>
          <c:yMode val="edge"/>
          <c:x val="0.12753567378198905"/>
          <c:y val="2.2882740324149081E-2"/>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manualLayout>
          <c:layoutTarget val="inner"/>
          <c:xMode val="edge"/>
          <c:yMode val="edge"/>
          <c:x val="6.9531712199843887E-2"/>
          <c:y val="0.19912972222222222"/>
          <c:w val="0.87222222222222212"/>
          <c:h val="0.74600129172335139"/>
        </c:manualLayout>
      </c:layout>
      <c:ofPieChart>
        <c:ofPieType val="pie"/>
        <c:varyColors val="1"/>
        <c:ser>
          <c:idx val="0"/>
          <c:order val="0"/>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5B7A-41BE-A599-6FBD5DED398A}"/>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5B7A-41BE-A599-6FBD5DED398A}"/>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5B7A-41BE-A599-6FBD5DED398A}"/>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5B7A-41BE-A599-6FBD5DED398A}"/>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5B7A-41BE-A599-6FBD5DED398A}"/>
              </c:ext>
            </c:extLst>
          </c:dPt>
          <c:dLbls>
            <c:dLbl>
              <c:idx val="2"/>
              <c:tx>
                <c:rich>
                  <a:bodyPr/>
                  <a:lstStyle/>
                  <a:p>
                    <a:fld id="{86904A97-26A0-4C93-AD31-96EC97B6619C}" type="CATEGORYNAME">
                      <a:rPr lang="ja-JP" altLang="en-US"/>
                      <a:pPr/>
                      <a:t>[分類名]</a:t>
                    </a:fld>
                    <a:r>
                      <a:rPr lang="ja-JP" altLang="en-US" baseline="0%"/>
                      <a:t>
</a:t>
                    </a:r>
                    <a:fld id="{A749C040-EF30-48B7-9400-A037E4715F51}" type="VALUE">
                      <a:rPr lang="ja-JP" altLang="en-US" baseline="0%"/>
                      <a:pPr/>
                      <a:t>[値]</a:t>
                    </a:fld>
                    <a:r>
                      <a:rPr lang="ja-JP" altLang="en-US" baseline="0%"/>
                      <a:t>
</a:t>
                    </a:r>
                    <a:r>
                      <a:rPr lang="en-US" altLang="ja-JP" baseline="0%"/>
                      <a:t>91.8%</a:t>
                    </a:r>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5B7A-41BE-A599-6FBD5DED398A}"/>
                </c:ext>
              </c:extLst>
            </c:dLbl>
            <c:dLbl>
              <c:idx val="3"/>
              <c:tx>
                <c:rich>
                  <a:bodyPr/>
                  <a:lstStyle/>
                  <a:p>
                    <a:fld id="{D1C9F940-4AE4-4145-AE11-8D3A71E8C3C6}" type="CATEGORYNAME">
                      <a:rPr lang="ja-JP" altLang="en-US"/>
                      <a:pPr/>
                      <a:t>[分類名]</a:t>
                    </a:fld>
                    <a:r>
                      <a:rPr lang="ja-JP" altLang="en-US" baseline="0%"/>
                      <a:t>
</a:t>
                    </a:r>
                    <a:fld id="{9225DE07-E733-4730-814B-2BAEA288540C}" type="VALUE">
                      <a:rPr lang="ja-JP" altLang="en-US" baseline="0%"/>
                      <a:pPr/>
                      <a:t>[値]</a:t>
                    </a:fld>
                    <a:r>
                      <a:rPr lang="ja-JP" altLang="en-US" baseline="0%"/>
                      <a:t>
</a:t>
                    </a:r>
                    <a:r>
                      <a:rPr lang="en-US" altLang="ja-JP" baseline="0%"/>
                      <a:t>8.2%</a:t>
                    </a:r>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5B7A-41BE-A599-6FBD5DED398A}"/>
                </c:ext>
              </c:extLst>
            </c:dLbl>
            <c:dLbl>
              <c:idx val="4"/>
              <c:tx>
                <c:rich>
                  <a:bodyPr/>
                  <a:lstStyle/>
                  <a:p>
                    <a:r>
                      <a:rPr lang="ja-JP" altLang="en-US" baseline="0%"/>
                      <a:t>病状（主症状）が落ち着き、入院によらない形で治療ができる程度まで回復</a:t>
                    </a:r>
                  </a:p>
                  <a:p>
                    <a:fld id="{599181A0-E3F6-4864-A070-B120CBE38657}" type="VALUE">
                      <a:rPr lang="ja-JP" altLang="en-US" baseline="0%"/>
                      <a:pPr/>
                      <a:t>[値]</a:t>
                    </a:fld>
                    <a:endParaRPr lang="ja-JP" altLang="en-US" baseline="0%"/>
                  </a:p>
                  <a:p>
                    <a:fld id="{06EA2244-7612-4771-8098-D5BBB153D990}" type="PERCENTAGE">
                      <a:rPr lang="en-US" altLang="ja-JP" baseline="0%"/>
                      <a:pPr/>
                      <a:t>[パーセンテージ]</a:t>
                    </a:fld>
                    <a:endParaRPr lang="ja-JP" altLang="en-US"/>
                  </a:p>
                </c:rich>
              </c:tx>
              <c:dLblPos val="bestFit"/>
              <c:showLegendKey val="0"/>
              <c:showVal val="1"/>
              <c:showCatName val="1"/>
              <c:showSerName val="0"/>
              <c:showPercent val="1"/>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9-5B7A-41BE-A599-6FBD5DED398A}"/>
                </c:ext>
              </c:extLst>
            </c:dLbl>
            <c:numFmt formatCode="0.0%" sourceLinked="0"/>
            <c:spPr>
              <a:noFill/>
              <a:ln>
                <a:noFill/>
              </a:ln>
              <a:effectLst/>
            </c:spPr>
            <c:txPr>
              <a:bodyPr rot="0" spcFirstLastPara="1" vertOverflow="overflow" horzOverflow="overflow" vert="horz" wrap="square" lIns="38100" tIns="19050" rIns="38100" bIns="19050" anchor="ctr" anchorCtr="1">
                <a:spAutoFit/>
              </a:bodyPr>
              <a:lstStyle/>
              <a:p>
                <a:pPr>
                  <a:defRPr sz="900" b="0" i="0" u="none" strike="noStrike" kern="1200" baseline="0%">
                    <a:solidFill>
                      <a:schemeClr val="tx1">
                        <a:lumMod val="65%"/>
                        <a:lumOff val="35%"/>
                      </a:schemeClr>
                    </a:solidFill>
                    <a:latin typeface="+mn-lt"/>
                    <a:ea typeface="+mn-ea"/>
                    <a:cs typeface="+mn-cs"/>
                  </a:defRPr>
                </a:pPr>
                <a:endParaRPr lang="ja-JP"/>
              </a:p>
            </c:txPr>
            <c:dLblPos val="bestFit"/>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'グラフ(退院阻害要因＿１) '!$O$9:$O$12</c:f>
              <c:strCache>
                <c:ptCount val="4"/>
                <c:pt idx="0">
                  <c:v>病状（主症状）が不安定で入院による治療が必要</c:v>
                </c:pt>
                <c:pt idx="1">
                  <c:v>退院予定</c:v>
                </c:pt>
                <c:pt idx="2">
                  <c:v>退院阻害要因がある</c:v>
                </c:pt>
                <c:pt idx="3">
                  <c:v>退院阻害要因がない</c:v>
                </c:pt>
              </c:strCache>
            </c:strRef>
          </c:cat>
          <c:val>
            <c:numRef>
              <c:f>'グラフ(退院阻害要因＿１) '!$R$9:$R$12</c:f>
              <c:numCache>
                <c:formatCode>#,##0"人"</c:formatCode>
                <c:ptCount val="4"/>
                <c:pt idx="0">
                  <c:v>174</c:v>
                </c:pt>
                <c:pt idx="1">
                  <c:v>55</c:v>
                </c:pt>
                <c:pt idx="2">
                  <c:v>336</c:v>
                </c:pt>
                <c:pt idx="3">
                  <c:v>8</c:v>
                </c:pt>
              </c:numCache>
            </c:numRef>
          </c:val>
          <c:extLst>
            <c:ext xmlns:c15="http://schemas.microsoft.com/office/drawing/2012/chart" uri="{02D57815-91ED-43cb-92C2-25804820EDAC}">
              <c15:datalabelsRange>
                <c15:f>'グラフ(退院阻害要因＿１) '!$H$3:$H$5</c15:f>
                <c15:dlblRangeCache>
                  <c:ptCount val="3"/>
                  <c:pt idx="0">
                    <c:v>病状（主症状）が落ち着き、入院によらない形で治療ができる程度まで回復</c:v>
                  </c:pt>
                  <c:pt idx="1">
                    <c:v>病状（主症状）が不安定で入院による治療が必要</c:v>
                  </c:pt>
                  <c:pt idx="2">
                    <c:v>退院予定</c:v>
                  </c:pt>
                </c15:dlblRangeCache>
              </c15:datalabelsRange>
            </c:ext>
            <c:ext xmlns:c16="http://schemas.microsoft.com/office/drawing/2014/chart" uri="{C3380CC4-5D6E-409C-BE32-E72D297353CC}">
              <c16:uniqueId val="{0000000A-5B7A-41BE-A599-6FBD5DED398A}"/>
            </c:ext>
          </c:extLst>
        </c:ser>
        <c:dLbls>
          <c:showLegendKey val="0"/>
          <c:showVal val="0"/>
          <c:showCatName val="0"/>
          <c:showSerName val="0"/>
          <c:showPercent val="0"/>
          <c:showBubbleSize val="0"/>
          <c:showLeaderLines val="1"/>
        </c:dLbls>
        <c:gapWidth val="100"/>
        <c:secondPieSize val="75"/>
        <c:serLines>
          <c:spPr>
            <a:ln w="9525">
              <a:solidFill>
                <a:schemeClr val="tx1">
                  <a:lumMod val="35%"/>
                  <a:lumOff val="65%"/>
                </a:schemeClr>
              </a:solidFill>
              <a:prstDash val="dash"/>
            </a:ln>
            <a:effectLst/>
          </c:spPr>
        </c:serLines>
      </c:of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19.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chemeClr val="tx1">
                    <a:lumMod val="50%"/>
                    <a:lumOff val="50%"/>
                  </a:schemeClr>
                </a:solidFill>
                <a:latin typeface="+mn-lt"/>
                <a:ea typeface="+mn-ea"/>
                <a:cs typeface="+mn-cs"/>
              </a:defRPr>
            </a:pPr>
            <a:r>
              <a:rPr lang="ja-JP" b="1"/>
              <a:t>退院予定の有無</a:t>
            </a: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manualLayout>
          <c:layoutTarget val="inner"/>
          <c:xMode val="edge"/>
          <c:yMode val="edge"/>
          <c:x val="0.23362970809792846"/>
          <c:y val="0.29219135802469137"/>
          <c:w val="0.53694268608580786"/>
          <c:h val="0.58126578517307981"/>
        </c:manualLayout>
      </c:layout>
      <c:pieChart>
        <c:varyColors val="1"/>
        <c:ser>
          <c:idx val="0"/>
          <c:order val="0"/>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2B92-4CD4-90AA-2F1A93583109}"/>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2B92-4CD4-90AA-2F1A93583109}"/>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2B92-4CD4-90AA-2F1A93583109}"/>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2B92-4CD4-90AA-2F1A93583109}"/>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2B92-4CD4-90AA-2F1A93583109}"/>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2B92-4CD4-90AA-2F1A93583109}"/>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
                        <a:lumOff val="35%"/>
                      </a:schemeClr>
                    </a:solidFill>
                    <a:latin typeface="+mn-lt"/>
                    <a:ea typeface="+mn-ea"/>
                    <a:cs typeface="+mn-cs"/>
                  </a:defRPr>
                </a:pPr>
                <a:endParaRPr lang="ja-JP"/>
              </a:p>
            </c:txPr>
            <c:dLblPos val="bestFit"/>
            <c:showLegendKey val="0"/>
            <c:showVal val="0"/>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'グラフ(退院阻害要因＿１) '!$H$3:$H$5</c:f>
              <c:strCache>
                <c:ptCount val="3"/>
                <c:pt idx="0">
                  <c:v>病状（主症状）が落ち着き、入院によらない形で治療ができる程度まで回復</c:v>
                </c:pt>
                <c:pt idx="1">
                  <c:v>病状（主症状）が不安定で入院による治療が必要</c:v>
                </c:pt>
                <c:pt idx="2">
                  <c:v>退院予定</c:v>
                </c:pt>
              </c:strCache>
            </c:strRef>
          </c:cat>
          <c:val>
            <c:numRef>
              <c:f>'グラフ(退院阻害要因＿１) '!$I$3:$I$5</c:f>
              <c:numCache>
                <c:formatCode>#,##0"人"</c:formatCode>
                <c:ptCount val="3"/>
                <c:pt idx="0">
                  <c:v>1982</c:v>
                </c:pt>
                <c:pt idx="1">
                  <c:v>10522</c:v>
                </c:pt>
                <c:pt idx="2">
                  <c:v>1656</c:v>
                </c:pt>
              </c:numCache>
            </c:numRef>
          </c:val>
          <c:extLst>
            <c:ext xmlns:c16="http://schemas.microsoft.com/office/drawing/2014/chart" uri="{C3380CC4-5D6E-409C-BE32-E72D297353CC}">
              <c16:uniqueId val="{00000006-2B92-4CD4-90AA-2F1A93583109}"/>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ja-JP" sz="1200" b="1"/>
              <a:t>年齢区分＿寛解・院内寛解群</a:t>
            </a:r>
          </a:p>
        </c:rich>
      </c:tx>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pieChart>
        <c:varyColors val="1"/>
        <c:ser>
          <c:idx val="2"/>
          <c:order val="0"/>
          <c:tx>
            <c:strRef>
              <c:f>'グラフ(年齢区分）'!$Q$4</c:f>
              <c:strCache>
                <c:ptCount val="1"/>
                <c:pt idx="0">
                  <c:v>計</c:v>
                </c:pt>
              </c:strCache>
            </c:strRef>
          </c:tx>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B8D9-4FC4-879E-1F357D6C2F1C}"/>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B8D9-4FC4-879E-1F357D6C2F1C}"/>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B8D9-4FC4-879E-1F357D6C2F1C}"/>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B8D9-4FC4-879E-1F357D6C2F1C}"/>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B8D9-4FC4-879E-1F357D6C2F1C}"/>
              </c:ext>
            </c:extLst>
          </c:dPt>
          <c:dPt>
            <c:idx val="5"/>
            <c:bubble3D val="0"/>
            <c:spPr>
              <a:gradFill rotWithShape="1">
                <a:gsLst>
                  <a:gs pos="0%">
                    <a:schemeClr val="accent6">
                      <a:tint val="50%"/>
                      <a:satMod val="300%"/>
                    </a:schemeClr>
                  </a:gs>
                  <a:gs pos="35%">
                    <a:schemeClr val="accent6">
                      <a:tint val="37%"/>
                      <a:satMod val="300%"/>
                    </a:schemeClr>
                  </a:gs>
                  <a:gs pos="100%">
                    <a:schemeClr val="accent6">
                      <a:tint val="15%"/>
                      <a:satMod val="350%"/>
                    </a:schemeClr>
                  </a:gs>
                </a:gsLst>
                <a:lin ang="16200000" scaled="1"/>
              </a:gradFill>
              <a:ln w="9525" cap="flat" cmpd="sng" algn="ctr">
                <a:solidFill>
                  <a:schemeClr val="accent6">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B8D9-4FC4-879E-1F357D6C2F1C}"/>
              </c:ext>
            </c:extLst>
          </c:dPt>
          <c:dPt>
            <c:idx val="6"/>
            <c:bubble3D val="0"/>
            <c:spPr>
              <a:gradFill rotWithShape="1">
                <a:gsLst>
                  <a:gs pos="0%">
                    <a:schemeClr val="accent1">
                      <a:lumMod val="60%"/>
                      <a:tint val="50%"/>
                      <a:satMod val="300%"/>
                    </a:schemeClr>
                  </a:gs>
                  <a:gs pos="35%">
                    <a:schemeClr val="accent1">
                      <a:lumMod val="60%"/>
                      <a:tint val="37%"/>
                      <a:satMod val="300%"/>
                    </a:schemeClr>
                  </a:gs>
                  <a:gs pos="100%">
                    <a:schemeClr val="accent1">
                      <a:lumMod val="60%"/>
                      <a:tint val="15%"/>
                      <a:satMod val="350%"/>
                    </a:schemeClr>
                  </a:gs>
                </a:gsLst>
                <a:lin ang="16200000" scaled="1"/>
              </a:gradFill>
              <a:ln w="9525" cap="flat" cmpd="sng" algn="ctr">
                <a:solidFill>
                  <a:schemeClr val="accent1">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B8D9-4FC4-879E-1F357D6C2F1C}"/>
              </c:ext>
            </c:extLst>
          </c:dPt>
          <c:dPt>
            <c:idx val="7"/>
            <c:bubble3D val="0"/>
            <c:spPr>
              <a:gradFill rotWithShape="1">
                <a:gsLst>
                  <a:gs pos="0%">
                    <a:schemeClr val="accent2">
                      <a:lumMod val="60%"/>
                      <a:tint val="50%"/>
                      <a:satMod val="300%"/>
                    </a:schemeClr>
                  </a:gs>
                  <a:gs pos="35%">
                    <a:schemeClr val="accent2">
                      <a:lumMod val="60%"/>
                      <a:tint val="37%"/>
                      <a:satMod val="300%"/>
                    </a:schemeClr>
                  </a:gs>
                  <a:gs pos="100%">
                    <a:schemeClr val="accent2">
                      <a:lumMod val="60%"/>
                      <a:tint val="15%"/>
                      <a:satMod val="350%"/>
                    </a:schemeClr>
                  </a:gs>
                </a:gsLst>
                <a:lin ang="16200000" scaled="1"/>
              </a:gradFill>
              <a:ln w="9525" cap="flat" cmpd="sng" algn="ctr">
                <a:solidFill>
                  <a:schemeClr val="accent2">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B8D9-4FC4-879E-1F357D6C2F1C}"/>
              </c:ext>
            </c:extLst>
          </c:dPt>
          <c:dPt>
            <c:idx val="8"/>
            <c:bubble3D val="0"/>
            <c:spPr>
              <a:gradFill rotWithShape="1">
                <a:gsLst>
                  <a:gs pos="0%">
                    <a:schemeClr val="accent3">
                      <a:lumMod val="60%"/>
                      <a:tint val="50%"/>
                      <a:satMod val="300%"/>
                    </a:schemeClr>
                  </a:gs>
                  <a:gs pos="35%">
                    <a:schemeClr val="accent3">
                      <a:lumMod val="60%"/>
                      <a:tint val="37%"/>
                      <a:satMod val="300%"/>
                    </a:schemeClr>
                  </a:gs>
                  <a:gs pos="100%">
                    <a:schemeClr val="accent3">
                      <a:lumMod val="60%"/>
                      <a:tint val="15%"/>
                      <a:satMod val="350%"/>
                    </a:schemeClr>
                  </a:gs>
                </a:gsLst>
                <a:lin ang="16200000" scaled="1"/>
              </a:gradFill>
              <a:ln w="9525" cap="flat" cmpd="sng" algn="ctr">
                <a:solidFill>
                  <a:schemeClr val="accent3">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B8D9-4FC4-879E-1F357D6C2F1C}"/>
              </c:ext>
            </c:extLst>
          </c:dPt>
          <c:dLbls>
            <c:dLbl>
              <c:idx val="0"/>
              <c:layout>
                <c:manualLayout>
                  <c:x val="2.7865810609790726E-2"/>
                  <c:y val="4.1157984004836792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B8D9-4FC4-879E-1F357D6C2F1C}"/>
                </c:ext>
              </c:extLst>
            </c:dLbl>
            <c:dLbl>
              <c:idx val="1"/>
              <c:layout>
                <c:manualLayout>
                  <c:x val="0.27473798563512597"/>
                  <c:y val="-2.6601756819480005E-3"/>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B8D9-4FC4-879E-1F357D6C2F1C}"/>
                </c:ext>
              </c:extLst>
            </c:dLbl>
            <c:dLbl>
              <c:idx val="2"/>
              <c:layout>
                <c:manualLayout>
                  <c:x val="0.20347242303694382"/>
                  <c:y val="0.1478017685904647"/>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B8D9-4FC4-879E-1F357D6C2F1C}"/>
                </c:ext>
              </c:extLst>
            </c:dLbl>
            <c:dLbl>
              <c:idx val="3"/>
              <c:layout>
                <c:manualLayout>
                  <c:x val="-0.11490873459371166"/>
                  <c:y val="9.4394937941495491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B8D9-4FC4-879E-1F357D6C2F1C}"/>
                </c:ext>
              </c:extLst>
            </c:dLbl>
            <c:dLbl>
              <c:idx val="8"/>
              <c:layout>
                <c:manualLayout>
                  <c:x val="-0.3296131592041745"/>
                  <c:y val="0.13804288651299285"/>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B8D9-4FC4-879E-1F357D6C2F1C}"/>
                </c:ext>
              </c:extLst>
            </c:dLbl>
            <c:numFmt formatCode="0.0%" sourceLinked="0"/>
            <c:spPr>
              <a:noFill/>
              <a:ln>
                <a:noFill/>
              </a:ln>
              <a:effectLst/>
            </c:spPr>
            <c:txPr>
              <a:bodyPr rot="0" spcFirstLastPara="1" vertOverflow="ellipsis" vert="horz" wrap="square" anchor="ctr" anchorCtr="1"/>
              <a:lstStyle/>
              <a:p>
                <a:pPr>
                  <a:defRPr sz="700" b="0" i="0" u="none" strike="noStrike" kern="1200" baseline="0%">
                    <a:solidFill>
                      <a:schemeClr val="tx1">
                        <a:lumMod val="65%"/>
                        <a:lumOff val="35%"/>
                      </a:schemeClr>
                    </a:solidFill>
                    <a:latin typeface="メイリオ" panose="020B0604030504040204" pitchFamily="50" charset="-128"/>
                    <a:ea typeface="メイリオ" panose="020B0604030504040204" pitchFamily="50" charset="-128"/>
                    <a:cs typeface="+mn-cs"/>
                  </a:defRPr>
                </a:pPr>
                <a:endParaRPr lang="ja-JP"/>
              </a:p>
            </c:txPr>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'グラフ(年齢区分）'!$M$5:$M$13</c:f>
              <c:strCache>
                <c:ptCount val="9"/>
                <c:pt idx="0">
                  <c:v>19歳以下</c:v>
                </c:pt>
                <c:pt idx="1">
                  <c:v>20歳代</c:v>
                </c:pt>
                <c:pt idx="2">
                  <c:v>30歳代</c:v>
                </c:pt>
                <c:pt idx="3">
                  <c:v>40歳代</c:v>
                </c:pt>
                <c:pt idx="4">
                  <c:v>50歳代</c:v>
                </c:pt>
                <c:pt idx="5">
                  <c:v>60歳代</c:v>
                </c:pt>
                <c:pt idx="6">
                  <c:v>70歳代</c:v>
                </c:pt>
                <c:pt idx="7">
                  <c:v>80歳代</c:v>
                </c:pt>
                <c:pt idx="8">
                  <c:v>90歳以上</c:v>
                </c:pt>
              </c:strCache>
            </c:strRef>
          </c:cat>
          <c:val>
            <c:numRef>
              <c:f>'グラフ(年齢区分）'!$Q$5:$Q$13</c:f>
              <c:numCache>
                <c:formatCode>#,##0"人"</c:formatCode>
                <c:ptCount val="9"/>
                <c:pt idx="0">
                  <c:v>30</c:v>
                </c:pt>
                <c:pt idx="1">
                  <c:v>97</c:v>
                </c:pt>
                <c:pt idx="2">
                  <c:v>122</c:v>
                </c:pt>
                <c:pt idx="3">
                  <c:v>203</c:v>
                </c:pt>
                <c:pt idx="4">
                  <c:v>360</c:v>
                </c:pt>
                <c:pt idx="5">
                  <c:v>324</c:v>
                </c:pt>
                <c:pt idx="6">
                  <c:v>350</c:v>
                </c:pt>
                <c:pt idx="7">
                  <c:v>271</c:v>
                </c:pt>
                <c:pt idx="8">
                  <c:v>45</c:v>
                </c:pt>
              </c:numCache>
            </c:numRef>
          </c:val>
          <c:extLst>
            <c:ext xmlns:c16="http://schemas.microsoft.com/office/drawing/2014/chart" uri="{C3380CC4-5D6E-409C-BE32-E72D297353CC}">
              <c16:uniqueId val="{00000012-B8D9-4FC4-879E-1F357D6C2F1C}"/>
            </c:ext>
          </c:extLst>
        </c:ser>
        <c:dLbls>
          <c:showLegendKey val="0"/>
          <c:showVal val="1"/>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chartSpace>
</file>

<file path=xl/charts/chart20.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20" baseline="0%">
                <a:solidFill>
                  <a:schemeClr val="tx1">
                    <a:lumMod val="50%"/>
                    <a:lumOff val="50%"/>
                  </a:schemeClr>
                </a:solidFill>
                <a:latin typeface="+mn-lt"/>
                <a:ea typeface="+mn-ea"/>
                <a:cs typeface="+mn-cs"/>
              </a:defRPr>
            </a:pPr>
            <a:r>
              <a:rPr lang="ja-JP" b="1"/>
              <a:t>退院予定の有無（</a:t>
            </a:r>
            <a:r>
              <a:rPr lang="en-US" b="1"/>
              <a:t>1</a:t>
            </a:r>
            <a:r>
              <a:rPr lang="ja-JP" b="1"/>
              <a:t>年以上寛解・院内寛解群）</a:t>
            </a:r>
          </a:p>
        </c:rich>
      </c:tx>
      <c:overlay val="0"/>
      <c:spPr>
        <a:noFill/>
        <a:ln>
          <a:noFill/>
        </a:ln>
        <a:effectLst/>
      </c:spPr>
      <c:txPr>
        <a:bodyPr rot="0" spcFirstLastPara="1" vertOverflow="ellipsis" vert="horz" wrap="square" anchor="ctr" anchorCtr="1"/>
        <a:lstStyle/>
        <a:p>
          <a:pPr>
            <a:defRPr sz="1400" b="1" i="0" u="none" strike="noStrike" kern="1200" cap="none" spc="20" baseline="0%">
              <a:solidFill>
                <a:schemeClr val="tx1">
                  <a:lumMod val="50%"/>
                  <a:lumOff val="50%"/>
                </a:schemeClr>
              </a:solidFill>
              <a:latin typeface="+mn-lt"/>
              <a:ea typeface="+mn-ea"/>
              <a:cs typeface="+mn-cs"/>
            </a:defRPr>
          </a:pPr>
          <a:endParaRPr lang="ja-JP"/>
        </a:p>
      </c:txPr>
    </c:title>
    <c:autoTitleDeleted val="0"/>
    <c:plotArea>
      <c:layout/>
      <c:pieChart>
        <c:varyColors val="1"/>
        <c:ser>
          <c:idx val="0"/>
          <c:order val="0"/>
          <c:spPr>
            <a:scene3d>
              <a:camera prst="orthographicFront"/>
              <a:lightRig rig="threePt" dir="t"/>
            </a:scene3d>
            <a:sp3d>
              <a:bevelT w="63500" h="25400"/>
            </a:sp3d>
          </c:spPr>
          <c:explosion val="2"/>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ABFC-405E-8739-0649B48FAC54}"/>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ABFC-405E-8739-0649B48FAC54}"/>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ABFC-405E-8739-0649B48FAC54}"/>
              </c:ext>
            </c:extLst>
          </c:dPt>
          <c:dLbls>
            <c:dLbl>
              <c:idx val="0"/>
              <c:layout>
                <c:manualLayout>
                  <c:x val="-2.224495916504296E-3"/>
                  <c:y val="-4.2453908103277059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BFC-405E-8739-0649B48FAC54}"/>
                </c:ext>
              </c:extLst>
            </c:dLbl>
            <c:dLbl>
              <c:idx val="1"/>
              <c:layout>
                <c:manualLayout>
                  <c:x val="9.9084645669291357E-2"/>
                  <c:y val="6.1385243511227677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BFC-405E-8739-0649B48FAC54}"/>
                </c:ext>
              </c:extLst>
            </c:dLbl>
            <c:dLbl>
              <c:idx val="2"/>
              <c:layout>
                <c:manualLayout>
                  <c:x val="4.8185258092738409E-2"/>
                  <c:y val="6.2194881889763777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BFC-405E-8739-0649B48FAC54}"/>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
                        <a:lumOff val="35%"/>
                      </a:schemeClr>
                    </a:solidFill>
                    <a:latin typeface="+mn-lt"/>
                    <a:ea typeface="+mn-ea"/>
                    <a:cs typeface="+mn-cs"/>
                  </a:defRPr>
                </a:pPr>
                <a:endParaRPr lang="ja-JP"/>
              </a:p>
            </c:txPr>
            <c:showLegendKey val="0"/>
            <c:showVal val="1"/>
            <c:showCatName val="1"/>
            <c:showSerName val="0"/>
            <c:showPercent val="1"/>
            <c:showBubbleSize val="0"/>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'グラフ(退院阻害要因＿１) '!$H$3:$H$5</c:f>
              <c:strCache>
                <c:ptCount val="3"/>
                <c:pt idx="0">
                  <c:v>病状（主症状）が落ち着き、入院によらない形で治療ができる程度まで回復</c:v>
                </c:pt>
                <c:pt idx="1">
                  <c:v>病状（主症状）が不安定で入院による治療が必要</c:v>
                </c:pt>
                <c:pt idx="2">
                  <c:v>退院予定</c:v>
                </c:pt>
              </c:strCache>
            </c:strRef>
          </c:cat>
          <c:val>
            <c:numRef>
              <c:f>'グラフ(退院阻害要因＿１) '!$K$3:$K$5</c:f>
              <c:numCache>
                <c:formatCode>#,##0"人"</c:formatCode>
                <c:ptCount val="3"/>
                <c:pt idx="0">
                  <c:v>344</c:v>
                </c:pt>
                <c:pt idx="1">
                  <c:v>174</c:v>
                </c:pt>
                <c:pt idx="2">
                  <c:v>55</c:v>
                </c:pt>
              </c:numCache>
            </c:numRef>
          </c:val>
          <c:extLst>
            <c:ext xmlns:c16="http://schemas.microsoft.com/office/drawing/2014/chart" uri="{C3380CC4-5D6E-409C-BE32-E72D297353CC}">
              <c16:uniqueId val="{00000006-ABFC-405E-8739-0649B48FAC54}"/>
            </c:ext>
          </c:extLst>
        </c:ser>
        <c:dLbls>
          <c:showLegendKey val="0"/>
          <c:showVal val="0"/>
          <c:showCatName val="1"/>
          <c:showSerName val="0"/>
          <c:showPercent val="1"/>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orientation="portrait"/>
  </c:printSettings>
</c:chartSpace>
</file>

<file path=xl/charts/chart21.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ja-JP">
                <a:latin typeface="メイリオ" panose="020B0604030504040204" pitchFamily="50" charset="-128"/>
                <a:ea typeface="メイリオ" panose="020B0604030504040204" pitchFamily="50" charset="-128"/>
              </a:rPr>
              <a:t>退院阻害要因（複数回答）</a:t>
            </a:r>
          </a:p>
        </c:rich>
      </c:tx>
      <c:layout>
        <c:manualLayout>
          <c:xMode val="edge"/>
          <c:yMode val="edge"/>
          <c:x val="0.30113275626159491"/>
          <c:y val="4.7142168472679253E-3"/>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manualLayout>
          <c:layoutTarget val="inner"/>
          <c:xMode val="edge"/>
          <c:yMode val="edge"/>
          <c:x val="0.5006108611423572"/>
          <c:y val="8.7115148450480392E-2"/>
          <c:w val="0.45619237924329531"/>
          <c:h val="0.85802993089166602"/>
        </c:manualLayout>
      </c:layout>
      <c:barChart>
        <c:barDir val="bar"/>
        <c:grouping val="clustered"/>
        <c:varyColors val="0"/>
        <c:ser>
          <c:idx val="0"/>
          <c:order val="0"/>
          <c:tx>
            <c:strRef>
              <c:f>'グラフ(退院阻害要因＿２）'!$L$3</c:f>
              <c:strCache>
                <c:ptCount val="1"/>
                <c:pt idx="0">
                  <c:v>65歳未満</c:v>
                </c:pt>
              </c:strCache>
            </c:strRef>
          </c:tx>
          <c:spPr>
            <a:solidFill>
              <a:srgbClr val="669B76"/>
            </a:soli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cat>
            <c:strRef>
              <c:f>'グラフ(退院阻害要因＿２）'!$K$4:$K$23</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'グラフ(退院阻害要因＿２）'!$L$4:$L$23</c:f>
              <c:numCache>
                <c:formatCode>0.0%</c:formatCode>
                <c:ptCount val="20"/>
                <c:pt idx="0">
                  <c:v>0.3888888888888889</c:v>
                </c:pt>
                <c:pt idx="1">
                  <c:v>0.26633986928104575</c:v>
                </c:pt>
                <c:pt idx="2">
                  <c:v>6.2091503267973858E-2</c:v>
                </c:pt>
                <c:pt idx="3">
                  <c:v>0.35294117647058826</c:v>
                </c:pt>
                <c:pt idx="4">
                  <c:v>0.47222222222222221</c:v>
                </c:pt>
                <c:pt idx="5">
                  <c:v>0.31045751633986929</c:v>
                </c:pt>
                <c:pt idx="6">
                  <c:v>0.10457516339869281</c:v>
                </c:pt>
                <c:pt idx="7">
                  <c:v>0.28594771241830064</c:v>
                </c:pt>
                <c:pt idx="8">
                  <c:v>0.20751633986928106</c:v>
                </c:pt>
                <c:pt idx="9">
                  <c:v>0.15196078431372548</c:v>
                </c:pt>
                <c:pt idx="10">
                  <c:v>0.33823529411764708</c:v>
                </c:pt>
                <c:pt idx="11">
                  <c:v>5.8823529411764705E-2</c:v>
                </c:pt>
                <c:pt idx="12">
                  <c:v>4.4117647058823532E-2</c:v>
                </c:pt>
                <c:pt idx="13">
                  <c:v>9.8039215686274508E-3</c:v>
                </c:pt>
                <c:pt idx="14">
                  <c:v>8.1699346405228759E-2</c:v>
                </c:pt>
                <c:pt idx="15">
                  <c:v>9.9673202614379092E-2</c:v>
                </c:pt>
                <c:pt idx="16">
                  <c:v>2.2875816993464051E-2</c:v>
                </c:pt>
                <c:pt idx="17">
                  <c:v>7.8431372549019607E-2</c:v>
                </c:pt>
                <c:pt idx="18">
                  <c:v>3.9215686274509803E-2</c:v>
                </c:pt>
                <c:pt idx="19">
                  <c:v>3.1045751633986929E-2</c:v>
                </c:pt>
              </c:numCache>
            </c:numRef>
          </c:val>
          <c:extLst>
            <c:ext xmlns:c16="http://schemas.microsoft.com/office/drawing/2014/chart" uri="{C3380CC4-5D6E-409C-BE32-E72D297353CC}">
              <c16:uniqueId val="{00000000-937D-4A97-83B7-B58ADA48352F}"/>
            </c:ext>
          </c:extLst>
        </c:ser>
        <c:ser>
          <c:idx val="1"/>
          <c:order val="1"/>
          <c:tx>
            <c:strRef>
              <c:f>'グラフ(退院阻害要因＿２）'!$M$3</c:f>
              <c:strCache>
                <c:ptCount val="1"/>
                <c:pt idx="0">
                  <c:v>65歳以上</c:v>
                </c:pt>
              </c:strCache>
            </c:strRef>
          </c:tx>
          <c:spPr>
            <a:solidFill>
              <a:schemeClr val="accent3">
                <a:lumMod val="20%"/>
                <a:lumOff val="80%"/>
              </a:schemeClr>
            </a:solidFill>
            <a:ln w="9525" cap="flat" cmpd="sng" algn="ctr">
              <a:solidFill>
                <a:schemeClr val="accent3">
                  <a:lumMod val="40%"/>
                  <a:lumOff val="60%"/>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cat>
            <c:strRef>
              <c:f>'グラフ(退院阻害要因＿２）'!$K$4:$K$23</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'グラフ(退院阻害要因＿２）'!$M$4:$M$23</c:f>
              <c:numCache>
                <c:formatCode>0.0%</c:formatCode>
                <c:ptCount val="20"/>
                <c:pt idx="0">
                  <c:v>0.3242530755711775</c:v>
                </c:pt>
                <c:pt idx="1">
                  <c:v>0.25483304042179261</c:v>
                </c:pt>
                <c:pt idx="2">
                  <c:v>2.0210896309314587E-2</c:v>
                </c:pt>
                <c:pt idx="3">
                  <c:v>0.43673110720562391</c:v>
                </c:pt>
                <c:pt idx="4">
                  <c:v>0.46133567662565905</c:v>
                </c:pt>
                <c:pt idx="5">
                  <c:v>0.29086115992970124</c:v>
                </c:pt>
                <c:pt idx="6">
                  <c:v>6.1511423550087874E-2</c:v>
                </c:pt>
                <c:pt idx="7">
                  <c:v>0.35149384885764501</c:v>
                </c:pt>
                <c:pt idx="8">
                  <c:v>0.23637961335676624</c:v>
                </c:pt>
                <c:pt idx="9">
                  <c:v>0.18365553602811951</c:v>
                </c:pt>
                <c:pt idx="10">
                  <c:v>0.32688927943760981</c:v>
                </c:pt>
                <c:pt idx="11">
                  <c:v>7.0298769771529004E-2</c:v>
                </c:pt>
                <c:pt idx="12">
                  <c:v>4.0421792618629174E-2</c:v>
                </c:pt>
                <c:pt idx="13">
                  <c:v>6.1511423550087872E-3</c:v>
                </c:pt>
                <c:pt idx="14">
                  <c:v>9.6660808435852369E-2</c:v>
                </c:pt>
                <c:pt idx="15">
                  <c:v>8.7873462214411252E-2</c:v>
                </c:pt>
                <c:pt idx="16">
                  <c:v>1.7574692442882251E-2</c:v>
                </c:pt>
                <c:pt idx="17">
                  <c:v>0.17047451669595781</c:v>
                </c:pt>
                <c:pt idx="18">
                  <c:v>8.9630931458699478E-2</c:v>
                </c:pt>
                <c:pt idx="19">
                  <c:v>2.8119507908611598E-2</c:v>
                </c:pt>
              </c:numCache>
            </c:numRef>
          </c:val>
          <c:extLst>
            <c:ext xmlns:c16="http://schemas.microsoft.com/office/drawing/2014/chart" uri="{C3380CC4-5D6E-409C-BE32-E72D297353CC}">
              <c16:uniqueId val="{00000001-937D-4A97-83B7-B58ADA48352F}"/>
            </c:ext>
          </c:extLst>
        </c:ser>
        <c:dLbls>
          <c:showLegendKey val="0"/>
          <c:showVal val="0"/>
          <c:showCatName val="0"/>
          <c:showSerName val="0"/>
          <c:showPercent val="0"/>
          <c:showBubbleSize val="0"/>
        </c:dLbls>
        <c:gapWidth val="100"/>
        <c:axId val="1896483359"/>
        <c:axId val="1896485023"/>
      </c:barChart>
      <c:catAx>
        <c:axId val="1896483359"/>
        <c:scaling>
          <c:orientation val="maxMin"/>
        </c:scaling>
        <c:delete val="0"/>
        <c:axPos val="l"/>
        <c:numFmt formatCode="General" sourceLinked="0"/>
        <c:majorTickMark val="none"/>
        <c:minorTickMark val="none"/>
        <c:tickLblPos val="nextTo"/>
        <c:spPr>
          <a:noFill/>
          <a:ln w="9525" cap="flat" cmpd="sng" algn="ctr">
            <a:solidFill>
              <a:schemeClr val="tx1">
                <a:lumMod val="15%"/>
                <a:lumOff val="85%"/>
              </a:schemeClr>
            </a:solidFill>
            <a:round/>
          </a:ln>
          <a:effectLst/>
        </c:spPr>
        <c:txPr>
          <a:bodyPr rot="0" spcFirstLastPara="1" vertOverflow="ellipsis" wrap="square" anchor="ctr" anchorCtr="1"/>
          <a:lstStyle/>
          <a:p>
            <a:pPr>
              <a:defRPr sz="800" b="0" i="0" u="none" strike="noStrike" kern="120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crossAx val="1896485023"/>
        <c:crosses val="autoZero"/>
        <c:auto val="1"/>
        <c:lblAlgn val="ctr"/>
        <c:lblOffset val="100"/>
        <c:tickMarkSkip val="1"/>
        <c:noMultiLvlLbl val="0"/>
      </c:catAx>
      <c:valAx>
        <c:axId val="1896485023"/>
        <c:scaling>
          <c:orientation val="minMax"/>
        </c:scaling>
        <c:delete val="0"/>
        <c:axPos val="t"/>
        <c:majorGridlines>
          <c:spPr>
            <a:ln w="9525" cap="flat" cmpd="sng" algn="ctr">
              <a:solidFill>
                <a:schemeClr val="tx1">
                  <a:lumMod val="15%"/>
                  <a:lumOff val="85%"/>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8964833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ja-JP"/>
              <a:t>退院阻害要因（複数回答）</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ja-JP"/>
        </a:p>
      </c:txPr>
    </c:title>
    <c:autoTitleDeleted val="0"/>
    <c:plotArea>
      <c:layout/>
      <c:barChart>
        <c:barDir val="bar"/>
        <c:grouping val="clustered"/>
        <c:varyColors val="0"/>
        <c:ser>
          <c:idx val="0"/>
          <c:order val="0"/>
          <c:tx>
            <c:strRef>
              <c:f>'グラフ(退院阻害要因＿２）'!$L$47</c:f>
              <c:strCache>
                <c:ptCount val="1"/>
                <c:pt idx="0">
                  <c:v>1年未満</c:v>
                </c:pt>
              </c:strCache>
            </c:strRef>
          </c:tx>
          <c:spPr>
            <a:solidFill>
              <a:schemeClr val="accent5">
                <a:tint val="58%"/>
              </a:schemeClr>
            </a:solidFill>
            <a:ln>
              <a:noFill/>
            </a:ln>
            <a:effectLst/>
          </c:spPr>
          <c:invertIfNegative val="0"/>
          <c:cat>
            <c:strRef>
              <c:f>'グラフ(退院阻害要因＿２）'!$K$48:$K$67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'グラフ(退院阻害要因＿２）'!$L$48:$L$67</c:f>
              <c:numCache>
                <c:formatCode>0.0%</c:formatCode>
                <c:ptCount val="20"/>
                <c:pt idx="0">
                  <c:v>0.35893155258764609</c:v>
                </c:pt>
                <c:pt idx="1">
                  <c:v>0.23372287145242071</c:v>
                </c:pt>
                <c:pt idx="2">
                  <c:v>3.6727879799666109E-2</c:v>
                </c:pt>
                <c:pt idx="3">
                  <c:v>0.26377295492487479</c:v>
                </c:pt>
                <c:pt idx="4">
                  <c:v>0.39899833055091821</c:v>
                </c:pt>
                <c:pt idx="5">
                  <c:v>0.25542570951585974</c:v>
                </c:pt>
                <c:pt idx="6">
                  <c:v>7.6794657762938229E-2</c:v>
                </c:pt>
                <c:pt idx="7">
                  <c:v>0.29716193656093487</c:v>
                </c:pt>
                <c:pt idx="8">
                  <c:v>0.19198664440734559</c:v>
                </c:pt>
                <c:pt idx="9">
                  <c:v>0.12186978297161936</c:v>
                </c:pt>
                <c:pt idx="10">
                  <c:v>0.42904841402337229</c:v>
                </c:pt>
                <c:pt idx="11">
                  <c:v>8.0133555926544239E-2</c:v>
                </c:pt>
                <c:pt idx="12">
                  <c:v>5.6761268781302172E-2</c:v>
                </c:pt>
                <c:pt idx="13">
                  <c:v>1.5025041736227046E-2</c:v>
                </c:pt>
                <c:pt idx="14">
                  <c:v>8.5141903171953262E-2</c:v>
                </c:pt>
                <c:pt idx="15">
                  <c:v>0.1001669449081803</c:v>
                </c:pt>
                <c:pt idx="16">
                  <c:v>2.6711185308848081E-2</c:v>
                </c:pt>
                <c:pt idx="17">
                  <c:v>0.1285475792988314</c:v>
                </c:pt>
                <c:pt idx="18">
                  <c:v>7.178631051752922E-2</c:v>
                </c:pt>
                <c:pt idx="19">
                  <c:v>3.5058430717863104E-2</c:v>
                </c:pt>
              </c:numCache>
            </c:numRef>
          </c:val>
          <c:extLst>
            <c:ext xmlns:c16="http://schemas.microsoft.com/office/drawing/2014/chart" uri="{C3380CC4-5D6E-409C-BE32-E72D297353CC}">
              <c16:uniqueId val="{00000000-0152-42E9-876D-48168C644E88}"/>
            </c:ext>
          </c:extLst>
        </c:ser>
        <c:ser>
          <c:idx val="1"/>
          <c:order val="1"/>
          <c:tx>
            <c:strRef>
              <c:f>'グラフ(退院阻害要因＿２）'!$M$47</c:f>
              <c:strCache>
                <c:ptCount val="1"/>
                <c:pt idx="0">
                  <c:v>1年以上5年未満</c:v>
                </c:pt>
              </c:strCache>
            </c:strRef>
          </c:tx>
          <c:spPr>
            <a:solidFill>
              <a:schemeClr val="accent5">
                <a:tint val="86%"/>
              </a:schemeClr>
            </a:solidFill>
            <a:ln>
              <a:noFill/>
            </a:ln>
            <a:effectLst/>
          </c:spPr>
          <c:invertIfNegative val="0"/>
          <c:cat>
            <c:strRef>
              <c:f>'グラフ(退院阻害要因＿２）'!$K$48:$K$67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'グラフ(退院阻害要因＿２）'!$M$48:$M$67</c:f>
              <c:numCache>
                <c:formatCode>0.0%</c:formatCode>
                <c:ptCount val="20"/>
                <c:pt idx="0">
                  <c:v>0.32358003442340794</c:v>
                </c:pt>
                <c:pt idx="1">
                  <c:v>0.25989672977624784</c:v>
                </c:pt>
                <c:pt idx="2">
                  <c:v>3.7865748709122203E-2</c:v>
                </c:pt>
                <c:pt idx="3">
                  <c:v>0.3889845094664372</c:v>
                </c:pt>
                <c:pt idx="4">
                  <c:v>0.44234079173838209</c:v>
                </c:pt>
                <c:pt idx="5">
                  <c:v>0.27710843373493976</c:v>
                </c:pt>
                <c:pt idx="6">
                  <c:v>6.3683304647160072E-2</c:v>
                </c:pt>
                <c:pt idx="7">
                  <c:v>0.3098106712564544</c:v>
                </c:pt>
                <c:pt idx="8">
                  <c:v>0.19793459552495696</c:v>
                </c:pt>
                <c:pt idx="9">
                  <c:v>0.1944922547332186</c:v>
                </c:pt>
                <c:pt idx="10">
                  <c:v>0.32702237521514632</c:v>
                </c:pt>
                <c:pt idx="11">
                  <c:v>7.7452667814113599E-2</c:v>
                </c:pt>
                <c:pt idx="12">
                  <c:v>3.2702237521514632E-2</c:v>
                </c:pt>
                <c:pt idx="13">
                  <c:v>6.8846815834767644E-3</c:v>
                </c:pt>
                <c:pt idx="14">
                  <c:v>0.10499139414802065</c:v>
                </c:pt>
                <c:pt idx="15">
                  <c:v>7.4010327022375214E-2</c:v>
                </c:pt>
                <c:pt idx="16">
                  <c:v>2.0654044750430294E-2</c:v>
                </c:pt>
                <c:pt idx="17">
                  <c:v>0.15662650602409639</c:v>
                </c:pt>
                <c:pt idx="18">
                  <c:v>8.9500860585197933E-2</c:v>
                </c:pt>
                <c:pt idx="19">
                  <c:v>2.7538726333907058E-2</c:v>
                </c:pt>
              </c:numCache>
            </c:numRef>
          </c:val>
          <c:extLst>
            <c:ext xmlns:c16="http://schemas.microsoft.com/office/drawing/2014/chart" uri="{C3380CC4-5D6E-409C-BE32-E72D297353CC}">
              <c16:uniqueId val="{00000001-0152-42E9-876D-48168C644E88}"/>
            </c:ext>
          </c:extLst>
        </c:ser>
        <c:ser>
          <c:idx val="2"/>
          <c:order val="2"/>
          <c:tx>
            <c:strRef>
              <c:f>'グラフ(退院阻害要因＿２）'!$N$47</c:f>
              <c:strCache>
                <c:ptCount val="1"/>
                <c:pt idx="0">
                  <c:v>5年以上10年未満</c:v>
                </c:pt>
              </c:strCache>
            </c:strRef>
          </c:tx>
          <c:spPr>
            <a:solidFill>
              <a:schemeClr val="accent5">
                <a:shade val="86%"/>
              </a:schemeClr>
            </a:solidFill>
            <a:ln>
              <a:noFill/>
            </a:ln>
            <a:effectLst/>
          </c:spPr>
          <c:invertIfNegative val="0"/>
          <c:cat>
            <c:strRef>
              <c:f>'グラフ(退院阻害要因＿２）'!$K$48:$K$67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'グラフ(退院阻害要因＿２）'!$N$48:$N$67</c:f>
              <c:numCache>
                <c:formatCode>0.0%</c:formatCode>
                <c:ptCount val="20"/>
                <c:pt idx="0">
                  <c:v>0.36861313868613138</c:v>
                </c:pt>
                <c:pt idx="1">
                  <c:v>0.31386861313868614</c:v>
                </c:pt>
                <c:pt idx="2">
                  <c:v>3.2846715328467155E-2</c:v>
                </c:pt>
                <c:pt idx="3">
                  <c:v>0.52189781021897808</c:v>
                </c:pt>
                <c:pt idx="4">
                  <c:v>0.54379562043795615</c:v>
                </c:pt>
                <c:pt idx="5">
                  <c:v>0.34671532846715331</c:v>
                </c:pt>
                <c:pt idx="6">
                  <c:v>8.3941605839416053E-2</c:v>
                </c:pt>
                <c:pt idx="7">
                  <c:v>0.38686131386861317</c:v>
                </c:pt>
                <c:pt idx="8">
                  <c:v>0.24817518248175183</c:v>
                </c:pt>
                <c:pt idx="9">
                  <c:v>0.21167883211678831</c:v>
                </c:pt>
                <c:pt idx="10">
                  <c:v>0.21167883211678831</c:v>
                </c:pt>
                <c:pt idx="11">
                  <c:v>4.0145985401459854E-2</c:v>
                </c:pt>
                <c:pt idx="12">
                  <c:v>3.2846715328467155E-2</c:v>
                </c:pt>
                <c:pt idx="13">
                  <c:v>0</c:v>
                </c:pt>
                <c:pt idx="14">
                  <c:v>9.1240875912408759E-2</c:v>
                </c:pt>
                <c:pt idx="15">
                  <c:v>9.1240875912408759E-2</c:v>
                </c:pt>
                <c:pt idx="16">
                  <c:v>7.2992700729927005E-3</c:v>
                </c:pt>
                <c:pt idx="17">
                  <c:v>0.12773722627737227</c:v>
                </c:pt>
                <c:pt idx="18">
                  <c:v>5.1094890510948905E-2</c:v>
                </c:pt>
                <c:pt idx="19">
                  <c:v>3.2846715328467155E-2</c:v>
                </c:pt>
              </c:numCache>
            </c:numRef>
          </c:val>
          <c:extLst>
            <c:ext xmlns:c16="http://schemas.microsoft.com/office/drawing/2014/chart" uri="{C3380CC4-5D6E-409C-BE32-E72D297353CC}">
              <c16:uniqueId val="{00000002-0152-42E9-876D-48168C644E88}"/>
            </c:ext>
          </c:extLst>
        </c:ser>
        <c:ser>
          <c:idx val="3"/>
          <c:order val="3"/>
          <c:tx>
            <c:strRef>
              <c:f>'グラフ(退院阻害要因＿２）'!$O$47</c:f>
              <c:strCache>
                <c:ptCount val="1"/>
                <c:pt idx="0">
                  <c:v>10年以上</c:v>
                </c:pt>
              </c:strCache>
            </c:strRef>
          </c:tx>
          <c:spPr>
            <a:solidFill>
              <a:schemeClr val="accent5">
                <a:shade val="58%"/>
              </a:schemeClr>
            </a:solidFill>
            <a:ln>
              <a:noFill/>
            </a:ln>
            <a:effectLst/>
          </c:spPr>
          <c:invertIfNegative val="0"/>
          <c:cat>
            <c:strRef>
              <c:f>'グラフ(退院阻害要因＿２）'!$K$48:$K$67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'グラフ(退院阻害要因＿２）'!$O$48:$O$67</c:f>
              <c:numCache>
                <c:formatCode>0.0%</c:formatCode>
                <c:ptCount val="20"/>
                <c:pt idx="0">
                  <c:v>0.35016835016835018</c:v>
                </c:pt>
                <c:pt idx="1">
                  <c:v>0.25925925925925924</c:v>
                </c:pt>
                <c:pt idx="2">
                  <c:v>2.6936026936026935E-2</c:v>
                </c:pt>
                <c:pt idx="3">
                  <c:v>0.6262626262626263</c:v>
                </c:pt>
                <c:pt idx="4">
                  <c:v>0.57239057239057234</c:v>
                </c:pt>
                <c:pt idx="5">
                  <c:v>0.38047138047138046</c:v>
                </c:pt>
                <c:pt idx="6">
                  <c:v>9.7643097643097643E-2</c:v>
                </c:pt>
                <c:pt idx="7">
                  <c:v>0.37373737373737376</c:v>
                </c:pt>
                <c:pt idx="8">
                  <c:v>0.33333333333333331</c:v>
                </c:pt>
                <c:pt idx="9">
                  <c:v>0.19528619528619529</c:v>
                </c:pt>
                <c:pt idx="10">
                  <c:v>0.24915824915824916</c:v>
                </c:pt>
                <c:pt idx="11">
                  <c:v>4.0404040404040407E-2</c:v>
                </c:pt>
                <c:pt idx="12">
                  <c:v>3.7037037037037035E-2</c:v>
                </c:pt>
                <c:pt idx="13">
                  <c:v>0</c:v>
                </c:pt>
                <c:pt idx="14">
                  <c:v>7.7441077441077436E-2</c:v>
                </c:pt>
                <c:pt idx="15">
                  <c:v>0.1111111111111111</c:v>
                </c:pt>
                <c:pt idx="16">
                  <c:v>1.3468013468013467E-2</c:v>
                </c:pt>
                <c:pt idx="17">
                  <c:v>0.13131313131313133</c:v>
                </c:pt>
                <c:pt idx="18">
                  <c:v>5.7239057239057242E-2</c:v>
                </c:pt>
                <c:pt idx="19">
                  <c:v>1.6835016835016835E-2</c:v>
                </c:pt>
              </c:numCache>
            </c:numRef>
          </c:val>
          <c:extLst>
            <c:ext xmlns:c16="http://schemas.microsoft.com/office/drawing/2014/chart" uri="{C3380CC4-5D6E-409C-BE32-E72D297353CC}">
              <c16:uniqueId val="{00000003-0152-42E9-876D-48168C644E88}"/>
            </c:ext>
          </c:extLst>
        </c:ser>
        <c:dLbls>
          <c:showLegendKey val="0"/>
          <c:showVal val="0"/>
          <c:showCatName val="0"/>
          <c:showSerName val="0"/>
          <c:showPercent val="0"/>
          <c:showBubbleSize val="0"/>
        </c:dLbls>
        <c:gapWidth val="182"/>
        <c:axId val="1977369407"/>
        <c:axId val="1977377727"/>
      </c:barChart>
      <c:catAx>
        <c:axId val="1977369407"/>
        <c:scaling>
          <c:orientation val="maxMin"/>
        </c:scaling>
        <c:delete val="0"/>
        <c:axPos val="l"/>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ja-JP"/>
          </a:p>
        </c:txPr>
        <c:crossAx val="1977377727"/>
        <c:crosses val="autoZero"/>
        <c:auto val="1"/>
        <c:lblAlgn val="ctr"/>
        <c:lblOffset val="100"/>
        <c:noMultiLvlLbl val="0"/>
      </c:catAx>
      <c:valAx>
        <c:axId val="1977377727"/>
        <c:scaling>
          <c:orientation val="minMax"/>
        </c:scaling>
        <c:delete val="0"/>
        <c:axPos val="t"/>
        <c:majorGridlines>
          <c:spPr>
            <a:ln w="9525" cap="flat" cmpd="sng" algn="ctr">
              <a:solidFill>
                <a:schemeClr val="tx1">
                  <a:lumMod val="15%"/>
                  <a:lumOff val="85%"/>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ja-JP"/>
          </a:p>
        </c:txPr>
        <c:crossAx val="1977369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ja-JP">
                <a:latin typeface="メイリオ" panose="020B0604030504040204" pitchFamily="50" charset="-128"/>
                <a:ea typeface="メイリオ" panose="020B0604030504040204" pitchFamily="50" charset="-128"/>
              </a:rPr>
              <a:t>退院阻害要因</a:t>
            </a:r>
            <a:r>
              <a:rPr lang="en-US" altLang="ja-JP">
                <a:latin typeface="メイリオ" panose="020B0604030504040204" pitchFamily="50" charset="-128"/>
                <a:ea typeface="メイリオ" panose="020B0604030504040204" pitchFamily="50" charset="-128"/>
              </a:rPr>
              <a:t>_</a:t>
            </a:r>
            <a:r>
              <a:rPr lang="ja-JP" altLang="en-US">
                <a:latin typeface="メイリオ" panose="020B0604030504040204" pitchFamily="50" charset="-128"/>
                <a:ea typeface="メイリオ" panose="020B0604030504040204" pitchFamily="50" charset="-128"/>
              </a:rPr>
              <a:t>寛解・院内寛解</a:t>
            </a:r>
            <a:r>
              <a:rPr lang="ja-JP">
                <a:latin typeface="メイリオ" panose="020B0604030504040204" pitchFamily="50" charset="-128"/>
                <a:ea typeface="メイリオ" panose="020B0604030504040204" pitchFamily="50" charset="-128"/>
              </a:rPr>
              <a:t>（複数回答）</a:t>
            </a:r>
          </a:p>
        </c:rich>
      </c:tx>
      <c:layout>
        <c:manualLayout>
          <c:xMode val="edge"/>
          <c:yMode val="edge"/>
          <c:x val="0.25397944100006864"/>
          <c:y val="4.7142134634455676E-3"/>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manualLayout>
          <c:layoutTarget val="inner"/>
          <c:xMode val="edge"/>
          <c:yMode val="edge"/>
          <c:x val="0.5006108611423572"/>
          <c:y val="8.7115148450480392E-2"/>
          <c:w val="0.45619237924329531"/>
          <c:h val="0.85802993089166602"/>
        </c:manualLayout>
      </c:layout>
      <c:barChart>
        <c:barDir val="bar"/>
        <c:grouping val="clustered"/>
        <c:varyColors val="0"/>
        <c:ser>
          <c:idx val="0"/>
          <c:order val="0"/>
          <c:tx>
            <c:strRef>
              <c:f>'グラフ(退院阻害要因＿２(寛解・院内寛解)'!$L$3</c:f>
              <c:strCache>
                <c:ptCount val="1"/>
                <c:pt idx="0">
                  <c:v>65歳未満</c:v>
                </c:pt>
              </c:strCache>
            </c:strRef>
          </c:tx>
          <c:spPr>
            <a:solidFill>
              <a:schemeClr val="accent5"/>
            </a:solidFill>
            <a:ln w="9525" cap="flat" cmpd="sng" algn="ctr">
              <a:solidFill>
                <a:srgbClr val="4D99BB"/>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cat>
            <c:strRef>
              <c:f>'グラフ(退院阻害要因＿２(寛解・院内寛解)'!$K$4:$K$23</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'グラフ(退院阻害要因＿２(寛解・院内寛解)'!$L$4:$L$23</c:f>
              <c:numCache>
                <c:formatCode>0.0%</c:formatCode>
                <c:ptCount val="20"/>
                <c:pt idx="0">
                  <c:v>0.32692307692307693</c:v>
                </c:pt>
                <c:pt idx="1">
                  <c:v>0.13942307692307693</c:v>
                </c:pt>
                <c:pt idx="2">
                  <c:v>2.8846153846153848E-2</c:v>
                </c:pt>
                <c:pt idx="3">
                  <c:v>0.26442307692307693</c:v>
                </c:pt>
                <c:pt idx="4">
                  <c:v>0.25</c:v>
                </c:pt>
                <c:pt idx="5">
                  <c:v>0.26923076923076922</c:v>
                </c:pt>
                <c:pt idx="6">
                  <c:v>3.8461538461538464E-2</c:v>
                </c:pt>
                <c:pt idx="7">
                  <c:v>0.20192307692307693</c:v>
                </c:pt>
                <c:pt idx="8">
                  <c:v>0.16346153846153846</c:v>
                </c:pt>
                <c:pt idx="9">
                  <c:v>0.12980769230769232</c:v>
                </c:pt>
                <c:pt idx="10">
                  <c:v>0.37019230769230771</c:v>
                </c:pt>
                <c:pt idx="11">
                  <c:v>5.2884615384615384E-2</c:v>
                </c:pt>
                <c:pt idx="12">
                  <c:v>1.4423076923076924E-2</c:v>
                </c:pt>
                <c:pt idx="13">
                  <c:v>0</c:v>
                </c:pt>
                <c:pt idx="14">
                  <c:v>5.7692307692307696E-2</c:v>
                </c:pt>
                <c:pt idx="15">
                  <c:v>5.7692307692307696E-2</c:v>
                </c:pt>
                <c:pt idx="16">
                  <c:v>3.3653846153846152E-2</c:v>
                </c:pt>
                <c:pt idx="17">
                  <c:v>3.3653846153846152E-2</c:v>
                </c:pt>
                <c:pt idx="18">
                  <c:v>1.4423076923076924E-2</c:v>
                </c:pt>
                <c:pt idx="19">
                  <c:v>2.8846153846153848E-2</c:v>
                </c:pt>
              </c:numCache>
            </c:numRef>
          </c:val>
          <c:extLst>
            <c:ext xmlns:c16="http://schemas.microsoft.com/office/drawing/2014/chart" uri="{C3380CC4-5D6E-409C-BE32-E72D297353CC}">
              <c16:uniqueId val="{00000000-91A3-4E72-B886-296587B68515}"/>
            </c:ext>
          </c:extLst>
        </c:ser>
        <c:ser>
          <c:idx val="1"/>
          <c:order val="1"/>
          <c:tx>
            <c:strRef>
              <c:f>'グラフ(退院阻害要因＿２(寛解・院内寛解)'!$M$3</c:f>
              <c:strCache>
                <c:ptCount val="1"/>
                <c:pt idx="0">
                  <c:v>65歳以上</c:v>
                </c:pt>
              </c:strCache>
            </c:strRef>
          </c:tx>
          <c:spPr>
            <a:solidFill>
              <a:schemeClr val="accent5">
                <a:lumMod val="20%"/>
                <a:lumOff val="80%"/>
              </a:schemeClr>
            </a:solidFill>
            <a:ln w="9525" cap="flat" cmpd="sng" algn="ctr">
              <a:solidFill>
                <a:schemeClr val="accent5">
                  <a:lumMod val="20%"/>
                  <a:lumOff val="80%"/>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cat>
            <c:strRef>
              <c:f>'グラフ(退院阻害要因＿２(寛解・院内寛解)'!$K$4:$K$23</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'グラフ(退院阻害要因＿２(寛解・院内寛解)'!$M$4:$M$23</c:f>
              <c:numCache>
                <c:formatCode>0.0%</c:formatCode>
                <c:ptCount val="20"/>
                <c:pt idx="0">
                  <c:v>0.24390243902439024</c:v>
                </c:pt>
                <c:pt idx="1">
                  <c:v>0.1524390243902439</c:v>
                </c:pt>
                <c:pt idx="2">
                  <c:v>1.2195121951219513E-2</c:v>
                </c:pt>
                <c:pt idx="3">
                  <c:v>0.44207317073170732</c:v>
                </c:pt>
                <c:pt idx="4">
                  <c:v>0.29878048780487804</c:v>
                </c:pt>
                <c:pt idx="5">
                  <c:v>0.21646341463414634</c:v>
                </c:pt>
                <c:pt idx="6">
                  <c:v>2.1341463414634148E-2</c:v>
                </c:pt>
                <c:pt idx="7">
                  <c:v>0.26219512195121952</c:v>
                </c:pt>
                <c:pt idx="8">
                  <c:v>0.20121951219512196</c:v>
                </c:pt>
                <c:pt idx="9">
                  <c:v>0.18292682926829268</c:v>
                </c:pt>
                <c:pt idx="10">
                  <c:v>0.3201219512195122</c:v>
                </c:pt>
                <c:pt idx="11">
                  <c:v>7.3170731707317069E-2</c:v>
                </c:pt>
                <c:pt idx="12">
                  <c:v>3.6585365853658534E-2</c:v>
                </c:pt>
                <c:pt idx="13">
                  <c:v>0</c:v>
                </c:pt>
                <c:pt idx="14">
                  <c:v>9.451219512195122E-2</c:v>
                </c:pt>
                <c:pt idx="15">
                  <c:v>0.10060975609756098</c:v>
                </c:pt>
                <c:pt idx="16">
                  <c:v>3.048780487804878E-2</c:v>
                </c:pt>
                <c:pt idx="17">
                  <c:v>0.13414634146341464</c:v>
                </c:pt>
                <c:pt idx="18">
                  <c:v>3.9634146341463415E-2</c:v>
                </c:pt>
                <c:pt idx="19">
                  <c:v>3.3536585365853661E-2</c:v>
                </c:pt>
              </c:numCache>
            </c:numRef>
          </c:val>
          <c:extLst>
            <c:ext xmlns:c16="http://schemas.microsoft.com/office/drawing/2014/chart" uri="{C3380CC4-5D6E-409C-BE32-E72D297353CC}">
              <c16:uniqueId val="{00000001-91A3-4E72-B886-296587B68515}"/>
            </c:ext>
          </c:extLst>
        </c:ser>
        <c:dLbls>
          <c:showLegendKey val="0"/>
          <c:showVal val="0"/>
          <c:showCatName val="0"/>
          <c:showSerName val="0"/>
          <c:showPercent val="0"/>
          <c:showBubbleSize val="0"/>
        </c:dLbls>
        <c:gapWidth val="100"/>
        <c:axId val="1896483359"/>
        <c:axId val="1896485023"/>
      </c:barChart>
      <c:catAx>
        <c:axId val="1896483359"/>
        <c:scaling>
          <c:orientation val="maxMin"/>
        </c:scaling>
        <c:delete val="0"/>
        <c:axPos val="l"/>
        <c:numFmt formatCode="General" sourceLinked="0"/>
        <c:majorTickMark val="none"/>
        <c:minorTickMark val="none"/>
        <c:tickLblPos val="nextTo"/>
        <c:spPr>
          <a:noFill/>
          <a:ln w="9525" cap="flat" cmpd="sng" algn="ctr">
            <a:solidFill>
              <a:schemeClr val="tx1">
                <a:lumMod val="15%"/>
                <a:lumOff val="85%"/>
              </a:schemeClr>
            </a:solidFill>
            <a:round/>
          </a:ln>
          <a:effectLst/>
        </c:spPr>
        <c:txPr>
          <a:bodyPr rot="0" spcFirstLastPara="1" vertOverflow="ellipsis" wrap="square" anchor="ctr" anchorCtr="1"/>
          <a:lstStyle/>
          <a:p>
            <a:pPr>
              <a:defRPr sz="800" b="0" i="0" u="none" strike="noStrike" kern="120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crossAx val="1896485023"/>
        <c:crosses val="autoZero"/>
        <c:auto val="1"/>
        <c:lblAlgn val="ctr"/>
        <c:lblOffset val="100"/>
        <c:tickMarkSkip val="1"/>
        <c:noMultiLvlLbl val="0"/>
      </c:catAx>
      <c:valAx>
        <c:axId val="1896485023"/>
        <c:scaling>
          <c:orientation val="minMax"/>
        </c:scaling>
        <c:delete val="0"/>
        <c:axPos val="t"/>
        <c:majorGridlines>
          <c:spPr>
            <a:ln w="9525" cap="flat" cmpd="sng" algn="ctr">
              <a:solidFill>
                <a:schemeClr val="tx1">
                  <a:lumMod val="15%"/>
                  <a:lumOff val="85%"/>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18964833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ja-JP"/>
              <a:t>退院阻害要因</a:t>
            </a:r>
            <a:r>
              <a:rPr lang="en-US" altLang="ja-JP"/>
              <a:t>_</a:t>
            </a:r>
            <a:r>
              <a:rPr lang="ja-JP" altLang="en-US"/>
              <a:t>寛解・院内寛解</a:t>
            </a:r>
            <a:r>
              <a:rPr lang="ja-JP"/>
              <a:t>（複数回答）</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ja-JP"/>
        </a:p>
      </c:txPr>
    </c:title>
    <c:autoTitleDeleted val="0"/>
    <c:plotArea>
      <c:layout/>
      <c:barChart>
        <c:barDir val="bar"/>
        <c:grouping val="clustered"/>
        <c:varyColors val="0"/>
        <c:ser>
          <c:idx val="0"/>
          <c:order val="0"/>
          <c:tx>
            <c:strRef>
              <c:f>'グラフ(退院阻害要因＿２(寛解・院内寛解)'!$L$47</c:f>
              <c:strCache>
                <c:ptCount val="1"/>
                <c:pt idx="0">
                  <c:v>1年未満</c:v>
                </c:pt>
              </c:strCache>
            </c:strRef>
          </c:tx>
          <c:spPr>
            <a:solidFill>
              <a:schemeClr val="accent4">
                <a:tint val="58%"/>
              </a:schemeClr>
            </a:solidFill>
            <a:ln>
              <a:noFill/>
            </a:ln>
            <a:effectLst/>
          </c:spPr>
          <c:invertIfNegative val="0"/>
          <c:cat>
            <c:strRef>
              <c:f>'グラフ(退院阻害要因＿２(寛解・院内寛解)'!$K$48:$K$67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'グラフ(退院阻害要因＿２(寛解・院内寛解)'!$L$48:$L$67</c:f>
              <c:numCache>
                <c:formatCode>0.0%</c:formatCode>
                <c:ptCount val="20"/>
                <c:pt idx="0">
                  <c:v>0.29353233830845771</c:v>
                </c:pt>
                <c:pt idx="1">
                  <c:v>0.12935323383084577</c:v>
                </c:pt>
                <c:pt idx="2">
                  <c:v>1.9900497512437811E-2</c:v>
                </c:pt>
                <c:pt idx="3">
                  <c:v>0.19402985074626866</c:v>
                </c:pt>
                <c:pt idx="4">
                  <c:v>0.22885572139303484</c:v>
                </c:pt>
                <c:pt idx="5">
                  <c:v>0.20398009950248755</c:v>
                </c:pt>
                <c:pt idx="6">
                  <c:v>3.482587064676617E-2</c:v>
                </c:pt>
                <c:pt idx="7">
                  <c:v>0.18407960199004975</c:v>
                </c:pt>
                <c:pt idx="8">
                  <c:v>0.17910447761194029</c:v>
                </c:pt>
                <c:pt idx="9">
                  <c:v>9.4527363184079602E-2</c:v>
                </c:pt>
                <c:pt idx="10">
                  <c:v>0.46766169154228854</c:v>
                </c:pt>
                <c:pt idx="11">
                  <c:v>7.9601990049751242E-2</c:v>
                </c:pt>
                <c:pt idx="12">
                  <c:v>4.975124378109453E-2</c:v>
                </c:pt>
                <c:pt idx="13">
                  <c:v>0</c:v>
                </c:pt>
                <c:pt idx="14">
                  <c:v>5.9701492537313432E-2</c:v>
                </c:pt>
                <c:pt idx="15">
                  <c:v>6.4676616915422883E-2</c:v>
                </c:pt>
                <c:pt idx="16">
                  <c:v>3.9800995024875621E-2</c:v>
                </c:pt>
                <c:pt idx="17">
                  <c:v>9.950248756218906E-2</c:v>
                </c:pt>
                <c:pt idx="18">
                  <c:v>2.4875621890547265E-2</c:v>
                </c:pt>
                <c:pt idx="19">
                  <c:v>4.4776119402985072E-2</c:v>
                </c:pt>
              </c:numCache>
            </c:numRef>
          </c:val>
          <c:extLst>
            <c:ext xmlns:c16="http://schemas.microsoft.com/office/drawing/2014/chart" uri="{C3380CC4-5D6E-409C-BE32-E72D297353CC}">
              <c16:uniqueId val="{00000000-DDE7-4C0B-8A11-2A397413132B}"/>
            </c:ext>
          </c:extLst>
        </c:ser>
        <c:ser>
          <c:idx val="1"/>
          <c:order val="1"/>
          <c:tx>
            <c:strRef>
              <c:f>'グラフ(退院阻害要因＿２(寛解・院内寛解)'!$M$47</c:f>
              <c:strCache>
                <c:ptCount val="1"/>
                <c:pt idx="0">
                  <c:v>1年以上5年未満</c:v>
                </c:pt>
              </c:strCache>
            </c:strRef>
          </c:tx>
          <c:spPr>
            <a:solidFill>
              <a:schemeClr val="accent4">
                <a:tint val="86%"/>
              </a:schemeClr>
            </a:solidFill>
            <a:ln>
              <a:noFill/>
            </a:ln>
            <a:effectLst/>
          </c:spPr>
          <c:invertIfNegative val="0"/>
          <c:cat>
            <c:strRef>
              <c:f>'グラフ(退院阻害要因＿２(寛解・院内寛解)'!$K$48:$K$67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'グラフ(退院阻害要因＿２(寛解・院内寛解)'!$M$48:$M$67</c:f>
              <c:numCache>
                <c:formatCode>0.0%</c:formatCode>
                <c:ptCount val="20"/>
                <c:pt idx="0">
                  <c:v>0.23428571428571429</c:v>
                </c:pt>
                <c:pt idx="1">
                  <c:v>0.15428571428571428</c:v>
                </c:pt>
                <c:pt idx="2">
                  <c:v>2.8571428571428571E-2</c:v>
                </c:pt>
                <c:pt idx="3">
                  <c:v>0.42857142857142855</c:v>
                </c:pt>
                <c:pt idx="4">
                  <c:v>0.24</c:v>
                </c:pt>
                <c:pt idx="5">
                  <c:v>0.24</c:v>
                </c:pt>
                <c:pt idx="6">
                  <c:v>1.1428571428571429E-2</c:v>
                </c:pt>
                <c:pt idx="7">
                  <c:v>0.22857142857142856</c:v>
                </c:pt>
                <c:pt idx="8">
                  <c:v>0.17714285714285713</c:v>
                </c:pt>
                <c:pt idx="9">
                  <c:v>0.1657142857142857</c:v>
                </c:pt>
                <c:pt idx="10">
                  <c:v>0.32571428571428573</c:v>
                </c:pt>
                <c:pt idx="11">
                  <c:v>7.4285714285714288E-2</c:v>
                </c:pt>
                <c:pt idx="12">
                  <c:v>1.1428571428571429E-2</c:v>
                </c:pt>
                <c:pt idx="13">
                  <c:v>0</c:v>
                </c:pt>
                <c:pt idx="14">
                  <c:v>8.5714285714285715E-2</c:v>
                </c:pt>
                <c:pt idx="15">
                  <c:v>9.1428571428571428E-2</c:v>
                </c:pt>
                <c:pt idx="16">
                  <c:v>3.4285714285714287E-2</c:v>
                </c:pt>
                <c:pt idx="17">
                  <c:v>0.12</c:v>
                </c:pt>
                <c:pt idx="18">
                  <c:v>5.1428571428571428E-2</c:v>
                </c:pt>
                <c:pt idx="19">
                  <c:v>2.2857142857142857E-2</c:v>
                </c:pt>
              </c:numCache>
            </c:numRef>
          </c:val>
          <c:extLst>
            <c:ext xmlns:c16="http://schemas.microsoft.com/office/drawing/2014/chart" uri="{C3380CC4-5D6E-409C-BE32-E72D297353CC}">
              <c16:uniqueId val="{00000001-DDE7-4C0B-8A11-2A397413132B}"/>
            </c:ext>
          </c:extLst>
        </c:ser>
        <c:ser>
          <c:idx val="2"/>
          <c:order val="2"/>
          <c:tx>
            <c:strRef>
              <c:f>'グラフ(退院阻害要因＿２(寛解・院内寛解)'!$N$47</c:f>
              <c:strCache>
                <c:ptCount val="1"/>
                <c:pt idx="0">
                  <c:v>5年以上10年未満</c:v>
                </c:pt>
              </c:strCache>
            </c:strRef>
          </c:tx>
          <c:spPr>
            <a:solidFill>
              <a:schemeClr val="accent4">
                <a:shade val="86%"/>
              </a:schemeClr>
            </a:solidFill>
            <a:ln>
              <a:noFill/>
            </a:ln>
            <a:effectLst/>
          </c:spPr>
          <c:invertIfNegative val="0"/>
          <c:cat>
            <c:strRef>
              <c:f>'グラフ(退院阻害要因＿２(寛解・院内寛解)'!$K$48:$K$67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'グラフ(退院阻害要因＿２(寛解・院内寛解)'!$N$48:$N$67</c:f>
              <c:numCache>
                <c:formatCode>0.0%</c:formatCode>
                <c:ptCount val="20"/>
                <c:pt idx="0">
                  <c:v>0.27906976744186046</c:v>
                </c:pt>
                <c:pt idx="2">
                  <c:v>0</c:v>
                </c:pt>
                <c:pt idx="3">
                  <c:v>0.51162790697674421</c:v>
                </c:pt>
                <c:pt idx="4">
                  <c:v>0.43023255813953487</c:v>
                </c:pt>
                <c:pt idx="5">
                  <c:v>0.2558139534883721</c:v>
                </c:pt>
                <c:pt idx="6">
                  <c:v>3.4883720930232558E-2</c:v>
                </c:pt>
                <c:pt idx="7">
                  <c:v>0.31395348837209303</c:v>
                </c:pt>
                <c:pt idx="8">
                  <c:v>0.18604651162790697</c:v>
                </c:pt>
                <c:pt idx="9">
                  <c:v>0.2441860465116279</c:v>
                </c:pt>
                <c:pt idx="10">
                  <c:v>0.16279069767441862</c:v>
                </c:pt>
                <c:pt idx="11">
                  <c:v>3.4883720930232558E-2</c:v>
                </c:pt>
                <c:pt idx="12">
                  <c:v>2.3255813953488372E-2</c:v>
                </c:pt>
                <c:pt idx="13">
                  <c:v>0</c:v>
                </c:pt>
                <c:pt idx="14">
                  <c:v>9.3023255813953487E-2</c:v>
                </c:pt>
                <c:pt idx="15">
                  <c:v>0.11627906976744186</c:v>
                </c:pt>
                <c:pt idx="16">
                  <c:v>2.3255813953488372E-2</c:v>
                </c:pt>
                <c:pt idx="17">
                  <c:v>5.8139534883720929E-2</c:v>
                </c:pt>
                <c:pt idx="18">
                  <c:v>1.1627906976744186E-2</c:v>
                </c:pt>
                <c:pt idx="19">
                  <c:v>3.4883720930232558E-2</c:v>
                </c:pt>
              </c:numCache>
            </c:numRef>
          </c:val>
          <c:extLst>
            <c:ext xmlns:c16="http://schemas.microsoft.com/office/drawing/2014/chart" uri="{C3380CC4-5D6E-409C-BE32-E72D297353CC}">
              <c16:uniqueId val="{00000002-DDE7-4C0B-8A11-2A397413132B}"/>
            </c:ext>
          </c:extLst>
        </c:ser>
        <c:ser>
          <c:idx val="3"/>
          <c:order val="3"/>
          <c:tx>
            <c:strRef>
              <c:f>'グラフ(退院阻害要因＿２(寛解・院内寛解)'!$O$47</c:f>
              <c:strCache>
                <c:ptCount val="1"/>
                <c:pt idx="0">
                  <c:v>10年以上</c:v>
                </c:pt>
              </c:strCache>
            </c:strRef>
          </c:tx>
          <c:spPr>
            <a:solidFill>
              <a:schemeClr val="accent4">
                <a:shade val="58%"/>
              </a:schemeClr>
            </a:solidFill>
            <a:ln>
              <a:noFill/>
            </a:ln>
            <a:effectLst/>
          </c:spPr>
          <c:invertIfNegative val="0"/>
          <c:cat>
            <c:strRef>
              <c:f>'グラフ(退院阻害要因＿２(寛解・院内寛解)'!$K$48:$K$67</c:f>
              <c:strCache>
                <c:ptCount val="20"/>
                <c:pt idx="0">
                  <c:v>病状は落ち着いているが、ときどき不安定な病状が見られ、そのことが退院を阻害する要因になっている</c:v>
                </c:pt>
                <c:pt idx="1">
                  <c:v>病識がなく通院服薬の中断が予測される</c:v>
                </c:pt>
                <c:pt idx="2">
                  <c:v>反社会的行動が予測される</c:v>
                </c:pt>
                <c:pt idx="3">
                  <c:v>退院意欲が乏しい</c:v>
                </c:pt>
                <c:pt idx="4">
                  <c:v>現実認識が乏しい</c:v>
                </c:pt>
                <c:pt idx="5">
                  <c:v>退院による環境変化への不安が強い</c:v>
                </c:pt>
                <c:pt idx="6">
                  <c:v>援助者との対人関係がもてない</c:v>
                </c:pt>
                <c:pt idx="7">
                  <c:v>家事（食事・洗濯・金銭管理など）ができない</c:v>
                </c:pt>
                <c:pt idx="8">
                  <c:v>家族がいない・本人をサポートする機能が実質ない</c:v>
                </c:pt>
                <c:pt idx="9">
                  <c:v>家族が退院に反対している</c:v>
                </c:pt>
                <c:pt idx="10">
                  <c:v>住まいの確保ができない</c:v>
                </c:pt>
                <c:pt idx="11">
                  <c:v>生活費の確保ができない</c:v>
                </c:pt>
                <c:pt idx="12">
                  <c:v>日常生活を支える制度がない</c:v>
                </c:pt>
                <c:pt idx="13">
                  <c:v>救急診療体制がない</c:v>
                </c:pt>
                <c:pt idx="14">
                  <c:v>退院に向けてサポートする人的資源が乏しい</c:v>
                </c:pt>
                <c:pt idx="15">
                  <c:v>退院後サポート・マネジメントする人的資源が乏しい</c:v>
                </c:pt>
                <c:pt idx="16">
                  <c:v>住所地と入院先の距離があり支援体制がとりにくい</c:v>
                </c:pt>
                <c:pt idx="17">
                  <c:v>身体的機能や状態を原因としたADLの低下がある</c:v>
                </c:pt>
                <c:pt idx="18">
                  <c:v>身体合併症の程度が重いなど身体面のフォローが必要であり、地域での生活が困難</c:v>
                </c:pt>
                <c:pt idx="19">
                  <c:v>その他の退院阻害要因がある</c:v>
                </c:pt>
              </c:strCache>
            </c:strRef>
          </c:cat>
          <c:val>
            <c:numRef>
              <c:f>'グラフ(退院阻害要因＿２(寛解・院内寛解)'!$O$48:$O$67</c:f>
              <c:numCache>
                <c:formatCode>0.0%</c:formatCode>
                <c:ptCount val="20"/>
                <c:pt idx="0">
                  <c:v>0.33333333333333331</c:v>
                </c:pt>
                <c:pt idx="1">
                  <c:v>0.14666666666666667</c:v>
                </c:pt>
                <c:pt idx="2">
                  <c:v>1.3333333333333334E-2</c:v>
                </c:pt>
                <c:pt idx="3">
                  <c:v>0.56000000000000005</c:v>
                </c:pt>
                <c:pt idx="4">
                  <c:v>0.34666666666666668</c:v>
                </c:pt>
                <c:pt idx="5">
                  <c:v>0.30666666666666664</c:v>
                </c:pt>
                <c:pt idx="6">
                  <c:v>5.3333333333333337E-2</c:v>
                </c:pt>
                <c:pt idx="7">
                  <c:v>0.32</c:v>
                </c:pt>
                <c:pt idx="8">
                  <c:v>0.24</c:v>
                </c:pt>
                <c:pt idx="9">
                  <c:v>0.24</c:v>
                </c:pt>
                <c:pt idx="10">
                  <c:v>0.22666666666666666</c:v>
                </c:pt>
                <c:pt idx="11">
                  <c:v>0.04</c:v>
                </c:pt>
                <c:pt idx="12">
                  <c:v>1.3333333333333334E-2</c:v>
                </c:pt>
                <c:pt idx="13">
                  <c:v>0</c:v>
                </c:pt>
                <c:pt idx="14">
                  <c:v>0.10666666666666667</c:v>
                </c:pt>
                <c:pt idx="15">
                  <c:v>0.08</c:v>
                </c:pt>
                <c:pt idx="16">
                  <c:v>1.3333333333333334E-2</c:v>
                </c:pt>
                <c:pt idx="17">
                  <c:v>6.6666666666666666E-2</c:v>
                </c:pt>
                <c:pt idx="18">
                  <c:v>1.3333333333333334E-2</c:v>
                </c:pt>
                <c:pt idx="19">
                  <c:v>1.3333333333333334E-2</c:v>
                </c:pt>
              </c:numCache>
            </c:numRef>
          </c:val>
          <c:extLst>
            <c:ext xmlns:c16="http://schemas.microsoft.com/office/drawing/2014/chart" uri="{C3380CC4-5D6E-409C-BE32-E72D297353CC}">
              <c16:uniqueId val="{00000003-DDE7-4C0B-8A11-2A397413132B}"/>
            </c:ext>
          </c:extLst>
        </c:ser>
        <c:dLbls>
          <c:showLegendKey val="0"/>
          <c:showVal val="0"/>
          <c:showCatName val="0"/>
          <c:showSerName val="0"/>
          <c:showPercent val="0"/>
          <c:showBubbleSize val="0"/>
        </c:dLbls>
        <c:gapWidth val="182"/>
        <c:axId val="1977369407"/>
        <c:axId val="1977377727"/>
      </c:barChart>
      <c:catAx>
        <c:axId val="1977369407"/>
        <c:scaling>
          <c:orientation val="maxMin"/>
        </c:scaling>
        <c:delete val="0"/>
        <c:axPos val="l"/>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ja-JP"/>
          </a:p>
        </c:txPr>
        <c:crossAx val="1977377727"/>
        <c:crosses val="autoZero"/>
        <c:auto val="1"/>
        <c:lblAlgn val="ctr"/>
        <c:lblOffset val="100"/>
        <c:noMultiLvlLbl val="0"/>
      </c:catAx>
      <c:valAx>
        <c:axId val="1977377727"/>
        <c:scaling>
          <c:orientation val="minMax"/>
        </c:scaling>
        <c:delete val="0"/>
        <c:axPos val="t"/>
        <c:majorGridlines>
          <c:spPr>
            <a:ln w="9525" cap="flat" cmpd="sng" algn="ctr">
              <a:solidFill>
                <a:schemeClr val="tx1">
                  <a:lumMod val="15%"/>
                  <a:lumOff val="85%"/>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ja-JP"/>
          </a:p>
        </c:txPr>
        <c:crossAx val="1977369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ja-JP"/>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sz="1200" b="1"/>
              <a:t>1</a:t>
            </a:r>
            <a:r>
              <a:rPr lang="ja-JP" sz="1200" b="1"/>
              <a:t>年以上</a:t>
            </a:r>
          </a:p>
        </c:rich>
      </c:tx>
      <c:layout>
        <c:manualLayout>
          <c:xMode val="edge"/>
          <c:yMode val="edge"/>
          <c:x val="0.38648181712605029"/>
          <c:y val="4.2469178077610917E-3"/>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pieChart>
        <c:varyColors val="1"/>
        <c:ser>
          <c:idx val="0"/>
          <c:order val="0"/>
          <c:tx>
            <c:strRef>
              <c:f>'グラフ(年齢区分）'!$N$24</c:f>
              <c:strCache>
                <c:ptCount val="1"/>
                <c:pt idx="0">
                  <c:v>全体</c:v>
                </c:pt>
              </c:strCache>
            </c:strRef>
          </c:tx>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87C4-4E19-A588-C1D6E6E8F937}"/>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87C4-4E19-A588-C1D6E6E8F937}"/>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87C4-4E19-A588-C1D6E6E8F937}"/>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87C4-4E19-A588-C1D6E6E8F937}"/>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87C4-4E19-A588-C1D6E6E8F937}"/>
              </c:ext>
            </c:extLst>
          </c:dPt>
          <c:dPt>
            <c:idx val="5"/>
            <c:bubble3D val="0"/>
            <c:spPr>
              <a:gradFill rotWithShape="1">
                <a:gsLst>
                  <a:gs pos="0%">
                    <a:schemeClr val="accent6">
                      <a:tint val="50%"/>
                      <a:satMod val="300%"/>
                    </a:schemeClr>
                  </a:gs>
                  <a:gs pos="35%">
                    <a:schemeClr val="accent6">
                      <a:tint val="37%"/>
                      <a:satMod val="300%"/>
                    </a:schemeClr>
                  </a:gs>
                  <a:gs pos="100%">
                    <a:schemeClr val="accent6">
                      <a:tint val="15%"/>
                      <a:satMod val="350%"/>
                    </a:schemeClr>
                  </a:gs>
                </a:gsLst>
                <a:lin ang="16200000" scaled="1"/>
              </a:gradFill>
              <a:ln w="9525" cap="flat" cmpd="sng" algn="ctr">
                <a:solidFill>
                  <a:schemeClr val="accent6">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87C4-4E19-A588-C1D6E6E8F937}"/>
              </c:ext>
            </c:extLst>
          </c:dPt>
          <c:dPt>
            <c:idx val="6"/>
            <c:bubble3D val="0"/>
            <c:spPr>
              <a:gradFill rotWithShape="1">
                <a:gsLst>
                  <a:gs pos="0%">
                    <a:schemeClr val="accent1">
                      <a:lumMod val="60%"/>
                      <a:tint val="50%"/>
                      <a:satMod val="300%"/>
                    </a:schemeClr>
                  </a:gs>
                  <a:gs pos="35%">
                    <a:schemeClr val="accent1">
                      <a:lumMod val="60%"/>
                      <a:tint val="37%"/>
                      <a:satMod val="300%"/>
                    </a:schemeClr>
                  </a:gs>
                  <a:gs pos="100%">
                    <a:schemeClr val="accent1">
                      <a:lumMod val="60%"/>
                      <a:tint val="15%"/>
                      <a:satMod val="350%"/>
                    </a:schemeClr>
                  </a:gs>
                </a:gsLst>
                <a:lin ang="16200000" scaled="1"/>
              </a:gradFill>
              <a:ln w="9525" cap="flat" cmpd="sng" algn="ctr">
                <a:solidFill>
                  <a:schemeClr val="accent1">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87C4-4E19-A588-C1D6E6E8F937}"/>
              </c:ext>
            </c:extLst>
          </c:dPt>
          <c:dPt>
            <c:idx val="7"/>
            <c:bubble3D val="0"/>
            <c:spPr>
              <a:gradFill rotWithShape="1">
                <a:gsLst>
                  <a:gs pos="0%">
                    <a:schemeClr val="accent2">
                      <a:lumMod val="60%"/>
                      <a:tint val="50%"/>
                      <a:satMod val="300%"/>
                    </a:schemeClr>
                  </a:gs>
                  <a:gs pos="35%">
                    <a:schemeClr val="accent2">
                      <a:lumMod val="60%"/>
                      <a:tint val="37%"/>
                      <a:satMod val="300%"/>
                    </a:schemeClr>
                  </a:gs>
                  <a:gs pos="100%">
                    <a:schemeClr val="accent2">
                      <a:lumMod val="60%"/>
                      <a:tint val="15%"/>
                      <a:satMod val="350%"/>
                    </a:schemeClr>
                  </a:gs>
                </a:gsLst>
                <a:lin ang="16200000" scaled="1"/>
              </a:gradFill>
              <a:ln w="9525" cap="flat" cmpd="sng" algn="ctr">
                <a:solidFill>
                  <a:schemeClr val="accent2">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87C4-4E19-A588-C1D6E6E8F937}"/>
              </c:ext>
            </c:extLst>
          </c:dPt>
          <c:dPt>
            <c:idx val="8"/>
            <c:bubble3D val="0"/>
            <c:spPr>
              <a:gradFill rotWithShape="1">
                <a:gsLst>
                  <a:gs pos="0%">
                    <a:schemeClr val="accent3">
                      <a:lumMod val="60%"/>
                      <a:tint val="50%"/>
                      <a:satMod val="300%"/>
                    </a:schemeClr>
                  </a:gs>
                  <a:gs pos="35%">
                    <a:schemeClr val="accent3">
                      <a:lumMod val="60%"/>
                      <a:tint val="37%"/>
                      <a:satMod val="300%"/>
                    </a:schemeClr>
                  </a:gs>
                  <a:gs pos="100%">
                    <a:schemeClr val="accent3">
                      <a:lumMod val="60%"/>
                      <a:tint val="15%"/>
                      <a:satMod val="350%"/>
                    </a:schemeClr>
                  </a:gs>
                </a:gsLst>
                <a:lin ang="16200000" scaled="1"/>
              </a:gradFill>
              <a:ln w="9525" cap="flat" cmpd="sng" algn="ctr">
                <a:solidFill>
                  <a:schemeClr val="accent3">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87C4-4E19-A588-C1D6E6E8F937}"/>
              </c:ext>
            </c:extLst>
          </c:dPt>
          <c:dLbls>
            <c:numFmt formatCode="0.0%" sourceLinked="0"/>
            <c:spPr>
              <a:noFill/>
              <a:ln>
                <a:noFill/>
              </a:ln>
              <a:effectLst/>
            </c:spPr>
            <c:txPr>
              <a:bodyPr rot="0" spcFirstLastPara="1" vertOverflow="ellipsis" vert="horz" wrap="square" anchor="ctr" anchorCtr="1"/>
              <a:lstStyle/>
              <a:p>
                <a:pPr>
                  <a:defRPr sz="700" b="0" i="0" u="none" strike="noStrike" kern="1200" baseline="0%">
                    <a:solidFill>
                      <a:schemeClr val="tx1">
                        <a:lumMod val="65%"/>
                        <a:lumOff val="35%"/>
                      </a:schemeClr>
                    </a:solidFill>
                    <a:latin typeface="メイリオ" panose="020B0604030504040204" pitchFamily="50" charset="-128"/>
                    <a:ea typeface="メイリオ" panose="020B0604030504040204" pitchFamily="50" charset="-128"/>
                    <a:cs typeface="+mn-cs"/>
                  </a:defRPr>
                </a:pPr>
                <a:endParaRPr lang="ja-JP"/>
              </a:p>
            </c:txPr>
            <c:dLblPos val="bestFit"/>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'グラフ(年齢区分）'!$M$25:$M$33</c:f>
              <c:strCache>
                <c:ptCount val="9"/>
                <c:pt idx="0">
                  <c:v>19歳以下</c:v>
                </c:pt>
                <c:pt idx="1">
                  <c:v>20歳代</c:v>
                </c:pt>
                <c:pt idx="2">
                  <c:v>30歳代</c:v>
                </c:pt>
                <c:pt idx="3">
                  <c:v>40歳代</c:v>
                </c:pt>
                <c:pt idx="4">
                  <c:v>50歳代</c:v>
                </c:pt>
                <c:pt idx="5">
                  <c:v>60歳代</c:v>
                </c:pt>
                <c:pt idx="6">
                  <c:v>70歳代</c:v>
                </c:pt>
                <c:pt idx="7">
                  <c:v>80歳代</c:v>
                </c:pt>
                <c:pt idx="8">
                  <c:v>90歳以上</c:v>
                </c:pt>
              </c:strCache>
            </c:strRef>
          </c:cat>
          <c:val>
            <c:numRef>
              <c:f>'グラフ(年齢区分）'!$N$25:$N$33</c:f>
              <c:numCache>
                <c:formatCode>#,##0"人"</c:formatCode>
                <c:ptCount val="9"/>
                <c:pt idx="0">
                  <c:v>3</c:v>
                </c:pt>
                <c:pt idx="1">
                  <c:v>43</c:v>
                </c:pt>
                <c:pt idx="2">
                  <c:v>179</c:v>
                </c:pt>
                <c:pt idx="3">
                  <c:v>486</c:v>
                </c:pt>
                <c:pt idx="4">
                  <c:v>1375</c:v>
                </c:pt>
                <c:pt idx="5">
                  <c:v>1488</c:v>
                </c:pt>
                <c:pt idx="6">
                  <c:v>2029</c:v>
                </c:pt>
                <c:pt idx="7">
                  <c:v>1709</c:v>
                </c:pt>
                <c:pt idx="8">
                  <c:v>454</c:v>
                </c:pt>
              </c:numCache>
            </c:numRef>
          </c:val>
          <c:extLst>
            <c:ext xmlns:c16="http://schemas.microsoft.com/office/drawing/2014/chart" uri="{C3380CC4-5D6E-409C-BE32-E72D297353CC}">
              <c16:uniqueId val="{00000012-87C4-4E19-A588-C1D6E6E8F937}"/>
            </c:ext>
          </c:extLst>
        </c:ser>
        <c:dLbls>
          <c:showLegendKey val="0"/>
          <c:showVal val="1"/>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latin typeface="メイリオ" panose="020B0604030504040204" pitchFamily="50" charset="-128"/>
          <a:ea typeface="メイリオ" panose="020B0604030504040204" pitchFamily="50" charset="-128"/>
        </a:defRPr>
      </a:pPr>
      <a:endParaRPr lang="ja-JP"/>
    </a:p>
  </c:txPr>
  <c:printSettings>
    <c:headerFooter/>
    <c:pageMargins b="0.75" l="0.7" r="0.7" t="0.75" header="0.3" footer="0.3"/>
    <c:pageSetup/>
  </c:printSettings>
</c:chartSpace>
</file>

<file path=xl/charts/chart4.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altLang="ja-JP" sz="1200" b="1">
                <a:latin typeface="メイリオ" panose="020B0604030504040204" pitchFamily="50" charset="-128"/>
                <a:ea typeface="メイリオ" panose="020B0604030504040204" pitchFamily="50" charset="-128"/>
              </a:rPr>
              <a:t>1</a:t>
            </a:r>
            <a:r>
              <a:rPr lang="ja-JP" altLang="en-US" sz="1200" b="1">
                <a:latin typeface="メイリオ" panose="020B0604030504040204" pitchFamily="50" charset="-128"/>
                <a:ea typeface="メイリオ" panose="020B0604030504040204" pitchFamily="50" charset="-128"/>
              </a:rPr>
              <a:t>年以上＿寛解・院内寛解群</a:t>
            </a:r>
            <a:endParaRPr lang="ja-JP" sz="1200" b="1">
              <a:latin typeface="メイリオ" panose="020B0604030504040204" pitchFamily="50" charset="-128"/>
              <a:ea typeface="メイリオ" panose="020B0604030504040204" pitchFamily="50" charset="-128"/>
            </a:endParaRPr>
          </a:p>
        </c:rich>
      </c:tx>
      <c:layout>
        <c:manualLayout>
          <c:xMode val="edge"/>
          <c:yMode val="edge"/>
          <c:x val="0.14308928157393586"/>
          <c:y val="4.2469178077610917E-3"/>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pieChart>
        <c:varyColors val="1"/>
        <c:ser>
          <c:idx val="2"/>
          <c:order val="0"/>
          <c:tx>
            <c:strRef>
              <c:f>'グラフ(年齢区分）'!$Q$24</c:f>
              <c:strCache>
                <c:ptCount val="1"/>
                <c:pt idx="0">
                  <c:v>寛解院内寛解合計</c:v>
                </c:pt>
              </c:strCache>
            </c:strRef>
          </c:tx>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87D7-4ED7-B8D5-2FA851AD94E9}"/>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7-251C-4F2A-979C-971E5018C526}"/>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6-251C-4F2A-979C-971E5018C526}"/>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87D7-4ED7-B8D5-2FA851AD94E9}"/>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87D7-4ED7-B8D5-2FA851AD94E9}"/>
              </c:ext>
            </c:extLst>
          </c:dPt>
          <c:dPt>
            <c:idx val="5"/>
            <c:bubble3D val="0"/>
            <c:spPr>
              <a:gradFill rotWithShape="1">
                <a:gsLst>
                  <a:gs pos="0%">
                    <a:schemeClr val="accent6">
                      <a:tint val="50%"/>
                      <a:satMod val="300%"/>
                    </a:schemeClr>
                  </a:gs>
                  <a:gs pos="35%">
                    <a:schemeClr val="accent6">
                      <a:tint val="37%"/>
                      <a:satMod val="300%"/>
                    </a:schemeClr>
                  </a:gs>
                  <a:gs pos="100%">
                    <a:schemeClr val="accent6">
                      <a:tint val="15%"/>
                      <a:satMod val="350%"/>
                    </a:schemeClr>
                  </a:gs>
                </a:gsLst>
                <a:lin ang="16200000" scaled="1"/>
              </a:gradFill>
              <a:ln w="9525" cap="flat" cmpd="sng" algn="ctr">
                <a:solidFill>
                  <a:schemeClr val="accent6">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87D7-4ED7-B8D5-2FA851AD94E9}"/>
              </c:ext>
            </c:extLst>
          </c:dPt>
          <c:dPt>
            <c:idx val="6"/>
            <c:bubble3D val="0"/>
            <c:spPr>
              <a:gradFill rotWithShape="1">
                <a:gsLst>
                  <a:gs pos="0%">
                    <a:schemeClr val="accent1">
                      <a:lumMod val="60%"/>
                      <a:tint val="50%"/>
                      <a:satMod val="300%"/>
                    </a:schemeClr>
                  </a:gs>
                  <a:gs pos="35%">
                    <a:schemeClr val="accent1">
                      <a:lumMod val="60%"/>
                      <a:tint val="37%"/>
                      <a:satMod val="300%"/>
                    </a:schemeClr>
                  </a:gs>
                  <a:gs pos="100%">
                    <a:schemeClr val="accent1">
                      <a:lumMod val="60%"/>
                      <a:tint val="15%"/>
                      <a:satMod val="350%"/>
                    </a:schemeClr>
                  </a:gs>
                </a:gsLst>
                <a:lin ang="16200000" scaled="1"/>
              </a:gradFill>
              <a:ln w="9525" cap="flat" cmpd="sng" algn="ctr">
                <a:solidFill>
                  <a:schemeClr val="accent1">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87D7-4ED7-B8D5-2FA851AD94E9}"/>
              </c:ext>
            </c:extLst>
          </c:dPt>
          <c:dPt>
            <c:idx val="7"/>
            <c:bubble3D val="0"/>
            <c:spPr>
              <a:gradFill rotWithShape="1">
                <a:gsLst>
                  <a:gs pos="0%">
                    <a:schemeClr val="accent2">
                      <a:lumMod val="60%"/>
                      <a:tint val="50%"/>
                      <a:satMod val="300%"/>
                    </a:schemeClr>
                  </a:gs>
                  <a:gs pos="35%">
                    <a:schemeClr val="accent2">
                      <a:lumMod val="60%"/>
                      <a:tint val="37%"/>
                      <a:satMod val="300%"/>
                    </a:schemeClr>
                  </a:gs>
                  <a:gs pos="100%">
                    <a:schemeClr val="accent2">
                      <a:lumMod val="60%"/>
                      <a:tint val="15%"/>
                      <a:satMod val="350%"/>
                    </a:schemeClr>
                  </a:gs>
                </a:gsLst>
                <a:lin ang="16200000" scaled="1"/>
              </a:gradFill>
              <a:ln w="9525" cap="flat" cmpd="sng" algn="ctr">
                <a:solidFill>
                  <a:schemeClr val="accent2">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87D7-4ED7-B8D5-2FA851AD94E9}"/>
              </c:ext>
            </c:extLst>
          </c:dPt>
          <c:dPt>
            <c:idx val="8"/>
            <c:bubble3D val="0"/>
            <c:spPr>
              <a:gradFill rotWithShape="1">
                <a:gsLst>
                  <a:gs pos="0%">
                    <a:schemeClr val="accent3">
                      <a:lumMod val="60%"/>
                      <a:tint val="50%"/>
                      <a:satMod val="300%"/>
                    </a:schemeClr>
                  </a:gs>
                  <a:gs pos="35%">
                    <a:schemeClr val="accent3">
                      <a:lumMod val="60%"/>
                      <a:tint val="37%"/>
                      <a:satMod val="300%"/>
                    </a:schemeClr>
                  </a:gs>
                  <a:gs pos="100%">
                    <a:schemeClr val="accent3">
                      <a:lumMod val="60%"/>
                      <a:tint val="15%"/>
                      <a:satMod val="350%"/>
                    </a:schemeClr>
                  </a:gs>
                </a:gsLst>
                <a:lin ang="16200000" scaled="1"/>
              </a:gradFill>
              <a:ln w="9525" cap="flat" cmpd="sng" algn="ctr">
                <a:solidFill>
                  <a:schemeClr val="accent3">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5-251C-4F2A-979C-971E5018C526}"/>
              </c:ext>
            </c:extLst>
          </c:dPt>
          <c:dLbls>
            <c:dLbl>
              <c:idx val="0"/>
              <c:layout>
                <c:manualLayout>
                  <c:x val="-0.12904223752321856"/>
                  <c:y val="2.522468536023895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showLegendKey val="0"/>
              <c:showVal val="1"/>
              <c:showCatName val="1"/>
              <c:showSerName val="0"/>
              <c:showPercent val="1"/>
              <c:showBubbleSize val="0"/>
              <c:separator>
</c:separator>
              <c:extLst>
                <c:ext xmlns:c15="http://schemas.microsoft.com/office/drawing/2012/chart" uri="{CE6537A1-D6FC-4f65-9D91-7224C49458BB}">
                  <c15:layout>
                    <c:manualLayout>
                      <c:w val="0.24359259925023383"/>
                      <c:h val="0.19608019518432962"/>
                    </c:manualLayout>
                  </c15:layout>
                </c:ext>
                <c:ext xmlns:c16="http://schemas.microsoft.com/office/drawing/2014/chart" uri="{C3380CC4-5D6E-409C-BE32-E72D297353CC}">
                  <c16:uniqueId val="{00000001-87D7-4ED7-B8D5-2FA851AD94E9}"/>
                </c:ext>
              </c:extLst>
            </c:dLbl>
            <c:dLbl>
              <c:idx val="1"/>
              <c:layout>
                <c:manualLayout>
                  <c:x val="0.10630973966596588"/>
                  <c:y val="2.190807663446143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7-251C-4F2A-979C-971E5018C526}"/>
                </c:ext>
              </c:extLst>
            </c:dLbl>
            <c:dLbl>
              <c:idx val="2"/>
              <c:layout>
                <c:manualLayout>
                  <c:x val="0.26816059793723102"/>
                  <c:y val="2.1994352602524608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6-251C-4F2A-979C-971E5018C526}"/>
                </c:ext>
              </c:extLst>
            </c:dLbl>
            <c:dLbl>
              <c:idx val="8"/>
              <c:layout>
                <c:manualLayout>
                  <c:x val="-0.29975928285046621"/>
                  <c:y val="0.21685163610000521"/>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5-251C-4F2A-979C-971E5018C526}"/>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'グラフ(年齢区分）'!$M$25:$M$33</c:f>
              <c:strCache>
                <c:ptCount val="9"/>
                <c:pt idx="0">
                  <c:v>19歳以下</c:v>
                </c:pt>
                <c:pt idx="1">
                  <c:v>20歳代</c:v>
                </c:pt>
                <c:pt idx="2">
                  <c:v>30歳代</c:v>
                </c:pt>
                <c:pt idx="3">
                  <c:v>40歳代</c:v>
                </c:pt>
                <c:pt idx="4">
                  <c:v>50歳代</c:v>
                </c:pt>
                <c:pt idx="5">
                  <c:v>60歳代</c:v>
                </c:pt>
                <c:pt idx="6">
                  <c:v>70歳代</c:v>
                </c:pt>
                <c:pt idx="7">
                  <c:v>80歳代</c:v>
                </c:pt>
                <c:pt idx="8">
                  <c:v>90歳以上</c:v>
                </c:pt>
              </c:strCache>
            </c:strRef>
          </c:cat>
          <c:val>
            <c:numRef>
              <c:f>'グラフ(年齢区分）'!$Q$25:$Q$33</c:f>
              <c:numCache>
                <c:formatCode>#,##0"人"</c:formatCode>
                <c:ptCount val="9"/>
                <c:pt idx="0">
                  <c:v>0</c:v>
                </c:pt>
                <c:pt idx="1">
                  <c:v>5</c:v>
                </c:pt>
                <c:pt idx="2">
                  <c:v>27</c:v>
                </c:pt>
                <c:pt idx="3">
                  <c:v>40</c:v>
                </c:pt>
                <c:pt idx="4">
                  <c:v>92</c:v>
                </c:pt>
                <c:pt idx="5">
                  <c:v>125</c:v>
                </c:pt>
                <c:pt idx="6">
                  <c:v>165</c:v>
                </c:pt>
                <c:pt idx="7">
                  <c:v>106</c:v>
                </c:pt>
                <c:pt idx="8">
                  <c:v>13</c:v>
                </c:pt>
              </c:numCache>
            </c:numRef>
          </c:val>
          <c:extLst>
            <c:ext xmlns:c16="http://schemas.microsoft.com/office/drawing/2014/chart" uri="{C3380CC4-5D6E-409C-BE32-E72D297353CC}">
              <c16:uniqueId val="{00000014-251C-4F2A-979C-971E5018C526}"/>
            </c:ext>
          </c:extLst>
        </c:ser>
        <c:dLbls>
          <c:showLegendKey val="0"/>
          <c:showVal val="1"/>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5.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altLang="ja-JP" sz="1200" b="1">
                <a:latin typeface="メイリオ" panose="020B0604030504040204" pitchFamily="50" charset="-128"/>
                <a:ea typeface="メイリオ" panose="020B0604030504040204" pitchFamily="50" charset="-128"/>
              </a:rPr>
              <a:t>65</a:t>
            </a:r>
            <a:r>
              <a:rPr lang="ja-JP" altLang="en-US" sz="1200" b="1">
                <a:latin typeface="メイリオ" panose="020B0604030504040204" pitchFamily="50" charset="-128"/>
                <a:ea typeface="メイリオ" panose="020B0604030504040204" pitchFamily="50" charset="-128"/>
              </a:rPr>
              <a:t>歳以上</a:t>
            </a:r>
            <a:endParaRPr lang="ja-JP" sz="1200" b="1">
              <a:latin typeface="メイリオ" panose="020B0604030504040204" pitchFamily="50" charset="-128"/>
              <a:ea typeface="メイリオ" panose="020B0604030504040204" pitchFamily="50" charset="-128"/>
            </a:endParaRPr>
          </a:p>
        </c:rich>
      </c:tx>
      <c:layout>
        <c:manualLayout>
          <c:xMode val="edge"/>
          <c:yMode val="edge"/>
          <c:x val="0.36990981962620362"/>
          <c:y val="8.4938356155221835E-3"/>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pieChart>
        <c:varyColors val="1"/>
        <c:ser>
          <c:idx val="0"/>
          <c:order val="0"/>
          <c:tx>
            <c:strRef>
              <c:f>'グラフ(年齢区分）'!$N$45</c:f>
              <c:strCache>
                <c:ptCount val="1"/>
                <c:pt idx="0">
                  <c:v>全体</c:v>
                </c:pt>
              </c:strCache>
            </c:strRef>
          </c:tx>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0ED0-4E11-9694-FEF92E0CA9E5}"/>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0ED0-4E11-9694-FEF92E0CA9E5}"/>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0ED0-4E11-9694-FEF92E0CA9E5}"/>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0ED0-4E11-9694-FEF92E0CA9E5}"/>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0ED0-4E11-9694-FEF92E0CA9E5}"/>
              </c:ext>
            </c:extLst>
          </c:dPt>
          <c:dPt>
            <c:idx val="5"/>
            <c:bubble3D val="0"/>
            <c:spPr>
              <a:gradFill rotWithShape="1">
                <a:gsLst>
                  <a:gs pos="0%">
                    <a:schemeClr val="accent6">
                      <a:tint val="50%"/>
                      <a:satMod val="300%"/>
                    </a:schemeClr>
                  </a:gs>
                  <a:gs pos="35%">
                    <a:schemeClr val="accent6">
                      <a:tint val="37%"/>
                      <a:satMod val="300%"/>
                    </a:schemeClr>
                  </a:gs>
                  <a:gs pos="100%">
                    <a:schemeClr val="accent6">
                      <a:tint val="15%"/>
                      <a:satMod val="350%"/>
                    </a:schemeClr>
                  </a:gs>
                </a:gsLst>
                <a:lin ang="16200000" scaled="1"/>
              </a:gradFill>
              <a:ln w="9525" cap="flat" cmpd="sng" algn="ctr">
                <a:solidFill>
                  <a:schemeClr val="accent6">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0ED0-4E11-9694-FEF92E0CA9E5}"/>
              </c:ext>
            </c:extLst>
          </c:dPt>
          <c:dPt>
            <c:idx val="6"/>
            <c:bubble3D val="0"/>
            <c:spPr>
              <a:gradFill rotWithShape="1">
                <a:gsLst>
                  <a:gs pos="0%">
                    <a:schemeClr val="accent1">
                      <a:lumMod val="60%"/>
                      <a:tint val="50%"/>
                      <a:satMod val="300%"/>
                    </a:schemeClr>
                  </a:gs>
                  <a:gs pos="35%">
                    <a:schemeClr val="accent1">
                      <a:lumMod val="60%"/>
                      <a:tint val="37%"/>
                      <a:satMod val="300%"/>
                    </a:schemeClr>
                  </a:gs>
                  <a:gs pos="100%">
                    <a:schemeClr val="accent1">
                      <a:lumMod val="60%"/>
                      <a:tint val="15%"/>
                      <a:satMod val="350%"/>
                    </a:schemeClr>
                  </a:gs>
                </a:gsLst>
                <a:lin ang="16200000" scaled="1"/>
              </a:gradFill>
              <a:ln w="9525" cap="flat" cmpd="sng" algn="ctr">
                <a:solidFill>
                  <a:schemeClr val="accent1">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0ED0-4E11-9694-FEF92E0CA9E5}"/>
              </c:ext>
            </c:extLst>
          </c:dPt>
          <c:dPt>
            <c:idx val="7"/>
            <c:bubble3D val="0"/>
            <c:spPr>
              <a:gradFill rotWithShape="1">
                <a:gsLst>
                  <a:gs pos="0%">
                    <a:schemeClr val="accent2">
                      <a:lumMod val="60%"/>
                      <a:tint val="50%"/>
                      <a:satMod val="300%"/>
                    </a:schemeClr>
                  </a:gs>
                  <a:gs pos="35%">
                    <a:schemeClr val="accent2">
                      <a:lumMod val="60%"/>
                      <a:tint val="37%"/>
                      <a:satMod val="300%"/>
                    </a:schemeClr>
                  </a:gs>
                  <a:gs pos="100%">
                    <a:schemeClr val="accent2">
                      <a:lumMod val="60%"/>
                      <a:tint val="15%"/>
                      <a:satMod val="350%"/>
                    </a:schemeClr>
                  </a:gs>
                </a:gsLst>
                <a:lin ang="16200000" scaled="1"/>
              </a:gradFill>
              <a:ln w="9525" cap="flat" cmpd="sng" algn="ctr">
                <a:solidFill>
                  <a:schemeClr val="accent2">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0ED0-4E11-9694-FEF92E0CA9E5}"/>
              </c:ext>
            </c:extLst>
          </c:dPt>
          <c:dPt>
            <c:idx val="8"/>
            <c:bubble3D val="0"/>
            <c:spPr>
              <a:gradFill rotWithShape="1">
                <a:gsLst>
                  <a:gs pos="0%">
                    <a:schemeClr val="accent3">
                      <a:lumMod val="60%"/>
                      <a:tint val="50%"/>
                      <a:satMod val="300%"/>
                    </a:schemeClr>
                  </a:gs>
                  <a:gs pos="35%">
                    <a:schemeClr val="accent3">
                      <a:lumMod val="60%"/>
                      <a:tint val="37%"/>
                      <a:satMod val="300%"/>
                    </a:schemeClr>
                  </a:gs>
                  <a:gs pos="100%">
                    <a:schemeClr val="accent3">
                      <a:lumMod val="60%"/>
                      <a:tint val="15%"/>
                      <a:satMod val="350%"/>
                    </a:schemeClr>
                  </a:gs>
                </a:gsLst>
                <a:lin ang="16200000" scaled="1"/>
              </a:gradFill>
              <a:ln w="9525" cap="flat" cmpd="sng" algn="ctr">
                <a:solidFill>
                  <a:schemeClr val="accent3">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0ED0-4E11-9694-FEF92E0CA9E5}"/>
              </c:ext>
            </c:extLst>
          </c:dPt>
          <c:dLbls>
            <c:dLbl>
              <c:idx val="0"/>
              <c:layout>
                <c:manualLayout>
                  <c:x val="-0.15157701476995589"/>
                  <c:y val="0.1705374925929740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0ED0-4E11-9694-FEF92E0CA9E5}"/>
                </c:ext>
              </c:extLst>
            </c:dLbl>
            <c:dLbl>
              <c:idx val="1"/>
              <c:layout>
                <c:manualLayout>
                  <c:x val="-0.20300696937312193"/>
                  <c:y val="-4.8592430989257716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0ED0-4E11-9694-FEF92E0CA9E5}"/>
                </c:ext>
              </c:extLst>
            </c:dLbl>
            <c:dLbl>
              <c:idx val="2"/>
              <c:layout>
                <c:manualLayout>
                  <c:x val="-8.9459752881504997E-2"/>
                  <c:y val="-0.1359013698483550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0ED0-4E11-9694-FEF92E0CA9E5}"/>
                </c:ext>
              </c:extLst>
            </c:dLbl>
            <c:dLbl>
              <c:idx val="3"/>
              <c:layout>
                <c:manualLayout>
                  <c:x val="0.17852445283048413"/>
                  <c:y val="-6.311956511561656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0ED0-4E11-9694-FEF92E0CA9E5}"/>
                </c:ext>
              </c:extLst>
            </c:dLbl>
            <c:dLbl>
              <c:idx val="4"/>
              <c:layout>
                <c:manualLayout>
                  <c:x val="0.11267816528414451"/>
                  <c:y val="9.3554917663299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0ED0-4E11-9694-FEF92E0CA9E5}"/>
                </c:ext>
              </c:extLst>
            </c:dLbl>
            <c:dLbl>
              <c:idx val="8"/>
              <c:layout>
                <c:manualLayout>
                  <c:x val="-0.25055522875816993"/>
                  <c:y val="3.3293402777777779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0ED0-4E11-9694-FEF92E0CA9E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'グラフ(年齢区分）'!$M$46:$M$51</c:f>
              <c:strCache>
                <c:ptCount val="6"/>
                <c:pt idx="0">
                  <c:v>65-69歳</c:v>
                </c:pt>
                <c:pt idx="1">
                  <c:v>70-74歳</c:v>
                </c:pt>
                <c:pt idx="2">
                  <c:v>75-79歳</c:v>
                </c:pt>
                <c:pt idx="3">
                  <c:v>80-84歳</c:v>
                </c:pt>
                <c:pt idx="4">
                  <c:v>85-89歳</c:v>
                </c:pt>
                <c:pt idx="5">
                  <c:v>90歳以上</c:v>
                </c:pt>
              </c:strCache>
            </c:strRef>
          </c:cat>
          <c:val>
            <c:numRef>
              <c:f>'グラフ(年齢区分）'!$N$46:$N$51</c:f>
              <c:numCache>
                <c:formatCode>#,###"人"</c:formatCode>
                <c:ptCount val="6"/>
                <c:pt idx="0">
                  <c:v>1132</c:v>
                </c:pt>
                <c:pt idx="1">
                  <c:v>1540</c:v>
                </c:pt>
                <c:pt idx="2">
                  <c:v>1821</c:v>
                </c:pt>
                <c:pt idx="3">
                  <c:v>1833</c:v>
                </c:pt>
                <c:pt idx="4">
                  <c:v>1397</c:v>
                </c:pt>
                <c:pt idx="5">
                  <c:v>770</c:v>
                </c:pt>
              </c:numCache>
            </c:numRef>
          </c:val>
          <c:extLst>
            <c:ext xmlns:c16="http://schemas.microsoft.com/office/drawing/2014/chart" uri="{C3380CC4-5D6E-409C-BE32-E72D297353CC}">
              <c16:uniqueId val="{00000012-0ED0-4E11-9694-FEF92E0CA9E5}"/>
            </c:ext>
          </c:extLst>
        </c:ser>
        <c:dLbls>
          <c:showLegendKey val="0"/>
          <c:showVal val="1"/>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altLang="ja-JP" sz="1200" b="1">
                <a:latin typeface="メイリオ" panose="020B0604030504040204" pitchFamily="50" charset="-128"/>
                <a:ea typeface="メイリオ" panose="020B0604030504040204" pitchFamily="50" charset="-128"/>
              </a:rPr>
              <a:t>65</a:t>
            </a:r>
            <a:r>
              <a:rPr lang="ja-JP" altLang="en-US" sz="1200" b="1">
                <a:latin typeface="メイリオ" panose="020B0604030504040204" pitchFamily="50" charset="-128"/>
                <a:ea typeface="メイリオ" panose="020B0604030504040204" pitchFamily="50" charset="-128"/>
              </a:rPr>
              <a:t>歳以上＿寛解・院内寛解群</a:t>
            </a:r>
            <a:endParaRPr lang="ja-JP" sz="1200" b="1">
              <a:latin typeface="メイリオ" panose="020B0604030504040204" pitchFamily="50" charset="-128"/>
              <a:ea typeface="メイリオ" panose="020B0604030504040204" pitchFamily="50" charset="-128"/>
            </a:endParaRPr>
          </a:p>
        </c:rich>
      </c:tx>
      <c:layout>
        <c:manualLayout>
          <c:xMode val="edge"/>
          <c:yMode val="edge"/>
          <c:x val="0.159632072694495"/>
          <c:y val="8.4938356155221835E-3"/>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pieChart>
        <c:varyColors val="1"/>
        <c:ser>
          <c:idx val="2"/>
          <c:order val="0"/>
          <c:tx>
            <c:strRef>
              <c:f>'グラフ(年齢区分）'!$O$45</c:f>
              <c:strCache>
                <c:ptCount val="1"/>
                <c:pt idx="0">
                  <c:v>寛解院内寛解</c:v>
                </c:pt>
              </c:strCache>
            </c:strRef>
          </c:tx>
          <c:spPr>
            <a:scene3d>
              <a:camera prst="orthographicFront"/>
              <a:lightRig rig="threePt" dir="t"/>
            </a:scene3d>
            <a:sp3d>
              <a:bevelT w="63500" h="25400"/>
            </a:sp3d>
          </c:spPr>
          <c:dPt>
            <c:idx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E2E7-4C5C-AE28-FFF4F4AECDC1}"/>
              </c:ext>
            </c:extLst>
          </c:dPt>
          <c:dPt>
            <c:idx val="1"/>
            <c:bubble3D val="0"/>
            <c:spPr>
              <a:gradFill rotWithShape="1">
                <a:gsLst>
                  <a:gs pos="0%">
                    <a:schemeClr val="accent2">
                      <a:tint val="50%"/>
                      <a:satMod val="300%"/>
                    </a:schemeClr>
                  </a:gs>
                  <a:gs pos="35%">
                    <a:schemeClr val="accent2">
                      <a:tint val="37%"/>
                      <a:satMod val="300%"/>
                    </a:schemeClr>
                  </a:gs>
                  <a:gs pos="100%">
                    <a:schemeClr val="accent2">
                      <a:tint val="15%"/>
                      <a:satMod val="350%"/>
                    </a:schemeClr>
                  </a:gs>
                </a:gsLst>
                <a:lin ang="16200000" scaled="1"/>
              </a:gradFill>
              <a:ln w="9525" cap="flat" cmpd="sng" algn="ctr">
                <a:solidFill>
                  <a:schemeClr val="accent2">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E2E7-4C5C-AE28-FFF4F4AECDC1}"/>
              </c:ext>
            </c:extLst>
          </c:dPt>
          <c:dPt>
            <c:idx val="2"/>
            <c:bubble3D val="0"/>
            <c:spPr>
              <a:gradFill rotWithShape="1">
                <a:gsLst>
                  <a:gs pos="0%">
                    <a:schemeClr val="accent3">
                      <a:tint val="50%"/>
                      <a:satMod val="300%"/>
                    </a:schemeClr>
                  </a:gs>
                  <a:gs pos="35%">
                    <a:schemeClr val="accent3">
                      <a:tint val="37%"/>
                      <a:satMod val="300%"/>
                    </a:schemeClr>
                  </a:gs>
                  <a:gs pos="100%">
                    <a:schemeClr val="accent3">
                      <a:tint val="15%"/>
                      <a:satMod val="350%"/>
                    </a:schemeClr>
                  </a:gs>
                </a:gsLst>
                <a:lin ang="16200000" scaled="1"/>
              </a:gradFill>
              <a:ln w="9525" cap="flat" cmpd="sng" algn="ctr">
                <a:solidFill>
                  <a:schemeClr val="accent3">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E2E7-4C5C-AE28-FFF4F4AECDC1}"/>
              </c:ext>
            </c:extLst>
          </c:dPt>
          <c:dPt>
            <c:idx val="3"/>
            <c:bubble3D val="0"/>
            <c:spPr>
              <a:gradFill rotWithShape="1">
                <a:gsLst>
                  <a:gs pos="0%">
                    <a:schemeClr val="accent4">
                      <a:tint val="50%"/>
                      <a:satMod val="300%"/>
                    </a:schemeClr>
                  </a:gs>
                  <a:gs pos="35%">
                    <a:schemeClr val="accent4">
                      <a:tint val="37%"/>
                      <a:satMod val="300%"/>
                    </a:schemeClr>
                  </a:gs>
                  <a:gs pos="100%">
                    <a:schemeClr val="accent4">
                      <a:tint val="15%"/>
                      <a:satMod val="350%"/>
                    </a:schemeClr>
                  </a:gs>
                </a:gsLst>
                <a:lin ang="16200000" scaled="1"/>
              </a:gradFill>
              <a:ln w="9525" cap="flat" cmpd="sng" algn="ctr">
                <a:solidFill>
                  <a:schemeClr val="accent4">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E2E7-4C5C-AE28-FFF4F4AECDC1}"/>
              </c:ext>
            </c:extLst>
          </c:dPt>
          <c:dPt>
            <c:idx val="4"/>
            <c:bubble3D val="0"/>
            <c:spPr>
              <a:gradFill rotWithShape="1">
                <a:gsLst>
                  <a:gs pos="0%">
                    <a:schemeClr val="accent5">
                      <a:tint val="50%"/>
                      <a:satMod val="300%"/>
                    </a:schemeClr>
                  </a:gs>
                  <a:gs pos="35%">
                    <a:schemeClr val="accent5">
                      <a:tint val="37%"/>
                      <a:satMod val="300%"/>
                    </a:schemeClr>
                  </a:gs>
                  <a:gs pos="100%">
                    <a:schemeClr val="accent5">
                      <a:tint val="15%"/>
                      <a:satMod val="350%"/>
                    </a:schemeClr>
                  </a:gs>
                </a:gsLst>
                <a:lin ang="16200000" scaled="1"/>
              </a:gradFill>
              <a:ln w="9525" cap="flat" cmpd="sng" algn="ctr">
                <a:solidFill>
                  <a:schemeClr val="accent5">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E2E7-4C5C-AE28-FFF4F4AECDC1}"/>
              </c:ext>
            </c:extLst>
          </c:dPt>
          <c:dPt>
            <c:idx val="5"/>
            <c:bubble3D val="0"/>
            <c:spPr>
              <a:gradFill rotWithShape="1">
                <a:gsLst>
                  <a:gs pos="0%">
                    <a:schemeClr val="accent6">
                      <a:tint val="50%"/>
                      <a:satMod val="300%"/>
                    </a:schemeClr>
                  </a:gs>
                  <a:gs pos="35%">
                    <a:schemeClr val="accent6">
                      <a:tint val="37%"/>
                      <a:satMod val="300%"/>
                    </a:schemeClr>
                  </a:gs>
                  <a:gs pos="100%">
                    <a:schemeClr val="accent6">
                      <a:tint val="15%"/>
                      <a:satMod val="350%"/>
                    </a:schemeClr>
                  </a:gs>
                </a:gsLst>
                <a:lin ang="16200000" scaled="1"/>
              </a:gradFill>
              <a:ln w="9525" cap="flat" cmpd="sng" algn="ctr">
                <a:solidFill>
                  <a:schemeClr val="accent6">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E2E7-4C5C-AE28-FFF4F4AECDC1}"/>
              </c:ext>
            </c:extLst>
          </c:dPt>
          <c:dPt>
            <c:idx val="6"/>
            <c:bubble3D val="0"/>
            <c:spPr>
              <a:gradFill rotWithShape="1">
                <a:gsLst>
                  <a:gs pos="0%">
                    <a:schemeClr val="accent1">
                      <a:lumMod val="60%"/>
                      <a:tint val="50%"/>
                      <a:satMod val="300%"/>
                    </a:schemeClr>
                  </a:gs>
                  <a:gs pos="35%">
                    <a:schemeClr val="accent1">
                      <a:lumMod val="60%"/>
                      <a:tint val="37%"/>
                      <a:satMod val="300%"/>
                    </a:schemeClr>
                  </a:gs>
                  <a:gs pos="100%">
                    <a:schemeClr val="accent1">
                      <a:lumMod val="60%"/>
                      <a:tint val="15%"/>
                      <a:satMod val="350%"/>
                    </a:schemeClr>
                  </a:gs>
                </a:gsLst>
                <a:lin ang="16200000" scaled="1"/>
              </a:gradFill>
              <a:ln w="9525" cap="flat" cmpd="sng" algn="ctr">
                <a:solidFill>
                  <a:schemeClr val="accent1">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E2E7-4C5C-AE28-FFF4F4AECDC1}"/>
              </c:ext>
            </c:extLst>
          </c:dPt>
          <c:dPt>
            <c:idx val="7"/>
            <c:bubble3D val="0"/>
            <c:spPr>
              <a:gradFill rotWithShape="1">
                <a:gsLst>
                  <a:gs pos="0%">
                    <a:schemeClr val="accent2">
                      <a:lumMod val="60%"/>
                      <a:tint val="50%"/>
                      <a:satMod val="300%"/>
                    </a:schemeClr>
                  </a:gs>
                  <a:gs pos="35%">
                    <a:schemeClr val="accent2">
                      <a:lumMod val="60%"/>
                      <a:tint val="37%"/>
                      <a:satMod val="300%"/>
                    </a:schemeClr>
                  </a:gs>
                  <a:gs pos="100%">
                    <a:schemeClr val="accent2">
                      <a:lumMod val="60%"/>
                      <a:tint val="15%"/>
                      <a:satMod val="350%"/>
                    </a:schemeClr>
                  </a:gs>
                </a:gsLst>
                <a:lin ang="16200000" scaled="1"/>
              </a:gradFill>
              <a:ln w="9525" cap="flat" cmpd="sng" algn="ctr">
                <a:solidFill>
                  <a:schemeClr val="accent2">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E2E7-4C5C-AE28-FFF4F4AECDC1}"/>
              </c:ext>
            </c:extLst>
          </c:dPt>
          <c:dPt>
            <c:idx val="8"/>
            <c:bubble3D val="0"/>
            <c:spPr>
              <a:gradFill rotWithShape="1">
                <a:gsLst>
                  <a:gs pos="0%">
                    <a:schemeClr val="accent3">
                      <a:lumMod val="60%"/>
                      <a:tint val="50%"/>
                      <a:satMod val="300%"/>
                    </a:schemeClr>
                  </a:gs>
                  <a:gs pos="35%">
                    <a:schemeClr val="accent3">
                      <a:lumMod val="60%"/>
                      <a:tint val="37%"/>
                      <a:satMod val="300%"/>
                    </a:schemeClr>
                  </a:gs>
                  <a:gs pos="100%">
                    <a:schemeClr val="accent3">
                      <a:lumMod val="60%"/>
                      <a:tint val="15%"/>
                      <a:satMod val="350%"/>
                    </a:schemeClr>
                  </a:gs>
                </a:gsLst>
                <a:lin ang="16200000" scaled="1"/>
              </a:gradFill>
              <a:ln w="9525" cap="flat" cmpd="sng" algn="ctr">
                <a:solidFill>
                  <a:schemeClr val="accent3">
                    <a:lumMod val="60%"/>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E2E7-4C5C-AE28-FFF4F4AECDC1}"/>
              </c:ext>
            </c:extLst>
          </c:dPt>
          <c:dLbls>
            <c:dLbl>
              <c:idx val="1"/>
              <c:layout>
                <c:manualLayout>
                  <c:x val="-0.21919198234740911"/>
                  <c:y val="-8.4264868559565859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E2E7-4C5C-AE28-FFF4F4AECDC1}"/>
                </c:ext>
              </c:extLst>
            </c:dLbl>
            <c:dLbl>
              <c:idx val="2"/>
              <c:layout>
                <c:manualLayout>
                  <c:x val="-2.5473944452694131E-2"/>
                  <c:y val="-0.1528890410793993"/>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E2E7-4C5C-AE28-FFF4F4AECDC1}"/>
                </c:ext>
              </c:extLst>
            </c:dLbl>
            <c:dLbl>
              <c:idx val="8"/>
              <c:layout>
                <c:manualLayout>
                  <c:x val="-0.22945242058808976"/>
                  <c:y val="3.8481088174039363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E2E7-4C5C-AE28-FFF4F4AECDC1}"/>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showLegendKey val="0"/>
            <c:showVal val="1"/>
            <c:showCatName val="1"/>
            <c:showSerName val="0"/>
            <c:showPercent val="1"/>
            <c:showBubbleSize val="0"/>
            <c:separator>
</c:separator>
            <c:showLeaderLines val="1"/>
            <c:leaderLines>
              <c:spPr>
                <a:ln w="9525">
                  <a:solidFill>
                    <a:schemeClr val="tx1">
                      <a:lumMod val="35%"/>
                      <a:lumOff val="65%"/>
                    </a:schemeClr>
                  </a:solidFill>
                </a:ln>
                <a:effectLst/>
              </c:spPr>
            </c:leaderLines>
            <c:extLst>
              <c:ext xmlns:c15="http://schemas.microsoft.com/office/drawing/2012/chart" uri="{CE6537A1-D6FC-4f65-9D91-7224C49458BB}"/>
            </c:extLst>
          </c:dLbls>
          <c:cat>
            <c:strRef>
              <c:f>'グラフ(年齢区分）'!$M$46:$M$51</c:f>
              <c:strCache>
                <c:ptCount val="6"/>
                <c:pt idx="0">
                  <c:v>65-69歳</c:v>
                </c:pt>
                <c:pt idx="1">
                  <c:v>70-74歳</c:v>
                </c:pt>
                <c:pt idx="2">
                  <c:v>75-79歳</c:v>
                </c:pt>
                <c:pt idx="3">
                  <c:v>80-84歳</c:v>
                </c:pt>
                <c:pt idx="4">
                  <c:v>85-89歳</c:v>
                </c:pt>
                <c:pt idx="5">
                  <c:v>90歳以上</c:v>
                </c:pt>
              </c:strCache>
            </c:strRef>
          </c:cat>
          <c:val>
            <c:numRef>
              <c:f>'グラフ(年齢区分）'!$O$46:$O$51</c:f>
              <c:numCache>
                <c:formatCode>#,###"人"</c:formatCode>
                <c:ptCount val="6"/>
                <c:pt idx="0">
                  <c:v>166</c:v>
                </c:pt>
                <c:pt idx="1">
                  <c:v>184</c:v>
                </c:pt>
                <c:pt idx="2">
                  <c:v>166</c:v>
                </c:pt>
                <c:pt idx="3">
                  <c:v>164</c:v>
                </c:pt>
                <c:pt idx="4">
                  <c:v>107</c:v>
                </c:pt>
                <c:pt idx="5">
                  <c:v>45</c:v>
                </c:pt>
              </c:numCache>
            </c:numRef>
          </c:val>
          <c:extLst>
            <c:ext xmlns:c16="http://schemas.microsoft.com/office/drawing/2014/chart" uri="{C3380CC4-5D6E-409C-BE32-E72D297353CC}">
              <c16:uniqueId val="{00000012-E2E7-4C5C-AE28-FFF4F4AECDC1}"/>
            </c:ext>
          </c:extLst>
        </c:ser>
        <c:dLbls>
          <c:showLegendKey val="0"/>
          <c:showVal val="1"/>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ja-JP" altLang="en-US" sz="1200" b="1">
                <a:latin typeface="メイリオ" panose="020B0604030504040204" pitchFamily="50" charset="-128"/>
                <a:ea typeface="メイリオ" panose="020B0604030504040204" pitchFamily="50" charset="-128"/>
              </a:rPr>
              <a:t>疾患別</a:t>
            </a:r>
            <a:endParaRPr lang="ja-JP" sz="1200" b="1">
              <a:latin typeface="メイリオ" panose="020B0604030504040204" pitchFamily="50" charset="-128"/>
              <a:ea typeface="メイリオ" panose="020B0604030504040204" pitchFamily="50" charset="-128"/>
            </a:endParaRPr>
          </a:p>
        </c:rich>
      </c:tx>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barChart>
        <c:barDir val="bar"/>
        <c:grouping val="clustered"/>
        <c:varyColors val="0"/>
        <c:ser>
          <c:idx val="1"/>
          <c:order val="0"/>
          <c:tx>
            <c:strRef>
              <c:f>'グラフ(疾患名)'!$O$4</c:f>
              <c:strCache>
                <c:ptCount val="1"/>
                <c:pt idx="0">
                  <c:v>人数</c:v>
                </c:pt>
              </c:strCache>
            </c:strRef>
          </c:tx>
          <c:spPr>
            <a:solidFill>
              <a:schemeClr val="accent3">
                <a:lumMod val="40%"/>
                <a:lumOff val="60%"/>
              </a:schemeClr>
            </a:solidFill>
            <a:ln w="9525" cap="flat" cmpd="sng" algn="ctr">
              <a:solidFill>
                <a:schemeClr val="accent3">
                  <a:lumMod val="7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
                        <a:lumOff val="35%"/>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'グラフ(疾患名)'!$T$5:$T$16</c:f>
              <c:strCache>
                <c:ptCount val="12"/>
                <c:pt idx="0">
                  <c:v>F0</c:v>
                </c:pt>
                <c:pt idx="1">
                  <c:v>F1</c:v>
                </c:pt>
                <c:pt idx="2">
                  <c:v>F2</c:v>
                </c:pt>
                <c:pt idx="3">
                  <c:v>F3</c:v>
                </c:pt>
                <c:pt idx="4">
                  <c:v>F4</c:v>
                </c:pt>
                <c:pt idx="5">
                  <c:v>F5</c:v>
                </c:pt>
                <c:pt idx="6">
                  <c:v>F6</c:v>
                </c:pt>
                <c:pt idx="7">
                  <c:v>F7</c:v>
                </c:pt>
                <c:pt idx="8">
                  <c:v>F8</c:v>
                </c:pt>
                <c:pt idx="9">
                  <c:v>F9</c:v>
                </c:pt>
                <c:pt idx="10">
                  <c:v>てんかん</c:v>
                </c:pt>
                <c:pt idx="11">
                  <c:v>その他</c:v>
                </c:pt>
              </c:strCache>
            </c:strRef>
          </c:cat>
          <c:val>
            <c:numRef>
              <c:f>'グラフ(疾患名)'!$O$5:$O$16</c:f>
              <c:numCache>
                <c:formatCode>#,##0"人"</c:formatCode>
                <c:ptCount val="12"/>
                <c:pt idx="0">
                  <c:v>4059</c:v>
                </c:pt>
                <c:pt idx="1">
                  <c:v>755</c:v>
                </c:pt>
                <c:pt idx="2">
                  <c:v>6731</c:v>
                </c:pt>
                <c:pt idx="3">
                  <c:v>1633</c:v>
                </c:pt>
                <c:pt idx="4">
                  <c:v>263</c:v>
                </c:pt>
                <c:pt idx="5">
                  <c:v>58</c:v>
                </c:pt>
                <c:pt idx="6">
                  <c:v>38</c:v>
                </c:pt>
                <c:pt idx="7">
                  <c:v>305</c:v>
                </c:pt>
                <c:pt idx="8">
                  <c:v>153</c:v>
                </c:pt>
                <c:pt idx="9">
                  <c:v>43</c:v>
                </c:pt>
                <c:pt idx="10">
                  <c:v>40</c:v>
                </c:pt>
                <c:pt idx="11">
                  <c:v>82</c:v>
                </c:pt>
              </c:numCache>
            </c:numRef>
          </c:val>
          <c:extLst>
            <c:ext xmlns:c16="http://schemas.microsoft.com/office/drawing/2014/chart" uri="{C3380CC4-5D6E-409C-BE32-E72D297353CC}">
              <c16:uniqueId val="{00000014-4158-41FF-AD15-82CE2CDF7B43}"/>
            </c:ext>
          </c:extLst>
        </c:ser>
        <c:dLbls>
          <c:showLegendKey val="0"/>
          <c:showVal val="0"/>
          <c:showCatName val="0"/>
          <c:showSerName val="0"/>
          <c:showPercent val="0"/>
          <c:showBubbleSize val="0"/>
        </c:dLbls>
        <c:gapWidth val="100"/>
        <c:axId val="699428592"/>
        <c:axId val="699420688"/>
      </c:barChart>
      <c:valAx>
        <c:axId val="699420688"/>
        <c:scaling>
          <c:orientation val="minMax"/>
        </c:scaling>
        <c:delete val="0"/>
        <c:axPos val="t"/>
        <c:majorGridlines>
          <c:spPr>
            <a:ln w="9525" cap="flat" cmpd="sng" algn="ctr">
              <a:solidFill>
                <a:schemeClr val="tx1">
                  <a:lumMod val="15%"/>
                  <a:lumOff val="85%"/>
                </a:schemeClr>
              </a:solidFill>
              <a:round/>
            </a:ln>
            <a:effectLst/>
          </c:spPr>
        </c:majorGridlines>
        <c:numFmt formatCode="#,##0&quot;人&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99428592"/>
        <c:crosses val="autoZero"/>
        <c:crossBetween val="between"/>
      </c:valAx>
      <c:catAx>
        <c:axId val="699428592"/>
        <c:scaling>
          <c:orientation val="maxMin"/>
        </c:scaling>
        <c:delete val="0"/>
        <c:axPos val="l"/>
        <c:numFmt formatCode="General" sourceLinked="1"/>
        <c:majorTickMark val="out"/>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99420688"/>
        <c:crosses val="autoZero"/>
        <c:auto val="1"/>
        <c:lblAlgn val="ctr"/>
        <c:lblOffset val="100"/>
        <c:noMultiLvlLbl val="0"/>
      </c:cat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ja-JP" altLang="en-US" sz="1200" b="1">
                <a:latin typeface="メイリオ" panose="020B0604030504040204" pitchFamily="50" charset="-128"/>
                <a:ea typeface="メイリオ" panose="020B0604030504040204" pitchFamily="50" charset="-128"/>
              </a:rPr>
              <a:t>疾患別＿寛解・院内寛解群</a:t>
            </a:r>
            <a:endParaRPr lang="ja-JP" sz="1200" b="1">
              <a:latin typeface="メイリオ" panose="020B0604030504040204" pitchFamily="50" charset="-128"/>
              <a:ea typeface="メイリオ" panose="020B0604030504040204" pitchFamily="50" charset="-128"/>
            </a:endParaRPr>
          </a:p>
        </c:rich>
      </c:tx>
      <c:layout>
        <c:manualLayout>
          <c:xMode val="edge"/>
          <c:yMode val="edge"/>
          <c:x val="0.1641813402526488"/>
          <c:y val="1.2740753423283275E-2"/>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barChart>
        <c:barDir val="bar"/>
        <c:grouping val="clustered"/>
        <c:varyColors val="0"/>
        <c:ser>
          <c:idx val="1"/>
          <c:order val="0"/>
          <c:tx>
            <c:strRef>
              <c:f>'グラフ(疾患名)'!$R$4</c:f>
              <c:strCache>
                <c:ptCount val="1"/>
                <c:pt idx="0">
                  <c:v>計</c:v>
                </c:pt>
              </c:strCache>
            </c:strRef>
          </c:tx>
          <c:spPr>
            <a:solidFill>
              <a:schemeClr val="accent3">
                <a:lumMod val="40%"/>
                <a:lumOff val="60%"/>
              </a:schemeClr>
            </a:solidFill>
            <a:ln w="9525" cap="flat" cmpd="sng" algn="ctr">
              <a:solidFill>
                <a:schemeClr val="accent3">
                  <a:lumMod val="7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
                        <a:lumOff val="35%"/>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'グラフ(疾患名)'!$T$5:$T$16</c:f>
              <c:strCache>
                <c:ptCount val="12"/>
                <c:pt idx="0">
                  <c:v>F0</c:v>
                </c:pt>
                <c:pt idx="1">
                  <c:v>F1</c:v>
                </c:pt>
                <c:pt idx="2">
                  <c:v>F2</c:v>
                </c:pt>
                <c:pt idx="3">
                  <c:v>F3</c:v>
                </c:pt>
                <c:pt idx="4">
                  <c:v>F4</c:v>
                </c:pt>
                <c:pt idx="5">
                  <c:v>F5</c:v>
                </c:pt>
                <c:pt idx="6">
                  <c:v>F6</c:v>
                </c:pt>
                <c:pt idx="7">
                  <c:v>F7</c:v>
                </c:pt>
                <c:pt idx="8">
                  <c:v>F8</c:v>
                </c:pt>
                <c:pt idx="9">
                  <c:v>F9</c:v>
                </c:pt>
                <c:pt idx="10">
                  <c:v>てんかん</c:v>
                </c:pt>
                <c:pt idx="11">
                  <c:v>その他</c:v>
                </c:pt>
              </c:strCache>
            </c:strRef>
          </c:cat>
          <c:val>
            <c:numRef>
              <c:f>'グラフ(疾患名)'!$R$5:$R$16</c:f>
              <c:numCache>
                <c:formatCode>#,##0"人"</c:formatCode>
                <c:ptCount val="12"/>
                <c:pt idx="0">
                  <c:v>277</c:v>
                </c:pt>
                <c:pt idx="1">
                  <c:v>240</c:v>
                </c:pt>
                <c:pt idx="2">
                  <c:v>752</c:v>
                </c:pt>
                <c:pt idx="3">
                  <c:v>347</c:v>
                </c:pt>
                <c:pt idx="4">
                  <c:v>73</c:v>
                </c:pt>
                <c:pt idx="5">
                  <c:v>4</c:v>
                </c:pt>
                <c:pt idx="6">
                  <c:v>16</c:v>
                </c:pt>
                <c:pt idx="7">
                  <c:v>36</c:v>
                </c:pt>
                <c:pt idx="8">
                  <c:v>36</c:v>
                </c:pt>
                <c:pt idx="9">
                  <c:v>10</c:v>
                </c:pt>
                <c:pt idx="10">
                  <c:v>3</c:v>
                </c:pt>
                <c:pt idx="11">
                  <c:v>9</c:v>
                </c:pt>
              </c:numCache>
            </c:numRef>
          </c:val>
          <c:extLst>
            <c:ext xmlns:c16="http://schemas.microsoft.com/office/drawing/2014/chart" uri="{C3380CC4-5D6E-409C-BE32-E72D297353CC}">
              <c16:uniqueId val="{00000014-0450-4C83-A419-A907C4B564A4}"/>
            </c:ext>
          </c:extLst>
        </c:ser>
        <c:dLbls>
          <c:showLegendKey val="0"/>
          <c:showVal val="0"/>
          <c:showCatName val="0"/>
          <c:showSerName val="0"/>
          <c:showPercent val="0"/>
          <c:showBubbleSize val="0"/>
        </c:dLbls>
        <c:gapWidth val="100"/>
        <c:axId val="630609584"/>
        <c:axId val="630607088"/>
      </c:barChart>
      <c:valAx>
        <c:axId val="630607088"/>
        <c:scaling>
          <c:orientation val="minMax"/>
        </c:scaling>
        <c:delete val="0"/>
        <c:axPos val="t"/>
        <c:majorGridlines>
          <c:spPr>
            <a:ln w="9525" cap="flat" cmpd="sng" algn="ctr">
              <a:solidFill>
                <a:schemeClr val="tx1">
                  <a:lumMod val="15%"/>
                  <a:lumOff val="85%"/>
                </a:schemeClr>
              </a:solidFill>
              <a:round/>
            </a:ln>
            <a:effectLst/>
          </c:spPr>
        </c:majorGridlines>
        <c:numFmt formatCode="#,##0&quot;人&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0609584"/>
        <c:crosses val="autoZero"/>
        <c:crossBetween val="between"/>
      </c:valAx>
      <c:catAx>
        <c:axId val="630609584"/>
        <c:scaling>
          <c:orientation val="maxMin"/>
        </c:scaling>
        <c:delete val="0"/>
        <c:axPos val="l"/>
        <c:numFmt formatCode="General" sourceLinked="1"/>
        <c:majorTickMark val="out"/>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0607088"/>
        <c:crosses val="autoZero"/>
        <c:auto val="1"/>
        <c:lblAlgn val="ctr"/>
        <c:lblOffset val="100"/>
        <c:noMultiLvlLbl val="0"/>
      </c:cat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purl.oclc.org/ooxml/drawingml/chart" xmlns:a="http://purl.oclc.org/ooxml/drawingml/main" xmlns:r="http://purl.oclc.org/ooxml/officeDocument/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r>
              <a:rPr lang="en-US" altLang="ja-JP" sz="1200" b="1">
                <a:latin typeface="メイリオ" panose="020B0604030504040204" pitchFamily="50" charset="-128"/>
                <a:ea typeface="メイリオ" panose="020B0604030504040204" pitchFamily="50" charset="-128"/>
              </a:rPr>
              <a:t>1</a:t>
            </a:r>
            <a:r>
              <a:rPr lang="ja-JP" altLang="en-US" sz="1200" b="1">
                <a:latin typeface="メイリオ" panose="020B0604030504040204" pitchFamily="50" charset="-128"/>
                <a:ea typeface="メイリオ" panose="020B0604030504040204" pitchFamily="50" charset="-128"/>
              </a:rPr>
              <a:t>年以上</a:t>
            </a:r>
            <a:endParaRPr lang="ja-JP" sz="1200" b="1">
              <a:latin typeface="メイリオ" panose="020B0604030504040204" pitchFamily="50" charset="-128"/>
              <a:ea typeface="メイリオ" panose="020B0604030504040204" pitchFamily="50" charset="-128"/>
            </a:endParaRPr>
          </a:p>
        </c:rich>
      </c:tx>
      <c:layout>
        <c:manualLayout>
          <c:xMode val="edge"/>
          <c:yMode val="edge"/>
          <c:x val="0.38648181712605029"/>
          <c:y val="4.2469178077610917E-3"/>
        </c:manualLayout>
      </c:layout>
      <c:overlay val="0"/>
      <c:spPr>
        <a:noFill/>
        <a:ln>
          <a:noFill/>
        </a:ln>
        <a:effectLst/>
      </c:spPr>
      <c:txPr>
        <a:bodyPr rot="0" spcFirstLastPara="1" vertOverflow="ellipsis" vert="horz" wrap="square" anchor="ctr" anchorCtr="1"/>
        <a:lstStyle/>
        <a:p>
          <a:pPr>
            <a:defRPr sz="1200" b="1" i="0" u="none" strike="noStrike" kern="1200" cap="none" spc="20" baseline="0%">
              <a:solidFill>
                <a:schemeClr val="tx1">
                  <a:lumMod val="50%"/>
                  <a:lumOff val="50%"/>
                </a:schemeClr>
              </a:solidFill>
              <a:latin typeface="メイリオ" panose="020B0604030504040204" pitchFamily="50" charset="-128"/>
              <a:ea typeface="メイリオ" panose="020B0604030504040204" pitchFamily="50" charset="-128"/>
              <a:cs typeface="+mn-cs"/>
            </a:defRPr>
          </a:pPr>
          <a:endParaRPr lang="ja-JP"/>
        </a:p>
      </c:txPr>
    </c:title>
    <c:autoTitleDeleted val="0"/>
    <c:plotArea>
      <c:layout/>
      <c:barChart>
        <c:barDir val="bar"/>
        <c:grouping val="clustered"/>
        <c:varyColors val="0"/>
        <c:ser>
          <c:idx val="0"/>
          <c:order val="0"/>
          <c:tx>
            <c:strRef>
              <c:f>'グラフ(疾患名)'!$O$23</c:f>
              <c:strCache>
                <c:ptCount val="1"/>
                <c:pt idx="0">
                  <c:v>人数</c:v>
                </c:pt>
              </c:strCache>
            </c:strRef>
          </c:tx>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invertIfNegative val="0"/>
          <c:dPt>
            <c:idx val="0"/>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1-4173-4866-8F21-C79DD1F99DAE}"/>
              </c:ext>
            </c:extLst>
          </c:dPt>
          <c:dPt>
            <c:idx val="1"/>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3-4173-4866-8F21-C79DD1F99DAE}"/>
              </c:ext>
            </c:extLst>
          </c:dPt>
          <c:dPt>
            <c:idx val="2"/>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5-4173-4866-8F21-C79DD1F99DAE}"/>
              </c:ext>
            </c:extLst>
          </c:dPt>
          <c:dPt>
            <c:idx val="3"/>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7-4173-4866-8F21-C79DD1F99DAE}"/>
              </c:ext>
            </c:extLst>
          </c:dPt>
          <c:dPt>
            <c:idx val="4"/>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9-4173-4866-8F21-C79DD1F99DAE}"/>
              </c:ext>
            </c:extLst>
          </c:dPt>
          <c:dPt>
            <c:idx val="5"/>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B-4173-4866-8F21-C79DD1F99DAE}"/>
              </c:ext>
            </c:extLst>
          </c:dPt>
          <c:dPt>
            <c:idx val="6"/>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D-4173-4866-8F21-C79DD1F99DAE}"/>
              </c:ext>
            </c:extLst>
          </c:dPt>
          <c:dPt>
            <c:idx val="7"/>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0F-4173-4866-8F21-C79DD1F99DAE}"/>
              </c:ext>
            </c:extLst>
          </c:dPt>
          <c:dPt>
            <c:idx val="8"/>
            <c:invertIfNegative val="0"/>
            <c:bubble3D val="0"/>
            <c:spPr>
              <a:gradFill rotWithShape="1">
                <a:gsLst>
                  <a:gs pos="0%">
                    <a:schemeClr val="accent1">
                      <a:tint val="50%"/>
                      <a:satMod val="300%"/>
                    </a:schemeClr>
                  </a:gs>
                  <a:gs pos="35%">
                    <a:schemeClr val="accent1">
                      <a:tint val="37%"/>
                      <a:satMod val="300%"/>
                    </a:schemeClr>
                  </a:gs>
                  <a:gs pos="100%">
                    <a:schemeClr val="accent1">
                      <a:tint val="15%"/>
                      <a:satMod val="350%"/>
                    </a:schemeClr>
                  </a:gs>
                </a:gsLst>
                <a:lin ang="16200000" scaled="1"/>
              </a:gradFill>
              <a:ln w="9525" cap="flat" cmpd="sng" algn="ctr">
                <a:solidFill>
                  <a:schemeClr val="accent1">
                    <a:shade val="95%"/>
                  </a:schemeClr>
                </a:solidFill>
                <a:round/>
              </a:ln>
              <a:effectLst>
                <a:outerShdw blurRad="40000" dist="20000" dir="5400000" rotWithShape="0">
                  <a:srgbClr val="000000">
                    <a:alpha val="38%"/>
                  </a:srgbClr>
                </a:outerShdw>
              </a:effectLst>
              <a:scene3d>
                <a:camera prst="orthographicFront"/>
                <a:lightRig rig="threePt" dir="t"/>
              </a:scene3d>
              <a:sp3d>
                <a:bevelT w="63500" h="25400"/>
              </a:sp3d>
            </c:spPr>
            <c:extLst>
              <c:ext xmlns:c16="http://schemas.microsoft.com/office/drawing/2014/chart" uri="{C3380CC4-5D6E-409C-BE32-E72D297353CC}">
                <c16:uniqueId val="{00000011-4173-4866-8F21-C79DD1F99DAE}"/>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65%"/>
                        <a:lumOff val="35%"/>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'グラフ(疾患名)'!$T$5:$T$16</c:f>
              <c:strCache>
                <c:ptCount val="12"/>
                <c:pt idx="0">
                  <c:v>F0</c:v>
                </c:pt>
                <c:pt idx="1">
                  <c:v>F1</c:v>
                </c:pt>
                <c:pt idx="2">
                  <c:v>F2</c:v>
                </c:pt>
                <c:pt idx="3">
                  <c:v>F3</c:v>
                </c:pt>
                <c:pt idx="4">
                  <c:v>F4</c:v>
                </c:pt>
                <c:pt idx="5">
                  <c:v>F5</c:v>
                </c:pt>
                <c:pt idx="6">
                  <c:v>F6</c:v>
                </c:pt>
                <c:pt idx="7">
                  <c:v>F7</c:v>
                </c:pt>
                <c:pt idx="8">
                  <c:v>F8</c:v>
                </c:pt>
                <c:pt idx="9">
                  <c:v>F9</c:v>
                </c:pt>
                <c:pt idx="10">
                  <c:v>てんかん</c:v>
                </c:pt>
                <c:pt idx="11">
                  <c:v>その他</c:v>
                </c:pt>
              </c:strCache>
            </c:strRef>
          </c:cat>
          <c:val>
            <c:numRef>
              <c:f>'グラフ(疾患名)'!$O$24:$O$35</c:f>
              <c:numCache>
                <c:formatCode>#,##0"人"</c:formatCode>
                <c:ptCount val="12"/>
                <c:pt idx="0">
                  <c:v>1944</c:v>
                </c:pt>
                <c:pt idx="1">
                  <c:v>274</c:v>
                </c:pt>
                <c:pt idx="2">
                  <c:v>4616</c:v>
                </c:pt>
                <c:pt idx="3">
                  <c:v>580</c:v>
                </c:pt>
                <c:pt idx="4">
                  <c:v>72</c:v>
                </c:pt>
                <c:pt idx="5">
                  <c:v>4</c:v>
                </c:pt>
                <c:pt idx="6">
                  <c:v>11</c:v>
                </c:pt>
                <c:pt idx="7">
                  <c:v>149</c:v>
                </c:pt>
                <c:pt idx="8">
                  <c:v>39</c:v>
                </c:pt>
                <c:pt idx="9">
                  <c:v>12</c:v>
                </c:pt>
                <c:pt idx="10">
                  <c:v>27</c:v>
                </c:pt>
                <c:pt idx="11">
                  <c:v>38</c:v>
                </c:pt>
              </c:numCache>
            </c:numRef>
          </c:val>
          <c:extLst>
            <c:ext xmlns:c16="http://schemas.microsoft.com/office/drawing/2014/chart" uri="{C3380CC4-5D6E-409C-BE32-E72D297353CC}">
              <c16:uniqueId val="{00000012-4173-4866-8F21-C79DD1F99DAE}"/>
            </c:ext>
          </c:extLst>
        </c:ser>
        <c:dLbls>
          <c:showLegendKey val="0"/>
          <c:showVal val="0"/>
          <c:showCatName val="0"/>
          <c:showSerName val="0"/>
          <c:showPercent val="0"/>
          <c:showBubbleSize val="0"/>
        </c:dLbls>
        <c:gapWidth val="100"/>
        <c:axId val="630611664"/>
        <c:axId val="630606256"/>
      </c:barChart>
      <c:valAx>
        <c:axId val="630606256"/>
        <c:scaling>
          <c:orientation val="minMax"/>
        </c:scaling>
        <c:delete val="0"/>
        <c:axPos val="t"/>
        <c:majorGridlines>
          <c:spPr>
            <a:ln w="9525" cap="flat" cmpd="sng" algn="ctr">
              <a:solidFill>
                <a:schemeClr val="tx1">
                  <a:lumMod val="15%"/>
                  <a:lumOff val="85%"/>
                </a:schemeClr>
              </a:solidFill>
              <a:round/>
            </a:ln>
            <a:effectLst/>
          </c:spPr>
        </c:majorGridlines>
        <c:numFmt formatCode="#,##0&quot;人&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0611664"/>
        <c:crosses val="autoZero"/>
        <c:crossBetween val="between"/>
      </c:valAx>
      <c:catAx>
        <c:axId val="630611664"/>
        <c:scaling>
          <c:orientation val="maxMin"/>
        </c:scaling>
        <c:delete val="0"/>
        <c:axPos val="l"/>
        <c:numFmt formatCode="General" sourceLinked="1"/>
        <c:majorTickMark val="out"/>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ja-JP"/>
          </a:p>
        </c:txPr>
        <c:crossAx val="630606256"/>
        <c:crosses val="autoZero"/>
        <c:auto val="1"/>
        <c:lblAlgn val="ctr"/>
        <c:lblOffset val="100"/>
        <c:noMultiLvlLbl val="0"/>
      </c:cat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0.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3.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4.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5.xml><?xml version="1.0" encoding="utf-8"?>
<cs:colorStyle xmlns:cs="http://schemas.microsoft.com/office/drawing/2012/chartStyle" xmlns:a="http://purl.oclc.org/ooxml/drawingml/main" meth="cycle" id="12">
  <a:schemeClr val="accent2"/>
  <a:schemeClr val="accent4"/>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6.xml><?xml version="1.0" encoding="utf-8"?>
<cs:colorStyle xmlns:cs="http://schemas.microsoft.com/office/drawing/2012/chartStyle" xmlns:a="http://purl.oclc.org/ooxml/drawingml/main" meth="cycle" id="13">
  <a:schemeClr val="accent6"/>
  <a:schemeClr val="accent5"/>
  <a:schemeClr val="accent4"/>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7.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8.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9.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0.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1.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2.xml><?xml version="1.0" encoding="utf-8"?>
<cs:colorStyle xmlns:cs="http://schemas.microsoft.com/office/drawing/2012/chartStyle" xmlns:a="http://purl.oclc.org/ooxml/drawingml/main" meth="withinLinearReversed" id="25">
  <a:schemeClr val="accent5"/>
</cs:colorStyle>
</file>

<file path=xl/charts/colors23.xml><?xml version="1.0" encoding="utf-8"?>
<cs:colorStyle xmlns:cs="http://schemas.microsoft.com/office/drawing/2012/chartStyle" xmlns:a="http://purl.oclc.org/ooxml/drawingml/main" meth="cycle" id="12">
  <a:schemeClr val="accent2"/>
  <a:schemeClr val="accent4"/>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4.xml><?xml version="1.0" encoding="utf-8"?>
<cs:colorStyle xmlns:cs="http://schemas.microsoft.com/office/drawing/2012/chartStyle" xmlns:a="http://purl.oclc.org/ooxml/drawingml/main" meth="withinLinearReversed" id="24">
  <a:schemeClr val="accent4"/>
</cs:colorStyle>
</file>

<file path=xl/charts/colors3.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4.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5.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6.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7.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8.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9.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style1.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purl.oclc.org/ooxml/drawingml/main" id="301">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purl.oclc.org/ooxml/drawingml/main" id="301">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purl.oclc.org/ooxml/drawingml/main" id="301">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purl.oclc.org/ooxml/drawingml/main" id="301">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purl.oclc.org/ooxml/drawingml/main" id="335">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purl.oclc.org/ooxml/drawingml/main" id="335">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purl.oclc.org/ooxml/drawingml/main" id="219">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purl.oclc.org/ooxml/drawingml/main" id="216">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purl.oclc.org/ooxml/drawingml/main" id="219">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24.xml><?xml version="1.0" encoding="utf-8"?>
<cs:chartStyle xmlns:cs="http://schemas.microsoft.com/office/drawing/2012/chartStyle" xmlns:a="http://purl.oclc.org/ooxml/drawingml/main" id="216">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purl.oclc.org/ooxml/drawingml/main" id="254">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65%"/>
        <a:lumOff val="3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39.xml.rels><?xml version="1.0" encoding="UTF-8" standalone="yes"?>
<Relationships xmlns="http://schemas.openxmlformats.org/package/2006/relationships"><Relationship Id="rId3" Type="http://purl.oclc.org/ooxml/officeDocument/relationships/chart" Target="../charts/chart3.xml"/><Relationship Id="rId2" Type="http://purl.oclc.org/ooxml/officeDocument/relationships/chart" Target="../charts/chart2.xml"/><Relationship Id="rId1" Type="http://purl.oclc.org/ooxml/officeDocument/relationships/chart" Target="../charts/chart1.xml"/><Relationship Id="rId6" Type="http://purl.oclc.org/ooxml/officeDocument/relationships/chart" Target="../charts/chart6.xml"/><Relationship Id="rId5" Type="http://purl.oclc.org/ooxml/officeDocument/relationships/chart" Target="../charts/chart5.xml"/><Relationship Id="rId4" Type="http://purl.oclc.org/ooxml/officeDocument/relationships/chart" Target="../charts/chart4.xml"/></Relationships>
</file>

<file path=xl/drawings/_rels/drawing40.xml.rels><?xml version="1.0" encoding="UTF-8" standalone="yes"?>
<Relationships xmlns="http://schemas.openxmlformats.org/package/2006/relationships"><Relationship Id="rId3" Type="http://purl.oclc.org/ooxml/officeDocument/relationships/chart" Target="../charts/chart9.xml"/><Relationship Id="rId2" Type="http://purl.oclc.org/ooxml/officeDocument/relationships/chart" Target="../charts/chart8.xml"/><Relationship Id="rId1" Type="http://purl.oclc.org/ooxml/officeDocument/relationships/chart" Target="../charts/chart7.xml"/><Relationship Id="rId6" Type="http://purl.oclc.org/ooxml/officeDocument/relationships/chart" Target="../charts/chart12.xml"/><Relationship Id="rId5" Type="http://purl.oclc.org/ooxml/officeDocument/relationships/chart" Target="../charts/chart11.xml"/><Relationship Id="rId4" Type="http://purl.oclc.org/ooxml/officeDocument/relationships/chart" Target="../charts/chart10.xml"/></Relationships>
</file>

<file path=xl/drawings/_rels/drawing41.xml.rels><?xml version="1.0" encoding="UTF-8" standalone="yes"?>
<Relationships xmlns="http://schemas.openxmlformats.org/package/2006/relationships"><Relationship Id="rId2" Type="http://purl.oclc.org/ooxml/officeDocument/relationships/chart" Target="../charts/chart14.xml"/><Relationship Id="rId1" Type="http://purl.oclc.org/ooxml/officeDocument/relationships/chart" Target="../charts/chart13.xml"/></Relationships>
</file>

<file path=xl/drawings/_rels/drawing42.xml.rels><?xml version="1.0" encoding="UTF-8" standalone="yes"?>
<Relationships xmlns="http://schemas.openxmlformats.org/package/2006/relationships"><Relationship Id="rId2" Type="http://purl.oclc.org/ooxml/officeDocument/relationships/chart" Target="../charts/chart16.xml"/><Relationship Id="rId1" Type="http://purl.oclc.org/ooxml/officeDocument/relationships/chart" Target="../charts/chart15.xml"/></Relationships>
</file>

<file path=xl/drawings/_rels/drawing43.xml.rels><?xml version="1.0" encoding="UTF-8" standalone="yes"?>
<Relationships xmlns="http://schemas.openxmlformats.org/package/2006/relationships"><Relationship Id="rId3" Type="http://purl.oclc.org/ooxml/officeDocument/relationships/chart" Target="../charts/chart19.xml"/><Relationship Id="rId2" Type="http://purl.oclc.org/ooxml/officeDocument/relationships/chart" Target="../charts/chart18.xml"/><Relationship Id="rId1" Type="http://purl.oclc.org/ooxml/officeDocument/relationships/chart" Target="../charts/chart17.xml"/><Relationship Id="rId4" Type="http://purl.oclc.org/ooxml/officeDocument/relationships/chart" Target="../charts/chart20.xml"/></Relationships>
</file>

<file path=xl/drawings/_rels/drawing44.xml.rels><?xml version="1.0" encoding="UTF-8" standalone="yes"?>
<Relationships xmlns="http://schemas.openxmlformats.org/package/2006/relationships"><Relationship Id="rId2" Type="http://purl.oclc.org/ooxml/officeDocument/relationships/chart" Target="../charts/chart22.xml"/><Relationship Id="rId1" Type="http://purl.oclc.org/ooxml/officeDocument/relationships/chart" Target="../charts/chart21.xml"/></Relationships>
</file>

<file path=xl/drawings/_rels/drawing45.xml.rels><?xml version="1.0" encoding="UTF-8" standalone="yes"?>
<Relationships xmlns="http://schemas.openxmlformats.org/package/2006/relationships"><Relationship Id="rId2" Type="http://purl.oclc.org/ooxml/officeDocument/relationships/chart" Target="../charts/chart24.xml"/><Relationship Id="rId1" Type="http://purl.oclc.org/ooxml/officeDocument/relationships/chart" Target="../charts/chart23.xml"/></Relationships>
</file>

<file path=xl/drawings/drawing1.xml><?xml version="1.0" encoding="utf-8"?>
<xdr:wsDr xmlns:xdr="http://purl.oclc.org/ooxml/drawingml/spreadsheetDrawing" xmlns:a="http://purl.oclc.org/ooxml/drawingml/main">
  <xdr:twoCellAnchor>
    <xdr:from>
      <xdr:col>17</xdr:col>
      <xdr:colOff>259080</xdr:colOff>
      <xdr:row>1</xdr:row>
      <xdr:rowOff>236220</xdr:rowOff>
    </xdr:from>
    <xdr:to>
      <xdr:col>18</xdr:col>
      <xdr:colOff>480060</xdr:colOff>
      <xdr:row>3</xdr:row>
      <xdr:rowOff>160020</xdr:rowOff>
    </xdr:to>
    <xdr:sp macro="" textlink="">
      <xdr:nvSpPr>
        <xdr:cNvPr id="17409" name="Button 1">
          <a:extLst>
            <a:ext uri="{63B3BB69-23CF-44E3-9099-C40C66FF867C}">
              <a14:compatExt xmlns:a14="http://schemas.microsoft.com/office/drawing/2010/main" spid="_x0000_s6145"/>
            </a:ext>
            <a:ext uri="{FF2B5EF4-FFF2-40B4-BE49-F238E27FC236}">
              <a16:creationId xmlns:a16="http://schemas.microsoft.com/office/drawing/2014/main" id="{801209BE-5472-4BB0-A9EE-593C816EB21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0.xml><?xml version="1.0" encoding="utf-8"?>
<xdr:wsDr xmlns:xdr="http://purl.oclc.org/ooxml/drawingml/spreadsheetDrawing" xmlns:a="http://purl.oclc.org/ooxml/drawingml/main">
  <xdr:twoCellAnchor>
    <xdr:from>
      <xdr:col>4</xdr:col>
      <xdr:colOff>373380</xdr:colOff>
      <xdr:row>1</xdr:row>
      <xdr:rowOff>114300</xdr:rowOff>
    </xdr:from>
    <xdr:to>
      <xdr:col>6</xdr:col>
      <xdr:colOff>60960</xdr:colOff>
      <xdr:row>3</xdr:row>
      <xdr:rowOff>22860</xdr:rowOff>
    </xdr:to>
    <xdr:sp macro="" textlink="">
      <xdr:nvSpPr>
        <xdr:cNvPr id="26625" name="Button 1">
          <a:extLst>
            <a:ext uri="{63B3BB69-23CF-44E3-9099-C40C66FF867C}">
              <a14:compatExt xmlns:a14="http://schemas.microsoft.com/office/drawing/2010/main" spid="_x0000_s15361"/>
            </a:ext>
            <a:ext uri="{FF2B5EF4-FFF2-40B4-BE49-F238E27FC236}">
              <a16:creationId xmlns:a16="http://schemas.microsoft.com/office/drawing/2014/main" id="{A152BBCA-A4E7-4A61-9068-2375B942CF7B}"/>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1.xml><?xml version="1.0" encoding="utf-8"?>
<xdr:wsDr xmlns:xdr="http://purl.oclc.org/ooxml/drawingml/spreadsheetDrawing" xmlns:a="http://purl.oclc.org/ooxml/drawingml/main">
  <xdr:twoCellAnchor>
    <xdr:from>
      <xdr:col>11</xdr:col>
      <xdr:colOff>0</xdr:colOff>
      <xdr:row>3</xdr:row>
      <xdr:rowOff>190500</xdr:rowOff>
    </xdr:from>
    <xdr:to>
      <xdr:col>11</xdr:col>
      <xdr:colOff>2103120</xdr:colOff>
      <xdr:row>5</xdr:row>
      <xdr:rowOff>198120</xdr:rowOff>
    </xdr:to>
    <xdr:sp macro="" textlink="">
      <xdr:nvSpPr>
        <xdr:cNvPr id="27649" name="Button 1">
          <a:extLst>
            <a:ext uri="{63B3BB69-23CF-44E3-9099-C40C66FF867C}">
              <a14:compatExt xmlns:a14="http://schemas.microsoft.com/office/drawing/2010/main" spid="_x0000_s16385"/>
            </a:ext>
            <a:ext uri="{FF2B5EF4-FFF2-40B4-BE49-F238E27FC236}">
              <a16:creationId xmlns:a16="http://schemas.microsoft.com/office/drawing/2014/main" id="{461A01CB-5553-49C8-8645-055574C154E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4864" rIns="36576" bIns="54864" anchor="ctr" upright="1"/>
        <a:lstStyle/>
        <a:p>
          <a:pPr algn="ctr" rtl="0">
            <a:defRPr sz="1000"/>
          </a:pPr>
          <a:r>
            <a:rPr lang="ja-JP" altLang="en-US" sz="1200" b="0" i="0" u="none" strike="noStrike" baseline="0%">
              <a:solidFill>
                <a:srgbClr val="0066CC"/>
              </a:solidFill>
              <a:latin typeface="メイリオ"/>
              <a:ea typeface="メイリオ"/>
            </a:rPr>
            <a:t>データ削除</a:t>
          </a:r>
        </a:p>
      </xdr:txBody>
    </xdr:sp>
    <xdr:clientData fPrintsWithSheet="0"/>
  </xdr:twoCellAnchor>
</xdr:wsDr>
</file>

<file path=xl/drawings/drawing12.xml><?xml version="1.0" encoding="utf-8"?>
<xdr:wsDr xmlns:xdr="http://purl.oclc.org/ooxml/drawingml/spreadsheetDrawing" xmlns:a="http://purl.oclc.org/ooxml/drawingml/main">
  <xdr:twoCellAnchor>
    <xdr:from>
      <xdr:col>13</xdr:col>
      <xdr:colOff>533400</xdr:colOff>
      <xdr:row>2</xdr:row>
      <xdr:rowOff>76200</xdr:rowOff>
    </xdr:from>
    <xdr:to>
      <xdr:col>16</xdr:col>
      <xdr:colOff>563880</xdr:colOff>
      <xdr:row>4</xdr:row>
      <xdr:rowOff>45720</xdr:rowOff>
    </xdr:to>
    <xdr:sp macro="" textlink="">
      <xdr:nvSpPr>
        <xdr:cNvPr id="28673" name="Button 1">
          <a:extLst>
            <a:ext uri="{63B3BB69-23CF-44E3-9099-C40C66FF867C}">
              <a14:compatExt xmlns:a14="http://schemas.microsoft.com/office/drawing/2010/main" spid="_x0000_s17409"/>
            </a:ext>
            <a:ext uri="{FF2B5EF4-FFF2-40B4-BE49-F238E27FC236}">
              <a16:creationId xmlns:a16="http://schemas.microsoft.com/office/drawing/2014/main" id="{314183B3-680A-472C-9ABD-B1F3140670B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4864" rIns="36576" bIns="54864" anchor="ctr" upright="1"/>
        <a:lstStyle/>
        <a:p>
          <a:pPr algn="ctr" rtl="0">
            <a:defRPr sz="1000"/>
          </a:pPr>
          <a:r>
            <a:rPr lang="ja-JP" altLang="en-US" sz="1200" b="0" i="0" u="none" strike="noStrike" baseline="0%">
              <a:solidFill>
                <a:srgbClr val="0066CC"/>
              </a:solidFill>
              <a:latin typeface="メイリオ"/>
              <a:ea typeface="メイリオ"/>
            </a:rPr>
            <a:t>データ削除</a:t>
          </a:r>
        </a:p>
      </xdr:txBody>
    </xdr:sp>
    <xdr:clientData fPrintsWithSheet="0"/>
  </xdr:twoCellAnchor>
</xdr:wsDr>
</file>

<file path=xl/drawings/drawing13.xml><?xml version="1.0" encoding="utf-8"?>
<xdr:wsDr xmlns:xdr="http://purl.oclc.org/ooxml/drawingml/spreadsheetDrawing" xmlns:a="http://purl.oclc.org/ooxml/drawingml/main">
  <xdr:twoCellAnchor>
    <xdr:from>
      <xdr:col>6</xdr:col>
      <xdr:colOff>632460</xdr:colOff>
      <xdr:row>3</xdr:row>
      <xdr:rowOff>45720</xdr:rowOff>
    </xdr:from>
    <xdr:to>
      <xdr:col>9</xdr:col>
      <xdr:colOff>411480</xdr:colOff>
      <xdr:row>5</xdr:row>
      <xdr:rowOff>45720</xdr:rowOff>
    </xdr:to>
    <xdr:sp macro="" textlink="">
      <xdr:nvSpPr>
        <xdr:cNvPr id="29697" name="Button 1">
          <a:extLst>
            <a:ext uri="{63B3BB69-23CF-44E3-9099-C40C66FF867C}">
              <a14:compatExt xmlns:a14="http://schemas.microsoft.com/office/drawing/2010/main" spid="_x0000_s18433"/>
            </a:ext>
            <a:ext uri="{FF2B5EF4-FFF2-40B4-BE49-F238E27FC236}">
              <a16:creationId xmlns:a16="http://schemas.microsoft.com/office/drawing/2014/main" id="{D0C31853-B11B-4F0F-8C63-FD70416FDC7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4.xml><?xml version="1.0" encoding="utf-8"?>
<xdr:wsDr xmlns:xdr="http://purl.oclc.org/ooxml/drawingml/spreadsheetDrawing" xmlns:a="http://purl.oclc.org/ooxml/drawingml/main">
  <xdr:twoCellAnchor>
    <xdr:from>
      <xdr:col>11</xdr:col>
      <xdr:colOff>556260</xdr:colOff>
      <xdr:row>4</xdr:row>
      <xdr:rowOff>22860</xdr:rowOff>
    </xdr:from>
    <xdr:to>
      <xdr:col>13</xdr:col>
      <xdr:colOff>533400</xdr:colOff>
      <xdr:row>5</xdr:row>
      <xdr:rowOff>228600</xdr:rowOff>
    </xdr:to>
    <xdr:sp macro="" textlink="">
      <xdr:nvSpPr>
        <xdr:cNvPr id="30721" name="Button 1">
          <a:extLst>
            <a:ext uri="{63B3BB69-23CF-44E3-9099-C40C66FF867C}">
              <a14:compatExt xmlns:a14="http://schemas.microsoft.com/office/drawing/2010/main" spid="_x0000_s19457"/>
            </a:ext>
            <a:ext uri="{FF2B5EF4-FFF2-40B4-BE49-F238E27FC236}">
              <a16:creationId xmlns:a16="http://schemas.microsoft.com/office/drawing/2014/main" id="{07FFAD33-6CD0-4F2F-AABA-53F95698F3E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5.xml><?xml version="1.0" encoding="utf-8"?>
<xdr:wsDr xmlns:xdr="http://purl.oclc.org/ooxml/drawingml/spreadsheetDrawing" xmlns:a="http://purl.oclc.org/ooxml/drawingml/main">
  <xdr:twoCellAnchor>
    <xdr:from>
      <xdr:col>14</xdr:col>
      <xdr:colOff>152400</xdr:colOff>
      <xdr:row>0</xdr:row>
      <xdr:rowOff>236220</xdr:rowOff>
    </xdr:from>
    <xdr:to>
      <xdr:col>15</xdr:col>
      <xdr:colOff>457200</xdr:colOff>
      <xdr:row>2</xdr:row>
      <xdr:rowOff>106680</xdr:rowOff>
    </xdr:to>
    <xdr:sp macro="" textlink="">
      <xdr:nvSpPr>
        <xdr:cNvPr id="31745" name="Button 1">
          <a:extLst>
            <a:ext uri="{63B3BB69-23CF-44E3-9099-C40C66FF867C}">
              <a14:compatExt xmlns:a14="http://schemas.microsoft.com/office/drawing/2010/main" spid="_x0000_s20481"/>
            </a:ext>
            <a:ext uri="{FF2B5EF4-FFF2-40B4-BE49-F238E27FC236}">
              <a16:creationId xmlns:a16="http://schemas.microsoft.com/office/drawing/2014/main" id="{92C53F6F-DB6F-449E-B1E1-3041A238CB3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6.xml><?xml version="1.0" encoding="utf-8"?>
<xdr:wsDr xmlns:xdr="http://purl.oclc.org/ooxml/drawingml/spreadsheetDrawing" xmlns:a="http://purl.oclc.org/ooxml/drawingml/main">
  <xdr:twoCellAnchor>
    <xdr:from>
      <xdr:col>7</xdr:col>
      <xdr:colOff>373380</xdr:colOff>
      <xdr:row>2</xdr:row>
      <xdr:rowOff>228600</xdr:rowOff>
    </xdr:from>
    <xdr:to>
      <xdr:col>9</xdr:col>
      <xdr:colOff>45720</xdr:colOff>
      <xdr:row>5</xdr:row>
      <xdr:rowOff>0</xdr:rowOff>
    </xdr:to>
    <xdr:sp macro="" textlink="">
      <xdr:nvSpPr>
        <xdr:cNvPr id="32769" name="Button 1">
          <a:extLst>
            <a:ext uri="{63B3BB69-23CF-44E3-9099-C40C66FF867C}">
              <a14:compatExt xmlns:a14="http://schemas.microsoft.com/office/drawing/2010/main" spid="_x0000_s21505"/>
            </a:ext>
            <a:ext uri="{FF2B5EF4-FFF2-40B4-BE49-F238E27FC236}">
              <a16:creationId xmlns:a16="http://schemas.microsoft.com/office/drawing/2014/main" id="{793CF6E6-F5A3-46CE-9E1C-E22D3D55344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7.xml><?xml version="1.0" encoding="utf-8"?>
<xdr:wsDr xmlns:xdr="http://purl.oclc.org/ooxml/drawingml/spreadsheetDrawing" xmlns:a="http://purl.oclc.org/ooxml/drawingml/main">
  <xdr:twoCellAnchor>
    <xdr:from>
      <xdr:col>11</xdr:col>
      <xdr:colOff>365760</xdr:colOff>
      <xdr:row>3</xdr:row>
      <xdr:rowOff>7620</xdr:rowOff>
    </xdr:from>
    <xdr:to>
      <xdr:col>13</xdr:col>
      <xdr:colOff>304800</xdr:colOff>
      <xdr:row>4</xdr:row>
      <xdr:rowOff>274320</xdr:rowOff>
    </xdr:to>
    <xdr:sp macro="" textlink="">
      <xdr:nvSpPr>
        <xdr:cNvPr id="33793" name="Button 1">
          <a:extLst>
            <a:ext uri="{63B3BB69-23CF-44E3-9099-C40C66FF867C}">
              <a14:compatExt xmlns:a14="http://schemas.microsoft.com/office/drawing/2010/main" spid="_x0000_s22529"/>
            </a:ext>
            <a:ext uri="{FF2B5EF4-FFF2-40B4-BE49-F238E27FC236}">
              <a16:creationId xmlns:a16="http://schemas.microsoft.com/office/drawing/2014/main" id="{66A277F4-E9D8-4F05-9C67-EC52D6F91FBC}"/>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8.xml><?xml version="1.0" encoding="utf-8"?>
<xdr:wsDr xmlns:xdr="http://purl.oclc.org/ooxml/drawingml/spreadsheetDrawing" xmlns:a="http://purl.oclc.org/ooxml/drawingml/main">
  <xdr:twoCellAnchor>
    <xdr:from>
      <xdr:col>10</xdr:col>
      <xdr:colOff>137160</xdr:colOff>
      <xdr:row>2</xdr:row>
      <xdr:rowOff>7620</xdr:rowOff>
    </xdr:from>
    <xdr:to>
      <xdr:col>12</xdr:col>
      <xdr:colOff>7620</xdr:colOff>
      <xdr:row>3</xdr:row>
      <xdr:rowOff>289560</xdr:rowOff>
    </xdr:to>
    <xdr:sp macro="" textlink="">
      <xdr:nvSpPr>
        <xdr:cNvPr id="34818" name="Button 2">
          <a:extLst>
            <a:ext uri="{63B3BB69-23CF-44E3-9099-C40C66FF867C}">
              <a14:compatExt xmlns:a14="http://schemas.microsoft.com/office/drawing/2010/main" spid="_x0000_s23554"/>
            </a:ext>
            <a:ext uri="{FF2B5EF4-FFF2-40B4-BE49-F238E27FC236}">
              <a16:creationId xmlns:a16="http://schemas.microsoft.com/office/drawing/2014/main" id="{EEFC22D5-D6AA-45A9-8694-0434FE7DB02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19.xml><?xml version="1.0" encoding="utf-8"?>
<xdr:wsDr xmlns:xdr="http://purl.oclc.org/ooxml/drawingml/spreadsheetDrawing" xmlns:a="http://purl.oclc.org/ooxml/drawingml/main">
  <xdr:twoCellAnchor>
    <xdr:from>
      <xdr:col>28</xdr:col>
      <xdr:colOff>411480</xdr:colOff>
      <xdr:row>3</xdr:row>
      <xdr:rowOff>60960</xdr:rowOff>
    </xdr:from>
    <xdr:to>
      <xdr:col>31</xdr:col>
      <xdr:colOff>144780</xdr:colOff>
      <xdr:row>4</xdr:row>
      <xdr:rowOff>60960</xdr:rowOff>
    </xdr:to>
    <xdr:sp macro="" textlink="">
      <xdr:nvSpPr>
        <xdr:cNvPr id="35842" name="Button 2">
          <a:extLst>
            <a:ext uri="{63B3BB69-23CF-44E3-9099-C40C66FF867C}">
              <a14:compatExt xmlns:a14="http://schemas.microsoft.com/office/drawing/2010/main" spid="_x0000_s24578"/>
            </a:ext>
            <a:ext uri="{FF2B5EF4-FFF2-40B4-BE49-F238E27FC236}">
              <a16:creationId xmlns:a16="http://schemas.microsoft.com/office/drawing/2014/main" id="{1D5254A5-FE4D-48E6-98F8-B3B749154BD5}"/>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2.xml><?xml version="1.0" encoding="utf-8"?>
<xdr:wsDr xmlns:xdr="http://purl.oclc.org/ooxml/drawingml/spreadsheetDrawing" xmlns:a="http://purl.oclc.org/ooxml/drawingml/main">
  <xdr:twoCellAnchor>
    <xdr:from>
      <xdr:col>11</xdr:col>
      <xdr:colOff>533400</xdr:colOff>
      <xdr:row>2</xdr:row>
      <xdr:rowOff>152400</xdr:rowOff>
    </xdr:from>
    <xdr:to>
      <xdr:col>13</xdr:col>
      <xdr:colOff>289560</xdr:colOff>
      <xdr:row>5</xdr:row>
      <xdr:rowOff>7620</xdr:rowOff>
    </xdr:to>
    <xdr:sp macro="" textlink="">
      <xdr:nvSpPr>
        <xdr:cNvPr id="18433" name="Button 1">
          <a:extLst>
            <a:ext uri="{63B3BB69-23CF-44E3-9099-C40C66FF867C}">
              <a14:compatExt xmlns:a14="http://schemas.microsoft.com/office/drawing/2010/main" spid="_x0000_s7169"/>
            </a:ext>
            <a:ext uri="{FF2B5EF4-FFF2-40B4-BE49-F238E27FC236}">
              <a16:creationId xmlns:a16="http://schemas.microsoft.com/office/drawing/2014/main" id="{4AAB5EFB-DECF-4CD0-8078-2A8A3D591D0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20.xml><?xml version="1.0" encoding="utf-8"?>
<xdr:wsDr xmlns:xdr="http://purl.oclc.org/ooxml/drawingml/spreadsheetDrawing" xmlns:a="http://purl.oclc.org/ooxml/drawingml/main">
  <xdr:twoCellAnchor>
    <xdr:from>
      <xdr:col>29</xdr:col>
      <xdr:colOff>579120</xdr:colOff>
      <xdr:row>3</xdr:row>
      <xdr:rowOff>289560</xdr:rowOff>
    </xdr:from>
    <xdr:to>
      <xdr:col>32</xdr:col>
      <xdr:colOff>83820</xdr:colOff>
      <xdr:row>4</xdr:row>
      <xdr:rowOff>175260</xdr:rowOff>
    </xdr:to>
    <xdr:sp macro="" textlink="">
      <xdr:nvSpPr>
        <xdr:cNvPr id="36865" name="Button 1">
          <a:extLst>
            <a:ext uri="{63B3BB69-23CF-44E3-9099-C40C66FF867C}">
              <a14:compatExt xmlns:a14="http://schemas.microsoft.com/office/drawing/2010/main" spid="_x0000_s25601"/>
            </a:ext>
            <a:ext uri="{FF2B5EF4-FFF2-40B4-BE49-F238E27FC236}">
              <a16:creationId xmlns:a16="http://schemas.microsoft.com/office/drawing/2014/main" id="{3561A437-D1F3-4CFA-B1C7-F7D5026D12E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21.xml><?xml version="1.0" encoding="utf-8"?>
<xdr:wsDr xmlns:xdr="http://purl.oclc.org/ooxml/drawingml/spreadsheetDrawing" xmlns:a="http://purl.oclc.org/ooxml/drawingml/main">
  <xdr:twoCellAnchor>
    <xdr:from>
      <xdr:col>51</xdr:col>
      <xdr:colOff>198120</xdr:colOff>
      <xdr:row>1</xdr:row>
      <xdr:rowOff>182880</xdr:rowOff>
    </xdr:from>
    <xdr:to>
      <xdr:col>53</xdr:col>
      <xdr:colOff>579120</xdr:colOff>
      <xdr:row>3</xdr:row>
      <xdr:rowOff>220980</xdr:rowOff>
    </xdr:to>
    <xdr:sp macro="" textlink="">
      <xdr:nvSpPr>
        <xdr:cNvPr id="37889" name="Button 1">
          <a:extLst>
            <a:ext uri="{63B3BB69-23CF-44E3-9099-C40C66FF867C}">
              <a14:compatExt xmlns:a14="http://schemas.microsoft.com/office/drawing/2010/main" spid="_x0000_s26625"/>
            </a:ext>
            <a:ext uri="{FF2B5EF4-FFF2-40B4-BE49-F238E27FC236}">
              <a16:creationId xmlns:a16="http://schemas.microsoft.com/office/drawing/2014/main" id="{D57C0C25-209C-4402-9A72-180C772441B2}"/>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22.xml><?xml version="1.0" encoding="utf-8"?>
<xdr:wsDr xmlns:xdr="http://purl.oclc.org/ooxml/drawingml/spreadsheetDrawing" xmlns:a="http://purl.oclc.org/ooxml/drawingml/main">
  <xdr:twoCellAnchor>
    <xdr:from>
      <xdr:col>31</xdr:col>
      <xdr:colOff>441960</xdr:colOff>
      <xdr:row>3</xdr:row>
      <xdr:rowOff>0</xdr:rowOff>
    </xdr:from>
    <xdr:to>
      <xdr:col>34</xdr:col>
      <xdr:colOff>266700</xdr:colOff>
      <xdr:row>5</xdr:row>
      <xdr:rowOff>60960</xdr:rowOff>
    </xdr:to>
    <xdr:sp macro="" textlink="">
      <xdr:nvSpPr>
        <xdr:cNvPr id="38913" name="Button 1">
          <a:extLst>
            <a:ext uri="{63B3BB69-23CF-44E3-9099-C40C66FF867C}">
              <a14:compatExt xmlns:a14="http://schemas.microsoft.com/office/drawing/2010/main" spid="_x0000_s27649"/>
            </a:ext>
            <a:ext uri="{FF2B5EF4-FFF2-40B4-BE49-F238E27FC236}">
              <a16:creationId xmlns:a16="http://schemas.microsoft.com/office/drawing/2014/main" id="{4E98914E-7476-4CDD-AC64-2E6F5AFC9B0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23.xml><?xml version="1.0" encoding="utf-8"?>
<xdr:wsDr xmlns:xdr="http://purl.oclc.org/ooxml/drawingml/spreadsheetDrawing" xmlns:a="http://purl.oclc.org/ooxml/drawingml/main">
  <xdr:twoCellAnchor>
    <xdr:from>
      <xdr:col>31</xdr:col>
      <xdr:colOff>449580</xdr:colOff>
      <xdr:row>3</xdr:row>
      <xdr:rowOff>182880</xdr:rowOff>
    </xdr:from>
    <xdr:to>
      <xdr:col>34</xdr:col>
      <xdr:colOff>335280</xdr:colOff>
      <xdr:row>6</xdr:row>
      <xdr:rowOff>0</xdr:rowOff>
    </xdr:to>
    <xdr:sp macro="" textlink="">
      <xdr:nvSpPr>
        <xdr:cNvPr id="39937" name="Button 1">
          <a:extLst>
            <a:ext uri="{63B3BB69-23CF-44E3-9099-C40C66FF867C}">
              <a14:compatExt xmlns:a14="http://schemas.microsoft.com/office/drawing/2010/main" spid="_x0000_s28673"/>
            </a:ext>
            <a:ext uri="{FF2B5EF4-FFF2-40B4-BE49-F238E27FC236}">
              <a16:creationId xmlns:a16="http://schemas.microsoft.com/office/drawing/2014/main" id="{1148D94E-6499-43E3-BB26-279D9910B3E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24.xml><?xml version="1.0" encoding="utf-8"?>
<xdr:wsDr xmlns:xdr="http://purl.oclc.org/ooxml/drawingml/spreadsheetDrawing" xmlns:a="http://purl.oclc.org/ooxml/drawingml/main">
  <xdr:twoCellAnchor>
    <xdr:from>
      <xdr:col>31</xdr:col>
      <xdr:colOff>365760</xdr:colOff>
      <xdr:row>2</xdr:row>
      <xdr:rowOff>182880</xdr:rowOff>
    </xdr:from>
    <xdr:to>
      <xdr:col>34</xdr:col>
      <xdr:colOff>502920</xdr:colOff>
      <xdr:row>5</xdr:row>
      <xdr:rowOff>38100</xdr:rowOff>
    </xdr:to>
    <xdr:sp macro="" textlink="">
      <xdr:nvSpPr>
        <xdr:cNvPr id="40961" name="Button 1">
          <a:extLst>
            <a:ext uri="{63B3BB69-23CF-44E3-9099-C40C66FF867C}">
              <a14:compatExt xmlns:a14="http://schemas.microsoft.com/office/drawing/2010/main" spid="_x0000_s29697"/>
            </a:ext>
            <a:ext uri="{FF2B5EF4-FFF2-40B4-BE49-F238E27FC236}">
              <a16:creationId xmlns:a16="http://schemas.microsoft.com/office/drawing/2014/main" id="{CA65CAE1-6B2C-4512-A5F0-4DF7D526C55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25.xml><?xml version="1.0" encoding="utf-8"?>
<xdr:wsDr xmlns:xdr="http://purl.oclc.org/ooxml/drawingml/spreadsheetDrawing" xmlns:a="http://purl.oclc.org/ooxml/drawingml/main">
  <xdr:twoCellAnchor>
    <xdr:from>
      <xdr:col>33</xdr:col>
      <xdr:colOff>304800</xdr:colOff>
      <xdr:row>2</xdr:row>
      <xdr:rowOff>83820</xdr:rowOff>
    </xdr:from>
    <xdr:to>
      <xdr:col>34</xdr:col>
      <xdr:colOff>723900</xdr:colOff>
      <xdr:row>4</xdr:row>
      <xdr:rowOff>198120</xdr:rowOff>
    </xdr:to>
    <xdr:sp macro="" textlink="">
      <xdr:nvSpPr>
        <xdr:cNvPr id="48129" name="Button 1">
          <a:extLst>
            <a:ext uri="{63B3BB69-23CF-44E3-9099-C40C66FF867C}">
              <a14:compatExt xmlns:a14="http://schemas.microsoft.com/office/drawing/2010/main" spid="_x0000_s36865"/>
            </a:ext>
            <a:ext uri="{FF2B5EF4-FFF2-40B4-BE49-F238E27FC236}">
              <a16:creationId xmlns:a16="http://schemas.microsoft.com/office/drawing/2014/main" id="{41CFF5AA-8DB7-4C7E-BC0E-C48A29B105E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26.xml><?xml version="1.0" encoding="utf-8"?>
<xdr:wsDr xmlns:xdr="http://purl.oclc.org/ooxml/drawingml/spreadsheetDrawing" xmlns:a="http://purl.oclc.org/ooxml/drawingml/main">
  <xdr:twoCellAnchor>
    <xdr:from>
      <xdr:col>29</xdr:col>
      <xdr:colOff>723900</xdr:colOff>
      <xdr:row>0</xdr:row>
      <xdr:rowOff>76200</xdr:rowOff>
    </xdr:from>
    <xdr:to>
      <xdr:col>31</xdr:col>
      <xdr:colOff>495300</xdr:colOff>
      <xdr:row>1</xdr:row>
      <xdr:rowOff>121920</xdr:rowOff>
    </xdr:to>
    <xdr:sp macro="" textlink="">
      <xdr:nvSpPr>
        <xdr:cNvPr id="49153" name="Button 1">
          <a:extLst>
            <a:ext uri="{63B3BB69-23CF-44E3-9099-C40C66FF867C}">
              <a14:compatExt xmlns:a14="http://schemas.microsoft.com/office/drawing/2010/main" spid="_x0000_s37889"/>
            </a:ext>
            <a:ext uri="{FF2B5EF4-FFF2-40B4-BE49-F238E27FC236}">
              <a16:creationId xmlns:a16="http://schemas.microsoft.com/office/drawing/2014/main" id="{D10DA92A-9A48-4DCC-B830-B5BD1C4A95C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27.xml><?xml version="1.0" encoding="utf-8"?>
<xdr:wsDr xmlns:xdr="http://purl.oclc.org/ooxml/drawingml/spreadsheetDrawing" xmlns:a="http://purl.oclc.org/ooxml/drawingml/main">
  <xdr:twoCellAnchor>
    <xdr:from>
      <xdr:col>33</xdr:col>
      <xdr:colOff>190500</xdr:colOff>
      <xdr:row>3</xdr:row>
      <xdr:rowOff>228600</xdr:rowOff>
    </xdr:from>
    <xdr:to>
      <xdr:col>34</xdr:col>
      <xdr:colOff>655320</xdr:colOff>
      <xdr:row>6</xdr:row>
      <xdr:rowOff>99060</xdr:rowOff>
    </xdr:to>
    <xdr:sp macro="" textlink="">
      <xdr:nvSpPr>
        <xdr:cNvPr id="50177" name="Button 1">
          <a:extLst>
            <a:ext uri="{63B3BB69-23CF-44E3-9099-C40C66FF867C}">
              <a14:compatExt xmlns:a14="http://schemas.microsoft.com/office/drawing/2010/main" spid="_x0000_s38913"/>
            </a:ext>
            <a:ext uri="{FF2B5EF4-FFF2-40B4-BE49-F238E27FC236}">
              <a16:creationId xmlns:a16="http://schemas.microsoft.com/office/drawing/2014/main" id="{F7DE826D-970F-4874-90DD-58A2D8F3C43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28.xml><?xml version="1.0" encoding="utf-8"?>
<xdr:wsDr xmlns:xdr="http://purl.oclc.org/ooxml/drawingml/spreadsheetDrawing" xmlns:a="http://purl.oclc.org/ooxml/drawingml/main">
  <xdr:twoCellAnchor>
    <xdr:from>
      <xdr:col>11</xdr:col>
      <xdr:colOff>304800</xdr:colOff>
      <xdr:row>21</xdr:row>
      <xdr:rowOff>60960</xdr:rowOff>
    </xdr:from>
    <xdr:to>
      <xdr:col>13</xdr:col>
      <xdr:colOff>655320</xdr:colOff>
      <xdr:row>23</xdr:row>
      <xdr:rowOff>160020</xdr:rowOff>
    </xdr:to>
    <xdr:sp macro="" textlink="">
      <xdr:nvSpPr>
        <xdr:cNvPr id="51203" name="Button 3">
          <a:extLst>
            <a:ext uri="{63B3BB69-23CF-44E3-9099-C40C66FF867C}">
              <a14:compatExt xmlns:a14="http://schemas.microsoft.com/office/drawing/2010/main" spid="_x0000_s39939"/>
            </a:ext>
            <a:ext uri="{FF2B5EF4-FFF2-40B4-BE49-F238E27FC236}">
              <a16:creationId xmlns:a16="http://schemas.microsoft.com/office/drawing/2014/main" id="{5B8FF2E8-8AB1-4639-9EEA-0840FBD2996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29.xml><?xml version="1.0" encoding="utf-8"?>
<xdr:wsDr xmlns:xdr="http://purl.oclc.org/ooxml/drawingml/spreadsheetDrawing" xmlns:a="http://purl.oclc.org/ooxml/drawingml/main">
  <xdr:twoCellAnchor>
    <xdr:from>
      <xdr:col>11</xdr:col>
      <xdr:colOff>198120</xdr:colOff>
      <xdr:row>32</xdr:row>
      <xdr:rowOff>99060</xdr:rowOff>
    </xdr:from>
    <xdr:to>
      <xdr:col>14</xdr:col>
      <xdr:colOff>502920</xdr:colOff>
      <xdr:row>34</xdr:row>
      <xdr:rowOff>190500</xdr:rowOff>
    </xdr:to>
    <xdr:sp macro="" textlink="">
      <xdr:nvSpPr>
        <xdr:cNvPr id="78849" name="Button 1">
          <a:extLst>
            <a:ext uri="{63B3BB69-23CF-44E3-9099-C40C66FF867C}">
              <a14:compatExt xmlns:a14="http://schemas.microsoft.com/office/drawing/2010/main" spid="_x0000_s67585"/>
            </a:ext>
            <a:ext uri="{FF2B5EF4-FFF2-40B4-BE49-F238E27FC236}">
              <a16:creationId xmlns:a16="http://schemas.microsoft.com/office/drawing/2014/main" id="{A28ACA4D-EA8E-4C0B-B38D-07827360641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3.xml><?xml version="1.0" encoding="utf-8"?>
<xdr:wsDr xmlns:xdr="http://purl.oclc.org/ooxml/drawingml/spreadsheetDrawing" xmlns:a="http://purl.oclc.org/ooxml/drawingml/main">
  <xdr:twoCellAnchor>
    <xdr:from>
      <xdr:col>9</xdr:col>
      <xdr:colOff>137160</xdr:colOff>
      <xdr:row>23</xdr:row>
      <xdr:rowOff>30480</xdr:rowOff>
    </xdr:from>
    <xdr:to>
      <xdr:col>11</xdr:col>
      <xdr:colOff>83820</xdr:colOff>
      <xdr:row>25</xdr:row>
      <xdr:rowOff>76200</xdr:rowOff>
    </xdr:to>
    <xdr:sp macro="" textlink="">
      <xdr:nvSpPr>
        <xdr:cNvPr id="19457" name="Button 1">
          <a:extLst>
            <a:ext uri="{63B3BB69-23CF-44E3-9099-C40C66FF867C}">
              <a14:compatExt xmlns:a14="http://schemas.microsoft.com/office/drawing/2010/main" spid="_x0000_s8193"/>
            </a:ext>
            <a:ext uri="{FF2B5EF4-FFF2-40B4-BE49-F238E27FC236}">
              <a16:creationId xmlns:a16="http://schemas.microsoft.com/office/drawing/2014/main" id="{0AAF717E-70F4-4078-B417-92CE8B0C75A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30.xml><?xml version="1.0" encoding="utf-8"?>
<xdr:wsDr xmlns:xdr="http://purl.oclc.org/ooxml/drawingml/spreadsheetDrawing" xmlns:a="http://purl.oclc.org/ooxml/drawingml/main">
  <xdr:twoCellAnchor>
    <xdr:from>
      <xdr:col>11</xdr:col>
      <xdr:colOff>419100</xdr:colOff>
      <xdr:row>47</xdr:row>
      <xdr:rowOff>68580</xdr:rowOff>
    </xdr:from>
    <xdr:to>
      <xdr:col>14</xdr:col>
      <xdr:colOff>182880</xdr:colOff>
      <xdr:row>49</xdr:row>
      <xdr:rowOff>121920</xdr:rowOff>
    </xdr:to>
    <xdr:sp macro="" textlink="">
      <xdr:nvSpPr>
        <xdr:cNvPr id="79874" name="Button 2">
          <a:extLst>
            <a:ext uri="{63B3BB69-23CF-44E3-9099-C40C66FF867C}">
              <a14:compatExt xmlns:a14="http://schemas.microsoft.com/office/drawing/2010/main" spid="_x0000_s41986"/>
            </a:ext>
            <a:ext uri="{FF2B5EF4-FFF2-40B4-BE49-F238E27FC236}">
              <a16:creationId xmlns:a16="http://schemas.microsoft.com/office/drawing/2014/main" id="{EA6069FD-2B14-4025-A5AA-6B389694327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31.xml><?xml version="1.0" encoding="utf-8"?>
<xdr:wsDr xmlns:xdr="http://purl.oclc.org/ooxml/drawingml/spreadsheetDrawing" xmlns:a="http://purl.oclc.org/ooxml/drawingml/main">
  <xdr:twoCellAnchor>
    <xdr:from>
      <xdr:col>11</xdr:col>
      <xdr:colOff>541020</xdr:colOff>
      <xdr:row>21</xdr:row>
      <xdr:rowOff>114300</xdr:rowOff>
    </xdr:from>
    <xdr:to>
      <xdr:col>14</xdr:col>
      <xdr:colOff>914400</xdr:colOff>
      <xdr:row>23</xdr:row>
      <xdr:rowOff>137160</xdr:rowOff>
    </xdr:to>
    <xdr:sp macro="" textlink="">
      <xdr:nvSpPr>
        <xdr:cNvPr id="80897" name="Button 1">
          <a:extLst>
            <a:ext uri="{63B3BB69-23CF-44E3-9099-C40C66FF867C}">
              <a14:compatExt xmlns:a14="http://schemas.microsoft.com/office/drawing/2010/main" spid="_x0000_s43009"/>
            </a:ext>
            <a:ext uri="{FF2B5EF4-FFF2-40B4-BE49-F238E27FC236}">
              <a16:creationId xmlns:a16="http://schemas.microsoft.com/office/drawing/2014/main" id="{10D215C0-79DB-472E-BBEF-07E587B85293}"/>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45720" tIns="59436" rIns="45720" bIns="59436" anchor="ctr" upright="1"/>
        <a:lstStyle/>
        <a:p>
          <a:pPr algn="ctr" rtl="0">
            <a:defRPr sz="1000"/>
          </a:pPr>
          <a:r>
            <a:rPr lang="ja-JP" altLang="en-US" sz="1400" b="0" i="0" u="none" strike="noStrike" baseline="0%">
              <a:solidFill>
                <a:srgbClr val="000000"/>
              </a:solidFill>
              <a:latin typeface="メイリオ"/>
              <a:ea typeface="メイリオ"/>
            </a:rPr>
            <a:t>データ削除</a:t>
          </a:r>
        </a:p>
      </xdr:txBody>
    </xdr:sp>
    <xdr:clientData fPrintsWithSheet="0"/>
  </xdr:twoCellAnchor>
</xdr:wsDr>
</file>

<file path=xl/drawings/drawing32.xml><?xml version="1.0" encoding="utf-8"?>
<xdr:wsDr xmlns:xdr="http://purl.oclc.org/ooxml/drawingml/spreadsheetDrawing" xmlns:a="http://purl.oclc.org/ooxml/drawingml/main">
  <xdr:twoCellAnchor>
    <xdr:from>
      <xdr:col>12</xdr:col>
      <xdr:colOff>182880</xdr:colOff>
      <xdr:row>13</xdr:row>
      <xdr:rowOff>114300</xdr:rowOff>
    </xdr:from>
    <xdr:to>
      <xdr:col>15</xdr:col>
      <xdr:colOff>449580</xdr:colOff>
      <xdr:row>16</xdr:row>
      <xdr:rowOff>0</xdr:rowOff>
    </xdr:to>
    <xdr:sp macro="" textlink="">
      <xdr:nvSpPr>
        <xdr:cNvPr id="81921" name="Button 1">
          <a:extLst>
            <a:ext uri="{63B3BB69-23CF-44E3-9099-C40C66FF867C}">
              <a14:compatExt xmlns:a14="http://schemas.microsoft.com/office/drawing/2010/main" spid="_x0000_s44033"/>
            </a:ext>
            <a:ext uri="{FF2B5EF4-FFF2-40B4-BE49-F238E27FC236}">
              <a16:creationId xmlns:a16="http://schemas.microsoft.com/office/drawing/2014/main" id="{CDC4A121-C5F3-41E5-A643-8F566525B5C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33.xml><?xml version="1.0" encoding="utf-8"?>
<xdr:wsDr xmlns:xdr="http://purl.oclc.org/ooxml/drawingml/spreadsheetDrawing" xmlns:a="http://purl.oclc.org/ooxml/drawingml/main">
  <xdr:twoCellAnchor>
    <xdr:from>
      <xdr:col>12</xdr:col>
      <xdr:colOff>30480</xdr:colOff>
      <xdr:row>24</xdr:row>
      <xdr:rowOff>30480</xdr:rowOff>
    </xdr:from>
    <xdr:to>
      <xdr:col>15</xdr:col>
      <xdr:colOff>236220</xdr:colOff>
      <xdr:row>26</xdr:row>
      <xdr:rowOff>190500</xdr:rowOff>
    </xdr:to>
    <xdr:sp macro="" textlink="">
      <xdr:nvSpPr>
        <xdr:cNvPr id="82945" name="Button 1">
          <a:extLst>
            <a:ext uri="{63B3BB69-23CF-44E3-9099-C40C66FF867C}">
              <a14:compatExt xmlns:a14="http://schemas.microsoft.com/office/drawing/2010/main" spid="_x0000_s45057"/>
            </a:ext>
            <a:ext uri="{FF2B5EF4-FFF2-40B4-BE49-F238E27FC236}">
              <a16:creationId xmlns:a16="http://schemas.microsoft.com/office/drawing/2014/main" id="{8FA60905-1139-4A22-8F17-FE321A9744E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4864" rIns="36576" bIns="54864" anchor="ctr" upright="1"/>
        <a:lstStyle/>
        <a:p>
          <a:pPr algn="ctr" rtl="0">
            <a:defRPr sz="1000"/>
          </a:pPr>
          <a:r>
            <a:rPr lang="ja-JP" altLang="en-US" sz="1200" b="0" i="0" u="none" strike="noStrike" baseline="0%">
              <a:solidFill>
                <a:srgbClr val="000000"/>
              </a:solidFill>
              <a:latin typeface="メイリオ"/>
              <a:ea typeface="メイリオ"/>
            </a:rPr>
            <a:t>データ削除</a:t>
          </a:r>
        </a:p>
      </xdr:txBody>
    </xdr:sp>
    <xdr:clientData fPrintsWithSheet="0"/>
  </xdr:twoCellAnchor>
</xdr:wsDr>
</file>

<file path=xl/drawings/drawing34.xml><?xml version="1.0" encoding="utf-8"?>
<xdr:wsDr xmlns:xdr="http://purl.oclc.org/ooxml/drawingml/spreadsheetDrawing" xmlns:a="http://purl.oclc.org/ooxml/drawingml/main">
  <xdr:twoCellAnchor>
    <xdr:from>
      <xdr:col>11</xdr:col>
      <xdr:colOff>495300</xdr:colOff>
      <xdr:row>21</xdr:row>
      <xdr:rowOff>220980</xdr:rowOff>
    </xdr:from>
    <xdr:to>
      <xdr:col>15</xdr:col>
      <xdr:colOff>60960</xdr:colOff>
      <xdr:row>25</xdr:row>
      <xdr:rowOff>38100</xdr:rowOff>
    </xdr:to>
    <xdr:sp macro="" textlink="">
      <xdr:nvSpPr>
        <xdr:cNvPr id="83969" name="Button 1">
          <a:extLst>
            <a:ext uri="{63B3BB69-23CF-44E3-9099-C40C66FF867C}">
              <a14:compatExt xmlns:a14="http://schemas.microsoft.com/office/drawing/2010/main" spid="_x0000_s46081"/>
            </a:ext>
            <a:ext uri="{FF2B5EF4-FFF2-40B4-BE49-F238E27FC236}">
              <a16:creationId xmlns:a16="http://schemas.microsoft.com/office/drawing/2014/main" id="{9BE43E18-BC79-4FB0-B2C8-B884C60CDBEE}"/>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45720" tIns="59436" rIns="45720" bIns="59436" anchor="ctr" upright="1"/>
        <a:lstStyle/>
        <a:p>
          <a:pPr algn="ctr" rtl="0">
            <a:defRPr sz="1000"/>
          </a:pPr>
          <a:r>
            <a:rPr lang="ja-JP" altLang="en-US" sz="1400" b="0" i="0" u="none" strike="noStrike" baseline="0%">
              <a:solidFill>
                <a:srgbClr val="000000"/>
              </a:solidFill>
              <a:latin typeface="メイリオ"/>
              <a:ea typeface="メイリオ"/>
            </a:rPr>
            <a:t>データ削除</a:t>
          </a:r>
        </a:p>
      </xdr:txBody>
    </xdr:sp>
    <xdr:clientData fPrintsWithSheet="0"/>
  </xdr:twoCellAnchor>
</xdr:wsDr>
</file>

<file path=xl/drawings/drawing35.xml><?xml version="1.0" encoding="utf-8"?>
<xdr:wsDr xmlns:xdr="http://purl.oclc.org/ooxml/drawingml/spreadsheetDrawing" xmlns:a="http://purl.oclc.org/ooxml/drawingml/main">
  <xdr:twoCellAnchor>
    <xdr:from>
      <xdr:col>11</xdr:col>
      <xdr:colOff>449580</xdr:colOff>
      <xdr:row>11</xdr:row>
      <xdr:rowOff>83820</xdr:rowOff>
    </xdr:from>
    <xdr:to>
      <xdr:col>15</xdr:col>
      <xdr:colOff>68580</xdr:colOff>
      <xdr:row>13</xdr:row>
      <xdr:rowOff>220980</xdr:rowOff>
    </xdr:to>
    <xdr:sp macro="" textlink="">
      <xdr:nvSpPr>
        <xdr:cNvPr id="84993" name="Button 1">
          <a:extLst>
            <a:ext uri="{63B3BB69-23CF-44E3-9099-C40C66FF867C}">
              <a14:compatExt xmlns:a14="http://schemas.microsoft.com/office/drawing/2010/main" spid="_x0000_s47105"/>
            </a:ext>
            <a:ext uri="{FF2B5EF4-FFF2-40B4-BE49-F238E27FC236}">
              <a16:creationId xmlns:a16="http://schemas.microsoft.com/office/drawing/2014/main" id="{678134E4-8BF1-441E-B7DF-E0289EB4105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36.xml><?xml version="1.0" encoding="utf-8"?>
<xdr:wsDr xmlns:xdr="http://purl.oclc.org/ooxml/drawingml/spreadsheetDrawing" xmlns:a="http://purl.oclc.org/ooxml/drawingml/main">
  <xdr:twoCellAnchor>
    <xdr:from>
      <xdr:col>12</xdr:col>
      <xdr:colOff>121920</xdr:colOff>
      <xdr:row>45</xdr:row>
      <xdr:rowOff>213360</xdr:rowOff>
    </xdr:from>
    <xdr:to>
      <xdr:col>15</xdr:col>
      <xdr:colOff>335280</xdr:colOff>
      <xdr:row>48</xdr:row>
      <xdr:rowOff>106680</xdr:rowOff>
    </xdr:to>
    <xdr:sp macro="" textlink="">
      <xdr:nvSpPr>
        <xdr:cNvPr id="86018" name="Button 2">
          <a:extLst>
            <a:ext uri="{63B3BB69-23CF-44E3-9099-C40C66FF867C}">
              <a14:compatExt xmlns:a14="http://schemas.microsoft.com/office/drawing/2010/main" spid="_x0000_s57346"/>
            </a:ext>
            <a:ext uri="{FF2B5EF4-FFF2-40B4-BE49-F238E27FC236}">
              <a16:creationId xmlns:a16="http://schemas.microsoft.com/office/drawing/2014/main" id="{98118ECB-B7ED-453F-B8A0-28AEA0418D35}"/>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0000"/>
              </a:solidFill>
              <a:latin typeface="メイリオ"/>
              <a:ea typeface="メイリオ"/>
            </a:rPr>
            <a:t>データ削除</a:t>
          </a:r>
        </a:p>
      </xdr:txBody>
    </xdr:sp>
    <xdr:clientData fPrintsWithSheet="0"/>
  </xdr:twoCellAnchor>
</xdr:wsDr>
</file>

<file path=xl/drawings/drawing37.xml><?xml version="1.0" encoding="utf-8"?>
<xdr:wsDr xmlns:xdr="http://purl.oclc.org/ooxml/drawingml/spreadsheetDrawing" xmlns:a="http://purl.oclc.org/ooxml/drawingml/main">
  <xdr:twoCellAnchor>
    <xdr:from>
      <xdr:col>11</xdr:col>
      <xdr:colOff>274320</xdr:colOff>
      <xdr:row>0</xdr:row>
      <xdr:rowOff>106680</xdr:rowOff>
    </xdr:from>
    <xdr:to>
      <xdr:col>15</xdr:col>
      <xdr:colOff>464820</xdr:colOff>
      <xdr:row>2</xdr:row>
      <xdr:rowOff>99060</xdr:rowOff>
    </xdr:to>
    <xdr:sp macro="" textlink="">
      <xdr:nvSpPr>
        <xdr:cNvPr id="87041" name="Button 1">
          <a:extLst>
            <a:ext uri="{63B3BB69-23CF-44E3-9099-C40C66FF867C}">
              <a14:compatExt xmlns:a14="http://schemas.microsoft.com/office/drawing/2010/main" spid="_x0000_s49153"/>
            </a:ext>
            <a:ext uri="{FF2B5EF4-FFF2-40B4-BE49-F238E27FC236}">
              <a16:creationId xmlns:a16="http://schemas.microsoft.com/office/drawing/2014/main" id="{E02055BF-7337-495D-BFB0-DAF549520122}"/>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4864" rIns="36576" bIns="54864" anchor="ctr" upright="1"/>
        <a:lstStyle/>
        <a:p>
          <a:pPr algn="ctr" rtl="0">
            <a:defRPr sz="1000"/>
          </a:pPr>
          <a:r>
            <a:rPr lang="ja-JP" altLang="en-US" sz="1200" b="0" i="0" u="none" strike="noStrike" baseline="0%">
              <a:solidFill>
                <a:srgbClr val="000000"/>
              </a:solidFill>
              <a:latin typeface="メイリオ"/>
              <a:ea typeface="メイリオ"/>
            </a:rPr>
            <a:t>データ削除</a:t>
          </a:r>
        </a:p>
      </xdr:txBody>
    </xdr:sp>
    <xdr:clientData fPrintsWithSheet="0"/>
  </xdr:twoCellAnchor>
</xdr:wsDr>
</file>

<file path=xl/drawings/drawing38.xml><?xml version="1.0" encoding="utf-8"?>
<xdr:wsDr xmlns:xdr="http://purl.oclc.org/ooxml/drawingml/spreadsheetDrawing" xmlns:a="http://purl.oclc.org/ooxml/drawingml/main">
  <xdr:twoCellAnchor>
    <xdr:from>
      <xdr:col>18</xdr:col>
      <xdr:colOff>373380</xdr:colOff>
      <xdr:row>1</xdr:row>
      <xdr:rowOff>106680</xdr:rowOff>
    </xdr:from>
    <xdr:to>
      <xdr:col>22</xdr:col>
      <xdr:colOff>556260</xdr:colOff>
      <xdr:row>3</xdr:row>
      <xdr:rowOff>106680</xdr:rowOff>
    </xdr:to>
    <xdr:sp macro="" textlink="">
      <xdr:nvSpPr>
        <xdr:cNvPr id="88066" name="Button 2">
          <a:extLst>
            <a:ext uri="{63B3BB69-23CF-44E3-9099-C40C66FF867C}">
              <a14:compatExt xmlns:a14="http://schemas.microsoft.com/office/drawing/2010/main" spid="_x0000_s58370"/>
            </a:ext>
            <a:ext uri="{FF2B5EF4-FFF2-40B4-BE49-F238E27FC236}">
              <a16:creationId xmlns:a16="http://schemas.microsoft.com/office/drawing/2014/main" id="{DBE3D191-9AC4-4B2F-9E24-D0F147D6AD63}"/>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4864" rIns="36576" bIns="54864" anchor="ctr" upright="1"/>
        <a:lstStyle/>
        <a:p>
          <a:pPr algn="ctr" rtl="0">
            <a:defRPr sz="1000"/>
          </a:pPr>
          <a:r>
            <a:rPr lang="ja-JP" altLang="en-US" sz="1200" b="0" i="0" u="none" strike="noStrike" baseline="0%">
              <a:solidFill>
                <a:srgbClr val="000000"/>
              </a:solidFill>
              <a:latin typeface="メイリオ"/>
              <a:ea typeface="メイリオ"/>
            </a:rPr>
            <a:t>データ削除</a:t>
          </a:r>
        </a:p>
      </xdr:txBody>
    </xdr:sp>
    <xdr:clientData fPrintsWithSheet="0"/>
  </xdr:twoCellAnchor>
</xdr:wsDr>
</file>

<file path=xl/drawings/drawing39.xml><?xml version="1.0" encoding="utf-8"?>
<xdr:wsDr xmlns:xdr="http://purl.oclc.org/ooxml/drawingml/spreadsheetDrawing" xmlns:a="http://purl.oclc.org/ooxml/drawingml/main">
  <xdr:twoCellAnchor>
    <xdr:from>
      <xdr:col>0</xdr:col>
      <xdr:colOff>225137</xdr:colOff>
      <xdr:row>2</xdr:row>
      <xdr:rowOff>98496</xdr:rowOff>
    </xdr:from>
    <xdr:to>
      <xdr:col>5</xdr:col>
      <xdr:colOff>129981</xdr:colOff>
      <xdr:row>19</xdr:row>
      <xdr:rowOff>144809</xdr:rowOff>
    </xdr:to>
    <xdr:graphicFrame macro="">
      <xdr:nvGraphicFramePr>
        <xdr:cNvPr id="2" name="グラフ 1">
          <a:extLst>
            <a:ext uri="{FF2B5EF4-FFF2-40B4-BE49-F238E27FC236}">
              <a16:creationId xmlns:a16="http://schemas.microsoft.com/office/drawing/2014/main" id="{00000000-0008-0000-2800-000002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5</xdr:col>
      <xdr:colOff>353722</xdr:colOff>
      <xdr:row>2</xdr:row>
      <xdr:rowOff>115164</xdr:rowOff>
    </xdr:from>
    <xdr:to>
      <xdr:col>10</xdr:col>
      <xdr:colOff>437159</xdr:colOff>
      <xdr:row>19</xdr:row>
      <xdr:rowOff>161477</xdr:rowOff>
    </xdr:to>
    <xdr:graphicFrame macro="">
      <xdr:nvGraphicFramePr>
        <xdr:cNvPr id="3" name="グラフ 2">
          <a:extLst>
            <a:ext uri="{FF2B5EF4-FFF2-40B4-BE49-F238E27FC236}">
              <a16:creationId xmlns:a16="http://schemas.microsoft.com/office/drawing/2014/main" id="{00000000-0008-0000-2800-000003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0</xdr:col>
      <xdr:colOff>215395</xdr:colOff>
      <xdr:row>22</xdr:row>
      <xdr:rowOff>63860</xdr:rowOff>
    </xdr:from>
    <xdr:to>
      <xdr:col>5</xdr:col>
      <xdr:colOff>120239</xdr:colOff>
      <xdr:row>40</xdr:row>
      <xdr:rowOff>43295</xdr:rowOff>
    </xdr:to>
    <xdr:graphicFrame macro="">
      <xdr:nvGraphicFramePr>
        <xdr:cNvPr id="4" name="グラフ 3">
          <a:extLst>
            <a:ext uri="{FF2B5EF4-FFF2-40B4-BE49-F238E27FC236}">
              <a16:creationId xmlns:a16="http://schemas.microsoft.com/office/drawing/2014/main" id="{00000000-0008-0000-2800-000004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5</xdr:col>
      <xdr:colOff>343980</xdr:colOff>
      <xdr:row>22</xdr:row>
      <xdr:rowOff>149800</xdr:rowOff>
    </xdr:from>
    <xdr:to>
      <xdr:col>10</xdr:col>
      <xdr:colOff>427417</xdr:colOff>
      <xdr:row>40</xdr:row>
      <xdr:rowOff>22931</xdr:rowOff>
    </xdr:to>
    <xdr:graphicFrame macro="">
      <xdr:nvGraphicFramePr>
        <xdr:cNvPr id="5" name="グラフ 4">
          <a:extLst>
            <a:ext uri="{FF2B5EF4-FFF2-40B4-BE49-F238E27FC236}">
              <a16:creationId xmlns:a16="http://schemas.microsoft.com/office/drawing/2014/main" id="{00000000-0008-0000-2800-000005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0</xdr:col>
      <xdr:colOff>214315</xdr:colOff>
      <xdr:row>0</xdr:row>
      <xdr:rowOff>83342</xdr:rowOff>
    </xdr:from>
    <xdr:to>
      <xdr:col>3</xdr:col>
      <xdr:colOff>464343</xdr:colOff>
      <xdr:row>2</xdr:row>
      <xdr:rowOff>83342</xdr:rowOff>
    </xdr:to>
    <xdr:sp macro="" textlink="">
      <xdr:nvSpPr>
        <xdr:cNvPr id="6" name="テキスト ボックス 5">
          <a:extLst>
            <a:ext uri="{FF2B5EF4-FFF2-40B4-BE49-F238E27FC236}">
              <a16:creationId xmlns:a16="http://schemas.microsoft.com/office/drawing/2014/main" id="{00000000-0008-0000-2800-000006000000}"/>
            </a:ext>
          </a:extLst>
        </xdr:cNvPr>
        <xdr:cNvSpPr txBox="1"/>
      </xdr:nvSpPr>
      <xdr:spPr>
        <a:xfrm>
          <a:off x="214315" y="83342"/>
          <a:ext cx="2135978" cy="342900"/>
        </a:xfrm>
        <a:prstGeom prst="roundRect">
          <a:avLst/>
        </a:prstGeom>
        <a:solidFill>
          <a:schemeClr val="accent3">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年齢区分　患者全体</a:t>
          </a:r>
        </a:p>
      </xdr:txBody>
    </xdr:sp>
    <xdr:clientData/>
  </xdr:twoCellAnchor>
  <xdr:twoCellAnchor>
    <xdr:from>
      <xdr:col>0</xdr:col>
      <xdr:colOff>198076</xdr:colOff>
      <xdr:row>20</xdr:row>
      <xdr:rowOff>60614</xdr:rowOff>
    </xdr:from>
    <xdr:to>
      <xdr:col>3</xdr:col>
      <xdr:colOff>448104</xdr:colOff>
      <xdr:row>22</xdr:row>
      <xdr:rowOff>60613</xdr:rowOff>
    </xdr:to>
    <xdr:sp macro="" textlink="">
      <xdr:nvSpPr>
        <xdr:cNvPr id="7" name="テキスト ボックス 6">
          <a:extLst>
            <a:ext uri="{FF2B5EF4-FFF2-40B4-BE49-F238E27FC236}">
              <a16:creationId xmlns:a16="http://schemas.microsoft.com/office/drawing/2014/main" id="{00000000-0008-0000-2800-000007000000}"/>
            </a:ext>
          </a:extLst>
        </xdr:cNvPr>
        <xdr:cNvSpPr txBox="1"/>
      </xdr:nvSpPr>
      <xdr:spPr>
        <a:xfrm>
          <a:off x="198076" y="3524250"/>
          <a:ext cx="2146369" cy="346363"/>
        </a:xfrm>
        <a:prstGeom prst="roundRect">
          <a:avLst/>
        </a:prstGeom>
        <a:solidFill>
          <a:schemeClr val="accent1">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年齢区分　一年以上</a:t>
          </a:r>
        </a:p>
      </xdr:txBody>
    </xdr:sp>
    <xdr:clientData/>
  </xdr:twoCellAnchor>
  <xdr:twoCellAnchor>
    <xdr:from>
      <xdr:col>0</xdr:col>
      <xdr:colOff>199159</xdr:colOff>
      <xdr:row>43</xdr:row>
      <xdr:rowOff>46543</xdr:rowOff>
    </xdr:from>
    <xdr:to>
      <xdr:col>5</xdr:col>
      <xdr:colOff>104003</xdr:colOff>
      <xdr:row>60</xdr:row>
      <xdr:rowOff>92856</xdr:rowOff>
    </xdr:to>
    <xdr:graphicFrame macro="">
      <xdr:nvGraphicFramePr>
        <xdr:cNvPr id="8" name="グラフ 7">
          <a:extLst>
            <a:ext uri="{FF2B5EF4-FFF2-40B4-BE49-F238E27FC236}">
              <a16:creationId xmlns:a16="http://schemas.microsoft.com/office/drawing/2014/main" id="{00000000-0008-0000-2800-000008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twoCellAnchor>
    <xdr:from>
      <xdr:col>5</xdr:col>
      <xdr:colOff>327744</xdr:colOff>
      <xdr:row>43</xdr:row>
      <xdr:rowOff>63211</xdr:rowOff>
    </xdr:from>
    <xdr:to>
      <xdr:col>10</xdr:col>
      <xdr:colOff>411181</xdr:colOff>
      <xdr:row>60</xdr:row>
      <xdr:rowOff>109524</xdr:rowOff>
    </xdr:to>
    <xdr:graphicFrame macro="">
      <xdr:nvGraphicFramePr>
        <xdr:cNvPr id="9" name="グラフ 8">
          <a:extLst>
            <a:ext uri="{FF2B5EF4-FFF2-40B4-BE49-F238E27FC236}">
              <a16:creationId xmlns:a16="http://schemas.microsoft.com/office/drawing/2014/main" id="{00000000-0008-0000-2800-000009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6"/>
        </a:graphicData>
      </a:graphic>
    </xdr:graphicFrame>
    <xdr:clientData/>
  </xdr:twoCellAnchor>
  <xdr:twoCellAnchor>
    <xdr:from>
      <xdr:col>0</xdr:col>
      <xdr:colOff>190500</xdr:colOff>
      <xdr:row>41</xdr:row>
      <xdr:rowOff>51955</xdr:rowOff>
    </xdr:from>
    <xdr:to>
      <xdr:col>3</xdr:col>
      <xdr:colOff>440528</xdr:colOff>
      <xdr:row>43</xdr:row>
      <xdr:rowOff>51955</xdr:rowOff>
    </xdr:to>
    <xdr:sp macro="" textlink="">
      <xdr:nvSpPr>
        <xdr:cNvPr id="10" name="テキスト ボックス 9">
          <a:extLst>
            <a:ext uri="{FF2B5EF4-FFF2-40B4-BE49-F238E27FC236}">
              <a16:creationId xmlns:a16="http://schemas.microsoft.com/office/drawing/2014/main" id="{00000000-0008-0000-2800-00000A000000}"/>
            </a:ext>
          </a:extLst>
        </xdr:cNvPr>
        <xdr:cNvSpPr txBox="1"/>
      </xdr:nvSpPr>
      <xdr:spPr>
        <a:xfrm>
          <a:off x="190500" y="7152410"/>
          <a:ext cx="2146369" cy="346363"/>
        </a:xfrm>
        <a:prstGeom prst="roundRect">
          <a:avLst/>
        </a:prstGeom>
        <a:solidFill>
          <a:srgbClr val="FAFDDB"/>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年齢区分　</a:t>
          </a:r>
          <a:r>
            <a:rPr kumimoji="1" lang="en-US" altLang="ja-JP" sz="1400" b="1">
              <a:latin typeface="メイリオ" panose="020B0604030504040204" pitchFamily="50" charset="-128"/>
              <a:ea typeface="メイリオ" panose="020B0604030504040204" pitchFamily="50" charset="-128"/>
            </a:rPr>
            <a:t>65</a:t>
          </a:r>
          <a:r>
            <a:rPr kumimoji="1" lang="ja-JP" altLang="en-US" sz="1400" b="1">
              <a:latin typeface="メイリオ" panose="020B0604030504040204" pitchFamily="50" charset="-128"/>
              <a:ea typeface="メイリオ" panose="020B0604030504040204" pitchFamily="50" charset="-128"/>
            </a:rPr>
            <a:t>歳以上</a:t>
          </a:r>
        </a:p>
      </xdr:txBody>
    </xdr:sp>
    <xdr:clientData/>
  </xdr:twoCellAnchor>
</xdr:wsDr>
</file>

<file path=xl/drawings/drawing4.xml><?xml version="1.0" encoding="utf-8"?>
<xdr:wsDr xmlns:xdr="http://purl.oclc.org/ooxml/drawingml/spreadsheetDrawing" xmlns:a="http://purl.oclc.org/ooxml/drawingml/main">
  <xdr:twoCellAnchor>
    <xdr:from>
      <xdr:col>17</xdr:col>
      <xdr:colOff>563880</xdr:colOff>
      <xdr:row>2</xdr:row>
      <xdr:rowOff>220980</xdr:rowOff>
    </xdr:from>
    <xdr:to>
      <xdr:col>20</xdr:col>
      <xdr:colOff>335280</xdr:colOff>
      <xdr:row>4</xdr:row>
      <xdr:rowOff>182880</xdr:rowOff>
    </xdr:to>
    <xdr:sp macro="" textlink="">
      <xdr:nvSpPr>
        <xdr:cNvPr id="20481" name="Button 1">
          <a:extLst>
            <a:ext uri="{63B3BB69-23CF-44E3-9099-C40C66FF867C}">
              <a14:compatExt xmlns:a14="http://schemas.microsoft.com/office/drawing/2010/main" spid="_x0000_s9217"/>
            </a:ext>
            <a:ext uri="{FF2B5EF4-FFF2-40B4-BE49-F238E27FC236}">
              <a16:creationId xmlns:a16="http://schemas.microsoft.com/office/drawing/2014/main" id="{F234B0E3-7414-4CEE-88FD-47F96A6105B4}"/>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40.xml><?xml version="1.0" encoding="utf-8"?>
<xdr:wsDr xmlns:xdr="http://purl.oclc.org/ooxml/drawingml/spreadsheetDrawing" xmlns:a="http://purl.oclc.org/ooxml/drawingml/main">
  <xdr:twoCellAnchor>
    <xdr:from>
      <xdr:col>0</xdr:col>
      <xdr:colOff>225137</xdr:colOff>
      <xdr:row>2</xdr:row>
      <xdr:rowOff>98496</xdr:rowOff>
    </xdr:from>
    <xdr:to>
      <xdr:col>5</xdr:col>
      <xdr:colOff>129981</xdr:colOff>
      <xdr:row>19</xdr:row>
      <xdr:rowOff>144809</xdr:rowOff>
    </xdr:to>
    <xdr:graphicFrame macro="">
      <xdr:nvGraphicFramePr>
        <xdr:cNvPr id="2" name="グラフ 1">
          <a:extLst>
            <a:ext uri="{FF2B5EF4-FFF2-40B4-BE49-F238E27FC236}">
              <a16:creationId xmlns:a16="http://schemas.microsoft.com/office/drawing/2014/main" id="{00000000-0008-0000-2900-000002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5</xdr:col>
      <xdr:colOff>353722</xdr:colOff>
      <xdr:row>2</xdr:row>
      <xdr:rowOff>115164</xdr:rowOff>
    </xdr:from>
    <xdr:to>
      <xdr:col>10</xdr:col>
      <xdr:colOff>437159</xdr:colOff>
      <xdr:row>19</xdr:row>
      <xdr:rowOff>161477</xdr:rowOff>
    </xdr:to>
    <xdr:graphicFrame macro="">
      <xdr:nvGraphicFramePr>
        <xdr:cNvPr id="3" name="グラフ 2">
          <a:extLst>
            <a:ext uri="{FF2B5EF4-FFF2-40B4-BE49-F238E27FC236}">
              <a16:creationId xmlns:a16="http://schemas.microsoft.com/office/drawing/2014/main" id="{00000000-0008-0000-2900-000003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0</xdr:col>
      <xdr:colOff>215395</xdr:colOff>
      <xdr:row>22</xdr:row>
      <xdr:rowOff>63860</xdr:rowOff>
    </xdr:from>
    <xdr:to>
      <xdr:col>5</xdr:col>
      <xdr:colOff>120239</xdr:colOff>
      <xdr:row>39</xdr:row>
      <xdr:rowOff>110173</xdr:rowOff>
    </xdr:to>
    <xdr:graphicFrame macro="">
      <xdr:nvGraphicFramePr>
        <xdr:cNvPr id="4" name="グラフ 3">
          <a:extLst>
            <a:ext uri="{FF2B5EF4-FFF2-40B4-BE49-F238E27FC236}">
              <a16:creationId xmlns:a16="http://schemas.microsoft.com/office/drawing/2014/main" id="{00000000-0008-0000-2900-000004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0</xdr:col>
      <xdr:colOff>214315</xdr:colOff>
      <xdr:row>0</xdr:row>
      <xdr:rowOff>83342</xdr:rowOff>
    </xdr:from>
    <xdr:to>
      <xdr:col>3</xdr:col>
      <xdr:colOff>464343</xdr:colOff>
      <xdr:row>2</xdr:row>
      <xdr:rowOff>83342</xdr:rowOff>
    </xdr:to>
    <xdr:sp macro="" textlink="">
      <xdr:nvSpPr>
        <xdr:cNvPr id="6" name="テキスト ボックス 5">
          <a:extLst>
            <a:ext uri="{FF2B5EF4-FFF2-40B4-BE49-F238E27FC236}">
              <a16:creationId xmlns:a16="http://schemas.microsoft.com/office/drawing/2014/main" id="{00000000-0008-0000-2900-000006000000}"/>
            </a:ext>
          </a:extLst>
        </xdr:cNvPr>
        <xdr:cNvSpPr txBox="1"/>
      </xdr:nvSpPr>
      <xdr:spPr>
        <a:xfrm>
          <a:off x="214315" y="83342"/>
          <a:ext cx="2135978" cy="342900"/>
        </a:xfrm>
        <a:prstGeom prst="roundRect">
          <a:avLst/>
        </a:prstGeom>
        <a:solidFill>
          <a:schemeClr val="accent3">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疾患別　患者全体</a:t>
          </a:r>
        </a:p>
      </xdr:txBody>
    </xdr:sp>
    <xdr:clientData/>
  </xdr:twoCellAnchor>
  <xdr:twoCellAnchor>
    <xdr:from>
      <xdr:col>0</xdr:col>
      <xdr:colOff>198076</xdr:colOff>
      <xdr:row>20</xdr:row>
      <xdr:rowOff>60614</xdr:rowOff>
    </xdr:from>
    <xdr:to>
      <xdr:col>3</xdr:col>
      <xdr:colOff>448104</xdr:colOff>
      <xdr:row>22</xdr:row>
      <xdr:rowOff>60613</xdr:rowOff>
    </xdr:to>
    <xdr:sp macro="" textlink="">
      <xdr:nvSpPr>
        <xdr:cNvPr id="7" name="テキスト ボックス 6">
          <a:extLst>
            <a:ext uri="{FF2B5EF4-FFF2-40B4-BE49-F238E27FC236}">
              <a16:creationId xmlns:a16="http://schemas.microsoft.com/office/drawing/2014/main" id="{00000000-0008-0000-2900-000007000000}"/>
            </a:ext>
          </a:extLst>
        </xdr:cNvPr>
        <xdr:cNvSpPr txBox="1"/>
      </xdr:nvSpPr>
      <xdr:spPr>
        <a:xfrm>
          <a:off x="198076" y="3489614"/>
          <a:ext cx="2135978" cy="342899"/>
        </a:xfrm>
        <a:prstGeom prst="roundRect">
          <a:avLst/>
        </a:prstGeom>
        <a:solidFill>
          <a:schemeClr val="accent1">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疾患別　一年以上</a:t>
          </a:r>
        </a:p>
      </xdr:txBody>
    </xdr:sp>
    <xdr:clientData/>
  </xdr:twoCellAnchor>
  <xdr:twoCellAnchor>
    <xdr:from>
      <xdr:col>0</xdr:col>
      <xdr:colOff>199159</xdr:colOff>
      <xdr:row>43</xdr:row>
      <xdr:rowOff>46543</xdr:rowOff>
    </xdr:from>
    <xdr:to>
      <xdr:col>5</xdr:col>
      <xdr:colOff>104003</xdr:colOff>
      <xdr:row>60</xdr:row>
      <xdr:rowOff>92856</xdr:rowOff>
    </xdr:to>
    <xdr:graphicFrame macro="">
      <xdr:nvGraphicFramePr>
        <xdr:cNvPr id="8" name="グラフ 7">
          <a:extLst>
            <a:ext uri="{FF2B5EF4-FFF2-40B4-BE49-F238E27FC236}">
              <a16:creationId xmlns:a16="http://schemas.microsoft.com/office/drawing/2014/main" id="{00000000-0008-0000-2900-000008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5</xdr:col>
      <xdr:colOff>327744</xdr:colOff>
      <xdr:row>43</xdr:row>
      <xdr:rowOff>63211</xdr:rowOff>
    </xdr:from>
    <xdr:to>
      <xdr:col>10</xdr:col>
      <xdr:colOff>411181</xdr:colOff>
      <xdr:row>60</xdr:row>
      <xdr:rowOff>109524</xdr:rowOff>
    </xdr:to>
    <xdr:graphicFrame macro="">
      <xdr:nvGraphicFramePr>
        <xdr:cNvPr id="9" name="グラフ 8">
          <a:extLst>
            <a:ext uri="{FF2B5EF4-FFF2-40B4-BE49-F238E27FC236}">
              <a16:creationId xmlns:a16="http://schemas.microsoft.com/office/drawing/2014/main" id="{00000000-0008-0000-2900-000009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twoCellAnchor>
    <xdr:from>
      <xdr:col>0</xdr:col>
      <xdr:colOff>190500</xdr:colOff>
      <xdr:row>41</xdr:row>
      <xdr:rowOff>51955</xdr:rowOff>
    </xdr:from>
    <xdr:to>
      <xdr:col>3</xdr:col>
      <xdr:colOff>440528</xdr:colOff>
      <xdr:row>43</xdr:row>
      <xdr:rowOff>51955</xdr:rowOff>
    </xdr:to>
    <xdr:sp macro="" textlink="">
      <xdr:nvSpPr>
        <xdr:cNvPr id="10" name="テキスト ボックス 9">
          <a:extLst>
            <a:ext uri="{FF2B5EF4-FFF2-40B4-BE49-F238E27FC236}">
              <a16:creationId xmlns:a16="http://schemas.microsoft.com/office/drawing/2014/main" id="{00000000-0008-0000-2900-00000A000000}"/>
            </a:ext>
          </a:extLst>
        </xdr:cNvPr>
        <xdr:cNvSpPr txBox="1"/>
      </xdr:nvSpPr>
      <xdr:spPr>
        <a:xfrm>
          <a:off x="190500" y="7081405"/>
          <a:ext cx="2135978" cy="342900"/>
        </a:xfrm>
        <a:prstGeom prst="roundRect">
          <a:avLst/>
        </a:prstGeom>
        <a:solidFill>
          <a:srgbClr val="FAFDDB"/>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疾患別　</a:t>
          </a:r>
          <a:r>
            <a:rPr kumimoji="1" lang="en-US" altLang="ja-JP" sz="1400" b="1">
              <a:latin typeface="メイリオ" panose="020B0604030504040204" pitchFamily="50" charset="-128"/>
              <a:ea typeface="メイリオ" panose="020B0604030504040204" pitchFamily="50" charset="-128"/>
            </a:rPr>
            <a:t>65</a:t>
          </a:r>
          <a:r>
            <a:rPr kumimoji="1" lang="ja-JP" altLang="en-US" sz="1400" b="1">
              <a:latin typeface="メイリオ" panose="020B0604030504040204" pitchFamily="50" charset="-128"/>
              <a:ea typeface="メイリオ" panose="020B0604030504040204" pitchFamily="50" charset="-128"/>
            </a:rPr>
            <a:t>歳以上</a:t>
          </a:r>
        </a:p>
      </xdr:txBody>
    </xdr:sp>
    <xdr:clientData/>
  </xdr:twoCellAnchor>
  <xdr:twoCellAnchor>
    <xdr:from>
      <xdr:col>5</xdr:col>
      <xdr:colOff>337705</xdr:colOff>
      <xdr:row>22</xdr:row>
      <xdr:rowOff>69273</xdr:rowOff>
    </xdr:from>
    <xdr:to>
      <xdr:col>10</xdr:col>
      <xdr:colOff>415730</xdr:colOff>
      <xdr:row>39</xdr:row>
      <xdr:rowOff>115586</xdr:rowOff>
    </xdr:to>
    <xdr:graphicFrame macro="">
      <xdr:nvGraphicFramePr>
        <xdr:cNvPr id="11" name="グラフ 10">
          <a:extLst>
            <a:ext uri="{FF2B5EF4-FFF2-40B4-BE49-F238E27FC236}">
              <a16:creationId xmlns:a16="http://schemas.microsoft.com/office/drawing/2014/main" id="{00000000-0008-0000-2900-00000B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6"/>
        </a:graphicData>
      </a:graphic>
    </xdr:graphicFrame>
    <xdr:clientData/>
  </xdr:twoCellAnchor>
</xdr:wsDr>
</file>

<file path=xl/drawings/drawing41.xml><?xml version="1.0" encoding="utf-8"?>
<xdr:wsDr xmlns:xdr="http://purl.oclc.org/ooxml/drawingml/spreadsheetDrawing" xmlns:a="http://purl.oclc.org/ooxml/drawingml/main">
  <xdr:twoCellAnchor>
    <xdr:from>
      <xdr:col>0</xdr:col>
      <xdr:colOff>284786</xdr:colOff>
      <xdr:row>2</xdr:row>
      <xdr:rowOff>167790</xdr:rowOff>
    </xdr:from>
    <xdr:to>
      <xdr:col>9</xdr:col>
      <xdr:colOff>287786</xdr:colOff>
      <xdr:row>20</xdr:row>
      <xdr:rowOff>106290</xdr:rowOff>
    </xdr:to>
    <xdr:graphicFrame macro="">
      <xdr:nvGraphicFramePr>
        <xdr:cNvPr id="11" name="グラフ 10">
          <a:extLst>
            <a:ext uri="{FF2B5EF4-FFF2-40B4-BE49-F238E27FC236}">
              <a16:creationId xmlns:a16="http://schemas.microsoft.com/office/drawing/2014/main" id="{00000000-0008-0000-2A00-00000B000000}"/>
            </a:ext>
          </a:extLst>
        </xdr:cNvPr>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0</xdr:col>
      <xdr:colOff>259288</xdr:colOff>
      <xdr:row>21</xdr:row>
      <xdr:rowOff>209259</xdr:rowOff>
    </xdr:from>
    <xdr:to>
      <xdr:col>9</xdr:col>
      <xdr:colOff>262288</xdr:colOff>
      <xdr:row>39</xdr:row>
      <xdr:rowOff>147759</xdr:rowOff>
    </xdr:to>
    <xdr:graphicFrame macro="">
      <xdr:nvGraphicFramePr>
        <xdr:cNvPr id="12" name="グラフ 11">
          <a:extLst>
            <a:ext uri="{FF2B5EF4-FFF2-40B4-BE49-F238E27FC236}">
              <a16:creationId xmlns:a16="http://schemas.microsoft.com/office/drawing/2014/main" id="{00000000-0008-0000-2A00-00000C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0</xdr:col>
      <xdr:colOff>103909</xdr:colOff>
      <xdr:row>0</xdr:row>
      <xdr:rowOff>138545</xdr:rowOff>
    </xdr:from>
    <xdr:to>
      <xdr:col>3</xdr:col>
      <xdr:colOff>250028</xdr:colOff>
      <xdr:row>1</xdr:row>
      <xdr:rowOff>242454</xdr:rowOff>
    </xdr:to>
    <xdr:sp macro="" textlink="">
      <xdr:nvSpPr>
        <xdr:cNvPr id="13" name="テキスト ボックス 12">
          <a:extLst>
            <a:ext uri="{FF2B5EF4-FFF2-40B4-BE49-F238E27FC236}">
              <a16:creationId xmlns:a16="http://schemas.microsoft.com/office/drawing/2014/main" id="{00000000-0008-0000-2A00-00000D000000}"/>
            </a:ext>
          </a:extLst>
        </xdr:cNvPr>
        <xdr:cNvSpPr txBox="1"/>
      </xdr:nvSpPr>
      <xdr:spPr>
        <a:xfrm>
          <a:off x="103909" y="138545"/>
          <a:ext cx="2146369" cy="346364"/>
        </a:xfrm>
        <a:prstGeom prst="roundRect">
          <a:avLst/>
        </a:prstGeom>
        <a:solidFill>
          <a:schemeClr val="accent5">
            <a:lumMod val="60%"/>
            <a:lumOff val="4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在院期間</a:t>
          </a:r>
        </a:p>
      </xdr:txBody>
    </xdr:sp>
    <xdr:clientData/>
  </xdr:twoCellAnchor>
</xdr:wsDr>
</file>

<file path=xl/drawings/drawing42.xml><?xml version="1.0" encoding="utf-8"?>
<xdr:wsDr xmlns:xdr="http://purl.oclc.org/ooxml/drawingml/spreadsheetDrawing" xmlns:a="http://purl.oclc.org/ooxml/drawingml/main">
  <xdr:twoCellAnchor>
    <xdr:from>
      <xdr:col>0</xdr:col>
      <xdr:colOff>312303</xdr:colOff>
      <xdr:row>3</xdr:row>
      <xdr:rowOff>6922</xdr:rowOff>
    </xdr:from>
    <xdr:to>
      <xdr:col>9</xdr:col>
      <xdr:colOff>277203</xdr:colOff>
      <xdr:row>21</xdr:row>
      <xdr:rowOff>40672</xdr:rowOff>
    </xdr:to>
    <xdr:graphicFrame macro="">
      <xdr:nvGraphicFramePr>
        <xdr:cNvPr id="2" name="グラフ 1">
          <a:extLst>
            <a:ext uri="{FF2B5EF4-FFF2-40B4-BE49-F238E27FC236}">
              <a16:creationId xmlns:a16="http://schemas.microsoft.com/office/drawing/2014/main" id="{00000000-0008-0000-2B00-000002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0</xdr:col>
      <xdr:colOff>307972</xdr:colOff>
      <xdr:row>21</xdr:row>
      <xdr:rowOff>221958</xdr:rowOff>
    </xdr:from>
    <xdr:to>
      <xdr:col>9</xdr:col>
      <xdr:colOff>272872</xdr:colOff>
      <xdr:row>40</xdr:row>
      <xdr:rowOff>17583</xdr:rowOff>
    </xdr:to>
    <xdr:graphicFrame macro="">
      <xdr:nvGraphicFramePr>
        <xdr:cNvPr id="3" name="グラフ 2">
          <a:extLst>
            <a:ext uri="{FF2B5EF4-FFF2-40B4-BE49-F238E27FC236}">
              <a16:creationId xmlns:a16="http://schemas.microsoft.com/office/drawing/2014/main" id="{00000000-0008-0000-2B00-000003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0</xdr:col>
      <xdr:colOff>103909</xdr:colOff>
      <xdr:row>0</xdr:row>
      <xdr:rowOff>138545</xdr:rowOff>
    </xdr:from>
    <xdr:to>
      <xdr:col>3</xdr:col>
      <xdr:colOff>250028</xdr:colOff>
      <xdr:row>1</xdr:row>
      <xdr:rowOff>242454</xdr:rowOff>
    </xdr:to>
    <xdr:sp macro="" textlink="">
      <xdr:nvSpPr>
        <xdr:cNvPr id="4" name="テキスト ボックス 3">
          <a:extLst>
            <a:ext uri="{FF2B5EF4-FFF2-40B4-BE49-F238E27FC236}">
              <a16:creationId xmlns:a16="http://schemas.microsoft.com/office/drawing/2014/main" id="{00000000-0008-0000-2B00-000004000000}"/>
            </a:ext>
          </a:extLst>
        </xdr:cNvPr>
        <xdr:cNvSpPr txBox="1"/>
      </xdr:nvSpPr>
      <xdr:spPr>
        <a:xfrm>
          <a:off x="103909" y="138545"/>
          <a:ext cx="2317819" cy="342034"/>
        </a:xfrm>
        <a:prstGeom prst="roundRect">
          <a:avLst/>
        </a:prstGeom>
        <a:solidFill>
          <a:schemeClr val="accent5">
            <a:lumMod val="60%"/>
            <a:lumOff val="4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latin typeface="メイリオ" panose="020B0604030504040204" pitchFamily="50" charset="-128"/>
              <a:ea typeface="メイリオ" panose="020B0604030504040204" pitchFamily="50" charset="-128"/>
            </a:rPr>
            <a:t>在院期間</a:t>
          </a:r>
        </a:p>
      </xdr:txBody>
    </xdr:sp>
    <xdr:clientData/>
  </xdr:twoCellAnchor>
</xdr:wsDr>
</file>

<file path=xl/drawings/drawing43.xml><?xml version="1.0" encoding="utf-8"?>
<xdr:wsDr xmlns:xdr="http://purl.oclc.org/ooxml/drawingml/spreadsheetDrawing" xmlns:a="http://purl.oclc.org/ooxml/drawingml/main">
  <xdr:twoCellAnchor>
    <xdr:from>
      <xdr:col>0</xdr:col>
      <xdr:colOff>381000</xdr:colOff>
      <xdr:row>0</xdr:row>
      <xdr:rowOff>158750</xdr:rowOff>
    </xdr:from>
    <xdr:to>
      <xdr:col>2</xdr:col>
      <xdr:colOff>1797119</xdr:colOff>
      <xdr:row>0</xdr:row>
      <xdr:rowOff>988219</xdr:rowOff>
    </xdr:to>
    <xdr:sp macro="" textlink="">
      <xdr:nvSpPr>
        <xdr:cNvPr id="2" name="テキスト ボックス 1">
          <a:extLst>
            <a:ext uri="{FF2B5EF4-FFF2-40B4-BE49-F238E27FC236}">
              <a16:creationId xmlns:a16="http://schemas.microsoft.com/office/drawing/2014/main" id="{00000000-0008-0000-2C00-000002000000}"/>
            </a:ext>
          </a:extLst>
        </xdr:cNvPr>
        <xdr:cNvSpPr txBox="1"/>
      </xdr:nvSpPr>
      <xdr:spPr>
        <a:xfrm>
          <a:off x="381000" y="158750"/>
          <a:ext cx="3082994" cy="829469"/>
        </a:xfrm>
        <a:prstGeom prst="roundRect">
          <a:avLst/>
        </a:prstGeom>
        <a:solidFill>
          <a:srgbClr val="FF7C80"/>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latin typeface="メイリオ" panose="020B0604030504040204" pitchFamily="50" charset="-128"/>
              <a:ea typeface="メイリオ" panose="020B0604030504040204" pitchFamily="50" charset="-128"/>
            </a:rPr>
            <a:t>退院阻害要因</a:t>
          </a:r>
        </a:p>
      </xdr:txBody>
    </xdr:sp>
    <xdr:clientData/>
  </xdr:twoCellAnchor>
  <xdr:twoCellAnchor>
    <xdr:from>
      <xdr:col>0</xdr:col>
      <xdr:colOff>0</xdr:colOff>
      <xdr:row>15</xdr:row>
      <xdr:rowOff>476250</xdr:rowOff>
    </xdr:from>
    <xdr:to>
      <xdr:col>3</xdr:col>
      <xdr:colOff>438000</xdr:colOff>
      <xdr:row>19</xdr:row>
      <xdr:rowOff>525375</xdr:rowOff>
    </xdr:to>
    <xdr:graphicFrame macro="">
      <xdr:nvGraphicFramePr>
        <xdr:cNvPr id="5" name="グラフ 4">
          <a:extLst>
            <a:ext uri="{FF2B5EF4-FFF2-40B4-BE49-F238E27FC236}">
              <a16:creationId xmlns:a16="http://schemas.microsoft.com/office/drawing/2014/main" id="{00000000-0008-0000-2C00-000005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3</xdr:col>
      <xdr:colOff>476248</xdr:colOff>
      <xdr:row>15</xdr:row>
      <xdr:rowOff>476252</xdr:rowOff>
    </xdr:from>
    <xdr:to>
      <xdr:col>6</xdr:col>
      <xdr:colOff>451310</xdr:colOff>
      <xdr:row>19</xdr:row>
      <xdr:rowOff>525377</xdr:rowOff>
    </xdr:to>
    <xdr:graphicFrame macro="">
      <xdr:nvGraphicFramePr>
        <xdr:cNvPr id="6" name="グラフ 5">
          <a:extLst>
            <a:ext uri="{FF2B5EF4-FFF2-40B4-BE49-F238E27FC236}">
              <a16:creationId xmlns:a16="http://schemas.microsoft.com/office/drawing/2014/main" id="{00000000-0008-0000-2C00-000006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0</xdr:col>
      <xdr:colOff>0</xdr:colOff>
      <xdr:row>11</xdr:row>
      <xdr:rowOff>321469</xdr:rowOff>
    </xdr:from>
    <xdr:to>
      <xdr:col>3</xdr:col>
      <xdr:colOff>438000</xdr:colOff>
      <xdr:row>15</xdr:row>
      <xdr:rowOff>370594</xdr:rowOff>
    </xdr:to>
    <xdr:graphicFrame macro="">
      <xdr:nvGraphicFramePr>
        <xdr:cNvPr id="7" name="グラフ 6">
          <a:extLst>
            <a:ext uri="{FF2B5EF4-FFF2-40B4-BE49-F238E27FC236}">
              <a16:creationId xmlns:a16="http://schemas.microsoft.com/office/drawing/2014/main" id="{00000000-0008-0000-2C00-000007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3</xdr:col>
      <xdr:colOff>488158</xdr:colOff>
      <xdr:row>11</xdr:row>
      <xdr:rowOff>333374</xdr:rowOff>
    </xdr:from>
    <xdr:to>
      <xdr:col>6</xdr:col>
      <xdr:colOff>463220</xdr:colOff>
      <xdr:row>15</xdr:row>
      <xdr:rowOff>382499</xdr:rowOff>
    </xdr:to>
    <xdr:graphicFrame macro="">
      <xdr:nvGraphicFramePr>
        <xdr:cNvPr id="8" name="グラフ 7">
          <a:extLst>
            <a:ext uri="{FF2B5EF4-FFF2-40B4-BE49-F238E27FC236}">
              <a16:creationId xmlns:a16="http://schemas.microsoft.com/office/drawing/2014/main" id="{00000000-0008-0000-2C00-000008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2</xdr:col>
      <xdr:colOff>11908</xdr:colOff>
      <xdr:row>10</xdr:row>
      <xdr:rowOff>333375</xdr:rowOff>
    </xdr:from>
    <xdr:to>
      <xdr:col>2</xdr:col>
      <xdr:colOff>2000252</xdr:colOff>
      <xdr:row>11</xdr:row>
      <xdr:rowOff>127000</xdr:rowOff>
    </xdr:to>
    <xdr:sp macro="" textlink="">
      <xdr:nvSpPr>
        <xdr:cNvPr id="13" name="テキスト ボックス 12">
          <a:extLst>
            <a:ext uri="{FF2B5EF4-FFF2-40B4-BE49-F238E27FC236}">
              <a16:creationId xmlns:a16="http://schemas.microsoft.com/office/drawing/2014/main" id="{00000000-0008-0000-2C00-00000D000000}"/>
            </a:ext>
          </a:extLst>
        </xdr:cNvPr>
        <xdr:cNvSpPr txBox="1"/>
      </xdr:nvSpPr>
      <xdr:spPr>
        <a:xfrm>
          <a:off x="1131096" y="9346406"/>
          <a:ext cx="1988344" cy="591344"/>
        </a:xfrm>
        <a:prstGeom prst="ellipse">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latin typeface="メイリオ" panose="020B0604030504040204" pitchFamily="50" charset="-128"/>
              <a:ea typeface="メイリオ" panose="020B0604030504040204" pitchFamily="50" charset="-128"/>
            </a:rPr>
            <a:t>患者全体</a:t>
          </a:r>
        </a:p>
      </xdr:txBody>
    </xdr:sp>
    <xdr:clientData/>
  </xdr:twoCellAnchor>
  <xdr:twoCellAnchor>
    <xdr:from>
      <xdr:col>3</xdr:col>
      <xdr:colOff>735807</xdr:colOff>
      <xdr:row>10</xdr:row>
      <xdr:rowOff>390524</xdr:rowOff>
    </xdr:from>
    <xdr:to>
      <xdr:col>6</xdr:col>
      <xdr:colOff>11907</xdr:colOff>
      <xdr:row>11</xdr:row>
      <xdr:rowOff>184149</xdr:rowOff>
    </xdr:to>
    <xdr:sp macro="" textlink="">
      <xdr:nvSpPr>
        <xdr:cNvPr id="14" name="テキスト ボックス 13">
          <a:extLst>
            <a:ext uri="{FF2B5EF4-FFF2-40B4-BE49-F238E27FC236}">
              <a16:creationId xmlns:a16="http://schemas.microsoft.com/office/drawing/2014/main" id="{00000000-0008-0000-2C00-00000E000000}"/>
            </a:ext>
          </a:extLst>
        </xdr:cNvPr>
        <xdr:cNvSpPr txBox="1"/>
      </xdr:nvSpPr>
      <xdr:spPr>
        <a:xfrm>
          <a:off x="4545807" y="9403555"/>
          <a:ext cx="3729038" cy="591344"/>
        </a:xfrm>
        <a:prstGeom prst="ellipse">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latin typeface="メイリオ" panose="020B0604030504040204" pitchFamily="50" charset="-128"/>
              <a:ea typeface="メイリオ" panose="020B0604030504040204" pitchFamily="50" charset="-128"/>
            </a:rPr>
            <a:t>1</a:t>
          </a:r>
          <a:r>
            <a:rPr kumimoji="1" lang="ja-JP" altLang="en-US" sz="1600" b="1">
              <a:latin typeface="メイリオ" panose="020B0604030504040204" pitchFamily="50" charset="-128"/>
              <a:ea typeface="メイリオ" panose="020B0604030504040204" pitchFamily="50" charset="-128"/>
            </a:rPr>
            <a:t>年以上　寛解・院内寛解</a:t>
          </a:r>
        </a:p>
      </xdr:txBody>
    </xdr:sp>
    <xdr:clientData/>
  </xdr:twoCellAnchor>
</xdr:wsDr>
</file>

<file path=xl/drawings/drawing44.xml><?xml version="1.0" encoding="utf-8"?>
<xdr:wsDr xmlns:xdr="http://purl.oclc.org/ooxml/drawingml/spreadsheetDrawing" xmlns:a="http://purl.oclc.org/ooxml/drawingml/main">
  <xdr:twoCellAnchor>
    <xdr:from>
      <xdr:col>0</xdr:col>
      <xdr:colOff>328083</xdr:colOff>
      <xdr:row>0</xdr:row>
      <xdr:rowOff>179916</xdr:rowOff>
    </xdr:from>
    <xdr:to>
      <xdr:col>8</xdr:col>
      <xdr:colOff>436750</xdr:colOff>
      <xdr:row>42</xdr:row>
      <xdr:rowOff>120916</xdr:rowOff>
    </xdr:to>
    <xdr:graphicFrame macro="">
      <xdr:nvGraphicFramePr>
        <xdr:cNvPr id="2" name="グラフ 1">
          <a:extLst>
            <a:ext uri="{FF2B5EF4-FFF2-40B4-BE49-F238E27FC236}">
              <a16:creationId xmlns:a16="http://schemas.microsoft.com/office/drawing/2014/main" id="{00000000-0008-0000-2D00-000002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0</xdr:col>
      <xdr:colOff>317500</xdr:colOff>
      <xdr:row>44</xdr:row>
      <xdr:rowOff>222251</xdr:rowOff>
    </xdr:from>
    <xdr:to>
      <xdr:col>8</xdr:col>
      <xdr:colOff>426167</xdr:colOff>
      <xdr:row>86</xdr:row>
      <xdr:rowOff>163251</xdr:rowOff>
    </xdr:to>
    <xdr:graphicFrame macro="">
      <xdr:nvGraphicFramePr>
        <xdr:cNvPr id="3" name="グラフ 2">
          <a:extLst>
            <a:ext uri="{FF2B5EF4-FFF2-40B4-BE49-F238E27FC236}">
              <a16:creationId xmlns:a16="http://schemas.microsoft.com/office/drawing/2014/main" id="{00000000-0008-0000-2D00-000003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wsDr>
</file>

<file path=xl/drawings/drawing45.xml><?xml version="1.0" encoding="utf-8"?>
<xdr:wsDr xmlns:xdr="http://purl.oclc.org/ooxml/drawingml/spreadsheetDrawing" xmlns:a="http://purl.oclc.org/ooxml/drawingml/main">
  <xdr:twoCellAnchor>
    <xdr:from>
      <xdr:col>0</xdr:col>
      <xdr:colOff>328083</xdr:colOff>
      <xdr:row>0</xdr:row>
      <xdr:rowOff>179916</xdr:rowOff>
    </xdr:from>
    <xdr:to>
      <xdr:col>8</xdr:col>
      <xdr:colOff>436750</xdr:colOff>
      <xdr:row>42</xdr:row>
      <xdr:rowOff>120916</xdr:rowOff>
    </xdr:to>
    <xdr:graphicFrame macro="">
      <xdr:nvGraphicFramePr>
        <xdr:cNvPr id="2" name="グラフ 1">
          <a:extLst>
            <a:ext uri="{FF2B5EF4-FFF2-40B4-BE49-F238E27FC236}">
              <a16:creationId xmlns:a16="http://schemas.microsoft.com/office/drawing/2014/main" id="{00000000-0008-0000-2E00-000002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0</xdr:col>
      <xdr:colOff>317500</xdr:colOff>
      <xdr:row>44</xdr:row>
      <xdr:rowOff>222251</xdr:rowOff>
    </xdr:from>
    <xdr:to>
      <xdr:col>8</xdr:col>
      <xdr:colOff>426167</xdr:colOff>
      <xdr:row>86</xdr:row>
      <xdr:rowOff>163251</xdr:rowOff>
    </xdr:to>
    <xdr:graphicFrame macro="">
      <xdr:nvGraphicFramePr>
        <xdr:cNvPr id="3" name="グラフ 2">
          <a:extLst>
            <a:ext uri="{FF2B5EF4-FFF2-40B4-BE49-F238E27FC236}">
              <a16:creationId xmlns:a16="http://schemas.microsoft.com/office/drawing/2014/main" id="{00000000-0008-0000-2E00-000003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wsDr>
</file>

<file path=xl/drawings/drawing5.xml><?xml version="1.0" encoding="utf-8"?>
<xdr:wsDr xmlns:xdr="http://purl.oclc.org/ooxml/drawingml/spreadsheetDrawing" xmlns:a="http://purl.oclc.org/ooxml/drawingml/main">
  <xdr:twoCellAnchor>
    <xdr:from>
      <xdr:col>4</xdr:col>
      <xdr:colOff>60960</xdr:colOff>
      <xdr:row>1</xdr:row>
      <xdr:rowOff>190500</xdr:rowOff>
    </xdr:from>
    <xdr:to>
      <xdr:col>5</xdr:col>
      <xdr:colOff>464820</xdr:colOff>
      <xdr:row>3</xdr:row>
      <xdr:rowOff>144780</xdr:rowOff>
    </xdr:to>
    <xdr:sp macro="" textlink="">
      <xdr:nvSpPr>
        <xdr:cNvPr id="21505" name="Button 1">
          <a:extLst>
            <a:ext uri="{63B3BB69-23CF-44E3-9099-C40C66FF867C}">
              <a14:compatExt xmlns:a14="http://schemas.microsoft.com/office/drawing/2010/main" spid="_x0000_s10241"/>
            </a:ext>
            <a:ext uri="{FF2B5EF4-FFF2-40B4-BE49-F238E27FC236}">
              <a16:creationId xmlns:a16="http://schemas.microsoft.com/office/drawing/2014/main" id="{37FFB806-1CAD-436B-9937-94D9700422B3}"/>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6.xml><?xml version="1.0" encoding="utf-8"?>
<xdr:wsDr xmlns:xdr="http://purl.oclc.org/ooxml/drawingml/spreadsheetDrawing" xmlns:a="http://purl.oclc.org/ooxml/drawingml/main">
  <xdr:twoCellAnchor>
    <xdr:from>
      <xdr:col>10</xdr:col>
      <xdr:colOff>297180</xdr:colOff>
      <xdr:row>4</xdr:row>
      <xdr:rowOff>7620</xdr:rowOff>
    </xdr:from>
    <xdr:to>
      <xdr:col>11</xdr:col>
      <xdr:colOff>1440180</xdr:colOff>
      <xdr:row>5</xdr:row>
      <xdr:rowOff>160020</xdr:rowOff>
    </xdr:to>
    <xdr:sp macro="" textlink="">
      <xdr:nvSpPr>
        <xdr:cNvPr id="22529" name="Button 1">
          <a:extLst>
            <a:ext uri="{63B3BB69-23CF-44E3-9099-C40C66FF867C}">
              <a14:compatExt xmlns:a14="http://schemas.microsoft.com/office/drawing/2010/main" spid="_x0000_s11265"/>
            </a:ext>
            <a:ext uri="{FF2B5EF4-FFF2-40B4-BE49-F238E27FC236}">
              <a16:creationId xmlns:a16="http://schemas.microsoft.com/office/drawing/2014/main" id="{A0EF6103-0F23-4075-B93B-0A793852A07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7.xml><?xml version="1.0" encoding="utf-8"?>
<xdr:wsDr xmlns:xdr="http://purl.oclc.org/ooxml/drawingml/spreadsheetDrawing" xmlns:a="http://purl.oclc.org/ooxml/drawingml/main">
  <xdr:twoCellAnchor>
    <xdr:from>
      <xdr:col>17</xdr:col>
      <xdr:colOff>708660</xdr:colOff>
      <xdr:row>3</xdr:row>
      <xdr:rowOff>76200</xdr:rowOff>
    </xdr:from>
    <xdr:to>
      <xdr:col>19</xdr:col>
      <xdr:colOff>160020</xdr:colOff>
      <xdr:row>5</xdr:row>
      <xdr:rowOff>114300</xdr:rowOff>
    </xdr:to>
    <xdr:sp macro="" textlink="">
      <xdr:nvSpPr>
        <xdr:cNvPr id="23553" name="Button 1">
          <a:extLst>
            <a:ext uri="{63B3BB69-23CF-44E3-9099-C40C66FF867C}">
              <a14:compatExt xmlns:a14="http://schemas.microsoft.com/office/drawing/2010/main" spid="_x0000_s12289"/>
            </a:ext>
            <a:ext uri="{FF2B5EF4-FFF2-40B4-BE49-F238E27FC236}">
              <a16:creationId xmlns:a16="http://schemas.microsoft.com/office/drawing/2014/main" id="{97D9DFD8-AB1D-4E04-8C30-07C0891B5663}"/>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8.xml><?xml version="1.0" encoding="utf-8"?>
<xdr:wsDr xmlns:xdr="http://purl.oclc.org/ooxml/drawingml/spreadsheetDrawing" xmlns:a="http://purl.oclc.org/ooxml/drawingml/main">
  <xdr:twoCellAnchor>
    <xdr:from>
      <xdr:col>9</xdr:col>
      <xdr:colOff>883920</xdr:colOff>
      <xdr:row>3</xdr:row>
      <xdr:rowOff>45720</xdr:rowOff>
    </xdr:from>
    <xdr:to>
      <xdr:col>11</xdr:col>
      <xdr:colOff>342900</xdr:colOff>
      <xdr:row>5</xdr:row>
      <xdr:rowOff>99060</xdr:rowOff>
    </xdr:to>
    <xdr:sp macro="" textlink="">
      <xdr:nvSpPr>
        <xdr:cNvPr id="24577" name="Button 1">
          <a:extLst>
            <a:ext uri="{63B3BB69-23CF-44E3-9099-C40C66FF867C}">
              <a14:compatExt xmlns:a14="http://schemas.microsoft.com/office/drawing/2010/main" spid="_x0000_s13313"/>
            </a:ext>
            <a:ext uri="{FF2B5EF4-FFF2-40B4-BE49-F238E27FC236}">
              <a16:creationId xmlns:a16="http://schemas.microsoft.com/office/drawing/2014/main" id="{C072031D-1D78-4A7E-A43D-C54B556F181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drawings/drawing9.xml><?xml version="1.0" encoding="utf-8"?>
<xdr:wsDr xmlns:xdr="http://purl.oclc.org/ooxml/drawingml/spreadsheetDrawing" xmlns:a="http://purl.oclc.org/ooxml/drawingml/main">
  <xdr:twoCellAnchor>
    <xdr:from>
      <xdr:col>9</xdr:col>
      <xdr:colOff>106680</xdr:colOff>
      <xdr:row>22</xdr:row>
      <xdr:rowOff>220980</xdr:rowOff>
    </xdr:from>
    <xdr:to>
      <xdr:col>15</xdr:col>
      <xdr:colOff>83820</xdr:colOff>
      <xdr:row>25</xdr:row>
      <xdr:rowOff>76200</xdr:rowOff>
    </xdr:to>
    <xdr:sp macro="" textlink="">
      <xdr:nvSpPr>
        <xdr:cNvPr id="25601" name="Button 1">
          <a:extLst>
            <a:ext uri="{63B3BB69-23CF-44E3-9099-C40C66FF867C}">
              <a14:compatExt xmlns:a14="http://schemas.microsoft.com/office/drawing/2010/main" spid="_x0000_s14337"/>
            </a:ext>
            <a:ext uri="{FF2B5EF4-FFF2-40B4-BE49-F238E27FC236}">
              <a16:creationId xmlns:a16="http://schemas.microsoft.com/office/drawing/2014/main" id="{A0D46D56-EC8C-4EE4-8EBD-C86C14819A4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txBody>
        <a:bodyPr vertOverflow="clip" wrap="square" lIns="36576" tIns="50292" rIns="36576" bIns="50292" anchor="ctr" upright="1"/>
        <a:lstStyle/>
        <a:p>
          <a:pPr algn="ctr" rtl="0">
            <a:defRPr sz="1000"/>
          </a:pPr>
          <a:r>
            <a:rPr lang="ja-JP" altLang="en-US" sz="1100" b="0" i="0" u="none" strike="noStrike" baseline="0%">
              <a:solidFill>
                <a:srgbClr val="0066CC"/>
              </a:solidFill>
              <a:latin typeface="メイリオ"/>
              <a:ea typeface="メイリオ"/>
            </a:rPr>
            <a:t>データ削除</a:t>
          </a:r>
        </a:p>
      </xdr:txBody>
    </xdr:sp>
    <xdr:clientData fPrintsWithSheet="0"/>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 xr:uid="{00000000-000C-0000-FFFF-FFFF00000000}" name="年齢区分＿院内寛解" displayName="年齢区分＿院内寛解" ref="P4:Q13" totalsRowShown="0" headerRowDxfId="1026" dataDxfId="1025">
  <autoFilter ref="P4:Q13" xr:uid="{00000000-0009-0000-0100-00000B000000}">
    <filterColumn colId="0" hiddenButton="1"/>
    <filterColumn colId="1" hiddenButton="1"/>
  </autoFilter>
  <tableColumns count="2">
    <tableColumn id="1" xr3:uid="{00000000-0010-0000-0000-000001000000}" name="行ラベル" dataDxfId="1024"/>
    <tableColumn id="2" xr3:uid="{00000000-0010-0000-0000-000002000000}" name="データの個数 / 年齢" dataDxfId="1023"/>
  </tableColumns>
  <tableStyleInfo name="TableStyleMedium2" showFirstColumn="0"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 xr:uid="{00000000-000C-0000-FFFF-FFFF09000000}" name="在院期間" displayName="在院期間" ref="K4:L20" totalsRowShown="0">
  <autoFilter ref="K4:L20" xr:uid="{00000000-0009-0000-0100-00000D000000}">
    <filterColumn colId="0" hiddenButton="1"/>
    <filterColumn colId="1" hiddenButton="1"/>
  </autoFilter>
  <tableColumns count="2">
    <tableColumn id="1" xr3:uid="{00000000-0010-0000-0900-000001000000}" name="行ラベル" dataDxfId="996"/>
    <tableColumn id="2" xr3:uid="{00000000-0010-0000-0900-000002000000}" name="データの個数 / 在院" dataDxfId="995"/>
  </tableColumns>
  <tableStyleInfo name="TableStyleMedium2" showFirstColumn="0" showLastColumn="0" showRowStripes="1" showColumnStripes="0"/>
</table>
</file>

<file path=xl/tables/table1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 xr:uid="{00000000-000C-0000-FFFF-FFFF0A000000}" name="在院期間＿寛解" displayName="在院期間＿寛解" ref="N4:O20" totalsRowShown="0">
  <autoFilter ref="N4:O20" xr:uid="{00000000-0009-0000-0100-00000E000000}">
    <filterColumn colId="0" hiddenButton="1"/>
    <filterColumn colId="1" hiddenButton="1"/>
  </autoFilter>
  <tableColumns count="2">
    <tableColumn id="1" xr3:uid="{00000000-0010-0000-0A00-000001000000}" name="行ラベル" dataDxfId="994"/>
    <tableColumn id="2" xr3:uid="{00000000-0010-0000-0A00-000002000000}" name="データの個数 / 在院" dataDxfId="993"/>
  </tableColumns>
  <tableStyleInfo name="TableStyleMedium2" showFirstColumn="0" showLastColumn="0" showRowStripes="1" showColumnStripes="0"/>
</table>
</file>

<file path=xl/tables/table1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5" xr:uid="{00000000-000C-0000-FFFF-FFFF0B000000}" name="在院期間＿院内寛解" displayName="在院期間＿院内寛解" ref="P4:Q20" totalsRowShown="0">
  <autoFilter ref="P4:Q20" xr:uid="{00000000-0009-0000-0100-00000F000000}">
    <filterColumn colId="0" hiddenButton="1"/>
    <filterColumn colId="1" hiddenButton="1"/>
  </autoFilter>
  <tableColumns count="2">
    <tableColumn id="1" xr3:uid="{00000000-0010-0000-0B00-000001000000}" name="行ラベル" dataDxfId="992"/>
    <tableColumn id="2" xr3:uid="{00000000-0010-0000-0B00-000002000000}" name="データの個数 / 在院" dataDxfId="991"/>
  </tableColumns>
  <tableStyleInfo name="TableStyleMedium2" showFirstColumn="0" showLastColumn="0" showRowStripes="1" showColumnStripes="0"/>
</table>
</file>

<file path=xl/tables/table1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9" xr:uid="{00000000-000C-0000-FFFF-FFFF0C000000}" name="年齢区分＿1年以上" displayName="年齢区分＿1年以上" ref="K4:L13" totalsRowShown="0">
  <autoFilter ref="K4:L13" xr:uid="{00000000-0009-0000-0100-000013000000}">
    <filterColumn colId="0" hiddenButton="1"/>
    <filterColumn colId="1" hiddenButton="1"/>
  </autoFilter>
  <tableColumns count="2">
    <tableColumn id="1" xr3:uid="{00000000-0010-0000-0C00-000001000000}" name="行ラベル" dataDxfId="990"/>
    <tableColumn id="2" xr3:uid="{00000000-0010-0000-0C00-000002000000}" name="データの個数 / 年齢" dataDxfId="989"/>
  </tableColumns>
  <tableStyleInfo name="TableStyleMedium2" showFirstColumn="0" showLastColumn="0" showRowStripes="1" showColumnStripes="0"/>
</table>
</file>

<file path=xl/tables/table1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0" xr:uid="{00000000-000C-0000-FFFF-FFFF0D000000}" name="年齢区分＿1年以上＿寛解" displayName="年齢区分＿1年以上＿寛解" ref="N4:O13" totalsRowShown="0">
  <autoFilter ref="N4:O13" xr:uid="{00000000-0009-0000-0100-000014000000}">
    <filterColumn colId="0" hiddenButton="1"/>
    <filterColumn colId="1" hiddenButton="1"/>
  </autoFilter>
  <tableColumns count="2">
    <tableColumn id="1" xr3:uid="{00000000-0010-0000-0D00-000001000000}" name="行ラベル" dataDxfId="988"/>
    <tableColumn id="2" xr3:uid="{00000000-0010-0000-0D00-000002000000}" name="データの個数 / 年齢" dataDxfId="987"/>
  </tableColumns>
  <tableStyleInfo name="TableStyleMedium2" showFirstColumn="0" showLastColumn="0" showRowStripes="1" showColumnStripes="0"/>
</table>
</file>

<file path=xl/tables/table1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1" xr:uid="{00000000-000C-0000-FFFF-FFFF0E000000}" name="年齢区分＿1年以上＿院内寛解" displayName="年齢区分＿1年以上＿院内寛解" ref="P4:Q13" totalsRowShown="0">
  <autoFilter ref="P4:Q13" xr:uid="{00000000-0009-0000-0100-000015000000}">
    <filterColumn colId="0" hiddenButton="1"/>
    <filterColumn colId="1" hiddenButton="1"/>
  </autoFilter>
  <tableColumns count="2">
    <tableColumn id="1" xr3:uid="{00000000-0010-0000-0E00-000001000000}" name="行ラベル" dataDxfId="986"/>
    <tableColumn id="2" xr3:uid="{00000000-0010-0000-0E00-000002000000}" name="データの個数 / 年齢" dataDxfId="985"/>
  </tableColumns>
  <tableStyleInfo name="TableStyleMedium2" showFirstColumn="0" showLastColumn="0" showRowStripes="1" showColumnStripes="0"/>
</table>
</file>

<file path=xl/tables/table1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2" xr:uid="{00000000-000C-0000-FFFF-FFFF0F000000}" name="入院形態＿1年以上" displayName="入院形態＿1年以上" ref="G4:H12" totalsRowShown="0" headerRowDxfId="984">
  <autoFilter ref="G4:H12" xr:uid="{00000000-0009-0000-0100-000016000000}">
    <filterColumn colId="0" hiddenButton="1"/>
    <filterColumn colId="1" hiddenButton="1"/>
  </autoFilter>
  <tableColumns count="2">
    <tableColumn id="1" xr3:uid="{00000000-0010-0000-0F00-000001000000}" name="行ラベル" dataDxfId="983"/>
    <tableColumn id="2" xr3:uid="{00000000-0010-0000-0F00-000002000000}" name="データの個数 / 入院" dataDxfId="982"/>
  </tableColumns>
  <tableStyleInfo name="TableStyleMedium2" showFirstColumn="0" showLastColumn="0" showRowStripes="1" showColumnStripes="0"/>
</table>
</file>

<file path=xl/tables/table1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3" xr:uid="{00000000-000C-0000-FFFF-FFFF10000000}" name="入院形態＿1年以上＿寛解" displayName="入院形態＿1年以上＿寛解" ref="G16:H24" totalsRowShown="0" headerRowDxfId="981">
  <autoFilter ref="G16:H24" xr:uid="{00000000-0009-0000-0100-000017000000}">
    <filterColumn colId="0" hiddenButton="1"/>
    <filterColumn colId="1" hiddenButton="1"/>
  </autoFilter>
  <tableColumns count="2">
    <tableColumn id="1" xr3:uid="{00000000-0010-0000-1000-000001000000}" name="行ラベル" dataDxfId="980"/>
    <tableColumn id="2" xr3:uid="{00000000-0010-0000-1000-000002000000}" name="データの個数 / 入院" dataDxfId="979"/>
  </tableColumns>
  <tableStyleInfo name="TableStyleMedium2" showFirstColumn="0" showLastColumn="0" showRowStripes="1" showColumnStripes="0"/>
</table>
</file>

<file path=xl/tables/table1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4" xr:uid="{00000000-000C-0000-FFFF-FFFF11000000}" name="入院形態＿1年以上＿院内寛解" displayName="入院形態＿1年以上＿院内寛解" ref="J16:K24" totalsRowShown="0" headerRowDxfId="978">
  <autoFilter ref="J16:K24" xr:uid="{00000000-0009-0000-0100-000018000000}">
    <filterColumn colId="0" hiddenButton="1"/>
    <filterColumn colId="1" hiddenButton="1"/>
  </autoFilter>
  <tableColumns count="2">
    <tableColumn id="1" xr3:uid="{00000000-0010-0000-1100-000001000000}" name="行ラベル" dataDxfId="977"/>
    <tableColumn id="2" xr3:uid="{00000000-0010-0000-1100-000002000000}" name="データの個数 / 入院" dataDxfId="976"/>
  </tableColumns>
  <tableStyleInfo name="TableStyleMedium2" showFirstColumn="0" showLastColumn="0" showRowStripes="1" showColumnStripes="0"/>
</table>
</file>

<file path=xl/tables/table1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8" xr:uid="{00000000-000C-0000-FFFF-FFFF12000000}" name="疾患別＿1年以上" displayName="疾患別＿1年以上" ref="B24:C42" totalsRowShown="0" headerRowDxfId="975">
  <autoFilter ref="B24:C42" xr:uid="{00000000-0009-0000-0100-00001C000000}">
    <filterColumn colId="0" hiddenButton="1"/>
    <filterColumn colId="1" hiddenButton="1"/>
  </autoFilter>
  <tableColumns count="2">
    <tableColumn id="1" xr3:uid="{00000000-0010-0000-1200-000001000000}" name="行ラベル" dataDxfId="974"/>
    <tableColumn id="2" xr3:uid="{00000000-0010-0000-1200-000002000000}" name="データの個数 / 疾患名" dataDxfId="973"/>
  </tableColumns>
  <tableStyleInfo name="TableStyleMedium2" showFirstColumn="0"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 xr:uid="{00000000-000C-0000-FFFF-FFFF01000000}" name="年齢区分＿寛解" displayName="年齢区分＿寛解" ref="N4:O13" totalsRowShown="0" dataDxfId="1022">
  <autoFilter ref="N4:O13" xr:uid="{00000000-0009-0000-0100-00000A000000}">
    <filterColumn colId="0" hiddenButton="1"/>
    <filterColumn colId="1" hiddenButton="1"/>
  </autoFilter>
  <tableColumns count="2">
    <tableColumn id="1" xr3:uid="{00000000-0010-0000-0100-000001000000}" name="行ラベル" dataDxfId="1021"/>
    <tableColumn id="2" xr3:uid="{00000000-0010-0000-0100-000002000000}" name="データの個数 / 年齢" dataDxfId="1020"/>
  </tableColumns>
  <tableStyleInfo name="TableStyleMedium2" showFirstColumn="0" showLastColumn="0" showRowStripes="1" showColumnStripes="0"/>
</table>
</file>

<file path=xl/tables/table2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9" xr:uid="{00000000-000C-0000-FFFF-FFFF13000000}" name="疾患別＿1年以上＿寛解" displayName="疾患別＿1年以上＿寛解" ref="G24:H42" totalsRowShown="0" tableBorderDxfId="972">
  <autoFilter ref="G24:H42" xr:uid="{00000000-0009-0000-0100-00001D000000}">
    <filterColumn colId="0" hiddenButton="1"/>
    <filterColumn colId="1" hiddenButton="1"/>
  </autoFilter>
  <tableColumns count="2">
    <tableColumn id="1" xr3:uid="{00000000-0010-0000-1300-000001000000}" name="行ラベル"/>
    <tableColumn id="2" xr3:uid="{00000000-0010-0000-1300-000002000000}" name="データの個数 / 疾患名" dataDxfId="971"/>
  </tableColumns>
  <tableStyleInfo name="TableStyleMedium2" showFirstColumn="0" showLastColumn="0" showRowStripes="1" showColumnStripes="0"/>
</table>
</file>

<file path=xl/tables/table2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0" xr:uid="{00000000-000C-0000-FFFF-FFFF14000000}" name="疾患別＿1年以上＿院内寛解" displayName="疾患別＿1年以上＿院内寛解" ref="G44:H62" totalsRowShown="0" headerRowBorderDxfId="970" tableBorderDxfId="969">
  <autoFilter ref="G44:H62" xr:uid="{00000000-0009-0000-0100-00001E000000}">
    <filterColumn colId="0" hiddenButton="1"/>
    <filterColumn colId="1" hiddenButton="1"/>
  </autoFilter>
  <tableColumns count="2">
    <tableColumn id="1" xr3:uid="{00000000-0010-0000-1400-000001000000}" name="行ラベル" dataDxfId="968"/>
    <tableColumn id="2" xr3:uid="{00000000-0010-0000-1400-000002000000}" name="データの個数 / 疾患名" dataDxfId="967"/>
  </tableColumns>
  <tableStyleInfo name="TableStyleMedium2" showFirstColumn="0" showLastColumn="0" showRowStripes="1" showColumnStripes="0"/>
</table>
</file>

<file path=xl/tables/table2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15000000}" name="年齢区分＿65歳以上" displayName="年齢区分＿65歳以上" ref="I4:J13" totalsRowShown="0">
  <autoFilter ref="I4:J13" xr:uid="{00000000-0009-0000-0100-000001000000}">
    <filterColumn colId="0" hiddenButton="1"/>
    <filterColumn colId="1" hiddenButton="1"/>
  </autoFilter>
  <tableColumns count="2">
    <tableColumn id="1" xr3:uid="{00000000-0010-0000-1500-000001000000}" name="行ラベル" dataDxfId="966"/>
    <tableColumn id="2" xr3:uid="{00000000-0010-0000-1500-000002000000}" name="データの個数 / 年齢" dataDxfId="965"/>
  </tableColumns>
  <tableStyleInfo name="TableStyleMedium2" showFirstColumn="0" showLastColumn="0" showRowStripes="1" showColumnStripes="0"/>
</table>
</file>

<file path=xl/tables/table2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16000000}" name="年齢区分＿65歳以上＿寛解・院内寛解" displayName="年齢区分＿65歳以上＿寛解・院内寛解" ref="L4:M13" totalsRowShown="0">
  <autoFilter ref="L4:M13" xr:uid="{00000000-0009-0000-0100-000002000000}">
    <filterColumn colId="0" hiddenButton="1"/>
    <filterColumn colId="1" hiddenButton="1"/>
  </autoFilter>
  <tableColumns count="2">
    <tableColumn id="1" xr3:uid="{00000000-0010-0000-1600-000001000000}" name="行ラベル" dataDxfId="964"/>
    <tableColumn id="2" xr3:uid="{00000000-0010-0000-1600-000002000000}" name="データの個数 / 年齢" dataDxfId="963"/>
  </tableColumns>
  <tableStyleInfo name="TableStyleMedium2" showFirstColumn="0" showLastColumn="0" showRowStripes="1" showColumnStripes="0"/>
</table>
</file>

<file path=xl/tables/table2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 xr:uid="{00000000-000C-0000-FFFF-FFFF17000000}" name="入院形態＿65歳以上" displayName="入院形態＿65歳以上" ref="E4:F12" totalsRowShown="0" headerRowDxfId="962">
  <autoFilter ref="E4:F12" xr:uid="{00000000-0009-0000-0100-00000C000000}">
    <filterColumn colId="0" hiddenButton="1"/>
    <filterColumn colId="1" hiddenButton="1"/>
  </autoFilter>
  <tableColumns count="2">
    <tableColumn id="1" xr3:uid="{00000000-0010-0000-1700-000001000000}" name="行ラベル" dataDxfId="961"/>
    <tableColumn id="2" xr3:uid="{00000000-0010-0000-1700-000002000000}" name="データの個数 / 入院" dataDxfId="960"/>
  </tableColumns>
  <tableStyleInfo name="TableStyleMedium2" showFirstColumn="0" showLastColumn="0" showRowStripes="1" showColumnStripes="0"/>
</table>
</file>

<file path=xl/tables/table2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6" xr:uid="{00000000-000C-0000-FFFF-FFFF18000000}" name="入院形態＿65歳以上＿寛解・院内寛解" displayName="入院形態＿65歳以上＿寛解・院内寛解" ref="E15:F23" totalsRowShown="0" headerRowDxfId="959">
  <autoFilter ref="E15:F23" xr:uid="{00000000-0009-0000-0100-000010000000}">
    <filterColumn colId="0" hiddenButton="1"/>
    <filterColumn colId="1" hiddenButton="1"/>
  </autoFilter>
  <tableColumns count="2">
    <tableColumn id="1" xr3:uid="{00000000-0010-0000-1800-000001000000}" name="行ラベル" dataDxfId="958"/>
    <tableColumn id="2" xr3:uid="{00000000-0010-0000-1800-000002000000}" name="データの個数 / 入院" dataDxfId="957"/>
  </tableColumns>
  <tableStyleInfo name="TableStyleMedium2" showFirstColumn="0" showLastColumn="0" showRowStripes="1" showColumnStripes="0"/>
</table>
</file>

<file path=xl/tables/table2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5" xr:uid="{00000000-000C-0000-FFFF-FFFF19000000}" name="疾患別＿65歳以上" displayName="疾患別＿65歳以上" ref="J5:K23" totalsRowShown="0" headerRowDxfId="956">
  <autoFilter ref="J5:K23" xr:uid="{00000000-0009-0000-0100-000019000000}">
    <filterColumn colId="0" hiddenButton="1"/>
    <filterColumn colId="1" hiddenButton="1"/>
  </autoFilter>
  <tableColumns count="2">
    <tableColumn id="1" xr3:uid="{00000000-0010-0000-1900-000001000000}" name="行ラベル" dataDxfId="955"/>
    <tableColumn id="2" xr3:uid="{00000000-0010-0000-1900-000002000000}" name="データの個数 / 疾患名" dataDxfId="954"/>
  </tableColumns>
  <tableStyleInfo name="TableStyleMedium2" showFirstColumn="0" showLastColumn="0" showRowStripes="1" showColumnStripes="0"/>
</table>
</file>

<file path=xl/tables/table2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6" xr:uid="{00000000-000C-0000-FFFF-FFFF1A000000}" name="疾患別＿65歳以上＿寛解・院内寛解" displayName="疾患別＿65歳以上＿寛解・院内寛解" ref="J26:K44" totalsRowShown="0" tableBorderDxfId="953">
  <autoFilter ref="J26:K44" xr:uid="{00000000-0009-0000-0100-00001A000000}">
    <filterColumn colId="0" hiddenButton="1"/>
    <filterColumn colId="1" hiddenButton="1"/>
  </autoFilter>
  <tableColumns count="2">
    <tableColumn id="1" xr3:uid="{00000000-0010-0000-1A00-000001000000}" name="行ラベル"/>
    <tableColumn id="2" xr3:uid="{00000000-0010-0000-1A00-000002000000}" name="データの個数 / 疾患名" dataDxfId="952"/>
  </tableColumns>
  <tableStyleInfo name="TableStyleMedium2" showFirstColumn="0" showLastColumn="0" showRowStripes="1" showColumnStripes="0"/>
</table>
</file>

<file path=xl/tables/table2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7" xr:uid="{00000000-000C-0000-FFFF-FFFF1B000000}" name="在院期間＿65歳以上" displayName="在院期間＿65歳以上" ref="J5:K21" totalsRowShown="0">
  <autoFilter ref="J5:K21" xr:uid="{00000000-0009-0000-0100-00001B000000}">
    <filterColumn colId="0" hiddenButton="1"/>
    <filterColumn colId="1" hiddenButton="1"/>
  </autoFilter>
  <tableColumns count="2">
    <tableColumn id="1" xr3:uid="{00000000-0010-0000-1B00-000001000000}" name="行ラベル" dataDxfId="951"/>
    <tableColumn id="2" xr3:uid="{00000000-0010-0000-1B00-000002000000}" name="データの個数 / 在院" dataDxfId="950"/>
  </tableColumns>
  <tableStyleInfo name="TableStyleMedium2" showFirstColumn="0" showLastColumn="0" showRowStripes="1" showColumnStripes="0"/>
</table>
</file>

<file path=xl/tables/table2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1" xr:uid="{00000000-000C-0000-FFFF-FFFF1C000000}" name="在院期間＿65歳以上＿寛解・院内寛解" displayName="在院期間＿65歳以上＿寛解・院内寛解" ref="M5:N21" totalsRowShown="0">
  <autoFilter ref="M5:N21" xr:uid="{00000000-0009-0000-0100-00001F000000}">
    <filterColumn colId="0" hiddenButton="1"/>
    <filterColumn colId="1" hiddenButton="1"/>
  </autoFilter>
  <tableColumns count="2">
    <tableColumn id="1" xr3:uid="{00000000-0010-0000-1C00-000001000000}" name="行ラベル" dataDxfId="949"/>
    <tableColumn id="2" xr3:uid="{00000000-0010-0000-1C00-000002000000}" name="データの個数 / 在院" dataDxfId="948"/>
  </tableColumns>
  <tableStyleInfo name="TableStyleMedium2" showFirstColumn="0"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 xr:uid="{00000000-000C-0000-FFFF-FFFF02000000}" name="年齢区分" displayName="年齢区分" ref="K4:L14" totalsRowShown="0" tableBorderDxfId="1019">
  <autoFilter ref="K4:L14" xr:uid="{00000000-0009-0000-0100-000009000000}">
    <filterColumn colId="0" hiddenButton="1"/>
    <filterColumn colId="1" hiddenButton="1"/>
  </autoFilter>
  <tableColumns count="2">
    <tableColumn id="1" xr3:uid="{00000000-0010-0000-0200-000001000000}" name="行ラベル" dataDxfId="1018"/>
    <tableColumn id="2" xr3:uid="{00000000-0010-0000-0200-000002000000}" name="データの個数 / 年齢" dataDxfId="1017"/>
  </tableColumns>
  <tableStyleInfo name="TableStyleMedium2" showFirstColumn="0" showLastColumn="0" showRowStripes="1" showColumnStripes="0"/>
</table>
</file>

<file path=xl/tables/table3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2" xr:uid="{00000000-000C-0000-FFFF-FFFF1D000000}" name="退院予定有無×年齢階層" displayName="退院予定有無×年齢階層" ref="H3:J6" totalsRowShown="0">
  <autoFilter ref="H3:J6" xr:uid="{00000000-0009-0000-0100-000020000000}">
    <filterColumn colId="0" hiddenButton="1"/>
    <filterColumn colId="1" hiddenButton="1"/>
    <filterColumn colId="2" hiddenButton="1"/>
  </autoFilter>
  <tableColumns count="3">
    <tableColumn id="1" xr3:uid="{00000000-0010-0000-1D00-000001000000}" name="行ラベル" dataDxfId="947"/>
    <tableColumn id="2" xr3:uid="{00000000-0010-0000-1D00-000002000000}" name="65歳以上" dataDxfId="946"/>
    <tableColumn id="3" xr3:uid="{00000000-0010-0000-1D00-000003000000}" name="65歳未満"/>
  </tableColumns>
  <tableStyleInfo name="TableStyleMedium2" showFirstColumn="0" showLastColumn="0" showRowStripes="1" showColumnStripes="0"/>
</table>
</file>

<file path=xl/tables/table3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3" xr:uid="{00000000-000C-0000-FFFF-FFFF1E000000}" name="阻害要因有無×年齢階層" displayName="阻害要因有無×年齢階層" ref="H9:J11" totalsRowShown="0">
  <autoFilter ref="H9:J11" xr:uid="{00000000-0009-0000-0100-000021000000}">
    <filterColumn colId="0" hiddenButton="1"/>
    <filterColumn colId="1" hiddenButton="1"/>
    <filterColumn colId="2" hiddenButton="1"/>
  </autoFilter>
  <tableColumns count="3">
    <tableColumn id="1" xr3:uid="{00000000-0010-0000-1E00-000001000000}" name="行ラベル" dataDxfId="945"/>
    <tableColumn id="2" xr3:uid="{00000000-0010-0000-1E00-000002000000}" name="65歳以上" dataDxfId="944"/>
    <tableColumn id="3" xr3:uid="{00000000-0010-0000-1E00-000003000000}" name="65歳未満" dataDxfId="943"/>
  </tableColumns>
  <tableStyleInfo name="TableStyleMedium2" showFirstColumn="0" showLastColumn="0" showRowStripes="1" showColumnStripes="0"/>
</table>
</file>

<file path=xl/tables/table3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4" xr:uid="{00000000-000C-0000-FFFF-FFFF1F000000}" name="阻害要因×年齢階層" displayName="阻害要因×年齢階層" ref="H13:J33" totalsRowShown="0">
  <autoFilter ref="H13:J33" xr:uid="{00000000-0009-0000-0100-000022000000}">
    <filterColumn colId="0" hiddenButton="1"/>
    <filterColumn colId="1" hiddenButton="1"/>
    <filterColumn colId="2" hiddenButton="1"/>
  </autoFilter>
  <tableColumns count="3">
    <tableColumn id="1" xr3:uid="{00000000-0010-0000-1F00-000001000000}" name="値" dataDxfId="942"/>
    <tableColumn id="2" xr3:uid="{00000000-0010-0000-1F00-000002000000}" name="65歳以上" dataDxfId="941"/>
    <tableColumn id="3" xr3:uid="{00000000-0010-0000-1F00-000003000000}" name="65歳未満" dataDxfId="940"/>
  </tableColumns>
  <tableStyleInfo name="TableStyleMedium2" showFirstColumn="0" showLastColumn="0" showRowStripes="1" showColumnStripes="0"/>
</table>
</file>

<file path=xl/tables/table3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5" xr:uid="{00000000-000C-0000-FFFF-FFFF20000000}" name="退院予定有無×年齢階層＿寛解・院内寛解" displayName="退院予定有無×年齢階層＿寛解・院内寛解" ref="H37:J40" totalsRowShown="0">
  <autoFilter ref="H37:J40" xr:uid="{00000000-0009-0000-0100-000023000000}">
    <filterColumn colId="0" hiddenButton="1"/>
    <filterColumn colId="1" hiddenButton="1"/>
    <filterColumn colId="2" hiddenButton="1"/>
  </autoFilter>
  <tableColumns count="3">
    <tableColumn id="1" xr3:uid="{00000000-0010-0000-2000-000001000000}" name="行ラベル" dataDxfId="939"/>
    <tableColumn id="2" xr3:uid="{00000000-0010-0000-2000-000002000000}" name="65歳以上" dataDxfId="938"/>
    <tableColumn id="3" xr3:uid="{00000000-0010-0000-2000-000003000000}" name="65歳未満" dataDxfId="937"/>
  </tableColumns>
  <tableStyleInfo name="TableStyleMedium2" showFirstColumn="0" showLastColumn="0" showRowStripes="1" showColumnStripes="0"/>
</table>
</file>

<file path=xl/tables/table3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6" xr:uid="{00000000-000C-0000-FFFF-FFFF21000000}" name="阻害要因有無×年齢階層＿寛解・院内寛解" displayName="阻害要因有無×年齢階層＿寛解・院内寛解" ref="H43:J45" totalsRowShown="0">
  <autoFilter ref="H43:J45" xr:uid="{00000000-0009-0000-0100-000024000000}">
    <filterColumn colId="0" hiddenButton="1"/>
    <filterColumn colId="1" hiddenButton="1"/>
    <filterColumn colId="2" hiddenButton="1"/>
  </autoFilter>
  <tableColumns count="3">
    <tableColumn id="1" xr3:uid="{00000000-0010-0000-2100-000001000000}" name="行ラベル" dataDxfId="936"/>
    <tableColumn id="2" xr3:uid="{00000000-0010-0000-2100-000002000000}" name="65歳以上" dataDxfId="935"/>
    <tableColumn id="3" xr3:uid="{00000000-0010-0000-2100-000003000000}" name="65歳未満" dataDxfId="934"/>
  </tableColumns>
  <tableStyleInfo name="TableStyleMedium2" showFirstColumn="0" showLastColumn="0" showRowStripes="1" showColumnStripes="0"/>
</table>
</file>

<file path=xl/tables/table3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7" xr:uid="{00000000-000C-0000-FFFF-FFFF22000000}" name="阻害要因×年齢階層＿寛解・院内寛解" displayName="阻害要因×年齢階層＿寛解・院内寛解" ref="H47:J67" totalsRowShown="0">
  <autoFilter ref="H47:J67" xr:uid="{00000000-0009-0000-0100-000025000000}">
    <filterColumn colId="0" hiddenButton="1"/>
    <filterColumn colId="1" hiddenButton="1"/>
    <filterColumn colId="2" hiddenButton="1"/>
  </autoFilter>
  <tableColumns count="3">
    <tableColumn id="1" xr3:uid="{00000000-0010-0000-2200-000001000000}" name="値" dataDxfId="933"/>
    <tableColumn id="2" xr3:uid="{00000000-0010-0000-2200-000002000000}" name="65歳以上" dataDxfId="932"/>
    <tableColumn id="3" xr3:uid="{00000000-0010-0000-2200-000003000000}" name="65歳未満" dataDxfId="931"/>
  </tableColumns>
  <tableStyleInfo name="TableStyleMedium2" showFirstColumn="0" showLastColumn="0" showRowStripes="1" showColumnStripes="0"/>
</table>
</file>

<file path=xl/tables/table3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9" xr:uid="{00000000-000C-0000-FFFF-FFFF23000000}" name="阻害要因有無×在院期間区分" displayName="阻害要因有無×在院期間区分" ref="L9:AB12" totalsRowShown="0" headerRowDxfId="930" dataDxfId="929">
  <autoFilter ref="L9:AB12" xr:uid="{00000000-0009-0000-0100-00002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2300-000001000000}" name="行ラベル" dataDxfId="928"/>
    <tableColumn id="2" xr3:uid="{00000000-0010-0000-2300-000002000000}" name="01_1ヶ月未満" dataDxfId="927"/>
    <tableColumn id="3" xr3:uid="{00000000-0010-0000-2300-000003000000}" name="02_1ヶ月～3ヶ月未満" dataDxfId="926"/>
    <tableColumn id="4" xr3:uid="{00000000-0010-0000-2300-000004000000}" name="03_3ヶ月～6ヶ月未満" dataDxfId="925"/>
    <tableColumn id="5" xr3:uid="{00000000-0010-0000-2300-000005000000}" name="04_6ヶ月～1年未満" dataDxfId="924"/>
    <tableColumn id="6" xr3:uid="{00000000-0010-0000-2300-000006000000}" name="05_1年～1年6ヶ月未満" dataDxfId="923"/>
    <tableColumn id="7" xr3:uid="{00000000-0010-0000-2300-000007000000}" name="06_1年6ヶ月～2年未満" dataDxfId="922"/>
    <tableColumn id="8" xr3:uid="{00000000-0010-0000-2300-000008000000}" name="07_2年～3年未満" dataDxfId="921"/>
    <tableColumn id="9" xr3:uid="{00000000-0010-0000-2300-000009000000}" name="08_3年～4年未満" dataDxfId="920"/>
    <tableColumn id="10" xr3:uid="{00000000-0010-0000-2300-00000A000000}" name="09_4年～5年未満" dataDxfId="919"/>
    <tableColumn id="11" xr3:uid="{00000000-0010-0000-2300-00000B000000}" name="10_5年～6年未満" dataDxfId="918"/>
    <tableColumn id="12" xr3:uid="{00000000-0010-0000-2300-00000C000000}" name="11_6年～7年未満" dataDxfId="917"/>
    <tableColumn id="13" xr3:uid="{00000000-0010-0000-2300-00000D000000}" name="12_7年～8年未満" dataDxfId="916"/>
    <tableColumn id="14" xr3:uid="{00000000-0010-0000-2300-00000E000000}" name="13_8年～9年未満" dataDxfId="915"/>
    <tableColumn id="15" xr3:uid="{00000000-0010-0000-2300-00000F000000}" name="14_9年～10年未満" dataDxfId="914"/>
    <tableColumn id="16" xr3:uid="{00000000-0010-0000-2300-000010000000}" name="15_10年～20年未満" dataDxfId="913"/>
    <tableColumn id="17" xr3:uid="{00000000-0010-0000-2300-000011000000}" name="16_ 20年以上" dataDxfId="912"/>
  </tableColumns>
  <tableStyleInfo name="TableStyleMedium2" showFirstColumn="0" showLastColumn="0" showRowStripes="1" showColumnStripes="0"/>
</table>
</file>

<file path=xl/tables/table3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0" xr:uid="{00000000-000C-0000-FFFF-FFFF24000000}" name="阻害要因×在院期間区分" displayName="阻害要因×在院期間区分" ref="L13:AB33" totalsRowShown="0" headerRowDxfId="911" dataDxfId="910">
  <autoFilter ref="L13:AB33" xr:uid="{00000000-0009-0000-0100-00002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2400-000001000000}" name="値" dataDxfId="909"/>
    <tableColumn id="2" xr3:uid="{00000000-0010-0000-2400-000002000000}" name="01_1ヶ月未満" dataDxfId="908"/>
    <tableColumn id="3" xr3:uid="{00000000-0010-0000-2400-000003000000}" name="02_1ヶ月～3ヶ月未満" dataDxfId="907"/>
    <tableColumn id="4" xr3:uid="{00000000-0010-0000-2400-000004000000}" name="03_3ヶ月～6ヶ月未満" dataDxfId="906"/>
    <tableColumn id="5" xr3:uid="{00000000-0010-0000-2400-000005000000}" name="04_6ヶ月～1年未満" dataDxfId="905"/>
    <tableColumn id="6" xr3:uid="{00000000-0010-0000-2400-000006000000}" name="05_1年～1年6ヶ月未満" dataDxfId="904"/>
    <tableColumn id="7" xr3:uid="{00000000-0010-0000-2400-000007000000}" name="06_1年6ヶ月～2年未満" dataDxfId="903"/>
    <tableColumn id="8" xr3:uid="{00000000-0010-0000-2400-000008000000}" name="07_2年～3年未満" dataDxfId="902"/>
    <tableColumn id="9" xr3:uid="{00000000-0010-0000-2400-000009000000}" name="08_3年～4年未満" dataDxfId="901"/>
    <tableColumn id="10" xr3:uid="{00000000-0010-0000-2400-00000A000000}" name="09_4年～5年未満" dataDxfId="900"/>
    <tableColumn id="11" xr3:uid="{00000000-0010-0000-2400-00000B000000}" name="10_5年～6年未満" dataDxfId="899"/>
    <tableColumn id="12" xr3:uid="{00000000-0010-0000-2400-00000C000000}" name="11_6年～7年未満" dataDxfId="898"/>
    <tableColumn id="13" xr3:uid="{00000000-0010-0000-2400-00000D000000}" name="12_7年～8年未満" dataDxfId="897"/>
    <tableColumn id="14" xr3:uid="{00000000-0010-0000-2400-00000E000000}" name="13_8年～9年未満" dataDxfId="896"/>
    <tableColumn id="15" xr3:uid="{00000000-0010-0000-2400-00000F000000}" name="14_9年～10年未満" dataDxfId="895"/>
    <tableColumn id="16" xr3:uid="{00000000-0010-0000-2400-000010000000}" name="15_10年～20年未満" dataDxfId="894"/>
    <tableColumn id="17" xr3:uid="{00000000-0010-0000-2400-000011000000}" name="16_ 20年以上" dataDxfId="893"/>
  </tableColumns>
  <tableStyleInfo name="TableStyleMedium2" showFirstColumn="0" showLastColumn="0" showRowStripes="1" showColumnStripes="0"/>
</table>
</file>

<file path=xl/tables/table3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2" xr:uid="{00000000-000C-0000-FFFF-FFFF25000000}" name="退院予定有無×在院期間区分＿寛解・院内寛解" displayName="退院予定有無×在院期間区分＿寛解・院内寛解" ref="L37:AB40" totalsRowShown="0" headerRowDxfId="892" dataDxfId="891">
  <autoFilter ref="L37:AB40" xr:uid="{00000000-0009-0000-0100-00002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2500-000001000000}" name="行ラベル" dataDxfId="890" totalsRowDxfId="889"/>
    <tableColumn id="2" xr3:uid="{00000000-0010-0000-2500-000002000000}" name="01_1ヶ月未満" dataDxfId="888" totalsRowDxfId="887"/>
    <tableColumn id="3" xr3:uid="{00000000-0010-0000-2500-000003000000}" name="02_1ヶ月～3ヶ月未満" dataDxfId="886" totalsRowDxfId="885"/>
    <tableColumn id="4" xr3:uid="{00000000-0010-0000-2500-000004000000}" name="03_3ヶ月～6ヶ月未満" dataDxfId="884" totalsRowDxfId="883"/>
    <tableColumn id="5" xr3:uid="{00000000-0010-0000-2500-000005000000}" name="04_6ヶ月～1年未満" dataDxfId="882" totalsRowDxfId="881"/>
    <tableColumn id="6" xr3:uid="{00000000-0010-0000-2500-000006000000}" name="05_1年～1年6ヶ月未満" dataDxfId="880" totalsRowDxfId="879"/>
    <tableColumn id="7" xr3:uid="{00000000-0010-0000-2500-000007000000}" name="06_1年6ヶ月～2年未満" dataDxfId="878" totalsRowDxfId="877"/>
    <tableColumn id="8" xr3:uid="{00000000-0010-0000-2500-000008000000}" name="07_2年～3年未満" dataDxfId="876" totalsRowDxfId="875"/>
    <tableColumn id="9" xr3:uid="{00000000-0010-0000-2500-000009000000}" name="08_3年～4年未満" dataDxfId="874" totalsRowDxfId="873"/>
    <tableColumn id="10" xr3:uid="{00000000-0010-0000-2500-00000A000000}" name="09_4年～5年未満" dataDxfId="872" totalsRowDxfId="871"/>
    <tableColumn id="11" xr3:uid="{00000000-0010-0000-2500-00000B000000}" name="10_5年～6年未満" dataDxfId="870" totalsRowDxfId="869"/>
    <tableColumn id="12" xr3:uid="{00000000-0010-0000-2500-00000C000000}" name="11_6年～7年未満" dataDxfId="868" totalsRowDxfId="867"/>
    <tableColumn id="13" xr3:uid="{00000000-0010-0000-2500-00000D000000}" name="12_7年～8年未満" dataDxfId="866" totalsRowDxfId="865"/>
    <tableColumn id="14" xr3:uid="{00000000-0010-0000-2500-00000E000000}" name="13_8年～9年未満" dataDxfId="864" totalsRowDxfId="863"/>
    <tableColumn id="15" xr3:uid="{00000000-0010-0000-2500-00000F000000}" name="14_9年～10年未満" dataDxfId="862" totalsRowDxfId="861"/>
    <tableColumn id="16" xr3:uid="{00000000-0010-0000-2500-000010000000}" name="15_10年～20年未満" dataDxfId="860" totalsRowDxfId="859"/>
    <tableColumn id="17" xr3:uid="{00000000-0010-0000-2500-000011000000}" name="16_ 20年以上" dataDxfId="858" totalsRowDxfId="857"/>
  </tableColumns>
  <tableStyleInfo name="TableStyleMedium2" showFirstColumn="0" showLastColumn="0" showRowStripes="1" showColumnStripes="0"/>
</table>
</file>

<file path=xl/tables/table3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3" xr:uid="{00000000-000C-0000-FFFF-FFFF26000000}" name="阻害要因有無×在院期間区分＿寛解・院内寛解" displayName="阻害要因有無×在院期間区分＿寛解・院内寛解" ref="L43:AB46" totalsRowShown="0" headerRowDxfId="856" dataDxfId="855">
  <autoFilter ref="L43:AB46" xr:uid="{00000000-0009-0000-0100-00002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2600-000001000000}" name="行ラベル" dataDxfId="854"/>
    <tableColumn id="2" xr3:uid="{00000000-0010-0000-2600-000002000000}" name="01_1ヶ月未満" dataDxfId="853"/>
    <tableColumn id="3" xr3:uid="{00000000-0010-0000-2600-000003000000}" name="02_1ヶ月～3ヶ月未満" dataDxfId="852"/>
    <tableColumn id="4" xr3:uid="{00000000-0010-0000-2600-000004000000}" name="03_3ヶ月～6ヶ月未満" dataDxfId="851"/>
    <tableColumn id="5" xr3:uid="{00000000-0010-0000-2600-000005000000}" name="04_6ヶ月～1年未満" dataDxfId="850"/>
    <tableColumn id="6" xr3:uid="{00000000-0010-0000-2600-000006000000}" name="05_1年～1年6ヶ月未満" dataDxfId="849"/>
    <tableColumn id="7" xr3:uid="{00000000-0010-0000-2600-000007000000}" name="06_1年6ヶ月～2年未満" dataDxfId="848"/>
    <tableColumn id="8" xr3:uid="{00000000-0010-0000-2600-000008000000}" name="07_2年～3年未満" dataDxfId="847"/>
    <tableColumn id="9" xr3:uid="{00000000-0010-0000-2600-000009000000}" name="08_3年～4年未満" dataDxfId="846"/>
    <tableColumn id="10" xr3:uid="{00000000-0010-0000-2600-00000A000000}" name="09_4年～5年未満" dataDxfId="845"/>
    <tableColumn id="11" xr3:uid="{00000000-0010-0000-2600-00000B000000}" name="10_5年～6年未満" dataDxfId="844"/>
    <tableColumn id="12" xr3:uid="{00000000-0010-0000-2600-00000C000000}" name="11_6年～7年未満" dataDxfId="843"/>
    <tableColumn id="13" xr3:uid="{00000000-0010-0000-2600-00000D000000}" name="12_7年～8年未満" dataDxfId="842"/>
    <tableColumn id="14" xr3:uid="{00000000-0010-0000-2600-00000E000000}" name="13_8年～9年未満" dataDxfId="841"/>
    <tableColumn id="15" xr3:uid="{00000000-0010-0000-2600-00000F000000}" name="14_9年～10年未満" dataDxfId="840"/>
    <tableColumn id="16" xr3:uid="{00000000-0010-0000-2600-000010000000}" name="15_10年～20年未満" dataDxfId="839"/>
    <tableColumn id="17" xr3:uid="{00000000-0010-0000-2600-000011000000}" name="16_ 20年以上" dataDxfId="838"/>
  </tableColumns>
  <tableStyleInfo name="TableStyleMedium2" showFirstColumn="0"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3000000}" name="入院形態" displayName="入院形態" ref="G4:H12" totalsRowShown="0" headerRowDxfId="1016">
  <autoFilter ref="G4:H12" xr:uid="{00000000-0009-0000-0100-000003000000}">
    <filterColumn colId="0" hiddenButton="1"/>
    <filterColumn colId="1" hiddenButton="1"/>
  </autoFilter>
  <tableColumns count="2">
    <tableColumn id="1" xr3:uid="{00000000-0010-0000-0300-000001000000}" name="行ラベル" dataDxfId="1015"/>
    <tableColumn id="2" xr3:uid="{00000000-0010-0000-0300-000002000000}" name="データの個数 / 入院" dataDxfId="1014"/>
  </tableColumns>
  <tableStyleInfo name="TableStyleMedium2" showFirstColumn="0" showLastColumn="0" showRowStripes="1" showColumnStripes="0"/>
</table>
</file>

<file path=xl/tables/table4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4" xr:uid="{00000000-000C-0000-FFFF-FFFF27000000}" name="阻害要因×在院期間区分＿寛解・院内寛解" displayName="阻害要因×在院期間区分＿寛解・院内寛解" ref="L47:AB67" totalsRowShown="0" headerRowDxfId="837" dataDxfId="836">
  <autoFilter ref="L47:AB67" xr:uid="{00000000-0009-0000-0100-00002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2700-000001000000}" name="値" dataDxfId="835"/>
    <tableColumn id="2" xr3:uid="{00000000-0010-0000-2700-000002000000}" name="01_1ヶ月未満" dataDxfId="834"/>
    <tableColumn id="3" xr3:uid="{00000000-0010-0000-2700-000003000000}" name="02_1ヶ月～3ヶ月未満" dataDxfId="833"/>
    <tableColumn id="4" xr3:uid="{00000000-0010-0000-2700-000004000000}" name="03_3ヶ月～6ヶ月未満" dataDxfId="832"/>
    <tableColumn id="5" xr3:uid="{00000000-0010-0000-2700-000005000000}" name="04_6ヶ月～1年未満" dataDxfId="831"/>
    <tableColumn id="6" xr3:uid="{00000000-0010-0000-2700-000006000000}" name="05_1年～1年6ヶ月未満" dataDxfId="830"/>
    <tableColumn id="7" xr3:uid="{00000000-0010-0000-2700-000007000000}" name="06_1年6ヶ月～2年未満" dataDxfId="829"/>
    <tableColumn id="8" xr3:uid="{00000000-0010-0000-2700-000008000000}" name="07_2年～3年未満" dataDxfId="828"/>
    <tableColumn id="9" xr3:uid="{00000000-0010-0000-2700-000009000000}" name="08_3年～4年未満" dataDxfId="827"/>
    <tableColumn id="10" xr3:uid="{00000000-0010-0000-2700-00000A000000}" name="09_4年～5年未満" dataDxfId="826"/>
    <tableColumn id="11" xr3:uid="{00000000-0010-0000-2700-00000B000000}" name="10_5年～6年未満" dataDxfId="825"/>
    <tableColumn id="12" xr3:uid="{00000000-0010-0000-2700-00000C000000}" name="11_6年～7年未満" dataDxfId="824"/>
    <tableColumn id="13" xr3:uid="{00000000-0010-0000-2700-00000D000000}" name="12_7年～8年未満" dataDxfId="823"/>
    <tableColumn id="14" xr3:uid="{00000000-0010-0000-2700-00000E000000}" name="13_8年～9年未満" dataDxfId="822"/>
    <tableColumn id="15" xr3:uid="{00000000-0010-0000-2700-00000F000000}" name="14_9年～10年未満" dataDxfId="821"/>
    <tableColumn id="16" xr3:uid="{00000000-0010-0000-2700-000010000000}" name="15_10年～20年未満" dataDxfId="820"/>
    <tableColumn id="17" xr3:uid="{00000000-0010-0000-2700-000011000000}" name="16_ 20年以上" dataDxfId="819"/>
  </tableColumns>
  <tableStyleInfo name="TableStyleMedium2" showFirstColumn="0" showLastColumn="0" showRowStripes="1" showColumnStripes="0"/>
</table>
</file>

<file path=xl/tables/table4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8" xr:uid="{00000000-000C-0000-FFFF-FFFF28000000}" name="退院予定有無×在院期間区分" displayName="退院予定有無×在院期間区分" ref="L3:AB6" totalsRowShown="0" headerRowDxfId="818" dataDxfId="817">
  <autoFilter ref="L3:AB6" xr:uid="{00000000-0009-0000-0100-00002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2800-000001000000}" name="行ラベル" dataDxfId="816"/>
    <tableColumn id="2" xr3:uid="{00000000-0010-0000-2800-000002000000}" name="01_1ヶ月未満" dataDxfId="815"/>
    <tableColumn id="3" xr3:uid="{00000000-0010-0000-2800-000003000000}" name="02_1ヶ月～3ヶ月未満" dataDxfId="814"/>
    <tableColumn id="4" xr3:uid="{00000000-0010-0000-2800-000004000000}" name="03_3ヶ月～6ヶ月未満" dataDxfId="813"/>
    <tableColumn id="5" xr3:uid="{00000000-0010-0000-2800-000005000000}" name="04_6ヶ月～1年未満" dataDxfId="812"/>
    <tableColumn id="6" xr3:uid="{00000000-0010-0000-2800-000006000000}" name="05_1年～1年6ヶ月未満" dataDxfId="811"/>
    <tableColumn id="7" xr3:uid="{00000000-0010-0000-2800-000007000000}" name="06_1年6ヶ月～2年未満" dataDxfId="810"/>
    <tableColumn id="8" xr3:uid="{00000000-0010-0000-2800-000008000000}" name="07_2年～3年未満" dataDxfId="809"/>
    <tableColumn id="9" xr3:uid="{00000000-0010-0000-2800-000009000000}" name="08_3年～4年未満" dataDxfId="808"/>
    <tableColumn id="10" xr3:uid="{00000000-0010-0000-2800-00000A000000}" name="09_4年～5年未満" dataDxfId="807"/>
    <tableColumn id="11" xr3:uid="{00000000-0010-0000-2800-00000B000000}" name="10_5年～6年未満" dataDxfId="806"/>
    <tableColumn id="12" xr3:uid="{00000000-0010-0000-2800-00000C000000}" name="11_6年～7年未満" dataDxfId="805"/>
    <tableColumn id="13" xr3:uid="{00000000-0010-0000-2800-00000D000000}" name="12_7年～8年未満" dataDxfId="804"/>
    <tableColumn id="14" xr3:uid="{00000000-0010-0000-2800-00000E000000}" name="13_8年～9年未満" dataDxfId="803"/>
    <tableColumn id="15" xr3:uid="{00000000-0010-0000-2800-00000F000000}" name="14_9年～10年未満" dataDxfId="802"/>
    <tableColumn id="16" xr3:uid="{00000000-0010-0000-2800-000010000000}" name="15_10年～20年未満" dataDxfId="801"/>
    <tableColumn id="17" xr3:uid="{00000000-0010-0000-2800-000011000000}" name="16_ 20年以上" dataDxfId="800"/>
  </tableColumns>
  <tableStyleInfo name="TableStyleMedium2" showFirstColumn="0" showLastColumn="0" showRowStripes="1" showColumnStripes="0"/>
</table>
</file>

<file path=xl/tables/table4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7" xr:uid="{00000000-000C-0000-FFFF-FFFF29000000}" name="退院予定有無×疾患名＿寛解・院内寛解" displayName="退院予定有無×疾患名＿寛解・院内寛解" ref="L39:AD42" totalsRowShown="0" headerRowDxfId="799" dataDxfId="798">
  <autoFilter ref="L39:AD42"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9">
    <tableColumn id="1" xr3:uid="{00000000-0010-0000-2900-000001000000}" name="行ラベル" dataDxfId="797"/>
    <tableColumn id="2" xr3:uid="{00000000-0010-0000-2900-000002000000}" name="F00アルツハイマー病型認知症" dataDxfId="796"/>
    <tableColumn id="3" xr3:uid="{00000000-0010-0000-2900-000003000000}" name="F01血管性認知症" dataDxfId="795"/>
    <tableColumn id="4" xr3:uid="{00000000-0010-0000-2900-000004000000}" name="F02-09上記以外の症状性を含む器質性精神障害" dataDxfId="794"/>
    <tableColumn id="5" xr3:uid="{00000000-0010-0000-2900-000005000000}" name="F10アルコール使用による精神及び行動の障害" dataDxfId="793"/>
    <tableColumn id="6" xr3:uid="{00000000-0010-0000-2900-000006000000}" name="アルコール覚せい剤を除く精神作用物質使用による精神及び行動の障害※" dataDxfId="792"/>
    <tableColumn id="7" xr3:uid="{00000000-0010-0000-2900-000007000000}" name="覚せい剤による精神及び行動の障害※" dataDxfId="791"/>
    <tableColumn id="8" xr3:uid="{00000000-0010-0000-2900-000008000000}" name="F2統合失調症、統合失調症型障害及び妄想性障害" dataDxfId="790"/>
    <tableColumn id="9" xr3:uid="{00000000-0010-0000-2900-000009000000}" name="F30‐31　躁病エピソード・双極性感情障害［躁うつ病］" dataDxfId="789"/>
    <tableColumn id="10" xr3:uid="{00000000-0010-0000-2900-00000A000000}" name="F32-39　その他の気分障害" dataDxfId="788"/>
    <tableColumn id="11" xr3:uid="{00000000-0010-0000-2900-00000B000000}" name="F4神経症性障害、ストレス関連障害及び身体表現性障害" dataDxfId="787"/>
    <tableColumn id="12" xr3:uid="{00000000-0010-0000-2900-00000C000000}" name="F5生理的障害及び身体的要因に関連した行動症候群" dataDxfId="786"/>
    <tableColumn id="13" xr3:uid="{00000000-0010-0000-2900-00000D000000}" name="F6成人のパーソナリティ及び行動の障害" dataDxfId="785"/>
    <tableColumn id="14" xr3:uid="{00000000-0010-0000-2900-00000E000000}" name="F7精神遅滞〔知的障害〕" dataDxfId="784"/>
    <tableColumn id="15" xr3:uid="{00000000-0010-0000-2900-00000F000000}" name="F8心理的発達の障害" dataDxfId="783"/>
    <tableColumn id="16" xr3:uid="{00000000-0010-0000-2900-000010000000}" name="F9小児期及び青年期に通常発症する行動及び情緒の障害及び特定不能の精神障害" dataDxfId="782"/>
    <tableColumn id="17" xr3:uid="{00000000-0010-0000-2900-000011000000}" name="その他" dataDxfId="781"/>
    <tableColumn id="18" xr3:uid="{00000000-0010-0000-2900-000012000000}" name="てんかん（F0に属さないものを計上する）" dataDxfId="780"/>
    <tableColumn id="19" xr3:uid="{00000000-0010-0000-2900-000013000000}" name="不明" dataDxfId="779"/>
  </tableColumns>
  <tableStyleInfo name="TableStyleMedium2" showFirstColumn="0" showLastColumn="0" showRowStripes="1" showColumnStripes="0"/>
</table>
</file>

<file path=xl/tables/table4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8" xr:uid="{00000000-000C-0000-FFFF-FFFF2A000000}" name="退院予定有無×疾患名" displayName="退院予定有無×疾患名" ref="L4:AD7" totalsRowShown="0" headerRowDxfId="778" dataDxfId="777">
  <autoFilter ref="L4:AD7"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9">
    <tableColumn id="1" xr3:uid="{00000000-0010-0000-2A00-000001000000}" name="行ラベル" dataDxfId="776"/>
    <tableColumn id="2" xr3:uid="{00000000-0010-0000-2A00-000002000000}" name="F00アルツハイマー病型認知症" dataDxfId="775"/>
    <tableColumn id="3" xr3:uid="{00000000-0010-0000-2A00-000003000000}" name="F01血管性認知症" dataDxfId="774"/>
    <tableColumn id="4" xr3:uid="{00000000-0010-0000-2A00-000004000000}" name="F02-09上記以外の症状性を含む器質性精神障害" dataDxfId="773"/>
    <tableColumn id="5" xr3:uid="{00000000-0010-0000-2A00-000005000000}" name="F10アルコール使用による精神及び行動の障害" dataDxfId="772"/>
    <tableColumn id="6" xr3:uid="{00000000-0010-0000-2A00-000006000000}" name="アルコール覚せい剤を除く精神作用物質使用による精神及び行動の障害※" dataDxfId="771"/>
    <tableColumn id="7" xr3:uid="{00000000-0010-0000-2A00-000007000000}" name="覚せい剤による精神及び行動の障害※" dataDxfId="770"/>
    <tableColumn id="8" xr3:uid="{00000000-0010-0000-2A00-000008000000}" name="F2統合失調症、統合失調症型障害及び妄想性障害" dataDxfId="769"/>
    <tableColumn id="9" xr3:uid="{00000000-0010-0000-2A00-000009000000}" name="F30‐31　躁病エピソード・双極性感情障害［躁うつ病］" dataDxfId="768"/>
    <tableColumn id="10" xr3:uid="{00000000-0010-0000-2A00-00000A000000}" name="F32-39　その他の気分障害" dataDxfId="767"/>
    <tableColumn id="11" xr3:uid="{00000000-0010-0000-2A00-00000B000000}" name="F4神経症性障害、ストレス関連障害及び身体表現性障害" dataDxfId="766"/>
    <tableColumn id="12" xr3:uid="{00000000-0010-0000-2A00-00000C000000}" name="F5生理的障害及び身体的要因に関連した行動症候群" dataDxfId="765"/>
    <tableColumn id="13" xr3:uid="{00000000-0010-0000-2A00-00000D000000}" name="F6成人のパーソナリティ及び行動の障害" dataDxfId="764"/>
    <tableColumn id="14" xr3:uid="{00000000-0010-0000-2A00-00000E000000}" name="F7精神遅滞〔知的障害〕" dataDxfId="763"/>
    <tableColumn id="15" xr3:uid="{00000000-0010-0000-2A00-00000F000000}" name="F8心理的発達の障害" dataDxfId="762"/>
    <tableColumn id="16" xr3:uid="{00000000-0010-0000-2A00-000010000000}" name="F9小児期及び青年期に通常発症する行動及び情緒の障害及び特定不能の精神障害" dataDxfId="761"/>
    <tableColumn id="17" xr3:uid="{00000000-0010-0000-2A00-000011000000}" name="その他" dataDxfId="760"/>
    <tableColumn id="18" xr3:uid="{00000000-0010-0000-2A00-000012000000}" name="てんかん（F0に属さないものを計上する）" dataDxfId="759"/>
    <tableColumn id="19" xr3:uid="{00000000-0010-0000-2A00-000013000000}" name="不明" dataDxfId="758"/>
  </tableColumns>
  <tableStyleInfo name="TableStyleMedium2" showFirstColumn="0" showLastColumn="0" showRowStripes="1" showColumnStripes="0"/>
</table>
</file>

<file path=xl/tables/table4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1" xr:uid="{00000000-000C-0000-FFFF-FFFF2B000000}" name="阻害要因有無×疾患名" displayName="阻害要因有無×疾患名" ref="L10:AD12" totalsRowShown="0" headerRowDxfId="757" dataDxfId="756">
  <autoFilter ref="L10:AD12" xr:uid="{00000000-0009-0000-0100-00002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9">
    <tableColumn id="1" xr3:uid="{00000000-0010-0000-2B00-000001000000}" name="行ラベル" dataDxfId="755"/>
    <tableColumn id="2" xr3:uid="{00000000-0010-0000-2B00-000002000000}" name="F00アルツハイマー病型認知症" dataDxfId="754"/>
    <tableColumn id="3" xr3:uid="{00000000-0010-0000-2B00-000003000000}" name="F01血管性認知症" dataDxfId="753"/>
    <tableColumn id="4" xr3:uid="{00000000-0010-0000-2B00-000004000000}" name="F02-09上記以外の症状性を含む器質性精神障害" dataDxfId="752"/>
    <tableColumn id="5" xr3:uid="{00000000-0010-0000-2B00-000005000000}" name="F10アルコール使用による精神及び行動の障害" dataDxfId="751"/>
    <tableColumn id="6" xr3:uid="{00000000-0010-0000-2B00-000006000000}" name="F2統合失調症、統合失調症型障害及び妄想性障害" dataDxfId="750"/>
    <tableColumn id="7" xr3:uid="{00000000-0010-0000-2B00-000007000000}" name="F30‐31　躁病エピソード・双極性感情障害［躁うつ病］" dataDxfId="749"/>
    <tableColumn id="8" xr3:uid="{00000000-0010-0000-2B00-000008000000}" name="F32-39　その他の気分障害" dataDxfId="748"/>
    <tableColumn id="9" xr3:uid="{00000000-0010-0000-2B00-000009000000}" name="F4神経症性障害、ストレス関連障害及び身体表現性障害" dataDxfId="747"/>
    <tableColumn id="10" xr3:uid="{00000000-0010-0000-2B00-00000A000000}" name="F5生理的障害及び身体的要因に関連した行動症候群" dataDxfId="746"/>
    <tableColumn id="11" xr3:uid="{00000000-0010-0000-2B00-00000B000000}" name="F6成人のパーソナリティ及び行動の障害" dataDxfId="745"/>
    <tableColumn id="12" xr3:uid="{00000000-0010-0000-2B00-00000C000000}" name="F7精神遅滞〔知的障害〕" dataDxfId="744"/>
    <tableColumn id="13" xr3:uid="{00000000-0010-0000-2B00-00000D000000}" name="F8心理的発達の障害" dataDxfId="743"/>
    <tableColumn id="14" xr3:uid="{00000000-0010-0000-2B00-00000E000000}" name="F9小児期及び青年期に通常発症する行動及び情緒の障害及び特定不能の精神障害" dataDxfId="742"/>
    <tableColumn id="15" xr3:uid="{00000000-0010-0000-2B00-00000F000000}" name="アルコール覚せい剤を除く精神作用物質使用による精神及び行動の障害※" dataDxfId="741"/>
    <tableColumn id="16" xr3:uid="{00000000-0010-0000-2B00-000010000000}" name="その他" dataDxfId="740"/>
    <tableColumn id="17" xr3:uid="{00000000-0010-0000-2B00-000011000000}" name="てんかん（F0に属さないものを計上する）" dataDxfId="739"/>
    <tableColumn id="18" xr3:uid="{00000000-0010-0000-2B00-000012000000}" name="覚せい剤による精神及び行動の障害※" dataDxfId="738"/>
    <tableColumn id="19" xr3:uid="{00000000-0010-0000-2B00-000013000000}" name="不明" dataDxfId="737"/>
  </tableColumns>
  <tableStyleInfo name="TableStyleMedium2" showFirstColumn="0" showLastColumn="0" showRowStripes="1" showColumnStripes="0"/>
</table>
</file>

<file path=xl/tables/table4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5" xr:uid="{00000000-000C-0000-FFFF-FFFF2C000000}" name="阻害要因×疾患名" displayName="阻害要因×疾患名" ref="L14:AD34" totalsRowShown="0" headerRowDxfId="736" dataDxfId="735">
  <autoFilter ref="L14:AD34" xr:uid="{00000000-0009-0000-0100-00002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9">
    <tableColumn id="1" xr3:uid="{00000000-0010-0000-2C00-000001000000}" name="値" dataDxfId="734"/>
    <tableColumn id="2" xr3:uid="{00000000-0010-0000-2C00-000002000000}" name="(空白)" dataDxfId="733"/>
    <tableColumn id="3" xr3:uid="{00000000-0010-0000-2C00-000003000000}" name="F2統合失調症、統合失調症型障害及び妄想性障害" dataDxfId="732"/>
    <tableColumn id="4" xr3:uid="{00000000-0010-0000-2C00-000004000000}" name="F30‐31　躁病エピソード・双極性感情障害［躁うつ病］" dataDxfId="731"/>
    <tableColumn id="5" xr3:uid="{00000000-0010-0000-2C00-000005000000}" name="F02-09上記以外の症状性を含む器質性精神障害" dataDxfId="730"/>
    <tableColumn id="6" xr3:uid="{00000000-0010-0000-2C00-000006000000}" name="F32-39　その他の気分障害" dataDxfId="729"/>
    <tableColumn id="7" xr3:uid="{00000000-0010-0000-2C00-000007000000}" name="F7精神遅滞〔知的障害〕" dataDxfId="728"/>
    <tableColumn id="8" xr3:uid="{00000000-0010-0000-2C00-000008000000}" name="F01血管性認知症" dataDxfId="727"/>
    <tableColumn id="9" xr3:uid="{00000000-0010-0000-2C00-000009000000}" name="F00アルツハイマー病型認知症" dataDxfId="726"/>
    <tableColumn id="10" xr3:uid="{00000000-0010-0000-2C00-00000A000000}" name="F8心理的発達の障害" dataDxfId="725"/>
    <tableColumn id="11" xr3:uid="{00000000-0010-0000-2C00-00000B000000}" name="その他" dataDxfId="724"/>
    <tableColumn id="12" xr3:uid="{00000000-0010-0000-2C00-00000C000000}" name="アルコール覚せい剤を除く精神作用物質使用による精神及び行動の障害※" dataDxfId="723"/>
    <tableColumn id="13" xr3:uid="{00000000-0010-0000-2C00-00000D000000}" name="F10アルコール使用による精神及び行動の障害" dataDxfId="722"/>
    <tableColumn id="14" xr3:uid="{00000000-0010-0000-2C00-00000E000000}" name="F4神経症性障害、ストレス関連障害及び身体表現性障害" dataDxfId="721"/>
    <tableColumn id="15" xr3:uid="{00000000-0010-0000-2C00-00000F000000}" name="てんかん（F0に属さないものを計上する）" dataDxfId="720"/>
    <tableColumn id="16" xr3:uid="{00000000-0010-0000-2C00-000010000000}" name="覚せい剤による精神及び行動の障害※" dataDxfId="719"/>
    <tableColumn id="17" xr3:uid="{00000000-0010-0000-2C00-000011000000}" name="F6成人のパーソナリティ及び行動の障害" dataDxfId="718"/>
    <tableColumn id="18" xr3:uid="{00000000-0010-0000-2C00-000012000000}" name="F9小児期及び青年期に通常発症する行動及び情緒の障害及び特定不能の精神障害" dataDxfId="717"/>
    <tableColumn id="19" xr3:uid="{00000000-0010-0000-2C00-000013000000}" name="F5生理的障害及び身体的要因に関連した行動症候群" dataDxfId="716"/>
  </tableColumns>
  <tableStyleInfo name="TableStyleMedium2" showFirstColumn="0" showLastColumn="0" showRowStripes="1" showColumnStripes="0"/>
</table>
</file>

<file path=xl/tables/table4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6" xr:uid="{00000000-000C-0000-FFFF-FFFF2D000000}" name="阻害要因有無×疾患名＿寛解・院内寛解" displayName="阻害要因有無×疾患名＿寛解・院内寛解" ref="L45:AD47" totalsRowShown="0" headerRowDxfId="715" dataDxfId="714">
  <autoFilter ref="L45:AD47" xr:uid="{00000000-0009-0000-0100-00002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9">
    <tableColumn id="1" xr3:uid="{00000000-0010-0000-2D00-000001000000}" name="行ラベル" dataDxfId="713"/>
    <tableColumn id="2" xr3:uid="{00000000-0010-0000-2D00-000002000000}" name="F00アルツハイマー病型認知症" dataDxfId="712"/>
    <tableColumn id="3" xr3:uid="{00000000-0010-0000-2D00-000003000000}" name="F01血管性認知症" dataDxfId="711"/>
    <tableColumn id="4" xr3:uid="{00000000-0010-0000-2D00-000004000000}" name="F02-09上記以外の症状性を含む器質性精神障害" dataDxfId="710"/>
    <tableColumn id="5" xr3:uid="{00000000-0010-0000-2D00-000005000000}" name="F10アルコール使用による精神及び行動の障害" dataDxfId="709"/>
    <tableColumn id="6" xr3:uid="{00000000-0010-0000-2D00-000006000000}" name="F2統合失調症、統合失調症型障害及び妄想性障害" dataDxfId="708"/>
    <tableColumn id="7" xr3:uid="{00000000-0010-0000-2D00-000007000000}" name="F30‐31　躁病エピソード・双極性感情障害［躁うつ病］" dataDxfId="707"/>
    <tableColumn id="8" xr3:uid="{00000000-0010-0000-2D00-000008000000}" name="F32-39　その他の気分障害" dataDxfId="706"/>
    <tableColumn id="9" xr3:uid="{00000000-0010-0000-2D00-000009000000}" name="F4神経症性障害、ストレス関連障害及び身体表現性障害" dataDxfId="705"/>
    <tableColumn id="10" xr3:uid="{00000000-0010-0000-2D00-00000A000000}" name="F5生理的障害及び身体的要因に関連した行動症候群" dataDxfId="704"/>
    <tableColumn id="11" xr3:uid="{00000000-0010-0000-2D00-00000B000000}" name="F6成人のパーソナリティ及び行動の障害" dataDxfId="703"/>
    <tableColumn id="12" xr3:uid="{00000000-0010-0000-2D00-00000C000000}" name="F7精神遅滞〔知的障害〕" dataDxfId="702"/>
    <tableColumn id="13" xr3:uid="{00000000-0010-0000-2D00-00000D000000}" name="F8心理的発達の障害" dataDxfId="701"/>
    <tableColumn id="14" xr3:uid="{00000000-0010-0000-2D00-00000E000000}" name="F9小児期及び青年期に通常発症する行動及び情緒の障害及び特定不能の精神障害" dataDxfId="700"/>
    <tableColumn id="15" xr3:uid="{00000000-0010-0000-2D00-00000F000000}" name="アルコール覚せい剤を除く精神作用物質使用による精神及び行動の障害※" dataDxfId="699"/>
    <tableColumn id="16" xr3:uid="{00000000-0010-0000-2D00-000010000000}" name="その他" dataDxfId="698"/>
    <tableColumn id="17" xr3:uid="{00000000-0010-0000-2D00-000011000000}" name="てんかん（F0に属さないものを計上する）" dataDxfId="697"/>
    <tableColumn id="18" xr3:uid="{00000000-0010-0000-2D00-000012000000}" name="覚せい剤による精神及び行動の障害※" dataDxfId="696"/>
    <tableColumn id="19" xr3:uid="{00000000-0010-0000-2D00-000013000000}" name="不明" dataDxfId="695"/>
  </tableColumns>
  <tableStyleInfo name="TableStyleMedium2" showFirstColumn="0" showLastColumn="0" showRowStripes="1" showColumnStripes="0"/>
</table>
</file>

<file path=xl/tables/table4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7" xr:uid="{00000000-000C-0000-FFFF-FFFF2E000000}" name="阻害要因×疾患名＿寛解・院内寛解" displayName="阻害要因×疾患名＿寛解・院内寛解" ref="L49:AD69" totalsRowShown="0" headerRowDxfId="694" dataDxfId="693">
  <autoFilter ref="L49:AD69" xr:uid="{00000000-0009-0000-0100-00002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9">
    <tableColumn id="1" xr3:uid="{00000000-0010-0000-2E00-000001000000}" name="値" dataDxfId="692"/>
    <tableColumn id="2" xr3:uid="{00000000-0010-0000-2E00-000002000000}" name="F2統合失調症、統合失調症型障害及び妄想性障害" dataDxfId="691"/>
    <tableColumn id="3" xr3:uid="{00000000-0010-0000-2E00-000003000000}" name="F30‐31　躁病エピソード・双極性感情障害［躁うつ病］" dataDxfId="690"/>
    <tableColumn id="4" xr3:uid="{00000000-0010-0000-2E00-000004000000}" name="F02-09上記以外の症状性を含む器質性精神障害" dataDxfId="689"/>
    <tableColumn id="5" xr3:uid="{00000000-0010-0000-2E00-000005000000}" name="F32-39　その他の気分障害" dataDxfId="688"/>
    <tableColumn id="6" xr3:uid="{00000000-0010-0000-2E00-000006000000}" name="F7精神遅滞〔知的障害〕" dataDxfId="687"/>
    <tableColumn id="7" xr3:uid="{00000000-0010-0000-2E00-000007000000}" name="F01血管性認知症" dataDxfId="686"/>
    <tableColumn id="8" xr3:uid="{00000000-0010-0000-2E00-000008000000}" name="F00アルツハイマー病型認知症" dataDxfId="685"/>
    <tableColumn id="9" xr3:uid="{00000000-0010-0000-2E00-000009000000}" name="F8心理的発達の障害" dataDxfId="684"/>
    <tableColumn id="10" xr3:uid="{00000000-0010-0000-2E00-00000A000000}" name="その他" dataDxfId="683"/>
    <tableColumn id="11" xr3:uid="{00000000-0010-0000-2E00-00000B000000}" name="アルコール覚せい剤を除く精神作用物質使用による精神及び行動の障害※" dataDxfId="682"/>
    <tableColumn id="12" xr3:uid="{00000000-0010-0000-2E00-00000C000000}" name="F10アルコール使用による精神及び行動の障害" dataDxfId="681"/>
    <tableColumn id="13" xr3:uid="{00000000-0010-0000-2E00-00000D000000}" name="F4神経症性障害、ストレス関連障害及び身体表現性障害" dataDxfId="680"/>
    <tableColumn id="14" xr3:uid="{00000000-0010-0000-2E00-00000E000000}" name="てんかん（F0に属さないものを計上する）" dataDxfId="679"/>
    <tableColumn id="15" xr3:uid="{00000000-0010-0000-2E00-00000F000000}" name="覚せい剤による精神及び行動の障害※" dataDxfId="678"/>
    <tableColumn id="16" xr3:uid="{00000000-0010-0000-2E00-000010000000}" name="F6成人のパーソナリティ及び行動の障害" dataDxfId="677"/>
    <tableColumn id="17" xr3:uid="{00000000-0010-0000-2E00-000011000000}" name="F9小児期及び青年期に通常発症する行動及び情緒の障害及び特定不能の精神障害" dataDxfId="676"/>
    <tableColumn id="18" xr3:uid="{00000000-0010-0000-2E00-000012000000}" name="F5生理的障害及び身体的要因に関連した行動症候群" dataDxfId="675"/>
    <tableColumn id="19" xr3:uid="{00000000-0010-0000-2E00-000013000000}" name="総計" dataDxfId="674"/>
  </tableColumns>
  <tableStyleInfo name="TableStyleMedium2" showFirstColumn="0" showLastColumn="0" showRowStripes="1" showColumnStripes="0"/>
</table>
</file>

<file path=xl/tables/table4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8" xr:uid="{00000000-000C-0000-FFFF-FFFF2F000000}" name="年齢階層×在院期間区分F2" displayName="年齢階層×在院期間区分F2" ref="O3:AF12" totalsRowShown="0" headerRowDxfId="673" dataDxfId="672">
  <autoFilter ref="O3:AF12" xr:uid="{00000000-0009-0000-0100-00003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8">
    <tableColumn id="1" xr3:uid="{00000000-0010-0000-2F00-000001000000}" name="行ラベル" dataDxfId="671"/>
    <tableColumn id="2" xr3:uid="{00000000-0010-0000-2F00-000002000000}" name="01_1ヶ月未満" dataDxfId="670"/>
    <tableColumn id="3" xr3:uid="{00000000-0010-0000-2F00-000003000000}" name="02_1ヶ月～3ヶ月未満" dataDxfId="669"/>
    <tableColumn id="4" xr3:uid="{00000000-0010-0000-2F00-000004000000}" name="03_3ヶ月～6ヶ月未満" dataDxfId="668"/>
    <tableColumn id="5" xr3:uid="{00000000-0010-0000-2F00-000005000000}" name="04_6ヶ月～1年未満" dataDxfId="667"/>
    <tableColumn id="6" xr3:uid="{00000000-0010-0000-2F00-000006000000}" name="05_1年～1年6ヶ月未満" dataDxfId="666"/>
    <tableColumn id="7" xr3:uid="{00000000-0010-0000-2F00-000007000000}" name="06_1年6ヶ月～2年未満" dataDxfId="665"/>
    <tableColumn id="8" xr3:uid="{00000000-0010-0000-2F00-000008000000}" name="07_2年～3年未満" dataDxfId="664"/>
    <tableColumn id="9" xr3:uid="{00000000-0010-0000-2F00-000009000000}" name="08_3年～4年未満" dataDxfId="663"/>
    <tableColumn id="10" xr3:uid="{00000000-0010-0000-2F00-00000A000000}" name="09_4年～5年未満" dataDxfId="662"/>
    <tableColumn id="11" xr3:uid="{00000000-0010-0000-2F00-00000B000000}" name="10_5年～6年未満" dataDxfId="661"/>
    <tableColumn id="12" xr3:uid="{00000000-0010-0000-2F00-00000C000000}" name="11_6年～7年未満" dataDxfId="660"/>
    <tableColumn id="13" xr3:uid="{00000000-0010-0000-2F00-00000D000000}" name="12_7年～8年未満" dataDxfId="659"/>
    <tableColumn id="14" xr3:uid="{00000000-0010-0000-2F00-00000E000000}" name="13_8年～9年未満" dataDxfId="658"/>
    <tableColumn id="15" xr3:uid="{00000000-0010-0000-2F00-00000F000000}" name="14_9年～10年未満" dataDxfId="657"/>
    <tableColumn id="16" xr3:uid="{00000000-0010-0000-2F00-000010000000}" name="15_10年～20年未満" dataDxfId="656"/>
    <tableColumn id="17" xr3:uid="{00000000-0010-0000-2F00-000011000000}" name="16_ 20年以上" dataDxfId="655"/>
    <tableColumn id="18" xr3:uid="{00000000-0010-0000-2F00-000012000000}" name="列18" dataDxfId="654"/>
  </tableColumns>
  <tableStyleInfo name="TableStyleMedium2" showFirstColumn="0" showLastColumn="0" showRowStripes="1" showColumnStripes="0"/>
</table>
</file>

<file path=xl/tables/table4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9" xr:uid="{00000000-000C-0000-FFFF-FFFF30000000}" name="年齢階層×在院期間区分F2_65歳未満以上" displayName="年齢階層×在院期間区分F2_65歳未満以上" ref="O13:AF15" totalsRowShown="0" headerRowDxfId="653" dataDxfId="652">
  <autoFilter ref="O13:AF15" xr:uid="{00000000-0009-0000-0100-00003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8">
    <tableColumn id="1" xr3:uid="{00000000-0010-0000-3000-000001000000}" name="列1" dataDxfId="651"/>
    <tableColumn id="2" xr3:uid="{00000000-0010-0000-3000-000002000000}" name="01_1ヶ月未満" dataDxfId="650"/>
    <tableColumn id="3" xr3:uid="{00000000-0010-0000-3000-000003000000}" name="02_1ヶ月～3ヶ月未満" dataDxfId="649"/>
    <tableColumn id="4" xr3:uid="{00000000-0010-0000-3000-000004000000}" name="03_3ヶ月～6ヶ月未満" dataDxfId="648"/>
    <tableColumn id="5" xr3:uid="{00000000-0010-0000-3000-000005000000}" name="04_6ヶ月～1年未満" dataDxfId="647"/>
    <tableColumn id="6" xr3:uid="{00000000-0010-0000-3000-000006000000}" name="05_1年～1年6ヶ月未満" dataDxfId="646"/>
    <tableColumn id="7" xr3:uid="{00000000-0010-0000-3000-000007000000}" name="06_1年6ヶ月～2年未満" dataDxfId="645"/>
    <tableColumn id="8" xr3:uid="{00000000-0010-0000-3000-000008000000}" name="07_2年～3年未満" dataDxfId="644"/>
    <tableColumn id="9" xr3:uid="{00000000-0010-0000-3000-000009000000}" name="08_3年～4年未満" dataDxfId="643"/>
    <tableColumn id="10" xr3:uid="{00000000-0010-0000-3000-00000A000000}" name="09_4年～5年未満" dataDxfId="642"/>
    <tableColumn id="11" xr3:uid="{00000000-0010-0000-3000-00000B000000}" name="10_5年～6年未満" dataDxfId="641"/>
    <tableColumn id="12" xr3:uid="{00000000-0010-0000-3000-00000C000000}" name="11_6年～7年未満" dataDxfId="640"/>
    <tableColumn id="13" xr3:uid="{00000000-0010-0000-3000-00000D000000}" name="12_7年～8年未満" dataDxfId="639"/>
    <tableColumn id="14" xr3:uid="{00000000-0010-0000-3000-00000E000000}" name="13_8年～9年未満" dataDxfId="638"/>
    <tableColumn id="15" xr3:uid="{00000000-0010-0000-3000-00000F000000}" name="14_9年～10年未満" dataDxfId="637"/>
    <tableColumn id="16" xr3:uid="{00000000-0010-0000-3000-000010000000}" name="15_10年～20年未満" dataDxfId="636"/>
    <tableColumn id="17" xr3:uid="{00000000-0010-0000-3000-000011000000}" name="16_ 20年以上" dataDxfId="635"/>
    <tableColumn id="18" xr3:uid="{00000000-0010-0000-3000-000012000000}" name="列18" dataDxfId="634"/>
  </tableColumns>
  <tableStyleInfo name="TableStyleMedium2" showFirstColumn="0"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入院形態_寛解" displayName="入院形態_寛解" ref="G14:H22" totalsRowShown="0" headerRowDxfId="1013">
  <autoFilter ref="G14:H22" xr:uid="{00000000-0009-0000-0100-000005000000}">
    <filterColumn colId="0" hiddenButton="1"/>
    <filterColumn colId="1" hiddenButton="1"/>
  </autoFilter>
  <tableColumns count="2">
    <tableColumn id="1" xr3:uid="{00000000-0010-0000-0400-000001000000}" name="行ラベル" dataDxfId="1012"/>
    <tableColumn id="2" xr3:uid="{00000000-0010-0000-0400-000002000000}" name="データの個数 / 入院" dataDxfId="1011"/>
  </tableColumns>
  <tableStyleInfo name="TableStyleMedium2" showFirstColumn="0" showLastColumn="0" showRowStripes="1" showColumnStripes="0"/>
</table>
</file>

<file path=xl/tables/table5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0" xr:uid="{00000000-000C-0000-FFFF-FFFF31000000}" name="年齢階層×在院期間区分F2＿寛解・院内寛解" displayName="年齢階層×在院期間区分F2＿寛解・院内寛解" ref="O19:AE28" totalsRowShown="0" headerRowDxfId="633" dataDxfId="632">
  <autoFilter ref="O19:AE28" xr:uid="{00000000-0009-0000-0100-00003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100-000001000000}" name="行ラベル" dataDxfId="631"/>
    <tableColumn id="2" xr3:uid="{00000000-0010-0000-3100-000002000000}" name="01_1ヶ月未満" dataDxfId="630"/>
    <tableColumn id="3" xr3:uid="{00000000-0010-0000-3100-000003000000}" name="02_1ヶ月～3ヶ月未満" dataDxfId="629"/>
    <tableColumn id="4" xr3:uid="{00000000-0010-0000-3100-000004000000}" name="03_3ヶ月～6ヶ月未満" dataDxfId="628"/>
    <tableColumn id="5" xr3:uid="{00000000-0010-0000-3100-000005000000}" name="04_6ヶ月～1年未満" dataDxfId="627"/>
    <tableColumn id="6" xr3:uid="{00000000-0010-0000-3100-000006000000}" name="05_1年～1年6ヶ月未満" dataDxfId="626"/>
    <tableColumn id="7" xr3:uid="{00000000-0010-0000-3100-000007000000}" name="06_1年6ヶ月～2年未満" dataDxfId="625"/>
    <tableColumn id="8" xr3:uid="{00000000-0010-0000-3100-000008000000}" name="07_2年～3年未満" dataDxfId="624"/>
    <tableColumn id="9" xr3:uid="{00000000-0010-0000-3100-000009000000}" name="08_3年～4年未満" dataDxfId="623"/>
    <tableColumn id="10" xr3:uid="{00000000-0010-0000-3100-00000A000000}" name="09_4年～5年未満" dataDxfId="622"/>
    <tableColumn id="11" xr3:uid="{00000000-0010-0000-3100-00000B000000}" name="10_5年～6年未満" dataDxfId="621"/>
    <tableColumn id="12" xr3:uid="{00000000-0010-0000-3100-00000C000000}" name="11_6年～7年未満" dataDxfId="620"/>
    <tableColumn id="13" xr3:uid="{00000000-0010-0000-3100-00000D000000}" name="12_7年～8年未満" dataDxfId="619"/>
    <tableColumn id="14" xr3:uid="{00000000-0010-0000-3100-00000E000000}" name="13_8年～9年未満" dataDxfId="618"/>
    <tableColumn id="15" xr3:uid="{00000000-0010-0000-3100-00000F000000}" name="14_9年～10年未満" dataDxfId="617"/>
    <tableColumn id="16" xr3:uid="{00000000-0010-0000-3100-000010000000}" name="15_10年～20年未満" dataDxfId="616"/>
    <tableColumn id="17" xr3:uid="{00000000-0010-0000-3100-000011000000}" name="16_ 20年以上" dataDxfId="615"/>
  </tableColumns>
  <tableStyleInfo name="TableStyleMedium2" showFirstColumn="0" showLastColumn="0" showRowStripes="1" showColumnStripes="0"/>
</table>
</file>

<file path=xl/tables/table5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1" xr:uid="{00000000-000C-0000-FFFF-FFFF32000000}" name="年齢階層×在院期間区分F2_65歳未満以上＿寛解・院内寛解" displayName="年齢階層×在院期間区分F2_65歳未満以上＿寛解・院内寛解" ref="O29:AE31" totalsRowShown="0" headerRowDxfId="614">
  <autoFilter ref="O29:AE31" xr:uid="{00000000-0009-0000-0100-00003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200-000001000000}" name="列1" dataDxfId="613"/>
    <tableColumn id="2" xr3:uid="{00000000-0010-0000-3200-000002000000}" name="01_1ヶ月未満" dataDxfId="612"/>
    <tableColumn id="3" xr3:uid="{00000000-0010-0000-3200-000003000000}" name="02_1ヶ月～3ヶ月未満" dataDxfId="611"/>
    <tableColumn id="4" xr3:uid="{00000000-0010-0000-3200-000004000000}" name="03_3ヶ月～6ヶ月未満" dataDxfId="610"/>
    <tableColumn id="5" xr3:uid="{00000000-0010-0000-3200-000005000000}" name="04_6ヶ月～1年未満" dataDxfId="609"/>
    <tableColumn id="6" xr3:uid="{00000000-0010-0000-3200-000006000000}" name="05_1年～1年6ヶ月未満" dataDxfId="608"/>
    <tableColumn id="7" xr3:uid="{00000000-0010-0000-3200-000007000000}" name="06_1年6ヶ月～2年未満" dataDxfId="607"/>
    <tableColumn id="8" xr3:uid="{00000000-0010-0000-3200-000008000000}" name="07_2年～3年未満" dataDxfId="606"/>
    <tableColumn id="9" xr3:uid="{00000000-0010-0000-3200-000009000000}" name="08_3年～4年未満" dataDxfId="605"/>
    <tableColumn id="10" xr3:uid="{00000000-0010-0000-3200-00000A000000}" name="09_4年～5年未満" dataDxfId="604"/>
    <tableColumn id="11" xr3:uid="{00000000-0010-0000-3200-00000B000000}" name="10_5年～6年未満" dataDxfId="603"/>
    <tableColumn id="12" xr3:uid="{00000000-0010-0000-3200-00000C000000}" name="11_6年～7年未満" dataDxfId="602"/>
    <tableColumn id="13" xr3:uid="{00000000-0010-0000-3200-00000D000000}" name="12_7年～8年未満" dataDxfId="601"/>
    <tableColumn id="14" xr3:uid="{00000000-0010-0000-3200-00000E000000}" name="13_8年～9年未満" dataDxfId="600"/>
    <tableColumn id="15" xr3:uid="{00000000-0010-0000-3200-00000F000000}" name="14_9年～10年未満" dataDxfId="599"/>
    <tableColumn id="16" xr3:uid="{00000000-0010-0000-3200-000010000000}" name="15_10年～20年未満" dataDxfId="598"/>
    <tableColumn id="17" xr3:uid="{00000000-0010-0000-3200-000011000000}" name="16_ 20年以上" dataDxfId="597"/>
  </tableColumns>
  <tableStyleInfo name="TableStyleMedium2" showFirstColumn="0" showLastColumn="0" showRowStripes="1" showColumnStripes="0"/>
</table>
</file>

<file path=xl/tables/table5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2" xr:uid="{00000000-000C-0000-FFFF-FFFF33000000}" name="年齢階層×在院期間区分F00F01" displayName="年齢階層×在院期間区分F00F01" ref="O3:AE12" totalsRowShown="0" headerRowDxfId="596" dataDxfId="595">
  <autoFilter ref="O3:AE12" xr:uid="{00000000-0009-0000-0100-00003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300-000001000000}" name="行ラベル" dataDxfId="594"/>
    <tableColumn id="2" xr3:uid="{00000000-0010-0000-3300-000002000000}" name="01_1ヶ月未満" dataDxfId="593"/>
    <tableColumn id="3" xr3:uid="{00000000-0010-0000-3300-000003000000}" name="02_1ヶ月～3ヶ月未満" dataDxfId="592"/>
    <tableColumn id="4" xr3:uid="{00000000-0010-0000-3300-000004000000}" name="03_3ヶ月～6ヶ月未満" dataDxfId="591"/>
    <tableColumn id="5" xr3:uid="{00000000-0010-0000-3300-000005000000}" name="04_6ヶ月～1年未満" dataDxfId="590"/>
    <tableColumn id="6" xr3:uid="{00000000-0010-0000-3300-000006000000}" name="05_1年～1年6ヶ月未満" dataDxfId="589"/>
    <tableColumn id="7" xr3:uid="{00000000-0010-0000-3300-000007000000}" name="06_1年6ヶ月～2年未満" dataDxfId="588"/>
    <tableColumn id="8" xr3:uid="{00000000-0010-0000-3300-000008000000}" name="07_2年～3年未満" dataDxfId="587"/>
    <tableColumn id="9" xr3:uid="{00000000-0010-0000-3300-000009000000}" name="08_3年～4年未満" dataDxfId="586"/>
    <tableColumn id="10" xr3:uid="{00000000-0010-0000-3300-00000A000000}" name="09_4年～5年未満" dataDxfId="585"/>
    <tableColumn id="11" xr3:uid="{00000000-0010-0000-3300-00000B000000}" name="10_5年～6年未満" dataDxfId="584"/>
    <tableColumn id="12" xr3:uid="{00000000-0010-0000-3300-00000C000000}" name="11_6年～7年未満" dataDxfId="583"/>
    <tableColumn id="13" xr3:uid="{00000000-0010-0000-3300-00000D000000}" name="12_7年～8年未満" dataDxfId="582"/>
    <tableColumn id="14" xr3:uid="{00000000-0010-0000-3300-00000E000000}" name="13_8年～9年未満" dataDxfId="581"/>
    <tableColumn id="15" xr3:uid="{00000000-0010-0000-3300-00000F000000}" name="14_9年～10年未満" dataDxfId="580"/>
    <tableColumn id="16" xr3:uid="{00000000-0010-0000-3300-000010000000}" name="15_10年～20年未満" dataDxfId="579"/>
    <tableColumn id="17" xr3:uid="{00000000-0010-0000-3300-000011000000}" name="16_ 20年以上" dataDxfId="578"/>
  </tableColumns>
  <tableStyleInfo name="TableStyleMedium2" showFirstColumn="0" showLastColumn="0" showRowStripes="1" showColumnStripes="0"/>
</table>
</file>

<file path=xl/tables/table5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3" xr:uid="{00000000-000C-0000-FFFF-FFFF34000000}" name="年齢階層×在院期間区分F00F01_65歳未満以上" displayName="年齢階層×在院期間区分F00F01_65歳未満以上" ref="O13:AE15" totalsRowShown="0" headerRowDxfId="577" dataDxfId="576">
  <autoFilter ref="O13:AE15" xr:uid="{00000000-0009-0000-0100-00003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400-000001000000}" name="列1" dataDxfId="575"/>
    <tableColumn id="2" xr3:uid="{00000000-0010-0000-3400-000002000000}" name="01_1ヶ月未満" dataDxfId="574"/>
    <tableColumn id="3" xr3:uid="{00000000-0010-0000-3400-000003000000}" name="02_1ヶ月～3ヶ月未満" dataDxfId="573"/>
    <tableColumn id="4" xr3:uid="{00000000-0010-0000-3400-000004000000}" name="03_3ヶ月～6ヶ月未満" dataDxfId="572"/>
    <tableColumn id="5" xr3:uid="{00000000-0010-0000-3400-000005000000}" name="04_6ヶ月～1年未満" dataDxfId="571"/>
    <tableColumn id="6" xr3:uid="{00000000-0010-0000-3400-000006000000}" name="05_1年～1年6ヶ月未満" dataDxfId="570"/>
    <tableColumn id="7" xr3:uid="{00000000-0010-0000-3400-000007000000}" name="06_1年6ヶ月～2年未満" dataDxfId="569"/>
    <tableColumn id="8" xr3:uid="{00000000-0010-0000-3400-000008000000}" name="07_2年～3年未満" dataDxfId="568"/>
    <tableColumn id="9" xr3:uid="{00000000-0010-0000-3400-000009000000}" name="08_3年～4年未満" dataDxfId="567"/>
    <tableColumn id="10" xr3:uid="{00000000-0010-0000-3400-00000A000000}" name="09_4年～5年未満" dataDxfId="566"/>
    <tableColumn id="11" xr3:uid="{00000000-0010-0000-3400-00000B000000}" name="10_5年～6年未満" dataDxfId="565"/>
    <tableColumn id="12" xr3:uid="{00000000-0010-0000-3400-00000C000000}" name="11_6年～7年未満" dataDxfId="564"/>
    <tableColumn id="13" xr3:uid="{00000000-0010-0000-3400-00000D000000}" name="12_7年～8年未満" dataDxfId="563"/>
    <tableColumn id="14" xr3:uid="{00000000-0010-0000-3400-00000E000000}" name="13_8年～9年未満" dataDxfId="562"/>
    <tableColumn id="15" xr3:uid="{00000000-0010-0000-3400-00000F000000}" name="14_9年～10年未満" dataDxfId="561"/>
    <tableColumn id="16" xr3:uid="{00000000-0010-0000-3400-000010000000}" name="15_10年～20年未満" dataDxfId="560"/>
    <tableColumn id="17" xr3:uid="{00000000-0010-0000-3400-000011000000}" name="16_ 20年以上" dataDxfId="559"/>
  </tableColumns>
  <tableStyleInfo name="TableStyleMedium2" showFirstColumn="0" showLastColumn="0" showRowStripes="1" showColumnStripes="0"/>
</table>
</file>

<file path=xl/tables/table5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4" xr:uid="{00000000-000C-0000-FFFF-FFFF35000000}" name="年齢階層×在院期間区分F00F01＿寛解・院内寛解" displayName="年齢階層×在院期間区分F00F01＿寛解・院内寛解" ref="O19:AE28" totalsRowShown="0" headerRowDxfId="558" dataDxfId="557">
  <autoFilter ref="O19:AE28" xr:uid="{00000000-0009-0000-0100-00003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500-000001000000}" name="行ラベル" dataDxfId="556"/>
    <tableColumn id="2" xr3:uid="{00000000-0010-0000-3500-000002000000}" name="01_1ヶ月未満" dataDxfId="555"/>
    <tableColumn id="3" xr3:uid="{00000000-0010-0000-3500-000003000000}" name="02_1ヶ月～3ヶ月未満" dataDxfId="554"/>
    <tableColumn id="4" xr3:uid="{00000000-0010-0000-3500-000004000000}" name="03_3ヶ月～6ヶ月未満" dataDxfId="553"/>
    <tableColumn id="5" xr3:uid="{00000000-0010-0000-3500-000005000000}" name="04_6ヶ月～1年未満" dataDxfId="552"/>
    <tableColumn id="6" xr3:uid="{00000000-0010-0000-3500-000006000000}" name="05_1年～1年6ヶ月未満" dataDxfId="551"/>
    <tableColumn id="7" xr3:uid="{00000000-0010-0000-3500-000007000000}" name="06_1年6ヶ月～2年未満" dataDxfId="550"/>
    <tableColumn id="8" xr3:uid="{00000000-0010-0000-3500-000008000000}" name="07_2年～3年未満" dataDxfId="549"/>
    <tableColumn id="9" xr3:uid="{00000000-0010-0000-3500-000009000000}" name="08_3年～4年未満" dataDxfId="548"/>
    <tableColumn id="10" xr3:uid="{00000000-0010-0000-3500-00000A000000}" name="09_4年～5年未満" dataDxfId="547"/>
    <tableColumn id="11" xr3:uid="{00000000-0010-0000-3500-00000B000000}" name="10_5年～6年未満" dataDxfId="546"/>
    <tableColumn id="12" xr3:uid="{00000000-0010-0000-3500-00000C000000}" name="11_6年～7年未満" dataDxfId="545"/>
    <tableColumn id="13" xr3:uid="{00000000-0010-0000-3500-00000D000000}" name="12_7年～8年未満" dataDxfId="544"/>
    <tableColumn id="14" xr3:uid="{00000000-0010-0000-3500-00000E000000}" name="13_8年～9年未満" dataDxfId="543"/>
    <tableColumn id="15" xr3:uid="{00000000-0010-0000-3500-00000F000000}" name="14_9年～10年未満" dataDxfId="542"/>
    <tableColumn id="16" xr3:uid="{00000000-0010-0000-3500-000010000000}" name="15_10年～20年未満" dataDxfId="541"/>
    <tableColumn id="17" xr3:uid="{00000000-0010-0000-3500-000011000000}" name="16_ 20年以上" dataDxfId="540"/>
  </tableColumns>
  <tableStyleInfo name="TableStyleMedium2" showFirstColumn="0" showLastColumn="0" showRowStripes="1" showColumnStripes="0"/>
</table>
</file>

<file path=xl/tables/table5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5" xr:uid="{00000000-000C-0000-FFFF-FFFF36000000}" name="年齢階層×在院期間区分F00F01_65歳未満以上＿寛解・院内寛解" displayName="年齢階層×在院期間区分F00F01_65歳未満以上＿寛解・院内寛解" ref="O29:AE31" totalsRowShown="0" headerRowDxfId="539">
  <autoFilter ref="O29:AE31" xr:uid="{00000000-0009-0000-0100-00003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600-000001000000}" name="列1" dataDxfId="538"/>
    <tableColumn id="2" xr3:uid="{00000000-0010-0000-3600-000002000000}" name="01_1ヶ月未満" dataDxfId="537"/>
    <tableColumn id="3" xr3:uid="{00000000-0010-0000-3600-000003000000}" name="02_1ヶ月～3ヶ月未満" dataDxfId="536"/>
    <tableColumn id="4" xr3:uid="{00000000-0010-0000-3600-000004000000}" name="03_3ヶ月～6ヶ月未満" dataDxfId="535"/>
    <tableColumn id="5" xr3:uid="{00000000-0010-0000-3600-000005000000}" name="04_6ヶ月～1年未満" dataDxfId="534"/>
    <tableColumn id="6" xr3:uid="{00000000-0010-0000-3600-000006000000}" name="05_1年～1年6ヶ月未満" dataDxfId="533"/>
    <tableColumn id="7" xr3:uid="{00000000-0010-0000-3600-000007000000}" name="06_1年6ヶ月～2年未満" dataDxfId="532"/>
    <tableColumn id="8" xr3:uid="{00000000-0010-0000-3600-000008000000}" name="07_2年～3年未満" dataDxfId="531"/>
    <tableColumn id="9" xr3:uid="{00000000-0010-0000-3600-000009000000}" name="08_3年～4年未満" dataDxfId="530"/>
    <tableColumn id="10" xr3:uid="{00000000-0010-0000-3600-00000A000000}" name="09_4年～5年未満" dataDxfId="529"/>
    <tableColumn id="11" xr3:uid="{00000000-0010-0000-3600-00000B000000}" name="10_5年～6年未満" dataDxfId="528"/>
    <tableColumn id="12" xr3:uid="{00000000-0010-0000-3600-00000C000000}" name="11_6年～7年未満" dataDxfId="527"/>
    <tableColumn id="13" xr3:uid="{00000000-0010-0000-3600-00000D000000}" name="12_7年～8年未満" dataDxfId="526"/>
    <tableColumn id="14" xr3:uid="{00000000-0010-0000-3600-00000E000000}" name="13_8年～9年未満" dataDxfId="525"/>
    <tableColumn id="15" xr3:uid="{00000000-0010-0000-3600-00000F000000}" name="14_9年～10年未満" dataDxfId="524"/>
    <tableColumn id="16" xr3:uid="{00000000-0010-0000-3600-000010000000}" name="15_10年～20年未満" dataDxfId="523"/>
    <tableColumn id="17" xr3:uid="{00000000-0010-0000-3600-000011000000}" name="16_ 20年以上" dataDxfId="522"/>
  </tableColumns>
  <tableStyleInfo name="TableStyleMedium2" showFirstColumn="0" showLastColumn="0" showRowStripes="1" showColumnStripes="0"/>
</table>
</file>

<file path=xl/tables/table5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6" xr:uid="{00000000-000C-0000-FFFF-FFFF37000000}" name="年齢階層×在院期間区分F02F09" displayName="年齢階層×在院期間区分F02F09" ref="O4:AE13" totalsRowShown="0" headerRowDxfId="521" dataDxfId="520">
  <autoFilter ref="O4:AE13" xr:uid="{00000000-0009-0000-0100-00003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700-000001000000}" name="行ラベル" dataDxfId="519"/>
    <tableColumn id="2" xr3:uid="{00000000-0010-0000-3700-000002000000}" name="01_1ヶ月未満" dataDxfId="518"/>
    <tableColumn id="3" xr3:uid="{00000000-0010-0000-3700-000003000000}" name="02_1ヶ月～3ヶ月未満" dataDxfId="517"/>
    <tableColumn id="4" xr3:uid="{00000000-0010-0000-3700-000004000000}" name="03_3ヶ月～6ヶ月未満" dataDxfId="516"/>
    <tableColumn id="5" xr3:uid="{00000000-0010-0000-3700-000005000000}" name="04_6ヶ月～1年未満" dataDxfId="515"/>
    <tableColumn id="6" xr3:uid="{00000000-0010-0000-3700-000006000000}" name="05_1年～1年6ヶ月未満" dataDxfId="514"/>
    <tableColumn id="7" xr3:uid="{00000000-0010-0000-3700-000007000000}" name="06_1年6ヶ月～2年未満" dataDxfId="513"/>
    <tableColumn id="8" xr3:uid="{00000000-0010-0000-3700-000008000000}" name="07_2年～3年未満" dataDxfId="512"/>
    <tableColumn id="9" xr3:uid="{00000000-0010-0000-3700-000009000000}" name="08_3年～4年未満" dataDxfId="511"/>
    <tableColumn id="10" xr3:uid="{00000000-0010-0000-3700-00000A000000}" name="09_4年～5年未満" dataDxfId="510"/>
    <tableColumn id="11" xr3:uid="{00000000-0010-0000-3700-00000B000000}" name="10_5年～6年未満" dataDxfId="509"/>
    <tableColumn id="12" xr3:uid="{00000000-0010-0000-3700-00000C000000}" name="11_6年～7年未満" dataDxfId="508"/>
    <tableColumn id="13" xr3:uid="{00000000-0010-0000-3700-00000D000000}" name="12_7年～8年未満" dataDxfId="507"/>
    <tableColumn id="14" xr3:uid="{00000000-0010-0000-3700-00000E000000}" name="13_8年～9年未満" dataDxfId="506"/>
    <tableColumn id="15" xr3:uid="{00000000-0010-0000-3700-00000F000000}" name="14_9年～10年未満" dataDxfId="505"/>
    <tableColumn id="16" xr3:uid="{00000000-0010-0000-3700-000010000000}" name="15_10年～20年未満" dataDxfId="504"/>
    <tableColumn id="17" xr3:uid="{00000000-0010-0000-3700-000011000000}" name="16_ 20年以上" dataDxfId="503"/>
  </tableColumns>
  <tableStyleInfo name="TableStyleMedium2" showFirstColumn="0" showLastColumn="0" showRowStripes="1" showColumnStripes="0"/>
</table>
</file>

<file path=xl/tables/table5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7" xr:uid="{00000000-000C-0000-FFFF-FFFF38000000}" name="年齢階層×在院期間区分F02F09_65歳未満以上" displayName="年齢階層×在院期間区分F02F09_65歳未満以上" ref="O14:AE16" totalsRowShown="0" headerRowDxfId="502" dataDxfId="501">
  <autoFilter ref="O14:AE16" xr:uid="{00000000-0009-0000-0100-00003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800-000001000000}" name="列1" dataDxfId="500"/>
    <tableColumn id="2" xr3:uid="{00000000-0010-0000-3800-000002000000}" name="01_1ヶ月未満" dataDxfId="499"/>
    <tableColumn id="3" xr3:uid="{00000000-0010-0000-3800-000003000000}" name="02_1ヶ月～3ヶ月未満" dataDxfId="498"/>
    <tableColumn id="4" xr3:uid="{00000000-0010-0000-3800-000004000000}" name="03_3ヶ月～6ヶ月未満" dataDxfId="497"/>
    <tableColumn id="5" xr3:uid="{00000000-0010-0000-3800-000005000000}" name="04_6ヶ月～1年未満" dataDxfId="496"/>
    <tableColumn id="6" xr3:uid="{00000000-0010-0000-3800-000006000000}" name="05_1年～1年6ヶ月未満" dataDxfId="495"/>
    <tableColumn id="7" xr3:uid="{00000000-0010-0000-3800-000007000000}" name="06_1年6ヶ月～2年未満" dataDxfId="494"/>
    <tableColumn id="8" xr3:uid="{00000000-0010-0000-3800-000008000000}" name="07_2年～3年未満" dataDxfId="493"/>
    <tableColumn id="9" xr3:uid="{00000000-0010-0000-3800-000009000000}" name="08_3年～4年未満" dataDxfId="492"/>
    <tableColumn id="10" xr3:uid="{00000000-0010-0000-3800-00000A000000}" name="09_4年～5年未満" dataDxfId="491"/>
    <tableColumn id="11" xr3:uid="{00000000-0010-0000-3800-00000B000000}" name="10_5年～6年未満" dataDxfId="490"/>
    <tableColumn id="12" xr3:uid="{00000000-0010-0000-3800-00000C000000}" name="11_6年～7年未満" dataDxfId="489"/>
    <tableColumn id="13" xr3:uid="{00000000-0010-0000-3800-00000D000000}" name="12_7年～8年未満" dataDxfId="488"/>
    <tableColumn id="14" xr3:uid="{00000000-0010-0000-3800-00000E000000}" name="13_8年～9年未満" dataDxfId="487"/>
    <tableColumn id="15" xr3:uid="{00000000-0010-0000-3800-00000F000000}" name="14_9年～10年未満" dataDxfId="486"/>
    <tableColumn id="16" xr3:uid="{00000000-0010-0000-3800-000010000000}" name="15_10年～20年未満" dataDxfId="485"/>
    <tableColumn id="17" xr3:uid="{00000000-0010-0000-3800-000011000000}" name="16_ 20年以上" dataDxfId="484"/>
  </tableColumns>
  <tableStyleInfo name="TableStyleMedium2" showFirstColumn="0" showLastColumn="0" showRowStripes="1" showColumnStripes="0"/>
</table>
</file>

<file path=xl/tables/table5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8" xr:uid="{00000000-000C-0000-FFFF-FFFF39000000}" name="年齢階層×在院期間区分F02F09＿寛解・院内寛解" displayName="年齢階層×在院期間区分F02F09＿寛解・院内寛解" ref="O21:AE30" totalsRowShown="0" headerRowDxfId="483" dataDxfId="482">
  <autoFilter ref="O21:AE30" xr:uid="{00000000-0009-0000-0100-00003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900-000001000000}" name="行ラベル" dataDxfId="481"/>
    <tableColumn id="2" xr3:uid="{00000000-0010-0000-3900-000002000000}" name="01_1ヶ月未満" dataDxfId="480"/>
    <tableColumn id="3" xr3:uid="{00000000-0010-0000-3900-000003000000}" name="02_1ヶ月～3ヶ月未満" dataDxfId="479"/>
    <tableColumn id="4" xr3:uid="{00000000-0010-0000-3900-000004000000}" name="03_3ヶ月～6ヶ月未満" dataDxfId="478"/>
    <tableColumn id="5" xr3:uid="{00000000-0010-0000-3900-000005000000}" name="04_6ヶ月～1年未満" dataDxfId="477"/>
    <tableColumn id="6" xr3:uid="{00000000-0010-0000-3900-000006000000}" name="05_1年～1年6ヶ月未満" dataDxfId="476"/>
    <tableColumn id="7" xr3:uid="{00000000-0010-0000-3900-000007000000}" name="06_1年6ヶ月～2年未満" dataDxfId="475"/>
    <tableColumn id="8" xr3:uid="{00000000-0010-0000-3900-000008000000}" name="07_2年～3年未満" dataDxfId="474"/>
    <tableColumn id="9" xr3:uid="{00000000-0010-0000-3900-000009000000}" name="08_3年～4年未満" dataDxfId="473"/>
    <tableColumn id="10" xr3:uid="{00000000-0010-0000-3900-00000A000000}" name="09_4年～5年未満" dataDxfId="472"/>
    <tableColumn id="11" xr3:uid="{00000000-0010-0000-3900-00000B000000}" name="10_5年～6年未満" dataDxfId="471"/>
    <tableColumn id="12" xr3:uid="{00000000-0010-0000-3900-00000C000000}" name="11_6年～7年未満" dataDxfId="470"/>
    <tableColumn id="13" xr3:uid="{00000000-0010-0000-3900-00000D000000}" name="12_7年～8年未満" dataDxfId="469"/>
    <tableColumn id="14" xr3:uid="{00000000-0010-0000-3900-00000E000000}" name="13_8年～9年未満" dataDxfId="468"/>
    <tableColumn id="15" xr3:uid="{00000000-0010-0000-3900-00000F000000}" name="14_9年～10年未満" dataDxfId="467"/>
    <tableColumn id="16" xr3:uid="{00000000-0010-0000-3900-000010000000}" name="15_10年～20年未満" dataDxfId="466"/>
    <tableColumn id="17" xr3:uid="{00000000-0010-0000-3900-000011000000}" name="16_ 20年以上" dataDxfId="465"/>
  </tableColumns>
  <tableStyleInfo name="TableStyleMedium2" showFirstColumn="0" showLastColumn="0" showRowStripes="1" showColumnStripes="0"/>
</table>
</file>

<file path=xl/tables/table5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9" xr:uid="{00000000-000C-0000-FFFF-FFFF3A000000}" name="年齢階層×在院期間区分F02F09_65歳未満以上＿寛解・院内寛解" displayName="年齢階層×在院期間区分F02F09_65歳未満以上＿寛解・院内寛解" ref="O31:AE33" totalsRowShown="0" headerRowDxfId="464">
  <autoFilter ref="O31:AE33" xr:uid="{00000000-0009-0000-0100-00003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A00-000001000000}" name="列1" dataDxfId="463"/>
    <tableColumn id="2" xr3:uid="{00000000-0010-0000-3A00-000002000000}" name="01_1ヶ月未満" dataDxfId="462"/>
    <tableColumn id="3" xr3:uid="{00000000-0010-0000-3A00-000003000000}" name="02_1ヶ月～3ヶ月未満" dataDxfId="461"/>
    <tableColumn id="4" xr3:uid="{00000000-0010-0000-3A00-000004000000}" name="03_3ヶ月～6ヶ月未満" dataDxfId="460"/>
    <tableColumn id="5" xr3:uid="{00000000-0010-0000-3A00-000005000000}" name="04_6ヶ月～1年未満" dataDxfId="459"/>
    <tableColumn id="6" xr3:uid="{00000000-0010-0000-3A00-000006000000}" name="05_1年～1年6ヶ月未満" dataDxfId="458"/>
    <tableColumn id="7" xr3:uid="{00000000-0010-0000-3A00-000007000000}" name="06_1年6ヶ月～2年未満" dataDxfId="457"/>
    <tableColumn id="8" xr3:uid="{00000000-0010-0000-3A00-000008000000}" name="07_2年～3年未満" dataDxfId="456"/>
    <tableColumn id="9" xr3:uid="{00000000-0010-0000-3A00-000009000000}" name="08_3年～4年未満" dataDxfId="455"/>
    <tableColumn id="10" xr3:uid="{00000000-0010-0000-3A00-00000A000000}" name="09_4年～5年未満" dataDxfId="454"/>
    <tableColumn id="11" xr3:uid="{00000000-0010-0000-3A00-00000B000000}" name="10_5年～6年未満" dataDxfId="453"/>
    <tableColumn id="12" xr3:uid="{00000000-0010-0000-3A00-00000C000000}" name="11_6年～7年未満" dataDxfId="452"/>
    <tableColumn id="13" xr3:uid="{00000000-0010-0000-3A00-00000D000000}" name="12_7年～8年未満" dataDxfId="451"/>
    <tableColumn id="14" xr3:uid="{00000000-0010-0000-3A00-00000E000000}" name="13_8年～9年未満" dataDxfId="450"/>
    <tableColumn id="15" xr3:uid="{00000000-0010-0000-3A00-00000F000000}" name="14_9年～10年未満" dataDxfId="449"/>
    <tableColumn id="16" xr3:uid="{00000000-0010-0000-3A00-000010000000}" name="15_10年～20年未満" dataDxfId="448"/>
    <tableColumn id="17" xr3:uid="{00000000-0010-0000-3A00-000011000000}" name="16_ 20年以上" dataDxfId="447"/>
  </tableColumns>
  <tableStyleInfo name="TableStyleMedium2" showFirstColumn="0"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00000000-000C-0000-FFFF-FFFF05000000}" name="入院形態_院内寛解" displayName="入院形態_院内寛解" ref="J14:K22" totalsRowShown="0" headerRowDxfId="1010">
  <autoFilter ref="J14:K22" xr:uid="{00000000-0009-0000-0100-000007000000}">
    <filterColumn colId="0" hiddenButton="1"/>
    <filterColumn colId="1" hiddenButton="1"/>
  </autoFilter>
  <tableColumns count="2">
    <tableColumn id="1" xr3:uid="{00000000-0010-0000-0500-000001000000}" name="行ラベル" dataDxfId="1009"/>
    <tableColumn id="2" xr3:uid="{00000000-0010-0000-0500-000002000000}" name="データの個数 / 入院" dataDxfId="1008"/>
  </tableColumns>
  <tableStyleInfo name="TableStyleMedium2" showFirstColumn="0" showLastColumn="0" showRowStripes="1" showColumnStripes="0"/>
</table>
</file>

<file path=xl/tables/table6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0" xr:uid="{00000000-000C-0000-FFFF-FFFF3B000000}" name="年齢階層×在院期間区分F3" displayName="年齢階層×在院期間区分F3" ref="O3:AE12" totalsRowShown="0" headerRowDxfId="446" dataDxfId="445">
  <autoFilter ref="O3:AE12" xr:uid="{00000000-0009-0000-0100-00003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B00-000001000000}" name="行ラベル" dataDxfId="444"/>
    <tableColumn id="2" xr3:uid="{00000000-0010-0000-3B00-000002000000}" name="01_1ヶ月未満" dataDxfId="443"/>
    <tableColumn id="3" xr3:uid="{00000000-0010-0000-3B00-000003000000}" name="02_1ヶ月～3ヶ月未満" dataDxfId="442"/>
    <tableColumn id="4" xr3:uid="{00000000-0010-0000-3B00-000004000000}" name="03_3ヶ月～6ヶ月未満" dataDxfId="441"/>
    <tableColumn id="5" xr3:uid="{00000000-0010-0000-3B00-000005000000}" name="04_6ヶ月～1年未満" dataDxfId="440"/>
    <tableColumn id="6" xr3:uid="{00000000-0010-0000-3B00-000006000000}" name="05_1年～1年6ヶ月未満" dataDxfId="439"/>
    <tableColumn id="7" xr3:uid="{00000000-0010-0000-3B00-000007000000}" name="06_1年6ヶ月～2年未満" dataDxfId="438"/>
    <tableColumn id="8" xr3:uid="{00000000-0010-0000-3B00-000008000000}" name="07_2年～3年未満" dataDxfId="437"/>
    <tableColumn id="9" xr3:uid="{00000000-0010-0000-3B00-000009000000}" name="08_3年～4年未満" dataDxfId="436"/>
    <tableColumn id="10" xr3:uid="{00000000-0010-0000-3B00-00000A000000}" name="09_4年～5年未満" dataDxfId="435"/>
    <tableColumn id="11" xr3:uid="{00000000-0010-0000-3B00-00000B000000}" name="10_5年～6年未満" dataDxfId="434"/>
    <tableColumn id="12" xr3:uid="{00000000-0010-0000-3B00-00000C000000}" name="11_6年～7年未満" dataDxfId="433"/>
    <tableColumn id="13" xr3:uid="{00000000-0010-0000-3B00-00000D000000}" name="12_7年～8年未満" dataDxfId="432"/>
    <tableColumn id="14" xr3:uid="{00000000-0010-0000-3B00-00000E000000}" name="13_8年～9年未満" dataDxfId="431"/>
    <tableColumn id="15" xr3:uid="{00000000-0010-0000-3B00-00000F000000}" name="14_9年～10年未満" dataDxfId="430"/>
    <tableColumn id="16" xr3:uid="{00000000-0010-0000-3B00-000010000000}" name="15_10年～20年未満" dataDxfId="429"/>
    <tableColumn id="17" xr3:uid="{00000000-0010-0000-3B00-000011000000}" name="16_ 20年以上" dataDxfId="428"/>
  </tableColumns>
  <tableStyleInfo name="TableStyleMedium2" showFirstColumn="0" showLastColumn="0" showRowStripes="1" showColumnStripes="0"/>
</table>
</file>

<file path=xl/tables/table6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1" xr:uid="{00000000-000C-0000-FFFF-FFFF3C000000}" name="年齢階層×在院期間区分F3_65歳未満以上" displayName="年齢階層×在院期間区分F3_65歳未満以上" ref="O13:AE15" totalsRowShown="0" headerRowDxfId="427" dataDxfId="426">
  <autoFilter ref="O13:AE15" xr:uid="{00000000-0009-0000-0100-00003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C00-000001000000}" name="列1" dataDxfId="425"/>
    <tableColumn id="2" xr3:uid="{00000000-0010-0000-3C00-000002000000}" name="01_1ヶ月未満" dataDxfId="424"/>
    <tableColumn id="3" xr3:uid="{00000000-0010-0000-3C00-000003000000}" name="02_1ヶ月～3ヶ月未満" dataDxfId="423"/>
    <tableColumn id="4" xr3:uid="{00000000-0010-0000-3C00-000004000000}" name="03_3ヶ月～6ヶ月未満" dataDxfId="422"/>
    <tableColumn id="5" xr3:uid="{00000000-0010-0000-3C00-000005000000}" name="04_6ヶ月～1年未満" dataDxfId="421"/>
    <tableColumn id="6" xr3:uid="{00000000-0010-0000-3C00-000006000000}" name="05_1年～1年6ヶ月未満" dataDxfId="420"/>
    <tableColumn id="7" xr3:uid="{00000000-0010-0000-3C00-000007000000}" name="06_1年6ヶ月～2年未満" dataDxfId="419"/>
    <tableColumn id="8" xr3:uid="{00000000-0010-0000-3C00-000008000000}" name="07_2年～3年未満" dataDxfId="418"/>
    <tableColumn id="9" xr3:uid="{00000000-0010-0000-3C00-000009000000}" name="08_3年～4年未満" dataDxfId="417"/>
    <tableColumn id="10" xr3:uid="{00000000-0010-0000-3C00-00000A000000}" name="09_4年～5年未満" dataDxfId="416"/>
    <tableColumn id="11" xr3:uid="{00000000-0010-0000-3C00-00000B000000}" name="10_5年～6年未満" dataDxfId="415"/>
    <tableColumn id="12" xr3:uid="{00000000-0010-0000-3C00-00000C000000}" name="11_6年～7年未満" dataDxfId="414"/>
    <tableColumn id="13" xr3:uid="{00000000-0010-0000-3C00-00000D000000}" name="12_7年～8年未満" dataDxfId="413"/>
    <tableColumn id="14" xr3:uid="{00000000-0010-0000-3C00-00000E000000}" name="13_8年～9年未満" dataDxfId="412"/>
    <tableColumn id="15" xr3:uid="{00000000-0010-0000-3C00-00000F000000}" name="14_9年～10年未満" dataDxfId="411"/>
    <tableColumn id="16" xr3:uid="{00000000-0010-0000-3C00-000010000000}" name="15_10年～20年未満" dataDxfId="410"/>
    <tableColumn id="17" xr3:uid="{00000000-0010-0000-3C00-000011000000}" name="16_ 20年以上" dataDxfId="409"/>
  </tableColumns>
  <tableStyleInfo name="TableStyleMedium2" showFirstColumn="0" showLastColumn="0" showRowStripes="1" showColumnStripes="0"/>
</table>
</file>

<file path=xl/tables/table6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2" xr:uid="{00000000-000C-0000-FFFF-FFFF3D000000}" name="年齢階層×在院期間区分F3＿寛解・院内寛解" displayName="年齢階層×在院期間区分F3＿寛解・院内寛解" ref="O19:AE28" totalsRowShown="0" headerRowDxfId="408" dataDxfId="407">
  <autoFilter ref="O19:AE28" xr:uid="{00000000-0009-0000-0100-00003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D00-000001000000}" name="行ラベル" dataDxfId="406"/>
    <tableColumn id="2" xr3:uid="{00000000-0010-0000-3D00-000002000000}" name="01_1ヶ月未満" dataDxfId="405"/>
    <tableColumn id="3" xr3:uid="{00000000-0010-0000-3D00-000003000000}" name="02_1ヶ月～3ヶ月未満" dataDxfId="404"/>
    <tableColumn id="4" xr3:uid="{00000000-0010-0000-3D00-000004000000}" name="03_3ヶ月～6ヶ月未満" dataDxfId="403"/>
    <tableColumn id="5" xr3:uid="{00000000-0010-0000-3D00-000005000000}" name="04_6ヶ月～1年未満" dataDxfId="402"/>
    <tableColumn id="6" xr3:uid="{00000000-0010-0000-3D00-000006000000}" name="05_1年～1年6ヶ月未満" dataDxfId="401"/>
    <tableColumn id="7" xr3:uid="{00000000-0010-0000-3D00-000007000000}" name="06_1年6ヶ月～2年未満" dataDxfId="400"/>
    <tableColumn id="8" xr3:uid="{00000000-0010-0000-3D00-000008000000}" name="07_2年～3年未満" dataDxfId="399"/>
    <tableColumn id="9" xr3:uid="{00000000-0010-0000-3D00-000009000000}" name="08_3年～4年未満" dataDxfId="398"/>
    <tableColumn id="10" xr3:uid="{00000000-0010-0000-3D00-00000A000000}" name="09_4年～5年未満" dataDxfId="397"/>
    <tableColumn id="11" xr3:uid="{00000000-0010-0000-3D00-00000B000000}" name="10_5年～6年未満" dataDxfId="396"/>
    <tableColumn id="12" xr3:uid="{00000000-0010-0000-3D00-00000C000000}" name="11_6年～7年未満" dataDxfId="395"/>
    <tableColumn id="13" xr3:uid="{00000000-0010-0000-3D00-00000D000000}" name="12_7年～8年未満" dataDxfId="394"/>
    <tableColumn id="14" xr3:uid="{00000000-0010-0000-3D00-00000E000000}" name="13_8年～9年未満" dataDxfId="393"/>
    <tableColumn id="15" xr3:uid="{00000000-0010-0000-3D00-00000F000000}" name="14_9年～10年未満" dataDxfId="392"/>
    <tableColumn id="16" xr3:uid="{00000000-0010-0000-3D00-000010000000}" name="15_10年～20年未満" dataDxfId="391"/>
    <tableColumn id="17" xr3:uid="{00000000-0010-0000-3D00-000011000000}" name="16_ 20年以上" dataDxfId="390"/>
  </tableColumns>
  <tableStyleInfo name="TableStyleMedium2" showFirstColumn="0" showLastColumn="0" showRowStripes="1" showColumnStripes="0"/>
</table>
</file>

<file path=xl/tables/table6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3" xr:uid="{00000000-000C-0000-FFFF-FFFF3E000000}" name="年齢階層×在院期間区分F3_65歳未満以上＿寛解・院内寛解" displayName="年齢階層×在院期間区分F3_65歳未満以上＿寛解・院内寛解" ref="O29:AE31" totalsRowShown="0" headerRowDxfId="389" dataDxfId="388">
  <autoFilter ref="O29:AE31" xr:uid="{00000000-0009-0000-0100-00003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00000000-0010-0000-3E00-000001000000}" name="列1" dataDxfId="387"/>
    <tableColumn id="2" xr3:uid="{00000000-0010-0000-3E00-000002000000}" name="01_1ヶ月未満" dataDxfId="386"/>
    <tableColumn id="3" xr3:uid="{00000000-0010-0000-3E00-000003000000}" name="02_1ヶ月～3ヶ月未満" dataDxfId="385"/>
    <tableColumn id="4" xr3:uid="{00000000-0010-0000-3E00-000004000000}" name="03_3ヶ月～6ヶ月未満" dataDxfId="384"/>
    <tableColumn id="5" xr3:uid="{00000000-0010-0000-3E00-000005000000}" name="04_6ヶ月～1年未満" dataDxfId="383"/>
    <tableColumn id="6" xr3:uid="{00000000-0010-0000-3E00-000006000000}" name="05_1年～1年6ヶ月未満" dataDxfId="382"/>
    <tableColumn id="7" xr3:uid="{00000000-0010-0000-3E00-000007000000}" name="06_1年6ヶ月～2年未満" dataDxfId="381"/>
    <tableColumn id="8" xr3:uid="{00000000-0010-0000-3E00-000008000000}" name="07_2年～3年未満" dataDxfId="380"/>
    <tableColumn id="9" xr3:uid="{00000000-0010-0000-3E00-000009000000}" name="08_3年～4年未満" dataDxfId="379"/>
    <tableColumn id="10" xr3:uid="{00000000-0010-0000-3E00-00000A000000}" name="09_4年～5年未満" dataDxfId="378"/>
    <tableColumn id="11" xr3:uid="{00000000-0010-0000-3E00-00000B000000}" name="10_5年～6年未満" dataDxfId="377"/>
    <tableColumn id="12" xr3:uid="{00000000-0010-0000-3E00-00000C000000}" name="11_6年～7年未満" dataDxfId="376"/>
    <tableColumn id="13" xr3:uid="{00000000-0010-0000-3E00-00000D000000}" name="12_7年～8年未満" dataDxfId="375"/>
    <tableColumn id="14" xr3:uid="{00000000-0010-0000-3E00-00000E000000}" name="13_8年～9年未満" dataDxfId="374"/>
    <tableColumn id="15" xr3:uid="{00000000-0010-0000-3E00-00000F000000}" name="14_9年～10年未満" dataDxfId="373"/>
    <tableColumn id="16" xr3:uid="{00000000-0010-0000-3E00-000010000000}" name="15_10年～20年未満" dataDxfId="372"/>
    <tableColumn id="17" xr3:uid="{00000000-0010-0000-3E00-000011000000}" name="16_ 20年以上" dataDxfId="371"/>
  </tableColumns>
  <tableStyleInfo name="TableStyleMedium2" showFirstColumn="0" showLastColumn="0" showRowStripes="1" showColumnStripes="0"/>
</table>
</file>

<file path=xl/tables/table6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4" xr:uid="{00000000-000C-0000-FFFF-FFFF3F000000}" name="年齢区分病院圏域" displayName="年齢区分病院圏域" ref="M3:AE13" totalsRowShown="0" headerRowDxfId="370" dataDxfId="369" tableBorderDxfId="368">
  <autoFilter ref="M3:AE13" xr:uid="{00000000-0009-0000-0100-000040000000}"/>
  <tableColumns count="19">
    <tableColumn id="1" xr3:uid="{00000000-0010-0000-3F00-000001000000}" name="01豊能北" dataDxfId="367"/>
    <tableColumn id="2" xr3:uid="{00000000-0010-0000-3F00-000002000000}" name="02豊能豊中" dataDxfId="366"/>
    <tableColumn id="3" xr3:uid="{00000000-0010-0000-3F00-000003000000}" name="03豊能吹田" dataDxfId="365"/>
    <tableColumn id="4" xr3:uid="{00000000-0010-0000-3F00-000004000000}" name="04三島" dataDxfId="364"/>
    <tableColumn id="5" xr3:uid="{00000000-0010-0000-3F00-000005000000}" name="05三島高槻" dataDxfId="363"/>
    <tableColumn id="6" xr3:uid="{00000000-0010-0000-3F00-000006000000}" name="06北河内枚方" dataDxfId="362"/>
    <tableColumn id="7" xr3:uid="{00000000-0010-0000-3F00-000007000000}" name="07北河内寝屋川" dataDxfId="361"/>
    <tableColumn id="8" xr3:uid="{00000000-0010-0000-3F00-000008000000}" name="08北河内西" dataDxfId="360"/>
    <tableColumn id="9" xr3:uid="{00000000-0010-0000-3F00-000009000000}" name="09北河内東" dataDxfId="359"/>
    <tableColumn id="10" xr3:uid="{00000000-0010-0000-3F00-00000A000000}" name="10中河内東大阪" dataDxfId="358"/>
    <tableColumn id="11" xr3:uid="{00000000-0010-0000-3F00-00000B000000}" name="11中河内八尾" dataDxfId="357"/>
    <tableColumn id="12" xr3:uid="{00000000-0010-0000-3F00-00000C000000}" name="12中河内南" dataDxfId="356"/>
    <tableColumn id="13" xr3:uid="{00000000-0010-0000-3F00-00000D000000}" name="13南河内北" dataDxfId="355"/>
    <tableColumn id="14" xr3:uid="{00000000-0010-0000-3F00-00000E000000}" name="14南河内南" dataDxfId="354"/>
    <tableColumn id="15" xr3:uid="{00000000-0010-0000-3F00-00000F000000}" name="15泉州北" dataDxfId="353"/>
    <tableColumn id="16" xr3:uid="{00000000-0010-0000-3F00-000010000000}" name="16泉州中" dataDxfId="352"/>
    <tableColumn id="17" xr3:uid="{00000000-0010-0000-3F00-000011000000}" name="17泉州南" dataDxfId="351"/>
    <tableColumn id="18" xr3:uid="{00000000-0010-0000-3F00-000012000000}" name="18大阪市" dataDxfId="350"/>
    <tableColumn id="19" xr3:uid="{00000000-0010-0000-3F00-000013000000}" name="19堺市" dataDxfId="349"/>
  </tableColumns>
  <tableStyleInfo name="TableStyleMedium2" showFirstColumn="0" showLastColumn="0" showRowStripes="1" showColumnStripes="0"/>
</table>
</file>

<file path=xl/tables/table6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6" xr:uid="{00000000-000C-0000-FFFF-FFFF40000000}" name="年齢区分病院圏域_65歳未満以上" displayName="年齢区分病院圏域_65歳未満以上" ref="M14:AF16" totalsRowShown="0" headerRowDxfId="348" tableBorderDxfId="347">
  <autoFilter ref="M14:AF16" xr:uid="{00000000-0009-0000-0100-000042000000}"/>
  <tableColumns count="20">
    <tableColumn id="1" xr3:uid="{00000000-0010-0000-4000-000001000000}" name="列1"/>
    <tableColumn id="2" xr3:uid="{00000000-0010-0000-4000-000002000000}" name="列2"/>
    <tableColumn id="3" xr3:uid="{00000000-0010-0000-4000-000003000000}" name="列3"/>
    <tableColumn id="4" xr3:uid="{00000000-0010-0000-4000-000004000000}" name="列4"/>
    <tableColumn id="5" xr3:uid="{00000000-0010-0000-4000-000005000000}" name="列5"/>
    <tableColumn id="6" xr3:uid="{00000000-0010-0000-4000-000006000000}" name="列6"/>
    <tableColumn id="7" xr3:uid="{00000000-0010-0000-4000-000007000000}" name="列7"/>
    <tableColumn id="8" xr3:uid="{00000000-0010-0000-4000-000008000000}" name="列8"/>
    <tableColumn id="9" xr3:uid="{00000000-0010-0000-4000-000009000000}" name="列9"/>
    <tableColumn id="10" xr3:uid="{00000000-0010-0000-4000-00000A000000}" name="列10"/>
    <tableColumn id="11" xr3:uid="{00000000-0010-0000-4000-00000B000000}" name="列11"/>
    <tableColumn id="12" xr3:uid="{00000000-0010-0000-4000-00000C000000}" name="列12"/>
    <tableColumn id="13" xr3:uid="{00000000-0010-0000-4000-00000D000000}" name="列13"/>
    <tableColumn id="14" xr3:uid="{00000000-0010-0000-4000-00000E000000}" name="列14"/>
    <tableColumn id="15" xr3:uid="{00000000-0010-0000-4000-00000F000000}" name="列15"/>
    <tableColumn id="16" xr3:uid="{00000000-0010-0000-4000-000010000000}" name="列16"/>
    <tableColumn id="17" xr3:uid="{00000000-0010-0000-4000-000011000000}" name="列17"/>
    <tableColumn id="18" xr3:uid="{00000000-0010-0000-4000-000012000000}" name="列18"/>
    <tableColumn id="19" xr3:uid="{00000000-0010-0000-4000-000013000000}" name="列19"/>
    <tableColumn id="20" xr3:uid="{00000000-0010-0000-4000-000014000000}" name="列20" dataDxfId="346"/>
  </tableColumns>
  <tableStyleInfo name="TableStyleMedium2" showFirstColumn="0" showLastColumn="0" showRowStripes="1" showColumnStripes="0"/>
</table>
</file>

<file path=xl/tables/table6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5" xr:uid="{00000000-000C-0000-FFFF-FFFF41000000}" name="入院形態病院圏域" displayName="入院形態病院圏域" ref="M3:AF15" totalsRowShown="0" headerRowDxfId="345" dataDxfId="344">
  <autoFilter ref="M3:AF15" xr:uid="{00000000-0009-0000-0100-00004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00000000-0010-0000-4100-000001000000}" name="行ラベル" dataDxfId="343"/>
    <tableColumn id="2" xr3:uid="{00000000-0010-0000-4100-000002000000}" name="01豊能北" dataDxfId="342"/>
    <tableColumn id="3" xr3:uid="{00000000-0010-0000-4100-000003000000}" name="02豊能豊中" dataDxfId="341"/>
    <tableColumn id="4" xr3:uid="{00000000-0010-0000-4100-000004000000}" name="03豊能吹田" dataDxfId="340"/>
    <tableColumn id="5" xr3:uid="{00000000-0010-0000-4100-000005000000}" name="04三島" dataDxfId="339"/>
    <tableColumn id="6" xr3:uid="{00000000-0010-0000-4100-000006000000}" name="05三島高槻" dataDxfId="338"/>
    <tableColumn id="7" xr3:uid="{00000000-0010-0000-4100-000007000000}" name="06北河内枚方" dataDxfId="337"/>
    <tableColumn id="8" xr3:uid="{00000000-0010-0000-4100-000008000000}" name="07北河内寝屋川" dataDxfId="336"/>
    <tableColumn id="9" xr3:uid="{00000000-0010-0000-4100-000009000000}" name="08北河内西" dataDxfId="335"/>
    <tableColumn id="10" xr3:uid="{00000000-0010-0000-4100-00000A000000}" name="09北河内東" dataDxfId="334"/>
    <tableColumn id="11" xr3:uid="{00000000-0010-0000-4100-00000B000000}" name="10中河内東大阪" dataDxfId="333"/>
    <tableColumn id="12" xr3:uid="{00000000-0010-0000-4100-00000C000000}" name="11中河内八尾" dataDxfId="332"/>
    <tableColumn id="13" xr3:uid="{00000000-0010-0000-4100-00000D000000}" name="12中河内南" dataDxfId="331"/>
    <tableColumn id="14" xr3:uid="{00000000-0010-0000-4100-00000E000000}" name="13南河内北" dataDxfId="330"/>
    <tableColumn id="15" xr3:uid="{00000000-0010-0000-4100-00000F000000}" name="14南河内南" dataDxfId="329"/>
    <tableColumn id="16" xr3:uid="{00000000-0010-0000-4100-000010000000}" name="15泉州北" dataDxfId="328"/>
    <tableColumn id="17" xr3:uid="{00000000-0010-0000-4100-000011000000}" name="16泉州中" dataDxfId="327"/>
    <tableColumn id="18" xr3:uid="{00000000-0010-0000-4100-000012000000}" name="17泉州南" dataDxfId="326"/>
    <tableColumn id="19" xr3:uid="{00000000-0010-0000-4100-000013000000}" name="18大阪市" dataDxfId="325"/>
    <tableColumn id="20" xr3:uid="{00000000-0010-0000-4100-000014000000}" name="19堺市" dataDxfId="324"/>
  </tableColumns>
  <tableStyleInfo name="TableStyleMedium2" showFirstColumn="0" showLastColumn="0" showRowStripes="1" showColumnStripes="0"/>
</table>
</file>

<file path=xl/tables/table6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8" xr:uid="{00000000-000C-0000-FFFF-FFFF42000000}" name="疾患名区分病院所在地" displayName="疾患名区分病院所在地" ref="M3:AH22" totalsRowShown="0" headerRowDxfId="323" dataDxfId="322">
  <autoFilter ref="M3:AH22" xr:uid="{00000000-0009-0000-0100-00004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autoFilter>
  <tableColumns count="22">
    <tableColumn id="1" xr3:uid="{00000000-0010-0000-4200-000001000000}" name="行ラベル" dataDxfId="321"/>
    <tableColumn id="2" xr3:uid="{00000000-0010-0000-4200-000002000000}" name="01豊能北" dataDxfId="320"/>
    <tableColumn id="3" xr3:uid="{00000000-0010-0000-4200-000003000000}" name="02豊能豊中" dataDxfId="319"/>
    <tableColumn id="4" xr3:uid="{00000000-0010-0000-4200-000004000000}" name="03豊能吹田" dataDxfId="318"/>
    <tableColumn id="5" xr3:uid="{00000000-0010-0000-4200-000005000000}" name="04三島" dataDxfId="317"/>
    <tableColumn id="6" xr3:uid="{00000000-0010-0000-4200-000006000000}" name="05三島高槻" dataDxfId="316"/>
    <tableColumn id="7" xr3:uid="{00000000-0010-0000-4200-000007000000}" name="06北河内枚方" dataDxfId="315"/>
    <tableColumn id="8" xr3:uid="{00000000-0010-0000-4200-000008000000}" name="07北河内寝屋川" dataDxfId="314"/>
    <tableColumn id="9" xr3:uid="{00000000-0010-0000-4200-000009000000}" name="08北河内西" dataDxfId="313"/>
    <tableColumn id="10" xr3:uid="{00000000-0010-0000-4200-00000A000000}" name="09北河内東" dataDxfId="312"/>
    <tableColumn id="11" xr3:uid="{00000000-0010-0000-4200-00000B000000}" name="10中河内東大阪" dataDxfId="311"/>
    <tableColumn id="12" xr3:uid="{00000000-0010-0000-4200-00000C000000}" name="11中河内八尾" dataDxfId="310"/>
    <tableColumn id="13" xr3:uid="{00000000-0010-0000-4200-00000D000000}" name="12中河内南" dataDxfId="309"/>
    <tableColumn id="14" xr3:uid="{00000000-0010-0000-4200-00000E000000}" name="13南河内北" dataDxfId="308"/>
    <tableColumn id="15" xr3:uid="{00000000-0010-0000-4200-00000F000000}" name="14南河内南" dataDxfId="307"/>
    <tableColumn id="16" xr3:uid="{00000000-0010-0000-4200-000010000000}" name="15泉州北" dataDxfId="306"/>
    <tableColumn id="17" xr3:uid="{00000000-0010-0000-4200-000011000000}" name="16泉州中" dataDxfId="305"/>
    <tableColumn id="18" xr3:uid="{00000000-0010-0000-4200-000012000000}" name="17泉州南" dataDxfId="304"/>
    <tableColumn id="19" xr3:uid="{00000000-0010-0000-4200-000013000000}" name="18大阪市" dataDxfId="303"/>
    <tableColumn id="20" xr3:uid="{00000000-0010-0000-4200-000014000000}" name="19堺市" dataDxfId="302"/>
    <tableColumn id="21" xr3:uid="{00000000-0010-0000-4200-000015000000}" name="列21" dataDxfId="301"/>
    <tableColumn id="22" xr3:uid="{85182DFC-CDB3-40E3-AD5E-C08EFBFC2307}" name="列22" dataDxfId="300"/>
  </tableColumns>
  <tableStyleInfo name="TableStyleMedium2" showFirstColumn="0" showLastColumn="0" showRowStripes="1" showColumnStripes="0"/>
</table>
</file>

<file path=xl/tables/table6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7" xr:uid="{00000000-000C-0000-FFFF-FFFF43000000}" name="在院期間区分病院所在地" displayName="在院期間区分病院所在地" ref="M3:AG20" totalsRowShown="0" headerRowDxfId="299" dataDxfId="298">
  <autoFilter ref="M3:AG20" xr:uid="{00000000-0009-0000-0100-00004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1">
    <tableColumn id="1" xr3:uid="{00000000-0010-0000-4300-000001000000}" name="行ラベル" dataDxfId="297"/>
    <tableColumn id="2" xr3:uid="{00000000-0010-0000-4300-000002000000}" name="01豊能北" dataDxfId="296"/>
    <tableColumn id="3" xr3:uid="{00000000-0010-0000-4300-000003000000}" name="02豊能豊中" dataDxfId="295"/>
    <tableColumn id="4" xr3:uid="{00000000-0010-0000-4300-000004000000}" name="03豊能吹田" dataDxfId="294"/>
    <tableColumn id="5" xr3:uid="{00000000-0010-0000-4300-000005000000}" name="04三島" dataDxfId="293"/>
    <tableColumn id="6" xr3:uid="{00000000-0010-0000-4300-000006000000}" name="05三島高槻" dataDxfId="292"/>
    <tableColumn id="7" xr3:uid="{00000000-0010-0000-4300-000007000000}" name="06北河内枚方" dataDxfId="291"/>
    <tableColumn id="8" xr3:uid="{00000000-0010-0000-4300-000008000000}" name="07北河内寝屋川" dataDxfId="290"/>
    <tableColumn id="9" xr3:uid="{00000000-0010-0000-4300-000009000000}" name="08北河内西" dataDxfId="289"/>
    <tableColumn id="10" xr3:uid="{00000000-0010-0000-4300-00000A000000}" name="09北河内東" dataDxfId="288"/>
    <tableColumn id="11" xr3:uid="{00000000-0010-0000-4300-00000B000000}" name="10中河内東大阪" dataDxfId="287"/>
    <tableColumn id="12" xr3:uid="{00000000-0010-0000-4300-00000C000000}" name="11中河内八尾" dataDxfId="286"/>
    <tableColumn id="13" xr3:uid="{00000000-0010-0000-4300-00000D000000}" name="12中河内南" dataDxfId="285"/>
    <tableColumn id="14" xr3:uid="{00000000-0010-0000-4300-00000E000000}" name="13南河内北" dataDxfId="284"/>
    <tableColumn id="15" xr3:uid="{00000000-0010-0000-4300-00000F000000}" name="14南河内南" dataDxfId="283"/>
    <tableColumn id="16" xr3:uid="{00000000-0010-0000-4300-000010000000}" name="15泉州北" dataDxfId="282"/>
    <tableColumn id="17" xr3:uid="{00000000-0010-0000-4300-000011000000}" name="16泉州中" dataDxfId="281"/>
    <tableColumn id="18" xr3:uid="{00000000-0010-0000-4300-000012000000}" name="17泉州南" dataDxfId="280"/>
    <tableColumn id="19" xr3:uid="{00000000-0010-0000-4300-000013000000}" name="18大阪市" dataDxfId="279"/>
    <tableColumn id="20" xr3:uid="{00000000-0010-0000-4300-000014000000}" name="19堺市" dataDxfId="278"/>
    <tableColumn id="21" xr3:uid="{00000000-0010-0000-4300-000015000000}" name="列21" dataDxfId="277"/>
  </tableColumns>
  <tableStyleInfo name="TableStyleMedium2" showFirstColumn="0" showLastColumn="0" showRowStripes="1" showColumnStripes="0"/>
</table>
</file>

<file path=xl/tables/table6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5" xr:uid="{00000000-000C-0000-FFFF-FFFF44000000}" name="状態像区分病院所在地_1年以上" displayName="状態像区分病院所在地_1年以上" ref="M24:AG31" totalsRowShown="0" headerRowDxfId="276" dataDxfId="275" tableBorderDxfId="274">
  <autoFilter ref="M24:AG31" xr:uid="{00000000-0009-0000-0100-000055000000}"/>
  <tableColumns count="21">
    <tableColumn id="1" xr3:uid="{00000000-0010-0000-4400-000001000000}" name="行ラベル" dataDxfId="273"/>
    <tableColumn id="2" xr3:uid="{00000000-0010-0000-4400-000002000000}" name="01豊能北" dataDxfId="272"/>
    <tableColumn id="3" xr3:uid="{00000000-0010-0000-4400-000003000000}" name="02豊能豊中" dataDxfId="271"/>
    <tableColumn id="4" xr3:uid="{00000000-0010-0000-4400-000004000000}" name="03豊能吹田" dataDxfId="270"/>
    <tableColumn id="5" xr3:uid="{00000000-0010-0000-4400-000005000000}" name="04三島" dataDxfId="269"/>
    <tableColumn id="6" xr3:uid="{00000000-0010-0000-4400-000006000000}" name="05三島高槻" dataDxfId="268"/>
    <tableColumn id="7" xr3:uid="{00000000-0010-0000-4400-000007000000}" name="06北河内枚方" dataDxfId="267"/>
    <tableColumn id="8" xr3:uid="{00000000-0010-0000-4400-000008000000}" name="07北河内寝屋川" dataDxfId="266"/>
    <tableColumn id="9" xr3:uid="{00000000-0010-0000-4400-000009000000}" name="08北河内西" dataDxfId="265"/>
    <tableColumn id="10" xr3:uid="{00000000-0010-0000-4400-00000A000000}" name="09北河内東" dataDxfId="264"/>
    <tableColumn id="11" xr3:uid="{00000000-0010-0000-4400-00000B000000}" name="10中河内東大阪" dataDxfId="263"/>
    <tableColumn id="12" xr3:uid="{00000000-0010-0000-4400-00000C000000}" name="11中河内八尾" dataDxfId="262"/>
    <tableColumn id="13" xr3:uid="{00000000-0010-0000-4400-00000D000000}" name="12中河内南" dataDxfId="261"/>
    <tableColumn id="14" xr3:uid="{00000000-0010-0000-4400-00000E000000}" name="13南河内北" dataDxfId="260"/>
    <tableColumn id="15" xr3:uid="{00000000-0010-0000-4400-00000F000000}" name="14南河内南" dataDxfId="259"/>
    <tableColumn id="16" xr3:uid="{00000000-0010-0000-4400-000010000000}" name="15泉州北" dataDxfId="258"/>
    <tableColumn id="17" xr3:uid="{00000000-0010-0000-4400-000011000000}" name="16泉州中" dataDxfId="257"/>
    <tableColumn id="18" xr3:uid="{00000000-0010-0000-4400-000012000000}" name="17泉州南" dataDxfId="256"/>
    <tableColumn id="19" xr3:uid="{00000000-0010-0000-4400-000013000000}" name="19堺市" dataDxfId="255"/>
    <tableColumn id="20" xr3:uid="{00000000-0010-0000-4400-000014000000}" name="(空白)" dataDxfId="254"/>
    <tableColumn id="21" xr3:uid="{00000000-0010-0000-4400-000015000000}" name="列21" dataDxfId="253"/>
  </tableColumns>
  <tableStyleInfo name="TableStyleMedium2" showFirstColumn="0"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 xr:uid="{00000000-000C-0000-FFFF-FFFF06000000}" name="疾患別" displayName="疾患別" ref="B24:C42" totalsRowShown="0" headerRowDxfId="1007">
  <autoFilter ref="B24:C42" xr:uid="{00000000-0009-0000-0100-000008000000}">
    <filterColumn colId="0" hiddenButton="1"/>
    <filterColumn colId="1" hiddenButton="1"/>
  </autoFilter>
  <tableColumns count="2">
    <tableColumn id="1" xr3:uid="{00000000-0010-0000-0600-000001000000}" name="行ラベル" dataDxfId="1006"/>
    <tableColumn id="2" xr3:uid="{00000000-0010-0000-0600-000002000000}" name="データの個数 / 疾患名" dataDxfId="1005"/>
  </tableColumns>
  <tableStyleInfo name="TableStyleMedium2" showFirstColumn="0" showLastColumn="0" showRowStripes="1" showColumnStripes="0"/>
</table>
</file>

<file path=xl/tables/table7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6" xr:uid="{00000000-000C-0000-FFFF-FFFF45000000}" name="状態像区分病院所在地" displayName="状態像区分病院所在地" ref="M3:AG10" totalsRowShown="0" headerRowDxfId="252" dataDxfId="251">
  <autoFilter ref="M3:AG10" xr:uid="{00000000-0009-0000-0100-000056000000}"/>
  <tableColumns count="21">
    <tableColumn id="1" xr3:uid="{00000000-0010-0000-4500-000001000000}" name="行ラベル" dataDxfId="250"/>
    <tableColumn id="2" xr3:uid="{00000000-0010-0000-4500-000002000000}" name="01豊能北" dataDxfId="249"/>
    <tableColumn id="3" xr3:uid="{00000000-0010-0000-4500-000003000000}" name="02豊能豊中" dataDxfId="248"/>
    <tableColumn id="4" xr3:uid="{00000000-0010-0000-4500-000004000000}" name="03豊能吹田" dataDxfId="247"/>
    <tableColumn id="5" xr3:uid="{00000000-0010-0000-4500-000005000000}" name="04三島" dataDxfId="246"/>
    <tableColumn id="6" xr3:uid="{00000000-0010-0000-4500-000006000000}" name="05三島高槻" dataDxfId="245"/>
    <tableColumn id="7" xr3:uid="{00000000-0010-0000-4500-000007000000}" name="06北河内枚方" dataDxfId="244"/>
    <tableColumn id="8" xr3:uid="{00000000-0010-0000-4500-000008000000}" name="07北河内寝屋川" dataDxfId="243"/>
    <tableColumn id="9" xr3:uid="{00000000-0010-0000-4500-000009000000}" name="08北河内西" dataDxfId="242"/>
    <tableColumn id="10" xr3:uid="{00000000-0010-0000-4500-00000A000000}" name="09北河内東" dataDxfId="241"/>
    <tableColumn id="11" xr3:uid="{00000000-0010-0000-4500-00000B000000}" name="10中河内東大阪" dataDxfId="240"/>
    <tableColumn id="12" xr3:uid="{00000000-0010-0000-4500-00000C000000}" name="11中河内八尾" dataDxfId="239"/>
    <tableColumn id="13" xr3:uid="{00000000-0010-0000-4500-00000D000000}" name="12中河内南" dataDxfId="238"/>
    <tableColumn id="14" xr3:uid="{00000000-0010-0000-4500-00000E000000}" name="13南河内北" dataDxfId="237"/>
    <tableColumn id="15" xr3:uid="{00000000-0010-0000-4500-00000F000000}" name="14南河内南" dataDxfId="236"/>
    <tableColumn id="16" xr3:uid="{00000000-0010-0000-4500-000010000000}" name="15泉州北" dataDxfId="235"/>
    <tableColumn id="17" xr3:uid="{00000000-0010-0000-4500-000011000000}" name="16泉州中" dataDxfId="234"/>
    <tableColumn id="18" xr3:uid="{00000000-0010-0000-4500-000012000000}" name="17泉州南" dataDxfId="233"/>
    <tableColumn id="19" xr3:uid="{00000000-0010-0000-4500-000013000000}" name="18大阪市" dataDxfId="232"/>
    <tableColumn id="20" xr3:uid="{00000000-0010-0000-4500-000014000000}" name="19堺市" dataDxfId="231"/>
    <tableColumn id="21" xr3:uid="{00000000-0010-0000-4500-000015000000}" name="列21" dataDxfId="230"/>
  </tableColumns>
  <tableStyleInfo name="TableStyleMedium2" showFirstColumn="0" showLastColumn="0" showRowStripes="1" showColumnStripes="0"/>
</table>
</file>

<file path=xl/tables/table7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0" xr:uid="{00000000-000C-0000-FFFF-FFFF46000000}" name="退院予定有無病院所在地" displayName="退院予定有無病院所在地" ref="M3:AF7" totalsRowShown="0" headerRowDxfId="229" dataDxfId="228">
  <autoFilter ref="M3:AF7" xr:uid="{00000000-0009-0000-0100-00004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00000000-0010-0000-4600-000001000000}" name="行ラベル" dataDxfId="227"/>
    <tableColumn id="2" xr3:uid="{00000000-0010-0000-4600-000002000000}" name="01豊能北" dataDxfId="226"/>
    <tableColumn id="3" xr3:uid="{00000000-0010-0000-4600-000003000000}" name="02豊能豊中" dataDxfId="225"/>
    <tableColumn id="4" xr3:uid="{00000000-0010-0000-4600-000004000000}" name="03豊能吹田" dataDxfId="224"/>
    <tableColumn id="5" xr3:uid="{00000000-0010-0000-4600-000005000000}" name="04三島" dataDxfId="223"/>
    <tableColumn id="6" xr3:uid="{00000000-0010-0000-4600-000006000000}" name="05三島高槻" dataDxfId="222"/>
    <tableColumn id="7" xr3:uid="{00000000-0010-0000-4600-000007000000}" name="06北河内枚方" dataDxfId="221"/>
    <tableColumn id="8" xr3:uid="{00000000-0010-0000-4600-000008000000}" name="07北河内寝屋川" dataDxfId="220"/>
    <tableColumn id="9" xr3:uid="{00000000-0010-0000-4600-000009000000}" name="08北河内西" dataDxfId="219"/>
    <tableColumn id="10" xr3:uid="{00000000-0010-0000-4600-00000A000000}" name="09北河内東" dataDxfId="218"/>
    <tableColumn id="11" xr3:uid="{00000000-0010-0000-4600-00000B000000}" name="10中河内東大阪" dataDxfId="217"/>
    <tableColumn id="12" xr3:uid="{00000000-0010-0000-4600-00000C000000}" name="11中河内八尾" dataDxfId="216"/>
    <tableColumn id="13" xr3:uid="{00000000-0010-0000-4600-00000D000000}" name="12中河内南" dataDxfId="215"/>
    <tableColumn id="14" xr3:uid="{00000000-0010-0000-4600-00000E000000}" name="13南河内北" dataDxfId="214"/>
    <tableColumn id="15" xr3:uid="{00000000-0010-0000-4600-00000F000000}" name="14南河内南" dataDxfId="213"/>
    <tableColumn id="16" xr3:uid="{00000000-0010-0000-4600-000010000000}" name="15泉州北" dataDxfId="212"/>
    <tableColumn id="17" xr3:uid="{00000000-0010-0000-4600-000011000000}" name="16泉州中" dataDxfId="211"/>
    <tableColumn id="18" xr3:uid="{00000000-0010-0000-4600-000012000000}" name="17泉州南" dataDxfId="210"/>
    <tableColumn id="19" xr3:uid="{00000000-0010-0000-4600-000013000000}" name="18大阪市" dataDxfId="209"/>
    <tableColumn id="20" xr3:uid="{00000000-0010-0000-4600-000014000000}" name="19堺市" dataDxfId="208"/>
  </tableColumns>
  <tableStyleInfo name="TableStyleMedium2" showFirstColumn="0" showLastColumn="0" showRowStripes="1" showColumnStripes="0"/>
</table>
</file>

<file path=xl/tables/table7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1" xr:uid="{00000000-000C-0000-FFFF-FFFF47000000}" name="退院阻害要因有無病院所在地" displayName="退院阻害要因有無病院所在地" ref="M13:AF16" totalsRowShown="0" headerRowDxfId="207" dataDxfId="206">
  <autoFilter ref="M13:AF16" xr:uid="{00000000-0009-0000-0100-00004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00000000-0010-0000-4700-000001000000}" name="行ラベル" dataDxfId="205"/>
    <tableColumn id="2" xr3:uid="{00000000-0010-0000-4700-000002000000}" name="01豊能北" dataDxfId="204"/>
    <tableColumn id="3" xr3:uid="{00000000-0010-0000-4700-000003000000}" name="02豊能豊中" dataDxfId="203"/>
    <tableColumn id="4" xr3:uid="{00000000-0010-0000-4700-000004000000}" name="03豊能吹田" dataDxfId="202"/>
    <tableColumn id="5" xr3:uid="{00000000-0010-0000-4700-000005000000}" name="04三島" dataDxfId="201"/>
    <tableColumn id="6" xr3:uid="{00000000-0010-0000-4700-000006000000}" name="05三島高槻" dataDxfId="200"/>
    <tableColumn id="7" xr3:uid="{00000000-0010-0000-4700-000007000000}" name="06北河内枚方" dataDxfId="199"/>
    <tableColumn id="8" xr3:uid="{00000000-0010-0000-4700-000008000000}" name="07北河内寝屋川" dataDxfId="198"/>
    <tableColumn id="9" xr3:uid="{00000000-0010-0000-4700-000009000000}" name="08北河内西" dataDxfId="197"/>
    <tableColumn id="10" xr3:uid="{00000000-0010-0000-4700-00000A000000}" name="09北河内東" dataDxfId="196"/>
    <tableColumn id="11" xr3:uid="{00000000-0010-0000-4700-00000B000000}" name="10中河内東大阪" dataDxfId="195"/>
    <tableColumn id="12" xr3:uid="{00000000-0010-0000-4700-00000C000000}" name="11中河内八尾" dataDxfId="194"/>
    <tableColumn id="13" xr3:uid="{00000000-0010-0000-4700-00000D000000}" name="12中河内南" dataDxfId="193"/>
    <tableColumn id="14" xr3:uid="{00000000-0010-0000-4700-00000E000000}" name="13南河内北" dataDxfId="192"/>
    <tableColumn id="15" xr3:uid="{00000000-0010-0000-4700-00000F000000}" name="14南河内南" dataDxfId="191"/>
    <tableColumn id="16" xr3:uid="{00000000-0010-0000-4700-000010000000}" name="15泉州北" dataDxfId="190"/>
    <tableColumn id="17" xr3:uid="{00000000-0010-0000-4700-000011000000}" name="16泉州中" dataDxfId="189"/>
    <tableColumn id="18" xr3:uid="{00000000-0010-0000-4700-000012000000}" name="17泉州南" dataDxfId="188"/>
    <tableColumn id="19" xr3:uid="{00000000-0010-0000-4700-000013000000}" name="18大阪市" dataDxfId="187"/>
    <tableColumn id="20" xr3:uid="{00000000-0010-0000-4700-000014000000}" name="19堺市" dataDxfId="186"/>
  </tableColumns>
  <tableStyleInfo name="TableStyleMedium4" showFirstColumn="0" showLastColumn="0" showRowStripes="1" showColumnStripes="0"/>
</table>
</file>

<file path=xl/tables/table7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2" xr:uid="{00000000-000C-0000-FFFF-FFFF48000000}" name="退院阻害要因病院所在地" displayName="退院阻害要因病院所在地" ref="M23:AG43" totalsRowShown="0" headerRowDxfId="185" dataDxfId="184">
  <autoFilter ref="M23:AG43" xr:uid="{00000000-0009-0000-0100-00004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1">
    <tableColumn id="1" xr3:uid="{00000000-0010-0000-4800-000001000000}" name="値" dataDxfId="183"/>
    <tableColumn id="2" xr3:uid="{00000000-0010-0000-4800-000002000000}" name="01豊能北" dataDxfId="182"/>
    <tableColumn id="3" xr3:uid="{00000000-0010-0000-4800-000003000000}" name="02豊能豊中" dataDxfId="181"/>
    <tableColumn id="4" xr3:uid="{00000000-0010-0000-4800-000004000000}" name="03豊能吹田" dataDxfId="180"/>
    <tableColumn id="5" xr3:uid="{00000000-0010-0000-4800-000005000000}" name="04三島" dataDxfId="179"/>
    <tableColumn id="6" xr3:uid="{00000000-0010-0000-4800-000006000000}" name="05三島高槻" dataDxfId="178"/>
    <tableColumn id="7" xr3:uid="{00000000-0010-0000-4800-000007000000}" name="06北河内枚方" dataDxfId="177"/>
    <tableColumn id="8" xr3:uid="{00000000-0010-0000-4800-000008000000}" name="07北河内寝屋川" dataDxfId="176"/>
    <tableColumn id="9" xr3:uid="{00000000-0010-0000-4800-000009000000}" name="08北河内西" dataDxfId="175"/>
    <tableColumn id="10" xr3:uid="{00000000-0010-0000-4800-00000A000000}" name="09北河内東" dataDxfId="174"/>
    <tableColumn id="11" xr3:uid="{00000000-0010-0000-4800-00000B000000}" name="10中河内東大阪" dataDxfId="173"/>
    <tableColumn id="12" xr3:uid="{00000000-0010-0000-4800-00000C000000}" name="11中河内八尾" dataDxfId="172"/>
    <tableColumn id="13" xr3:uid="{00000000-0010-0000-4800-00000D000000}" name="12中河内南" dataDxfId="171"/>
    <tableColumn id="14" xr3:uid="{00000000-0010-0000-4800-00000E000000}" name="13南河内北" dataDxfId="170"/>
    <tableColumn id="15" xr3:uid="{00000000-0010-0000-4800-00000F000000}" name="14南河内南" dataDxfId="169"/>
    <tableColumn id="16" xr3:uid="{00000000-0010-0000-4800-000010000000}" name="15泉州北" dataDxfId="168"/>
    <tableColumn id="17" xr3:uid="{00000000-0010-0000-4800-000011000000}" name="16泉州中" dataDxfId="167"/>
    <tableColumn id="18" xr3:uid="{00000000-0010-0000-4800-000012000000}" name="17泉州南" dataDxfId="166"/>
    <tableColumn id="19" xr3:uid="{00000000-0010-0000-4800-000013000000}" name="18大阪市" dataDxfId="165"/>
    <tableColumn id="20" xr3:uid="{00000000-0010-0000-4800-000014000000}" name="19堺市" dataDxfId="164"/>
    <tableColumn id="21" xr3:uid="{00000000-0010-0000-4800-000015000000}" name="列21" dataDxfId="163"/>
  </tableColumns>
  <tableStyleInfo name="TableStyleMedium7" showFirstColumn="0" showLastColumn="0" showRowStripes="1" showColumnStripes="0"/>
</table>
</file>

<file path=xl/tables/table7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9" xr:uid="{A4E03D40-E323-40B1-9CC1-4F73D6887074}" name="年齢区分入院時住所地" displayName="年齢区分入院時住所地" ref="O3:AJ13" totalsRowShown="0" headerRowDxfId="162" tableBorderDxfId="161">
  <autoFilter ref="O3:AJ13" xr:uid="{A4E03D40-E323-40B1-9CC1-4F73D6887074}"/>
  <tableColumns count="22">
    <tableColumn id="1" xr3:uid="{86C4D0A5-C033-447A-B4BF-8CBFDCA41D30}" name="01豊能北" dataDxfId="160"/>
    <tableColumn id="2" xr3:uid="{4AE48B67-6AB8-44C9-AA4C-C6BF844E64DE}" name="02豊能豊中" dataDxfId="159"/>
    <tableColumn id="3" xr3:uid="{0469B2FF-67C8-45C3-A441-B0049A87A4CA}" name="03豊能吹田" dataDxfId="158"/>
    <tableColumn id="4" xr3:uid="{3F7DA84C-A4D0-48FE-8F55-EC0B821BD136}" name="04三島" dataDxfId="157"/>
    <tableColumn id="5" xr3:uid="{FC37FEAA-4603-4A6D-8D6C-83BF0D873635}" name="05三島高槻" dataDxfId="156"/>
    <tableColumn id="6" xr3:uid="{2F128723-2DFA-4B76-A2B6-85C694706F39}" name="06北河内枚方" dataDxfId="155"/>
    <tableColumn id="7" xr3:uid="{58802F0B-9F4A-4213-8927-12B201991957}" name="07北河内寝屋川" dataDxfId="154"/>
    <tableColumn id="8" xr3:uid="{DCB0C471-A732-4AFE-B1E4-AD8D77D6CE57}" name="08北河内西" dataDxfId="153"/>
    <tableColumn id="9" xr3:uid="{EBBC1F72-7D12-43EA-92DC-F7F78C5CF14C}" name="09北河内東" dataDxfId="152"/>
    <tableColumn id="10" xr3:uid="{FDD45692-6569-483D-B684-015A145F10B3}" name="10中河内東大阪" dataDxfId="151"/>
    <tableColumn id="11" xr3:uid="{B2FBA1FD-0345-4D62-A879-B5A56A4309B4}" name="11中河内八尾" dataDxfId="150"/>
    <tableColumn id="12" xr3:uid="{B1BF55E2-B44C-49A4-A62C-E27A1D00F7C5}" name="12中河内南" dataDxfId="149"/>
    <tableColumn id="13" xr3:uid="{AE78FF84-9888-4204-BF3B-816F3E8FF146}" name="13南河内北" dataDxfId="148"/>
    <tableColumn id="14" xr3:uid="{DC99001D-8DBB-425B-8ADE-A0B870E2126E}" name="14南河内南" dataDxfId="147"/>
    <tableColumn id="15" xr3:uid="{8682C063-EAB2-4AF5-91D8-48837593CB67}" name="15泉州北" dataDxfId="146"/>
    <tableColumn id="16" xr3:uid="{6C491B61-938B-4DDA-AD8A-988A617D263D}" name="16泉州中" dataDxfId="145"/>
    <tableColumn id="17" xr3:uid="{7A4FC426-6EF1-469D-ABE0-BCF454AB7FAD}" name="17泉州南" dataDxfId="144"/>
    <tableColumn id="18" xr3:uid="{57979831-15C8-440B-9DA0-DFCCAC3D7612}" name="18大阪市" dataDxfId="143"/>
    <tableColumn id="19" xr3:uid="{56E5F00B-8DC1-4BA8-9309-61E02A71E4DD}" name="19堺市" dataDxfId="142"/>
    <tableColumn id="20" xr3:uid="{B785B9AA-60CA-49F9-B166-1F59BC31A784}" name="98他府県"/>
    <tableColumn id="21" xr3:uid="{E5B5A80C-1801-4F4A-BDD4-07D55B5298B7}" name="99不明その他" dataDxfId="141"/>
    <tableColumn id="22" xr3:uid="{31799FDD-AC9D-4B68-808A-B01F24076690}" name="列22" dataDxfId="140"/>
  </tableColumns>
  <tableStyleInfo name="TableStyleMedium2" showFirstColumn="0" showLastColumn="0" showRowStripes="1" showColumnStripes="0"/>
</table>
</file>

<file path=xl/tables/table7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3" xr:uid="{0F68B571-9292-4FE0-9A74-05251D386B27}" name="年齢区分入院時住所地＿65歳未満以上" displayName="年齢区分入院時住所地＿65歳未満以上" ref="O14:AJ16" totalsRowShown="0" tableBorderDxfId="139">
  <autoFilter ref="O14:AJ16" xr:uid="{0F68B571-9292-4FE0-9A74-05251D386B27}"/>
  <tableColumns count="22">
    <tableColumn id="1" xr3:uid="{BB651549-6FCD-4478-BF4E-5318E4488AE1}" name="列1"/>
    <tableColumn id="2" xr3:uid="{6458FC45-46DA-4842-9511-79400E50D5D8}" name="列2"/>
    <tableColumn id="3" xr3:uid="{FE37FC5D-41BE-45A7-A697-7B6501B3260A}" name="列3" dataDxfId="138"/>
    <tableColumn id="4" xr3:uid="{1C1D3603-C22D-407A-9F6F-9CABCA684DF3}" name="列4" dataDxfId="137"/>
    <tableColumn id="5" xr3:uid="{1B247947-E47F-4E46-9253-D115171C5CE9}" name="列5" dataDxfId="136"/>
    <tableColumn id="6" xr3:uid="{C6FA064B-3805-4169-996C-95CE2B322183}" name="列6" dataDxfId="135"/>
    <tableColumn id="7" xr3:uid="{851F041F-047A-408B-9D98-D865FB3F8D49}" name="列7" dataDxfId="134"/>
    <tableColumn id="8" xr3:uid="{49771783-0F8F-4A9F-9100-E3279A7B344E}" name="列8" dataDxfId="133"/>
    <tableColumn id="9" xr3:uid="{10C0D21E-A50C-4180-B129-8C2A779264A7}" name="列9" dataDxfId="132"/>
    <tableColumn id="10" xr3:uid="{302936A5-7D42-4209-9AC3-E48A9B06C4F2}" name="列10" dataDxfId="131"/>
    <tableColumn id="11" xr3:uid="{54E928DD-0777-4CDF-A1ED-441BFEDCD4AF}" name="列11" dataDxfId="130"/>
    <tableColumn id="12" xr3:uid="{802884F2-BEED-4F56-8720-2102CC731C42}" name="列12" dataDxfId="129"/>
    <tableColumn id="13" xr3:uid="{A0633AEC-E804-4313-9B30-4041E7B2327A}" name="列13" dataDxfId="128"/>
    <tableColumn id="14" xr3:uid="{99CF6FD8-0D35-4875-BD9B-9C07909A3E5C}" name="列14" dataDxfId="127"/>
    <tableColumn id="15" xr3:uid="{109002C3-FE69-4AC7-B0D4-3D85B96323FE}" name="列15" dataDxfId="126"/>
    <tableColumn id="16" xr3:uid="{2CEC6ECB-55A3-4680-9F65-B3CFFFAFDC0B}" name="列16" dataDxfId="125"/>
    <tableColumn id="17" xr3:uid="{A58C843B-3830-4395-8588-A1FA325AC1BC}" name="列17" dataDxfId="124"/>
    <tableColumn id="18" xr3:uid="{6D438BEA-86E9-493C-9B1A-771740EA850D}" name="列18" dataDxfId="123"/>
    <tableColumn id="19" xr3:uid="{4AC30374-F8F1-4744-ABEB-D87BDB5F5070}" name="列19" dataDxfId="122"/>
    <tableColumn id="20" xr3:uid="{FB13A0D3-C81E-4D78-A7E6-9C896E7C813B}" name="列20" dataDxfId="121"/>
    <tableColumn id="21" xr3:uid="{C4783093-8523-48D0-ADAF-1F9E93274024}" name="列21" dataDxfId="120"/>
    <tableColumn id="22" xr3:uid="{E79D385F-3667-4CD9-AB9B-B61A531E386E}" name="列22" dataDxfId="119"/>
  </tableColumns>
  <tableStyleInfo name="TableStyleMedium2" showFirstColumn="0" showLastColumn="0" showRowStripes="1" showColumnStripes="0"/>
</table>
</file>

<file path=xl/tables/table7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8" xr:uid="{00000000-000C-0000-FFFF-FFFF4B000000}" name="入院形態入院時住所地" displayName="入院形態入院時住所地" ref="M3:AI11" totalsRowShown="0" headerRowDxfId="118" tableBorderDxfId="117">
  <autoFilter ref="M3:AI11" xr:uid="{00000000-0009-0000-0100-00004E000000}"/>
  <tableColumns count="23">
    <tableColumn id="1" xr3:uid="{00000000-0010-0000-4B00-000001000000}" name="行ラベル"/>
    <tableColumn id="2" xr3:uid="{00000000-0010-0000-4B00-000002000000}" name="01豊能北"/>
    <tableColumn id="3" xr3:uid="{00000000-0010-0000-4B00-000003000000}" name="02豊能豊中"/>
    <tableColumn id="4" xr3:uid="{00000000-0010-0000-4B00-000004000000}" name="03豊能吹田"/>
    <tableColumn id="5" xr3:uid="{00000000-0010-0000-4B00-000005000000}" name="04三島"/>
    <tableColumn id="6" xr3:uid="{00000000-0010-0000-4B00-000006000000}" name="05三島高槻"/>
    <tableColumn id="7" xr3:uid="{00000000-0010-0000-4B00-000007000000}" name="06北河内枚方"/>
    <tableColumn id="8" xr3:uid="{00000000-0010-0000-4B00-000008000000}" name="07北河内寝屋川"/>
    <tableColumn id="9" xr3:uid="{00000000-0010-0000-4B00-000009000000}" name="08北河内西"/>
    <tableColumn id="10" xr3:uid="{00000000-0010-0000-4B00-00000A000000}" name="09北河内東"/>
    <tableColumn id="11" xr3:uid="{00000000-0010-0000-4B00-00000B000000}" name="10中河内東大阪"/>
    <tableColumn id="12" xr3:uid="{00000000-0010-0000-4B00-00000C000000}" name="11中河内八尾"/>
    <tableColumn id="13" xr3:uid="{00000000-0010-0000-4B00-00000D000000}" name="12中河内南"/>
    <tableColumn id="14" xr3:uid="{00000000-0010-0000-4B00-00000E000000}" name="13南河内北"/>
    <tableColumn id="15" xr3:uid="{00000000-0010-0000-4B00-00000F000000}" name="14南河内南"/>
    <tableColumn id="16" xr3:uid="{00000000-0010-0000-4B00-000010000000}" name="15泉州北"/>
    <tableColumn id="17" xr3:uid="{00000000-0010-0000-4B00-000011000000}" name="16泉州中"/>
    <tableColumn id="18" xr3:uid="{00000000-0010-0000-4B00-000012000000}" name="17泉州南"/>
    <tableColumn id="19" xr3:uid="{00000000-0010-0000-4B00-000013000000}" name="18大阪市"/>
    <tableColumn id="20" xr3:uid="{00000000-0010-0000-4B00-000014000000}" name="19堺市"/>
    <tableColumn id="21" xr3:uid="{00000000-0010-0000-4B00-000015000000}" name="98他府県"/>
    <tableColumn id="22" xr3:uid="{00000000-0010-0000-4B00-000016000000}" name="99不明その他" dataDxfId="116"/>
    <tableColumn id="23" xr3:uid="{00000000-0010-0000-4B00-000017000000}" name="列23" dataDxfId="115"/>
  </tableColumns>
  <tableStyleInfo name="TableStyleMedium2" showFirstColumn="0" showLastColumn="0" showRowStripes="1" showColumnStripes="0"/>
</table>
</file>

<file path=xl/tables/table7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9" xr:uid="{00000000-000C-0000-FFFF-FFFF4C000000}" name="疾患名区分入院時住所地" displayName="疾患名区分入院時住所地" ref="M3:AI22" totalsRowShown="0" headerRowDxfId="114" tableBorderDxfId="113">
  <autoFilter ref="M3:AI22" xr:uid="{00000000-0009-0000-0100-00004F000000}"/>
  <tableColumns count="23">
    <tableColumn id="1" xr3:uid="{00000000-0010-0000-4C00-000001000000}" name="行ラベル" dataDxfId="112"/>
    <tableColumn id="2" xr3:uid="{00000000-0010-0000-4C00-000002000000}" name="01豊能北"/>
    <tableColumn id="3" xr3:uid="{00000000-0010-0000-4C00-000003000000}" name="02豊能豊中"/>
    <tableColumn id="4" xr3:uid="{00000000-0010-0000-4C00-000004000000}" name="03豊能吹田"/>
    <tableColumn id="5" xr3:uid="{00000000-0010-0000-4C00-000005000000}" name="04三島"/>
    <tableColumn id="6" xr3:uid="{00000000-0010-0000-4C00-000006000000}" name="05三島高槻"/>
    <tableColumn id="7" xr3:uid="{00000000-0010-0000-4C00-000007000000}" name="06北河内枚方"/>
    <tableColumn id="8" xr3:uid="{00000000-0010-0000-4C00-000008000000}" name="07北河内寝屋川"/>
    <tableColumn id="9" xr3:uid="{00000000-0010-0000-4C00-000009000000}" name="08北河内西"/>
    <tableColumn id="10" xr3:uid="{00000000-0010-0000-4C00-00000A000000}" name="09北河内東"/>
    <tableColumn id="11" xr3:uid="{00000000-0010-0000-4C00-00000B000000}" name="10中河内東大阪"/>
    <tableColumn id="12" xr3:uid="{00000000-0010-0000-4C00-00000C000000}" name="11中河内八尾"/>
    <tableColumn id="13" xr3:uid="{00000000-0010-0000-4C00-00000D000000}" name="12中河内南"/>
    <tableColumn id="14" xr3:uid="{00000000-0010-0000-4C00-00000E000000}" name="13南河内北"/>
    <tableColumn id="15" xr3:uid="{00000000-0010-0000-4C00-00000F000000}" name="14南河内南"/>
    <tableColumn id="16" xr3:uid="{00000000-0010-0000-4C00-000010000000}" name="15泉州北"/>
    <tableColumn id="17" xr3:uid="{00000000-0010-0000-4C00-000011000000}" name="16泉州中"/>
    <tableColumn id="18" xr3:uid="{00000000-0010-0000-4C00-000012000000}" name="17泉州南"/>
    <tableColumn id="19" xr3:uid="{00000000-0010-0000-4C00-000013000000}" name="18大阪市"/>
    <tableColumn id="20" xr3:uid="{00000000-0010-0000-4C00-000014000000}" name="19堺市"/>
    <tableColumn id="21" xr3:uid="{00000000-0010-0000-4C00-000015000000}" name="98他府県"/>
    <tableColumn id="22" xr3:uid="{00000000-0010-0000-4C00-000016000000}" name="99不明その他" dataDxfId="111"/>
    <tableColumn id="23" xr3:uid="{00000000-0010-0000-4C00-000017000000}" name="列23" dataDxfId="110"/>
  </tableColumns>
  <tableStyleInfo name="TableStyleMedium2" showFirstColumn="0" showLastColumn="0" showRowStripes="1" showColumnStripes="0"/>
</table>
</file>

<file path=xl/tables/table7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0" xr:uid="{00000000-000C-0000-FFFF-FFFF4D000000}" name="在院期間区分入院時住所地" displayName="在院期間区分入院時住所地" ref="M3:AI20" totalsRowShown="0" headerRowDxfId="109">
  <autoFilter ref="M3:AI20" xr:uid="{00000000-0009-0000-0100-000050000000}"/>
  <tableColumns count="23">
    <tableColumn id="1" xr3:uid="{00000000-0010-0000-4D00-000001000000}" name="行ラベル"/>
    <tableColumn id="2" xr3:uid="{00000000-0010-0000-4D00-000002000000}" name="01豊能北"/>
    <tableColumn id="3" xr3:uid="{00000000-0010-0000-4D00-000003000000}" name="02豊能豊中"/>
    <tableColumn id="4" xr3:uid="{00000000-0010-0000-4D00-000004000000}" name="03豊能吹田"/>
    <tableColumn id="5" xr3:uid="{00000000-0010-0000-4D00-000005000000}" name="04三島"/>
    <tableColumn id="6" xr3:uid="{00000000-0010-0000-4D00-000006000000}" name="05三島高槻"/>
    <tableColumn id="7" xr3:uid="{00000000-0010-0000-4D00-000007000000}" name="06北河内枚方"/>
    <tableColumn id="8" xr3:uid="{00000000-0010-0000-4D00-000008000000}" name="07北河内寝屋川"/>
    <tableColumn id="9" xr3:uid="{00000000-0010-0000-4D00-000009000000}" name="08北河内西"/>
    <tableColumn id="10" xr3:uid="{00000000-0010-0000-4D00-00000A000000}" name="09北河内東"/>
    <tableColumn id="11" xr3:uid="{00000000-0010-0000-4D00-00000B000000}" name="10中河内東大阪"/>
    <tableColumn id="12" xr3:uid="{00000000-0010-0000-4D00-00000C000000}" name="11中河内八尾"/>
    <tableColumn id="13" xr3:uid="{00000000-0010-0000-4D00-00000D000000}" name="12中河内南"/>
    <tableColumn id="14" xr3:uid="{00000000-0010-0000-4D00-00000E000000}" name="13南河内北"/>
    <tableColumn id="15" xr3:uid="{00000000-0010-0000-4D00-00000F000000}" name="14南河内南"/>
    <tableColumn id="16" xr3:uid="{00000000-0010-0000-4D00-000010000000}" name="15泉州北"/>
    <tableColumn id="17" xr3:uid="{00000000-0010-0000-4D00-000011000000}" name="16泉州中"/>
    <tableColumn id="18" xr3:uid="{00000000-0010-0000-4D00-000012000000}" name="17泉州南"/>
    <tableColumn id="19" xr3:uid="{00000000-0010-0000-4D00-000013000000}" name="18大阪市"/>
    <tableColumn id="20" xr3:uid="{00000000-0010-0000-4D00-000014000000}" name="19堺市"/>
    <tableColumn id="21" xr3:uid="{00000000-0010-0000-4D00-000015000000}" name="98他府県"/>
    <tableColumn id="22" xr3:uid="{00000000-0010-0000-4D00-000016000000}" name="99不明その他"/>
    <tableColumn id="23" xr3:uid="{00000000-0010-0000-4D00-000017000000}" name="列23" dataDxfId="108"/>
  </tableColumns>
  <tableStyleInfo name="TableStyleMedium2" showFirstColumn="0" showLastColumn="0" showRowStripes="1" showColumnStripes="0"/>
</table>
</file>

<file path=xl/tables/table7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1" xr:uid="{00000000-000C-0000-FFFF-FFFF4E000000}" name="状態像区分入院時住所地" displayName="状態像区分入院時住所地" ref="M3:AI9" totalsRowShown="0" headerRowDxfId="107" dataDxfId="106" tableBorderDxfId="105">
  <autoFilter ref="M3:AI9" xr:uid="{00000000-0009-0000-0100-000051000000}"/>
  <tableColumns count="23">
    <tableColumn id="1" xr3:uid="{00000000-0010-0000-4E00-000001000000}" name="行ラベル" dataDxfId="104"/>
    <tableColumn id="2" xr3:uid="{00000000-0010-0000-4E00-000002000000}" name="01豊能北" dataDxfId="103"/>
    <tableColumn id="3" xr3:uid="{00000000-0010-0000-4E00-000003000000}" name="02豊能豊中" dataDxfId="102"/>
    <tableColumn id="4" xr3:uid="{00000000-0010-0000-4E00-000004000000}" name="03豊能吹田" dataDxfId="101"/>
    <tableColumn id="5" xr3:uid="{00000000-0010-0000-4E00-000005000000}" name="04三島" dataDxfId="100"/>
    <tableColumn id="6" xr3:uid="{00000000-0010-0000-4E00-000006000000}" name="05三島高槻" dataDxfId="99"/>
    <tableColumn id="7" xr3:uid="{00000000-0010-0000-4E00-000007000000}" name="06北河内枚方" dataDxfId="98"/>
    <tableColumn id="8" xr3:uid="{00000000-0010-0000-4E00-000008000000}" name="07北河内寝屋川" dataDxfId="97"/>
    <tableColumn id="9" xr3:uid="{00000000-0010-0000-4E00-000009000000}" name="08北河内西" dataDxfId="96"/>
    <tableColumn id="10" xr3:uid="{00000000-0010-0000-4E00-00000A000000}" name="09北河内東" dataDxfId="95"/>
    <tableColumn id="11" xr3:uid="{00000000-0010-0000-4E00-00000B000000}" name="10中河内東大阪" dataDxfId="94"/>
    <tableColumn id="12" xr3:uid="{00000000-0010-0000-4E00-00000C000000}" name="11中河内八尾" dataDxfId="93"/>
    <tableColumn id="13" xr3:uid="{00000000-0010-0000-4E00-00000D000000}" name="12中河内南" dataDxfId="92"/>
    <tableColumn id="14" xr3:uid="{00000000-0010-0000-4E00-00000E000000}" name="13南河内北" dataDxfId="91"/>
    <tableColumn id="15" xr3:uid="{00000000-0010-0000-4E00-00000F000000}" name="14南河内南" dataDxfId="90"/>
    <tableColumn id="16" xr3:uid="{00000000-0010-0000-4E00-000010000000}" name="15泉州北" dataDxfId="89"/>
    <tableColumn id="17" xr3:uid="{00000000-0010-0000-4E00-000011000000}" name="16泉州中" dataDxfId="88"/>
    <tableColumn id="18" xr3:uid="{00000000-0010-0000-4E00-000012000000}" name="17泉州南" dataDxfId="87"/>
    <tableColumn id="19" xr3:uid="{00000000-0010-0000-4E00-000013000000}" name="18大阪市" dataDxfId="86"/>
    <tableColumn id="20" xr3:uid="{00000000-0010-0000-4E00-000014000000}" name="19堺市" dataDxfId="85"/>
    <tableColumn id="21" xr3:uid="{00000000-0010-0000-4E00-000015000000}" name="98他府県" dataDxfId="84"/>
    <tableColumn id="22" xr3:uid="{00000000-0010-0000-4E00-000016000000}" name="99不明その他" dataDxfId="83"/>
    <tableColumn id="23" xr3:uid="{00000000-0010-0000-4E00-000017000000}" name="列23" dataDxfId="82"/>
  </tableColumns>
  <tableStyleInfo name="TableStyleMedium2" showFirstColumn="0"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7000000}" name="疾患別＿寛解" displayName="疾患別＿寛解" ref="G24:H42" totalsRowShown="0" headerRowDxfId="1004" tableBorderDxfId="1003">
  <autoFilter ref="G24:H42" xr:uid="{00000000-0009-0000-0100-000004000000}">
    <filterColumn colId="0" hiddenButton="1"/>
    <filterColumn colId="1" hiddenButton="1"/>
  </autoFilter>
  <tableColumns count="2">
    <tableColumn id="1" xr3:uid="{00000000-0010-0000-0700-000001000000}" name="行ラベル"/>
    <tableColumn id="2" xr3:uid="{00000000-0010-0000-0700-000002000000}" name="データの個数 / 疾患名" dataDxfId="1002"/>
  </tableColumns>
  <tableStyleInfo name="TableStyleMedium2" showFirstColumn="0" showLastColumn="0" showRowStripes="1" showColumnStripes="0"/>
</table>
</file>

<file path=xl/tables/table8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4" xr:uid="{00000000-000C-0000-FFFF-FFFF4F000000}" name="退院予定有無入院時住所地" displayName="退院予定有無入院時住所地" ref="M3:AI6" totalsRowShown="0" headerRowDxfId="81" dataDxfId="80">
  <autoFilter ref="M3:AI6" xr:uid="{00000000-0009-0000-0100-00004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4F00-000001000000}" name="行ラベル" dataDxfId="79"/>
    <tableColumn id="2" xr3:uid="{00000000-0010-0000-4F00-000002000000}" name="01豊能北" dataDxfId="78"/>
    <tableColumn id="3" xr3:uid="{00000000-0010-0000-4F00-000003000000}" name="02豊能豊中" dataDxfId="77"/>
    <tableColumn id="4" xr3:uid="{00000000-0010-0000-4F00-000004000000}" name="03豊能吹田" dataDxfId="76"/>
    <tableColumn id="5" xr3:uid="{00000000-0010-0000-4F00-000005000000}" name="04三島" dataDxfId="75"/>
    <tableColumn id="6" xr3:uid="{00000000-0010-0000-4F00-000006000000}" name="05三島高槻" dataDxfId="74"/>
    <tableColumn id="7" xr3:uid="{00000000-0010-0000-4F00-000007000000}" name="06北河内枚方" dataDxfId="73"/>
    <tableColumn id="8" xr3:uid="{00000000-0010-0000-4F00-000008000000}" name="07北河内寝屋川" dataDxfId="72"/>
    <tableColumn id="9" xr3:uid="{00000000-0010-0000-4F00-000009000000}" name="08北河内西" dataDxfId="71"/>
    <tableColumn id="10" xr3:uid="{00000000-0010-0000-4F00-00000A000000}" name="09北河内東" dataDxfId="70"/>
    <tableColumn id="11" xr3:uid="{00000000-0010-0000-4F00-00000B000000}" name="10中河内東大阪" dataDxfId="69"/>
    <tableColumn id="12" xr3:uid="{00000000-0010-0000-4F00-00000C000000}" name="11中河内八尾" dataDxfId="68"/>
    <tableColumn id="13" xr3:uid="{00000000-0010-0000-4F00-00000D000000}" name="12中河内南" dataDxfId="67"/>
    <tableColumn id="14" xr3:uid="{00000000-0010-0000-4F00-00000E000000}" name="13南河内北" dataDxfId="66"/>
    <tableColumn id="15" xr3:uid="{00000000-0010-0000-4F00-00000F000000}" name="14南河内南" dataDxfId="65"/>
    <tableColumn id="16" xr3:uid="{00000000-0010-0000-4F00-000010000000}" name="15泉州北" dataDxfId="64"/>
    <tableColumn id="17" xr3:uid="{00000000-0010-0000-4F00-000011000000}" name="16泉州中" dataDxfId="63"/>
    <tableColumn id="18" xr3:uid="{00000000-0010-0000-4F00-000012000000}" name="17泉州南" dataDxfId="62"/>
    <tableColumn id="19" xr3:uid="{00000000-0010-0000-4F00-000013000000}" name="18大阪市" dataDxfId="61"/>
    <tableColumn id="20" xr3:uid="{00000000-0010-0000-4F00-000014000000}" name="19堺市" dataDxfId="60"/>
    <tableColumn id="21" xr3:uid="{00000000-0010-0000-4F00-000015000000}" name="98他府県" dataDxfId="59"/>
    <tableColumn id="22" xr3:uid="{00000000-0010-0000-4F00-000016000000}" name="99不明その他" dataDxfId="58"/>
    <tableColumn id="23" xr3:uid="{00000000-0010-0000-4F00-000017000000}" name="列23" dataDxfId="57"/>
  </tableColumns>
  <tableStyleInfo name="TableStyleMedium2" showFirstColumn="0" showLastColumn="0" showRowStripes="1" showColumnStripes="0"/>
</table>
</file>

<file path=xl/tables/table8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6" xr:uid="{00000000-000C-0000-FFFF-FFFF50000000}" name="退院阻害要因入院時住所地" displayName="退院阻害要因入院時住所地" ref="M23:AI43" totalsRowShown="0" headerRowDxfId="56" dataDxfId="54" headerRowBorderDxfId="55">
  <autoFilter ref="M23:AI43" xr:uid="{00000000-0009-0000-0100-00004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5000-000001000000}" name="値" dataDxfId="53"/>
    <tableColumn id="2" xr3:uid="{00000000-0010-0000-5000-000002000000}" name="01豊能北" dataDxfId="52"/>
    <tableColumn id="3" xr3:uid="{00000000-0010-0000-5000-000003000000}" name="02豊能豊中" dataDxfId="51"/>
    <tableColumn id="4" xr3:uid="{00000000-0010-0000-5000-000004000000}" name="03豊能吹田" dataDxfId="50"/>
    <tableColumn id="5" xr3:uid="{00000000-0010-0000-5000-000005000000}" name="04三島" dataDxfId="49"/>
    <tableColumn id="6" xr3:uid="{00000000-0010-0000-5000-000006000000}" name="05三島高槻" dataDxfId="48"/>
    <tableColumn id="7" xr3:uid="{00000000-0010-0000-5000-000007000000}" name="06北河内枚方" dataDxfId="47"/>
    <tableColumn id="8" xr3:uid="{00000000-0010-0000-5000-000008000000}" name="07北河内寝屋川" dataDxfId="46"/>
    <tableColumn id="9" xr3:uid="{00000000-0010-0000-5000-000009000000}" name="08北河内西" dataDxfId="45"/>
    <tableColumn id="10" xr3:uid="{00000000-0010-0000-5000-00000A000000}" name="09北河内東" dataDxfId="44"/>
    <tableColumn id="11" xr3:uid="{00000000-0010-0000-5000-00000B000000}" name="10中河内東大阪" dataDxfId="43"/>
    <tableColumn id="12" xr3:uid="{00000000-0010-0000-5000-00000C000000}" name="11中河内八尾" dataDxfId="42"/>
    <tableColumn id="13" xr3:uid="{00000000-0010-0000-5000-00000D000000}" name="12中河内南" dataDxfId="41"/>
    <tableColumn id="14" xr3:uid="{00000000-0010-0000-5000-00000E000000}" name="13南河内北" dataDxfId="40"/>
    <tableColumn id="15" xr3:uid="{00000000-0010-0000-5000-00000F000000}" name="14南河内南" dataDxfId="39"/>
    <tableColumn id="16" xr3:uid="{00000000-0010-0000-5000-000010000000}" name="15泉州北" dataDxfId="38"/>
    <tableColumn id="17" xr3:uid="{00000000-0010-0000-5000-000011000000}" name="16泉州中" dataDxfId="37"/>
    <tableColumn id="18" xr3:uid="{00000000-0010-0000-5000-000012000000}" name="17泉州南" dataDxfId="36"/>
    <tableColumn id="19" xr3:uid="{00000000-0010-0000-5000-000013000000}" name="18大阪市" dataDxfId="35"/>
    <tableColumn id="20" xr3:uid="{00000000-0010-0000-5000-000014000000}" name="19堺市" dataDxfId="34"/>
    <tableColumn id="21" xr3:uid="{00000000-0010-0000-5000-000015000000}" name="98他府県" dataDxfId="33"/>
    <tableColumn id="22" xr3:uid="{00000000-0010-0000-5000-000016000000}" name="99不明その他" dataDxfId="32"/>
    <tableColumn id="23" xr3:uid="{00000000-0010-0000-5000-000017000000}" name="列23" dataDxfId="31"/>
  </tableColumns>
  <tableStyleInfo name="TableStyleMedium2" showFirstColumn="0" showLastColumn="0" showRowStripes="1" showColumnStripes="0"/>
</table>
</file>

<file path=xl/tables/table8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2" xr:uid="{00000000-000C-0000-FFFF-FFFF51000000}" name="退院阻害要因有無入院時住所地" displayName="退院阻害要因有無入院時住所地" ref="M13:AI16" totalsRowShown="0" tableBorderDxfId="30">
  <autoFilter ref="M13:AI16" xr:uid="{00000000-0009-0000-0100-000052000000}"/>
  <tableColumns count="23">
    <tableColumn id="1" xr3:uid="{00000000-0010-0000-5100-000001000000}" name="行ラベル"/>
    <tableColumn id="2" xr3:uid="{00000000-0010-0000-5100-000002000000}" name="01豊能北"/>
    <tableColumn id="3" xr3:uid="{00000000-0010-0000-5100-000003000000}" name="02豊能豊中"/>
    <tableColumn id="4" xr3:uid="{00000000-0010-0000-5100-000004000000}" name="03豊能吹田"/>
    <tableColumn id="5" xr3:uid="{00000000-0010-0000-5100-000005000000}" name="04三島"/>
    <tableColumn id="6" xr3:uid="{00000000-0010-0000-5100-000006000000}" name="05三島高槻"/>
    <tableColumn id="7" xr3:uid="{00000000-0010-0000-5100-000007000000}" name="06北河内枚方"/>
    <tableColumn id="8" xr3:uid="{00000000-0010-0000-5100-000008000000}" name="07北河内寝屋川"/>
    <tableColumn id="9" xr3:uid="{00000000-0010-0000-5100-000009000000}" name="08北河内西"/>
    <tableColumn id="10" xr3:uid="{00000000-0010-0000-5100-00000A000000}" name="09北河内東"/>
    <tableColumn id="11" xr3:uid="{00000000-0010-0000-5100-00000B000000}" name="10中河内東大阪"/>
    <tableColumn id="12" xr3:uid="{00000000-0010-0000-5100-00000C000000}" name="11中河内八尾"/>
    <tableColumn id="13" xr3:uid="{00000000-0010-0000-5100-00000D000000}" name="12中河内南"/>
    <tableColumn id="14" xr3:uid="{00000000-0010-0000-5100-00000E000000}" name="13南河内北"/>
    <tableColumn id="15" xr3:uid="{00000000-0010-0000-5100-00000F000000}" name="14南河内南"/>
    <tableColumn id="16" xr3:uid="{00000000-0010-0000-5100-000010000000}" name="15泉州北"/>
    <tableColumn id="17" xr3:uid="{00000000-0010-0000-5100-000011000000}" name="16泉州中"/>
    <tableColumn id="18" xr3:uid="{00000000-0010-0000-5100-000012000000}" name="17泉州南"/>
    <tableColumn id="19" xr3:uid="{00000000-0010-0000-5100-000013000000}" name="18大阪市"/>
    <tableColumn id="20" xr3:uid="{00000000-0010-0000-5100-000014000000}" name="19堺市"/>
    <tableColumn id="21" xr3:uid="{00000000-0010-0000-5100-000015000000}" name="98他府県"/>
    <tableColumn id="22" xr3:uid="{00000000-0010-0000-5100-000016000000}" name="99不明その他"/>
    <tableColumn id="23" xr3:uid="{00000000-0010-0000-5100-000017000000}" name="列23"/>
  </tableColumns>
  <tableStyleInfo name="TableStyleMedium2" showFirstColumn="0" showLastColumn="0" showRowStripes="1" showColumnStripes="0"/>
</table>
</file>

<file path=xl/tables/table8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7" xr:uid="{00000000-000C-0000-FFFF-FFFF52000000}" name="圏域圏域" displayName="圏域圏域" ref="N4:AI24" totalsRowShown="0" headerRowDxfId="29" dataDxfId="28">
  <autoFilter ref="N4:AI24" xr:uid="{00000000-0009-0000-0100-00004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autoFilter>
  <tableColumns count="22">
    <tableColumn id="1" xr3:uid="{00000000-0010-0000-5200-000001000000}" name="行ラベル" dataDxfId="27"/>
    <tableColumn id="2" xr3:uid="{00000000-0010-0000-5200-000002000000}" name="01豊能北" dataDxfId="26"/>
    <tableColumn id="3" xr3:uid="{00000000-0010-0000-5200-000003000000}" name="02豊能豊中" dataDxfId="25"/>
    <tableColumn id="4" xr3:uid="{00000000-0010-0000-5200-000004000000}" name="03豊能吹田" dataDxfId="24"/>
    <tableColumn id="5" xr3:uid="{00000000-0010-0000-5200-000005000000}" name="04三島" dataDxfId="23"/>
    <tableColumn id="6" xr3:uid="{00000000-0010-0000-5200-000006000000}" name="05三島高槻" dataDxfId="22"/>
    <tableColumn id="7" xr3:uid="{00000000-0010-0000-5200-000007000000}" name="06北河内枚方" dataDxfId="21"/>
    <tableColumn id="8" xr3:uid="{00000000-0010-0000-5200-000008000000}" name="07北河内寝屋川" dataDxfId="20"/>
    <tableColumn id="9" xr3:uid="{00000000-0010-0000-5200-000009000000}" name="08北河内西" dataDxfId="19"/>
    <tableColumn id="10" xr3:uid="{00000000-0010-0000-5200-00000A000000}" name="09北河内東" dataDxfId="18"/>
    <tableColumn id="11" xr3:uid="{00000000-0010-0000-5200-00000B000000}" name="10中河内東大阪" dataDxfId="17"/>
    <tableColumn id="12" xr3:uid="{00000000-0010-0000-5200-00000C000000}" name="11中河内八尾" dataDxfId="16"/>
    <tableColumn id="13" xr3:uid="{00000000-0010-0000-5200-00000D000000}" name="12中河内南" dataDxfId="15"/>
    <tableColumn id="14" xr3:uid="{00000000-0010-0000-5200-00000E000000}" name="13南河内北" dataDxfId="14"/>
    <tableColumn id="15" xr3:uid="{00000000-0010-0000-5200-00000F000000}" name="14南河内南" dataDxfId="13"/>
    <tableColumn id="16" xr3:uid="{00000000-0010-0000-5200-000010000000}" name="15泉州北" dataDxfId="12"/>
    <tableColumn id="17" xr3:uid="{00000000-0010-0000-5200-000011000000}" name="16泉州中" dataDxfId="11"/>
    <tableColumn id="18" xr3:uid="{00000000-0010-0000-5200-000012000000}" name="17泉州南" dataDxfId="10"/>
    <tableColumn id="19" xr3:uid="{00000000-0010-0000-5200-000013000000}" name="18大阪市" dataDxfId="9"/>
    <tableColumn id="20" xr3:uid="{00000000-0010-0000-5200-000014000000}" name="19堺市" dataDxfId="8"/>
    <tableColumn id="21" xr3:uid="{00000000-0010-0000-5200-000015000000}" name="98他府県" dataDxfId="7"/>
    <tableColumn id="22" xr3:uid="{00000000-0010-0000-5200-000016000000}" name="99不明その他" dataDxfId="6"/>
  </tableColumns>
  <tableStyleInfo name="TableStyleMedium2" showFirstColumn="0" showLastColumn="0" showRowStripes="1" showColumnStripes="0"/>
</table>
</file>

<file path=xl/tables/table8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3" xr:uid="{00000000-000C-0000-FFFF-FFFF53000000}" name="圏域圏域＿1年以上" displayName="圏域圏域＿1年以上" ref="N27:AJ48" totalsRowShown="0" headerRowDxfId="5" headerRowBorderDxfId="4" tableBorderDxfId="3" totalsRowBorderDxfId="2">
  <autoFilter ref="N27:AJ48" xr:uid="{00000000-0009-0000-0100-000053000000}"/>
  <tableColumns count="23">
    <tableColumn id="1" xr3:uid="{00000000-0010-0000-5300-000001000000}" name="行ラベル" dataDxfId="1"/>
    <tableColumn id="2" xr3:uid="{00000000-0010-0000-5300-000002000000}" name="01豊能北"/>
    <tableColumn id="3" xr3:uid="{00000000-0010-0000-5300-000003000000}" name="02豊能豊中"/>
    <tableColumn id="4" xr3:uid="{00000000-0010-0000-5300-000004000000}" name="03豊能吹田"/>
    <tableColumn id="5" xr3:uid="{00000000-0010-0000-5300-000005000000}" name="04三島"/>
    <tableColumn id="6" xr3:uid="{00000000-0010-0000-5300-000006000000}" name="05三島高槻"/>
    <tableColumn id="7" xr3:uid="{00000000-0010-0000-5300-000007000000}" name="06北河内枚方"/>
    <tableColumn id="8" xr3:uid="{00000000-0010-0000-5300-000008000000}" name="07北河内寝屋川"/>
    <tableColumn id="9" xr3:uid="{00000000-0010-0000-5300-000009000000}" name="08北河内西"/>
    <tableColumn id="10" xr3:uid="{00000000-0010-0000-5300-00000A000000}" name="09北河内東"/>
    <tableColumn id="11" xr3:uid="{00000000-0010-0000-5300-00000B000000}" name="10中河内東大阪"/>
    <tableColumn id="12" xr3:uid="{00000000-0010-0000-5300-00000C000000}" name="11中河内八尾"/>
    <tableColumn id="13" xr3:uid="{00000000-0010-0000-5300-00000D000000}" name="12中河内南"/>
    <tableColumn id="14" xr3:uid="{00000000-0010-0000-5300-00000E000000}" name="13南河内北"/>
    <tableColumn id="15" xr3:uid="{00000000-0010-0000-5300-00000F000000}" name="14南河内南"/>
    <tableColumn id="16" xr3:uid="{00000000-0010-0000-5300-000010000000}" name="15泉州北"/>
    <tableColumn id="17" xr3:uid="{00000000-0010-0000-5300-000011000000}" name="16泉州中"/>
    <tableColumn id="18" xr3:uid="{00000000-0010-0000-5300-000012000000}" name="17泉州南"/>
    <tableColumn id="19" xr3:uid="{00000000-0010-0000-5300-000013000000}" name="18大阪市"/>
    <tableColumn id="20" xr3:uid="{00000000-0010-0000-5300-000014000000}" name="19堺市"/>
    <tableColumn id="21" xr3:uid="{00000000-0010-0000-5300-000015000000}" name="98他府県"/>
    <tableColumn id="22" xr3:uid="{00000000-0010-0000-5300-000016000000}" name="99不明その他"/>
    <tableColumn id="23" xr3:uid="{00000000-0010-0000-5300-000017000000}" name="列23" dataDxfId="0"/>
  </tableColumns>
  <tableStyleInfo name="TableStyleMedium2" showFirstColumn="0"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8000000}" name="疾患別＿院内寛解" displayName="疾患別＿院内寛解" ref="G44:H62" totalsRowShown="0" headerRowDxfId="1001" headerRowBorderDxfId="1000" tableBorderDxfId="999">
  <autoFilter ref="G44:H62" xr:uid="{00000000-0009-0000-0100-000006000000}">
    <filterColumn colId="0" hiddenButton="1"/>
    <filterColumn colId="1" hiddenButton="1"/>
  </autoFilter>
  <tableColumns count="2">
    <tableColumn id="1" xr3:uid="{00000000-0010-0000-0800-000001000000}" name="行ラベル" dataDxfId="998"/>
    <tableColumn id="2" xr3:uid="{00000000-0010-0000-0800-000002000000}" name="データの個数 / 疾患名" dataDxfId="997"/>
  </tableColumns>
  <tableStyleInfo name="TableStyleMedium2" showFirstColumn="0" showLastColumn="0" showRowStripes="1" showColumnStripes="0"/>
</table>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7" Type="http://purl.oclc.org/ooxml/officeDocument/relationships/table" Target="../tables/table21.xml"/><Relationship Id="rId2" Type="http://purl.oclc.org/ooxml/officeDocument/relationships/drawing" Target="../drawings/drawing9.xml"/><Relationship Id="rId1" Type="http://purl.oclc.org/ooxml/officeDocument/relationships/printerSettings" Target="../printerSettings/printerSettings10.bin"/><Relationship Id="rId6" Type="http://purl.oclc.org/ooxml/officeDocument/relationships/table" Target="../tables/table20.xml"/><Relationship Id="rId5" Type="http://purl.oclc.org/ooxml/officeDocument/relationships/table" Target="../tables/table19.xml"/><Relationship Id="rId4" Type="http://schemas.openxmlformats.org/officeDocument/2006/relationships/ctrlProp" Target="../ctrlProps/ctrlProp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purl.oclc.org/ooxml/officeDocument/relationships/drawing" Target="../drawings/drawing10.xml"/><Relationship Id="rId1" Type="http://purl.oclc.org/ooxml/officeDocument/relationships/printerSettings" Target="../printerSettings/printerSettings11.bin"/><Relationship Id="rId4" Type="http://schemas.openxmlformats.org/officeDocument/2006/relationships/ctrlProp" Target="../ctrlProps/ctrlProp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purl.oclc.org/ooxml/officeDocument/relationships/drawing" Target="../drawings/drawing11.xml"/><Relationship Id="rId1" Type="http://purl.oclc.org/ooxml/officeDocument/relationships/printerSettings" Target="../printerSettings/printerSettings12.bin"/><Relationship Id="rId4" Type="http://schemas.openxmlformats.org/officeDocument/2006/relationships/ctrlProp" Target="../ctrlProps/ctrlProp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purl.oclc.org/ooxml/officeDocument/relationships/drawing" Target="../drawings/drawing12.xml"/><Relationship Id="rId1" Type="http://purl.oclc.org/ooxml/officeDocument/relationships/printerSettings" Target="../printerSettings/printerSettings13.bin"/><Relationship Id="rId6" Type="http://purl.oclc.org/ooxml/officeDocument/relationships/table" Target="../tables/table23.xml"/><Relationship Id="rId5" Type="http://purl.oclc.org/ooxml/officeDocument/relationships/table" Target="../tables/table22.xml"/><Relationship Id="rId4" Type="http://schemas.openxmlformats.org/officeDocument/2006/relationships/ctrlProp" Target="../ctrlProps/ctrlProp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purl.oclc.org/ooxml/officeDocument/relationships/drawing" Target="../drawings/drawing13.xml"/><Relationship Id="rId1" Type="http://purl.oclc.org/ooxml/officeDocument/relationships/printerSettings" Target="../printerSettings/printerSettings14.bin"/><Relationship Id="rId6" Type="http://purl.oclc.org/ooxml/officeDocument/relationships/table" Target="../tables/table25.xml"/><Relationship Id="rId5" Type="http://purl.oclc.org/ooxml/officeDocument/relationships/table" Target="../tables/table24.xml"/><Relationship Id="rId4" Type="http://schemas.openxmlformats.org/officeDocument/2006/relationships/ctrlProp" Target="../ctrlProps/ctrlProp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purl.oclc.org/ooxml/officeDocument/relationships/drawing" Target="../drawings/drawing14.xml"/><Relationship Id="rId1" Type="http://purl.oclc.org/ooxml/officeDocument/relationships/printerSettings" Target="../printerSettings/printerSettings15.bin"/><Relationship Id="rId6" Type="http://purl.oclc.org/ooxml/officeDocument/relationships/table" Target="../tables/table27.xml"/><Relationship Id="rId5" Type="http://purl.oclc.org/ooxml/officeDocument/relationships/table" Target="../tables/table26.xml"/><Relationship Id="rId4" Type="http://schemas.openxmlformats.org/officeDocument/2006/relationships/ctrlProp" Target="../ctrlProps/ctrlProp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purl.oclc.org/ooxml/officeDocument/relationships/drawing" Target="../drawings/drawing15.xml"/><Relationship Id="rId1" Type="http://purl.oclc.org/ooxml/officeDocument/relationships/printerSettings" Target="../printerSettings/printerSettings16.bin"/><Relationship Id="rId6" Type="http://purl.oclc.org/ooxml/officeDocument/relationships/table" Target="../tables/table29.xml"/><Relationship Id="rId5" Type="http://purl.oclc.org/ooxml/officeDocument/relationships/table" Target="../tables/table28.xml"/><Relationship Id="rId4" Type="http://schemas.openxmlformats.org/officeDocument/2006/relationships/ctrlProp" Target="../ctrlProps/ctrlProp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purl.oclc.org/ooxml/officeDocument/relationships/drawing" Target="../drawings/drawing16.xml"/><Relationship Id="rId1" Type="http://purl.oclc.org/ooxml/officeDocument/relationships/printerSettings" Target="../printerSettings/printerSettings17.bin"/><Relationship Id="rId4" Type="http://schemas.openxmlformats.org/officeDocument/2006/relationships/ctrlProp" Target="../ctrlProps/ctrlProp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purl.oclc.org/ooxml/officeDocument/relationships/drawing" Target="../drawings/drawing17.xml"/><Relationship Id="rId1" Type="http://purl.oclc.org/ooxml/officeDocument/relationships/printerSettings" Target="../printerSettings/printerSettings18.bin"/><Relationship Id="rId4" Type="http://schemas.openxmlformats.org/officeDocument/2006/relationships/ctrlProp" Target="../ctrlProps/ctrlProp17.xml"/></Relationships>
</file>

<file path=xl/worksheets/_rels/sheet19.xml.rels><?xml version="1.0" encoding="UTF-8" standalone="yes"?>
<Relationships xmlns="http://schemas.openxmlformats.org/package/2006/relationships"><Relationship Id="rId8" Type="http://purl.oclc.org/ooxml/officeDocument/relationships/table" Target="../tables/table33.xml"/><Relationship Id="rId3" Type="http://schemas.openxmlformats.org/officeDocument/2006/relationships/vmlDrawing" Target="../drawings/vmlDrawing18.vml"/><Relationship Id="rId7" Type="http://purl.oclc.org/ooxml/officeDocument/relationships/table" Target="../tables/table32.xml"/><Relationship Id="rId2" Type="http://purl.oclc.org/ooxml/officeDocument/relationships/drawing" Target="../drawings/drawing18.xml"/><Relationship Id="rId1" Type="http://purl.oclc.org/ooxml/officeDocument/relationships/printerSettings" Target="../printerSettings/printerSettings19.bin"/><Relationship Id="rId6" Type="http://purl.oclc.org/ooxml/officeDocument/relationships/table" Target="../tables/table31.xml"/><Relationship Id="rId5" Type="http://purl.oclc.org/ooxml/officeDocument/relationships/table" Target="../tables/table30.xml"/><Relationship Id="rId10" Type="http://purl.oclc.org/ooxml/officeDocument/relationships/table" Target="../tables/table35.xml"/><Relationship Id="rId4" Type="http://schemas.openxmlformats.org/officeDocument/2006/relationships/ctrlProp" Target="../ctrlProps/ctrlProp18.xml"/><Relationship Id="rId9" Type="http://purl.oclc.org/ooxml/officeDocument/relationships/table" Target="../tables/table3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purl.oclc.org/ooxml/officeDocument/relationships/table" Target="../tables/table3.xml"/><Relationship Id="rId2" Type="http://purl.oclc.org/ooxml/officeDocument/relationships/drawing" Target="../drawings/drawing1.xml"/><Relationship Id="rId1" Type="http://purl.oclc.org/ooxml/officeDocument/relationships/printerSettings" Target="../printerSettings/printerSettings2.bin"/><Relationship Id="rId6" Type="http://purl.oclc.org/ooxml/officeDocument/relationships/table" Target="../tables/table2.xml"/><Relationship Id="rId5" Type="http://purl.oclc.org/ooxml/officeDocument/relationships/table" Target="../tables/table1.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8" Type="http://purl.oclc.org/ooxml/officeDocument/relationships/table" Target="../tables/table39.xml"/><Relationship Id="rId3" Type="http://schemas.openxmlformats.org/officeDocument/2006/relationships/vmlDrawing" Target="../drawings/vmlDrawing19.vml"/><Relationship Id="rId7" Type="http://purl.oclc.org/ooxml/officeDocument/relationships/table" Target="../tables/table38.xml"/><Relationship Id="rId2" Type="http://purl.oclc.org/ooxml/officeDocument/relationships/drawing" Target="../drawings/drawing19.xml"/><Relationship Id="rId1" Type="http://purl.oclc.org/ooxml/officeDocument/relationships/printerSettings" Target="../printerSettings/printerSettings20.bin"/><Relationship Id="rId6" Type="http://purl.oclc.org/ooxml/officeDocument/relationships/table" Target="../tables/table37.xml"/><Relationship Id="rId5" Type="http://purl.oclc.org/ooxml/officeDocument/relationships/table" Target="../tables/table36.xml"/><Relationship Id="rId10" Type="http://purl.oclc.org/ooxml/officeDocument/relationships/table" Target="../tables/table41.xml"/><Relationship Id="rId4" Type="http://schemas.openxmlformats.org/officeDocument/2006/relationships/ctrlProp" Target="../ctrlProps/ctrlProp19.xml"/><Relationship Id="rId9" Type="http://purl.oclc.org/ooxml/officeDocument/relationships/table" Target="../tables/table40.xml"/></Relationships>
</file>

<file path=xl/worksheets/_rels/sheet21.xml.rels><?xml version="1.0" encoding="UTF-8" standalone="yes"?>
<Relationships xmlns="http://schemas.openxmlformats.org/package/2006/relationships"><Relationship Id="rId8" Type="http://purl.oclc.org/ooxml/officeDocument/relationships/table" Target="../tables/table45.xml"/><Relationship Id="rId3" Type="http://schemas.openxmlformats.org/officeDocument/2006/relationships/vmlDrawing" Target="../drawings/vmlDrawing20.vml"/><Relationship Id="rId7" Type="http://purl.oclc.org/ooxml/officeDocument/relationships/table" Target="../tables/table44.xml"/><Relationship Id="rId2" Type="http://purl.oclc.org/ooxml/officeDocument/relationships/drawing" Target="../drawings/drawing20.xml"/><Relationship Id="rId1" Type="http://purl.oclc.org/ooxml/officeDocument/relationships/printerSettings" Target="../printerSettings/printerSettings21.bin"/><Relationship Id="rId6" Type="http://purl.oclc.org/ooxml/officeDocument/relationships/table" Target="../tables/table43.xml"/><Relationship Id="rId5" Type="http://purl.oclc.org/ooxml/officeDocument/relationships/table" Target="../tables/table42.xml"/><Relationship Id="rId10" Type="http://purl.oclc.org/ooxml/officeDocument/relationships/table" Target="../tables/table47.xml"/><Relationship Id="rId4" Type="http://schemas.openxmlformats.org/officeDocument/2006/relationships/ctrlProp" Target="../ctrlProps/ctrlProp20.xml"/><Relationship Id="rId9" Type="http://purl.oclc.org/ooxml/officeDocument/relationships/table" Target="../tables/table46.xml"/></Relationships>
</file>

<file path=xl/worksheets/_rels/sheet22.xml.rels><?xml version="1.0" encoding="UTF-8" standalone="yes"?>
<Relationships xmlns="http://schemas.openxmlformats.org/package/2006/relationships"><Relationship Id="rId8" Type="http://purl.oclc.org/ooxml/officeDocument/relationships/table" Target="../tables/table51.xml"/><Relationship Id="rId3" Type="http://schemas.openxmlformats.org/officeDocument/2006/relationships/vmlDrawing" Target="../drawings/vmlDrawing21.vml"/><Relationship Id="rId7" Type="http://purl.oclc.org/ooxml/officeDocument/relationships/table" Target="../tables/table50.xml"/><Relationship Id="rId2" Type="http://purl.oclc.org/ooxml/officeDocument/relationships/drawing" Target="../drawings/drawing21.xml"/><Relationship Id="rId1" Type="http://purl.oclc.org/ooxml/officeDocument/relationships/printerSettings" Target="../printerSettings/printerSettings22.bin"/><Relationship Id="rId6" Type="http://purl.oclc.org/ooxml/officeDocument/relationships/table" Target="../tables/table49.xml"/><Relationship Id="rId5" Type="http://purl.oclc.org/ooxml/officeDocument/relationships/table" Target="../tables/table48.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8" Type="http://purl.oclc.org/ooxml/officeDocument/relationships/table" Target="../tables/table55.xml"/><Relationship Id="rId3" Type="http://schemas.openxmlformats.org/officeDocument/2006/relationships/vmlDrawing" Target="../drawings/vmlDrawing22.vml"/><Relationship Id="rId7" Type="http://purl.oclc.org/ooxml/officeDocument/relationships/table" Target="../tables/table54.xml"/><Relationship Id="rId2" Type="http://purl.oclc.org/ooxml/officeDocument/relationships/drawing" Target="../drawings/drawing22.xml"/><Relationship Id="rId1" Type="http://purl.oclc.org/ooxml/officeDocument/relationships/printerSettings" Target="../printerSettings/printerSettings23.bin"/><Relationship Id="rId6" Type="http://purl.oclc.org/ooxml/officeDocument/relationships/table" Target="../tables/table53.xml"/><Relationship Id="rId5" Type="http://purl.oclc.org/ooxml/officeDocument/relationships/table" Target="../tables/table52.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8" Type="http://purl.oclc.org/ooxml/officeDocument/relationships/table" Target="../tables/table59.xml"/><Relationship Id="rId3" Type="http://schemas.openxmlformats.org/officeDocument/2006/relationships/vmlDrawing" Target="../drawings/vmlDrawing23.vml"/><Relationship Id="rId7" Type="http://purl.oclc.org/ooxml/officeDocument/relationships/table" Target="../tables/table58.xml"/><Relationship Id="rId2" Type="http://purl.oclc.org/ooxml/officeDocument/relationships/drawing" Target="../drawings/drawing23.xml"/><Relationship Id="rId1" Type="http://purl.oclc.org/ooxml/officeDocument/relationships/printerSettings" Target="../printerSettings/printerSettings24.bin"/><Relationship Id="rId6" Type="http://purl.oclc.org/ooxml/officeDocument/relationships/table" Target="../tables/table57.xml"/><Relationship Id="rId5" Type="http://purl.oclc.org/ooxml/officeDocument/relationships/table" Target="../tables/table56.xml"/><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8" Type="http://purl.oclc.org/ooxml/officeDocument/relationships/table" Target="../tables/table63.xml"/><Relationship Id="rId3" Type="http://schemas.openxmlformats.org/officeDocument/2006/relationships/vmlDrawing" Target="../drawings/vmlDrawing24.vml"/><Relationship Id="rId7" Type="http://purl.oclc.org/ooxml/officeDocument/relationships/table" Target="../tables/table62.xml"/><Relationship Id="rId2" Type="http://purl.oclc.org/ooxml/officeDocument/relationships/drawing" Target="../drawings/drawing24.xml"/><Relationship Id="rId1" Type="http://purl.oclc.org/ooxml/officeDocument/relationships/printerSettings" Target="../printerSettings/printerSettings25.bin"/><Relationship Id="rId6" Type="http://purl.oclc.org/ooxml/officeDocument/relationships/table" Target="../tables/table61.xml"/><Relationship Id="rId5" Type="http://purl.oclc.org/ooxml/officeDocument/relationships/table" Target="../tables/table60.xml"/><Relationship Id="rId4" Type="http://schemas.openxmlformats.org/officeDocument/2006/relationships/ctrlProp" Target="../ctrlProps/ctrlProp2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2" Type="http://purl.oclc.org/ooxml/officeDocument/relationships/drawing" Target="../drawings/drawing25.xml"/><Relationship Id="rId1" Type="http://purl.oclc.org/ooxml/officeDocument/relationships/printerSettings" Target="../printerSettings/printerSettings26.bin"/><Relationship Id="rId6" Type="http://purl.oclc.org/ooxml/officeDocument/relationships/table" Target="../tables/table65.xml"/><Relationship Id="rId5" Type="http://purl.oclc.org/ooxml/officeDocument/relationships/table" Target="../tables/table64.xml"/><Relationship Id="rId4" Type="http://schemas.openxmlformats.org/officeDocument/2006/relationships/ctrlProp" Target="../ctrlProps/ctrlProp2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6.vml"/><Relationship Id="rId2" Type="http://purl.oclc.org/ooxml/officeDocument/relationships/drawing" Target="../drawings/drawing26.xml"/><Relationship Id="rId1" Type="http://purl.oclc.org/ooxml/officeDocument/relationships/printerSettings" Target="../printerSettings/printerSettings27.bin"/><Relationship Id="rId5" Type="http://purl.oclc.org/ooxml/officeDocument/relationships/table" Target="../tables/table66.xml"/><Relationship Id="rId4" Type="http://schemas.openxmlformats.org/officeDocument/2006/relationships/ctrlProp" Target="../ctrlProps/ctrlProp2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7.vml"/><Relationship Id="rId2" Type="http://purl.oclc.org/ooxml/officeDocument/relationships/drawing" Target="../drawings/drawing27.xml"/><Relationship Id="rId1" Type="http://purl.oclc.org/ooxml/officeDocument/relationships/printerSettings" Target="../printerSettings/printerSettings28.bin"/><Relationship Id="rId5" Type="http://purl.oclc.org/ooxml/officeDocument/relationships/table" Target="../tables/table67.xml"/><Relationship Id="rId4" Type="http://schemas.openxmlformats.org/officeDocument/2006/relationships/ctrlProp" Target="../ctrlProps/ctrlProp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8.vml"/><Relationship Id="rId2" Type="http://purl.oclc.org/ooxml/officeDocument/relationships/drawing" Target="../drawings/drawing28.xml"/><Relationship Id="rId1" Type="http://purl.oclc.org/ooxml/officeDocument/relationships/printerSettings" Target="../printerSettings/printerSettings29.bin"/><Relationship Id="rId5" Type="http://purl.oclc.org/ooxml/officeDocument/relationships/table" Target="../tables/table68.xml"/><Relationship Id="rId4" Type="http://schemas.openxmlformats.org/officeDocument/2006/relationships/ctrlProp" Target="../ctrlProps/ctrlProp2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purl.oclc.org/ooxml/officeDocument/relationships/table" Target="../tables/table6.xml"/><Relationship Id="rId2" Type="http://purl.oclc.org/ooxml/officeDocument/relationships/drawing" Target="../drawings/drawing2.xml"/><Relationship Id="rId1" Type="http://purl.oclc.org/ooxml/officeDocument/relationships/printerSettings" Target="../printerSettings/printerSettings3.bin"/><Relationship Id="rId6" Type="http://purl.oclc.org/ooxml/officeDocument/relationships/table" Target="../tables/table5.xml"/><Relationship Id="rId5" Type="http://purl.oclc.org/ooxml/officeDocument/relationships/table" Target="../tables/table4.xml"/><Relationship Id="rId4" Type="http://schemas.openxmlformats.org/officeDocument/2006/relationships/ctrlProp" Target="../ctrlProps/ctrlProp2.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9.vml"/><Relationship Id="rId2" Type="http://purl.oclc.org/ooxml/officeDocument/relationships/drawing" Target="../drawings/drawing29.xml"/><Relationship Id="rId1" Type="http://purl.oclc.org/ooxml/officeDocument/relationships/printerSettings" Target="../printerSettings/printerSettings30.bin"/><Relationship Id="rId6" Type="http://purl.oclc.org/ooxml/officeDocument/relationships/table" Target="../tables/table70.xml"/><Relationship Id="rId5" Type="http://purl.oclc.org/ooxml/officeDocument/relationships/table" Target="../tables/table69.xml"/><Relationship Id="rId4" Type="http://schemas.openxmlformats.org/officeDocument/2006/relationships/ctrlProp" Target="../ctrlProps/ctrlProp29.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30.vml"/><Relationship Id="rId7" Type="http://purl.oclc.org/ooxml/officeDocument/relationships/table" Target="../tables/table73.xml"/><Relationship Id="rId2" Type="http://purl.oclc.org/ooxml/officeDocument/relationships/drawing" Target="../drawings/drawing30.xml"/><Relationship Id="rId1" Type="http://purl.oclc.org/ooxml/officeDocument/relationships/printerSettings" Target="../printerSettings/printerSettings31.bin"/><Relationship Id="rId6" Type="http://purl.oclc.org/ooxml/officeDocument/relationships/table" Target="../tables/table72.xml"/><Relationship Id="rId5" Type="http://purl.oclc.org/ooxml/officeDocument/relationships/table" Target="../tables/table71.xml"/><Relationship Id="rId4" Type="http://schemas.openxmlformats.org/officeDocument/2006/relationships/ctrlProp" Target="../ctrlProps/ctrlProp30.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1.vml"/><Relationship Id="rId2" Type="http://purl.oclc.org/ooxml/officeDocument/relationships/drawing" Target="../drawings/drawing31.xml"/><Relationship Id="rId1" Type="http://purl.oclc.org/ooxml/officeDocument/relationships/printerSettings" Target="../printerSettings/printerSettings32.bin"/><Relationship Id="rId6" Type="http://purl.oclc.org/ooxml/officeDocument/relationships/table" Target="../tables/table75.xml"/><Relationship Id="rId5" Type="http://purl.oclc.org/ooxml/officeDocument/relationships/table" Target="../tables/table74.xml"/><Relationship Id="rId4" Type="http://schemas.openxmlformats.org/officeDocument/2006/relationships/ctrlProp" Target="../ctrlProps/ctrlProp3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2.vml"/><Relationship Id="rId2" Type="http://purl.oclc.org/ooxml/officeDocument/relationships/drawing" Target="../drawings/drawing32.xml"/><Relationship Id="rId1" Type="http://purl.oclc.org/ooxml/officeDocument/relationships/printerSettings" Target="../printerSettings/printerSettings33.bin"/><Relationship Id="rId5" Type="http://purl.oclc.org/ooxml/officeDocument/relationships/table" Target="../tables/table76.xml"/><Relationship Id="rId4" Type="http://schemas.openxmlformats.org/officeDocument/2006/relationships/ctrlProp" Target="../ctrlProps/ctrlProp32.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33.vml"/><Relationship Id="rId2" Type="http://purl.oclc.org/ooxml/officeDocument/relationships/drawing" Target="../drawings/drawing33.xml"/><Relationship Id="rId1" Type="http://purl.oclc.org/ooxml/officeDocument/relationships/printerSettings" Target="../printerSettings/printerSettings34.bin"/><Relationship Id="rId5" Type="http://purl.oclc.org/ooxml/officeDocument/relationships/table" Target="../tables/table77.xml"/><Relationship Id="rId4" Type="http://schemas.openxmlformats.org/officeDocument/2006/relationships/ctrlProp" Target="../ctrlProps/ctrlProp33.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34.vml"/><Relationship Id="rId2" Type="http://purl.oclc.org/ooxml/officeDocument/relationships/drawing" Target="../drawings/drawing34.xml"/><Relationship Id="rId1" Type="http://purl.oclc.org/ooxml/officeDocument/relationships/printerSettings" Target="../printerSettings/printerSettings35.bin"/><Relationship Id="rId5" Type="http://purl.oclc.org/ooxml/officeDocument/relationships/table" Target="../tables/table78.xml"/><Relationship Id="rId4" Type="http://schemas.openxmlformats.org/officeDocument/2006/relationships/ctrlProp" Target="../ctrlProps/ctrlProp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35.vml"/><Relationship Id="rId2" Type="http://purl.oclc.org/ooxml/officeDocument/relationships/drawing" Target="../drawings/drawing35.xml"/><Relationship Id="rId1" Type="http://purl.oclc.org/ooxml/officeDocument/relationships/printerSettings" Target="../printerSettings/printerSettings36.bin"/><Relationship Id="rId5" Type="http://purl.oclc.org/ooxml/officeDocument/relationships/table" Target="../tables/table79.xml"/><Relationship Id="rId4" Type="http://schemas.openxmlformats.org/officeDocument/2006/relationships/ctrlProp" Target="../ctrlProps/ctrlProp35.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36.vml"/><Relationship Id="rId7" Type="http://purl.oclc.org/ooxml/officeDocument/relationships/table" Target="../tables/table82.xml"/><Relationship Id="rId2" Type="http://purl.oclc.org/ooxml/officeDocument/relationships/drawing" Target="../drawings/drawing36.xml"/><Relationship Id="rId1" Type="http://purl.oclc.org/ooxml/officeDocument/relationships/printerSettings" Target="../printerSettings/printerSettings37.bin"/><Relationship Id="rId6" Type="http://purl.oclc.org/ooxml/officeDocument/relationships/table" Target="../tables/table81.xml"/><Relationship Id="rId5" Type="http://purl.oclc.org/ooxml/officeDocument/relationships/table" Target="../tables/table80.xml"/><Relationship Id="rId4" Type="http://schemas.openxmlformats.org/officeDocument/2006/relationships/ctrlProp" Target="../ctrlProps/ctrlProp36.xml"/></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37.vml"/><Relationship Id="rId2" Type="http://purl.oclc.org/ooxml/officeDocument/relationships/drawing" Target="../drawings/drawing37.xml"/><Relationship Id="rId1" Type="http://purl.oclc.org/ooxml/officeDocument/relationships/printerSettings" Target="../printerSettings/printerSettings38.bin"/><Relationship Id="rId6" Type="http://purl.oclc.org/ooxml/officeDocument/relationships/table" Target="../tables/table84.xml"/><Relationship Id="rId5" Type="http://purl.oclc.org/ooxml/officeDocument/relationships/table" Target="../tables/table83.xml"/><Relationship Id="rId4" Type="http://schemas.openxmlformats.org/officeDocument/2006/relationships/ctrlProp" Target="../ctrlProps/ctrlProp37.x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38.vml"/><Relationship Id="rId2" Type="http://purl.oclc.org/ooxml/officeDocument/relationships/drawing" Target="../drawings/drawing38.xml"/><Relationship Id="rId1" Type="http://purl.oclc.org/ooxml/officeDocument/relationships/printerSettings" Target="../printerSettings/printerSettings39.bin"/><Relationship Id="rId4" Type="http://schemas.openxmlformats.org/officeDocument/2006/relationships/ctrlProp" Target="../ctrlProps/ctrlProp38.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purl.oclc.org/ooxml/officeDocument/relationships/table" Target="../tables/table9.xml"/><Relationship Id="rId2" Type="http://purl.oclc.org/ooxml/officeDocument/relationships/drawing" Target="../drawings/drawing3.xml"/><Relationship Id="rId1" Type="http://purl.oclc.org/ooxml/officeDocument/relationships/printerSettings" Target="../printerSettings/printerSettings4.bin"/><Relationship Id="rId6" Type="http://purl.oclc.org/ooxml/officeDocument/relationships/table" Target="../tables/table8.xml"/><Relationship Id="rId5" Type="http://purl.oclc.org/ooxml/officeDocument/relationships/table" Target="../tables/table7.xml"/><Relationship Id="rId4" Type="http://schemas.openxmlformats.org/officeDocument/2006/relationships/ctrlProp" Target="../ctrlProps/ctrlProp3.xml"/></Relationships>
</file>

<file path=xl/worksheets/_rels/sheet40.xml.rels><?xml version="1.0" encoding="UTF-8" standalone="yes"?>
<Relationships xmlns="http://schemas.openxmlformats.org/package/2006/relationships"><Relationship Id="rId1" Type="http://purl.oclc.org/ooxml/officeDocument/relationships/printerSettings" Target="../printerSettings/printerSettings40.bin"/></Relationships>
</file>

<file path=xl/worksheets/_rels/sheet41.xml.rels><?xml version="1.0" encoding="UTF-8" standalone="yes"?>
<Relationships xmlns="http://schemas.openxmlformats.org/package/2006/relationships"><Relationship Id="rId2" Type="http://purl.oclc.org/ooxml/officeDocument/relationships/drawing" Target="../drawings/drawing39.xml"/><Relationship Id="rId1" Type="http://purl.oclc.org/ooxml/officeDocument/relationships/printerSettings" Target="../printerSettings/printerSettings41.bin"/></Relationships>
</file>

<file path=xl/worksheets/_rels/sheet42.xml.rels><?xml version="1.0" encoding="UTF-8" standalone="yes"?>
<Relationships xmlns="http://schemas.openxmlformats.org/package/2006/relationships"><Relationship Id="rId2" Type="http://purl.oclc.org/ooxml/officeDocument/relationships/drawing" Target="../drawings/drawing40.xml"/><Relationship Id="rId1" Type="http://purl.oclc.org/ooxml/officeDocument/relationships/printerSettings" Target="../printerSettings/printerSettings42.bin"/></Relationships>
</file>

<file path=xl/worksheets/_rels/sheet43.xml.rels><?xml version="1.0" encoding="UTF-8" standalone="yes"?>
<Relationships xmlns="http://schemas.openxmlformats.org/package/2006/relationships"><Relationship Id="rId2" Type="http://purl.oclc.org/ooxml/officeDocument/relationships/drawing" Target="../drawings/drawing41.xml"/><Relationship Id="rId1" Type="http://purl.oclc.org/ooxml/officeDocument/relationships/printerSettings" Target="../printerSettings/printerSettings43.bin"/></Relationships>
</file>

<file path=xl/worksheets/_rels/sheet44.xml.rels><?xml version="1.0" encoding="UTF-8" standalone="yes"?>
<Relationships xmlns="http://schemas.openxmlformats.org/package/2006/relationships"><Relationship Id="rId2" Type="http://purl.oclc.org/ooxml/officeDocument/relationships/drawing" Target="../drawings/drawing42.xml"/><Relationship Id="rId1" Type="http://purl.oclc.org/ooxml/officeDocument/relationships/printerSettings" Target="../printerSettings/printerSettings44.bin"/></Relationships>
</file>

<file path=xl/worksheets/_rels/sheet45.xml.rels><?xml version="1.0" encoding="UTF-8" standalone="yes"?>
<Relationships xmlns="http://schemas.openxmlformats.org/package/2006/relationships"><Relationship Id="rId2" Type="http://purl.oclc.org/ooxml/officeDocument/relationships/drawing" Target="../drawings/drawing43.xml"/><Relationship Id="rId1" Type="http://purl.oclc.org/ooxml/officeDocument/relationships/printerSettings" Target="../printerSettings/printerSettings45.bin"/></Relationships>
</file>

<file path=xl/worksheets/_rels/sheet46.xml.rels><?xml version="1.0" encoding="UTF-8" standalone="yes"?>
<Relationships xmlns="http://schemas.openxmlformats.org/package/2006/relationships"><Relationship Id="rId2" Type="http://purl.oclc.org/ooxml/officeDocument/relationships/drawing" Target="../drawings/drawing44.xml"/><Relationship Id="rId1" Type="http://purl.oclc.org/ooxml/officeDocument/relationships/printerSettings" Target="../printerSettings/printerSettings46.bin"/></Relationships>
</file>

<file path=xl/worksheets/_rels/sheet47.xml.rels><?xml version="1.0" encoding="UTF-8" standalone="yes"?>
<Relationships xmlns="http://schemas.openxmlformats.org/package/2006/relationships"><Relationship Id="rId2" Type="http://purl.oclc.org/ooxml/officeDocument/relationships/drawing" Target="../drawings/drawing45.xml"/><Relationship Id="rId1" Type="http://purl.oclc.org/ooxml/officeDocument/relationships/printerSettings" Target="../printerSettings/printerSettings47.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purl.oclc.org/ooxml/officeDocument/relationships/table" Target="../tables/table12.xml"/><Relationship Id="rId2" Type="http://purl.oclc.org/ooxml/officeDocument/relationships/drawing" Target="../drawings/drawing4.xml"/><Relationship Id="rId1" Type="http://purl.oclc.org/ooxml/officeDocument/relationships/printerSettings" Target="../printerSettings/printerSettings5.bin"/><Relationship Id="rId6" Type="http://purl.oclc.org/ooxml/officeDocument/relationships/table" Target="../tables/table11.xml"/><Relationship Id="rId5" Type="http://purl.oclc.org/ooxml/officeDocument/relationships/table" Target="../tables/table10.xml"/><Relationship Id="rId4" Type="http://schemas.openxmlformats.org/officeDocument/2006/relationships/ctrlProp" Target="../ctrlProps/ctrlProp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5.xml"/><Relationship Id="rId1" Type="http://purl.oclc.org/ooxml/officeDocument/relationships/printerSettings" Target="../printerSettings/printerSettings6.bin"/><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6.xml"/><Relationship Id="rId1" Type="http://purl.oclc.org/ooxml/officeDocument/relationships/printerSettings" Target="../printerSettings/printerSettings7.bin"/><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purl.oclc.org/ooxml/officeDocument/relationships/table" Target="../tables/table15.xml"/><Relationship Id="rId2" Type="http://purl.oclc.org/ooxml/officeDocument/relationships/drawing" Target="../drawings/drawing7.xml"/><Relationship Id="rId1" Type="http://purl.oclc.org/ooxml/officeDocument/relationships/printerSettings" Target="../printerSettings/printerSettings8.bin"/><Relationship Id="rId6" Type="http://purl.oclc.org/ooxml/officeDocument/relationships/table" Target="../tables/table14.xml"/><Relationship Id="rId5" Type="http://purl.oclc.org/ooxml/officeDocument/relationships/table" Target="../tables/table13.xml"/><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7" Type="http://purl.oclc.org/ooxml/officeDocument/relationships/table" Target="../tables/table18.xml"/><Relationship Id="rId2" Type="http://purl.oclc.org/ooxml/officeDocument/relationships/drawing" Target="../drawings/drawing8.xml"/><Relationship Id="rId1" Type="http://purl.oclc.org/ooxml/officeDocument/relationships/printerSettings" Target="../printerSettings/printerSettings9.bin"/><Relationship Id="rId6" Type="http://purl.oclc.org/ooxml/officeDocument/relationships/table" Target="../tables/table17.xml"/><Relationship Id="rId5" Type="http://purl.oclc.org/ooxml/officeDocument/relationships/table" Target="../tables/table16.xml"/><Relationship Id="rId4" Type="http://schemas.openxmlformats.org/officeDocument/2006/relationships/ctrlProp" Target="../ctrlProps/ctrlProp8.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0"/>
  <dimension ref="A1:A3"/>
  <sheetViews>
    <sheetView view="pageBreakPreview" zoomScaleNormal="100" zoomScaleSheetLayoutView="100" workbookViewId="0"/>
  </sheetViews>
  <sheetFormatPr defaultColWidth="9" defaultRowHeight="17.399999999999999" x14ac:dyDescent="0.2"/>
  <cols>
    <col min="1" max="1" width="56.33203125" style="396" customWidth="1"/>
    <col min="2" max="16384" width="9" style="396"/>
  </cols>
  <sheetData>
    <row r="1" spans="1:1" ht="151.19999999999999" x14ac:dyDescent="0.2">
      <c r="A1" s="549" t="s">
        <v>649</v>
      </c>
    </row>
    <row r="2" spans="1:1" s="433" customFormat="1" ht="17.25" customHeight="1" x14ac:dyDescent="0.2">
      <c r="A2" s="550" t="s">
        <v>609</v>
      </c>
    </row>
    <row r="3" spans="1:1" s="433" customFormat="1" ht="17.25" customHeight="1" x14ac:dyDescent="0.2">
      <c r="A3" s="550" t="s">
        <v>650</v>
      </c>
    </row>
  </sheetData>
  <phoneticPr fontId="2"/>
  <printOptions horizontalCentered="1" verticalCentered="1"/>
  <pageMargins left="0.70866141732283472" right="0.70866141732283472" top="0.74803149606299213" bottom="1.5354330708661419" header="0.31496062992125984" footer="0.31496062992125984"/>
  <pageSetup paperSize="9" orientation="portrait" r:id="rId1"/>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00B0F0"/>
    <pageSetUpPr fitToPage="1"/>
  </sheetPr>
  <dimension ref="A1:V63"/>
  <sheetViews>
    <sheetView showGridLines="0" view="pageBreakPreview" zoomScale="80" zoomScaleNormal="100" zoomScaleSheetLayoutView="80" workbookViewId="0"/>
  </sheetViews>
  <sheetFormatPr defaultColWidth="9" defaultRowHeight="17.399999999999999" x14ac:dyDescent="0.2"/>
  <cols>
    <col min="1" max="1" width="3.109375" style="1" customWidth="1"/>
    <col min="2" max="2" width="52.44140625" style="1" customWidth="1"/>
    <col min="3" max="3" width="9.33203125" style="1" customWidth="1"/>
    <col min="4" max="4" width="10.5546875" style="1" bestFit="1" customWidth="1"/>
    <col min="5" max="5" width="4.109375" style="1" customWidth="1"/>
    <col min="6" max="6" width="3.109375" style="1" customWidth="1"/>
    <col min="7" max="7" width="52.44140625" style="1" customWidth="1"/>
    <col min="8" max="10" width="9.33203125" style="1" customWidth="1"/>
    <col min="11" max="11" width="10.5546875" style="1" bestFit="1" customWidth="1"/>
    <col min="12" max="12" width="5" style="1" customWidth="1"/>
    <col min="13" max="13" width="56.21875" style="1" hidden="1" customWidth="1"/>
    <col min="14" max="14" width="7.33203125" style="1" hidden="1" customWidth="1"/>
    <col min="15" max="15" width="5" style="1" hidden="1" customWidth="1"/>
    <col min="16" max="16" width="6.6640625" style="1" hidden="1" customWidth="1"/>
    <col min="17" max="17" width="12.44140625" style="1" hidden="1" customWidth="1"/>
    <col min="18" max="20" width="9" style="1" hidden="1" customWidth="1"/>
    <col min="21" max="21" width="9" style="1"/>
    <col min="22" max="22" width="14.33203125" style="1" customWidth="1"/>
    <col min="23" max="16384" width="9" style="1"/>
  </cols>
  <sheetData>
    <row r="1" spans="1:19" s="3" customFormat="1" ht="19.2" x14ac:dyDescent="0.2">
      <c r="A1" s="2" t="s">
        <v>153</v>
      </c>
      <c r="B1" s="2"/>
    </row>
    <row r="2" spans="1:19" x14ac:dyDescent="0.2">
      <c r="A2" s="4"/>
      <c r="B2" s="4"/>
      <c r="N2" s="113"/>
      <c r="O2" s="32"/>
      <c r="P2" s="32"/>
      <c r="Q2" s="32"/>
    </row>
    <row r="3" spans="1:19" s="3" customFormat="1" ht="19.2" x14ac:dyDescent="0.2">
      <c r="A3" s="4" t="s">
        <v>13</v>
      </c>
      <c r="B3" s="4"/>
      <c r="F3" s="4" t="s">
        <v>154</v>
      </c>
      <c r="G3" s="4"/>
      <c r="N3" s="133"/>
      <c r="O3" s="37"/>
      <c r="P3" s="38"/>
      <c r="Q3" s="35"/>
      <c r="R3" s="1"/>
    </row>
    <row r="4" spans="1:19" x14ac:dyDescent="0.2">
      <c r="A4" s="232"/>
      <c r="B4" s="233"/>
      <c r="C4" s="228" t="s">
        <v>0</v>
      </c>
      <c r="D4" s="228" t="s">
        <v>1</v>
      </c>
      <c r="F4" s="234"/>
      <c r="G4" s="235"/>
      <c r="H4" s="738" t="s">
        <v>114</v>
      </c>
      <c r="I4" s="738" t="s">
        <v>116</v>
      </c>
      <c r="J4" s="738" t="s">
        <v>12</v>
      </c>
      <c r="K4" s="738" t="s">
        <v>1</v>
      </c>
      <c r="M4" s="54" t="s">
        <v>295</v>
      </c>
      <c r="N4" s="133"/>
      <c r="O4" s="280" t="s">
        <v>325</v>
      </c>
      <c r="P4" s="38"/>
      <c r="Q4" s="16" t="s">
        <v>362</v>
      </c>
    </row>
    <row r="5" spans="1:19" ht="18.75" customHeight="1" x14ac:dyDescent="0.2">
      <c r="A5" s="912" t="s">
        <v>120</v>
      </c>
      <c r="B5" s="913"/>
      <c r="C5" s="204">
        <f>SUM(C6:C8)</f>
        <v>1944</v>
      </c>
      <c r="D5" s="221">
        <f t="shared" ref="D5:D20" si="0">IFERROR(C5/C$21,"-")</f>
        <v>0.25032191604429566</v>
      </c>
      <c r="F5" s="911" t="s">
        <v>120</v>
      </c>
      <c r="G5" s="902"/>
      <c r="H5" s="713">
        <f t="shared" ref="H5" si="1">SUM(H6:H8)</f>
        <v>11</v>
      </c>
      <c r="I5" s="707">
        <f t="shared" ref="I5" si="2">SUM(I6:I8)</f>
        <v>79</v>
      </c>
      <c r="J5" s="707">
        <f>SUM(H5:I5)</f>
        <v>90</v>
      </c>
      <c r="K5" s="706">
        <f t="shared" ref="K5:K20" si="3">IFERROR(J5/J$21,"-")</f>
        <v>0.15706806282722513</v>
      </c>
      <c r="M5" s="54" t="s">
        <v>284</v>
      </c>
      <c r="N5" s="133"/>
      <c r="O5" s="280" t="s">
        <v>314</v>
      </c>
      <c r="P5" s="38"/>
      <c r="Q5" s="16" t="s">
        <v>363</v>
      </c>
      <c r="S5" s="37"/>
    </row>
    <row r="6" spans="1:19" ht="16.8" customHeight="1" x14ac:dyDescent="0.2">
      <c r="A6" s="198"/>
      <c r="B6" s="521" t="s">
        <v>121</v>
      </c>
      <c r="C6" s="206">
        <f>IFERROR(VLOOKUP($M4,疾患別＿1年以上[#All],2,FALSE),0)</f>
        <v>988</v>
      </c>
      <c r="D6" s="207">
        <f t="shared" si="0"/>
        <v>0.12722122070563996</v>
      </c>
      <c r="F6" s="198"/>
      <c r="G6" s="521" t="s">
        <v>121</v>
      </c>
      <c r="H6" s="744">
        <f>IFERROR(VLOOKUP($M4,疾患別＿1年以上＿寛解[#All],2,FALSE),0)</f>
        <v>5</v>
      </c>
      <c r="I6" s="744">
        <f>IFERROR(VLOOKUP($M4,疾患別＿1年以上＿院内寛解[#All],2,FALSE),0)</f>
        <v>24</v>
      </c>
      <c r="J6" s="725">
        <f t="shared" ref="J6:J19" si="4">SUM(H6:I6)</f>
        <v>29</v>
      </c>
      <c r="K6" s="726">
        <f t="shared" si="3"/>
        <v>5.06108202443281E-2</v>
      </c>
      <c r="M6" s="54" t="s">
        <v>285</v>
      </c>
      <c r="N6" s="133"/>
      <c r="O6" s="280" t="s">
        <v>315</v>
      </c>
      <c r="P6" s="38"/>
      <c r="Q6" s="35"/>
      <c r="S6" s="120"/>
    </row>
    <row r="7" spans="1:19" x14ac:dyDescent="0.2">
      <c r="A7" s="198"/>
      <c r="B7" s="201" t="s">
        <v>106</v>
      </c>
      <c r="C7" s="208">
        <f>IFERROR(VLOOKUP($M5,疾患別＿1年以上[#All],2,FALSE),0)</f>
        <v>149</v>
      </c>
      <c r="D7" s="209">
        <f t="shared" si="0"/>
        <v>1.9186196240020603E-2</v>
      </c>
      <c r="F7" s="198"/>
      <c r="G7" s="201" t="s">
        <v>106</v>
      </c>
      <c r="H7" s="727">
        <f>IFERROR(VLOOKUP($M5,疾患別＿1年以上＿寛解[#All],2,FALSE),0)</f>
        <v>1</v>
      </c>
      <c r="I7" s="727">
        <f>IFERROR(VLOOKUP($M5,疾患別＿1年以上＿院内寛解[#All],2,FALSE),0)</f>
        <v>4</v>
      </c>
      <c r="J7" s="728">
        <f t="shared" si="4"/>
        <v>5</v>
      </c>
      <c r="K7" s="729">
        <f t="shared" si="3"/>
        <v>8.7260034904013961E-3</v>
      </c>
      <c r="M7" s="54" t="s">
        <v>286</v>
      </c>
      <c r="N7" s="133"/>
      <c r="O7" s="280" t="s">
        <v>316</v>
      </c>
      <c r="P7" s="38"/>
      <c r="Q7" s="35"/>
      <c r="S7" s="120"/>
    </row>
    <row r="8" spans="1:19" ht="34.799999999999997" x14ac:dyDescent="0.2">
      <c r="A8" s="199"/>
      <c r="B8" s="202" t="s">
        <v>19</v>
      </c>
      <c r="C8" s="210">
        <f>IFERROR(VLOOKUP($M6,疾患別＿1年以上[#All],2,FALSE),0)</f>
        <v>807</v>
      </c>
      <c r="D8" s="211">
        <f t="shared" si="0"/>
        <v>0.10391449909863508</v>
      </c>
      <c r="F8" s="216"/>
      <c r="G8" s="522" t="s">
        <v>19</v>
      </c>
      <c r="H8" s="730">
        <f>IFERROR(VLOOKUP($M6,疾患別＿1年以上＿寛解[#All],2,FALSE),0)</f>
        <v>5</v>
      </c>
      <c r="I8" s="730">
        <f>IFERROR(VLOOKUP($M6,疾患別＿1年以上＿院内寛解[#All],2,FALSE),0)</f>
        <v>51</v>
      </c>
      <c r="J8" s="731">
        <f t="shared" si="4"/>
        <v>56</v>
      </c>
      <c r="K8" s="732">
        <f t="shared" si="3"/>
        <v>9.7731239092495634E-2</v>
      </c>
      <c r="M8" s="54" t="s">
        <v>312</v>
      </c>
      <c r="N8" s="133"/>
      <c r="O8" s="280" t="s">
        <v>317</v>
      </c>
      <c r="P8" s="38"/>
      <c r="Q8" s="35"/>
      <c r="S8" s="7"/>
    </row>
    <row r="9" spans="1:19" ht="18.75" customHeight="1" x14ac:dyDescent="0.2">
      <c r="A9" s="909" t="s">
        <v>20</v>
      </c>
      <c r="B9" s="910"/>
      <c r="C9" s="205">
        <f>IFERROR(VLOOKUP($M7,疾患別＿1年以上[#All],2,FALSE),0)+IFERROR(VLOOKUP($M8,疾患別＿1年以上[#All],2,FALSE),0)+IFERROR(VLOOKUP($M9,疾患別＿1年以上[#All],2,FALSE),0)</f>
        <v>274</v>
      </c>
      <c r="D9" s="331">
        <f t="shared" si="0"/>
        <v>3.5281998454802989E-2</v>
      </c>
      <c r="F9" s="920" t="s">
        <v>20</v>
      </c>
      <c r="G9" s="921"/>
      <c r="H9" s="713">
        <f>IFERROR(VLOOKUP($M7,疾患別＿1年以上＿寛解[#All],2,FALSE),0)+IFERROR(VLOOKUP($M8,疾患別＿1年以上＿寛解[#All],2,FALSE),0)+IFERROR(VLOOKUP($M9,疾患別＿1年以上＿寛解[#All],2,FALSE),0)</f>
        <v>4</v>
      </c>
      <c r="I9" s="713">
        <f>IFERROR(VLOOKUP($M7,疾患別＿1年以上＿院内寛解[#All],2,FALSE),0)+IFERROR(VLOOKUP($M8,疾患別＿1年以上＿院内寛解[#All],2,FALSE),0)+IFERROR(VLOOKUP($M9,疾患別＿1年以上＿院内寛解[#All],2,FALSE),0)</f>
        <v>34</v>
      </c>
      <c r="J9" s="707">
        <f t="shared" si="4"/>
        <v>38</v>
      </c>
      <c r="K9" s="712">
        <f t="shared" si="3"/>
        <v>6.6317626527050616E-2</v>
      </c>
      <c r="M9" s="54" t="s">
        <v>313</v>
      </c>
      <c r="N9" s="133"/>
      <c r="O9" s="280" t="s">
        <v>318</v>
      </c>
      <c r="P9" s="38"/>
      <c r="Q9" s="35"/>
      <c r="S9" s="120"/>
    </row>
    <row r="10" spans="1:19" ht="18.75" customHeight="1" x14ac:dyDescent="0.2">
      <c r="A10" s="909" t="s">
        <v>272</v>
      </c>
      <c r="B10" s="910"/>
      <c r="C10" s="205">
        <f>IFERROR(VLOOKUP($M10,疾患別＿1年以上[#All],2,FALSE),0)</f>
        <v>4616</v>
      </c>
      <c r="D10" s="331">
        <f t="shared" si="0"/>
        <v>0.59438578418748389</v>
      </c>
      <c r="F10" s="920" t="s">
        <v>272</v>
      </c>
      <c r="G10" s="921"/>
      <c r="H10" s="713">
        <f>IFERROR(VLOOKUP($M10,疾患別＿1年以上＿寛解[#All],2,FALSE),0)</f>
        <v>44</v>
      </c>
      <c r="I10" s="713">
        <f>IFERROR(VLOOKUP($M10,疾患別＿1年以上＿院内寛解[#All],2,FALSE),0)</f>
        <v>287</v>
      </c>
      <c r="J10" s="707">
        <f t="shared" si="4"/>
        <v>331</v>
      </c>
      <c r="K10" s="712">
        <f t="shared" si="3"/>
        <v>0.57766143106457246</v>
      </c>
      <c r="M10" s="54" t="s">
        <v>287</v>
      </c>
      <c r="N10" s="133"/>
      <c r="O10" s="280" t="s">
        <v>319</v>
      </c>
      <c r="P10" s="38"/>
      <c r="Q10" s="35"/>
      <c r="S10" s="120"/>
    </row>
    <row r="11" spans="1:19" ht="18.75" customHeight="1" x14ac:dyDescent="0.2">
      <c r="A11" s="909" t="s">
        <v>22</v>
      </c>
      <c r="B11" s="910"/>
      <c r="C11" s="205">
        <f>IFERROR(VLOOKUP($M11,疾患別＿1年以上[#All],2,FALSE),0)+IFERROR(VLOOKUP($M12,疾患別＿1年以上[#All],2,FALSE),0)</f>
        <v>580</v>
      </c>
      <c r="D11" s="331">
        <f t="shared" si="0"/>
        <v>7.4684522276590268E-2</v>
      </c>
      <c r="F11" s="901" t="s">
        <v>22</v>
      </c>
      <c r="G11" s="902"/>
      <c r="H11" s="713">
        <f>IFERROR(VLOOKUP($M11,疾患別＿1年以上＿寛解[#All],2,FALSE),0)+IFERROR(VLOOKUP($M12,疾患別＿1年以上＿寛解[#All],2,FALSE),0)</f>
        <v>7</v>
      </c>
      <c r="I11" s="713">
        <f>IFERROR(VLOOKUP($M11,疾患別＿1年以上＿院内寛解[#All],2,FALSE),0)+IFERROR(VLOOKUP($M12,疾患別＿1年以上＿院内寛解[#All],2,FALSE),0)</f>
        <v>71</v>
      </c>
      <c r="J11" s="707">
        <f t="shared" si="4"/>
        <v>78</v>
      </c>
      <c r="K11" s="712">
        <f t="shared" si="3"/>
        <v>0.13612565445026178</v>
      </c>
      <c r="M11" s="54" t="s">
        <v>288</v>
      </c>
      <c r="N11" s="133"/>
      <c r="O11" s="280" t="s">
        <v>320</v>
      </c>
      <c r="P11" s="38"/>
      <c r="Q11" s="35"/>
      <c r="S11" s="120"/>
    </row>
    <row r="12" spans="1:19" ht="18.75" customHeight="1" x14ac:dyDescent="0.2">
      <c r="A12" s="922" t="s">
        <v>24</v>
      </c>
      <c r="B12" s="923"/>
      <c r="C12" s="205">
        <f>IFERROR(VLOOKUP($M13,疾患別＿1年以上[#All],2,FALSE),0)</f>
        <v>72</v>
      </c>
      <c r="D12" s="331">
        <f t="shared" si="0"/>
        <v>9.2711820757146544E-3</v>
      </c>
      <c r="F12" s="920" t="s">
        <v>24</v>
      </c>
      <c r="G12" s="921"/>
      <c r="H12" s="713">
        <f>IFERROR(VLOOKUP($M13,疾患別＿1年以上＿寛解[#All],2,FALSE),0)</f>
        <v>1</v>
      </c>
      <c r="I12" s="713">
        <f>IFERROR(VLOOKUP($M13,疾患別＿1年以上＿院内寛解[#All],2,FALSE),0)</f>
        <v>11</v>
      </c>
      <c r="J12" s="707">
        <f t="shared" si="4"/>
        <v>12</v>
      </c>
      <c r="K12" s="712">
        <f t="shared" si="3"/>
        <v>2.0942408376963352E-2</v>
      </c>
      <c r="M12" s="54" t="s">
        <v>289</v>
      </c>
      <c r="N12" s="134"/>
      <c r="O12" s="280" t="s">
        <v>321</v>
      </c>
      <c r="P12" s="38"/>
      <c r="Q12" s="35"/>
      <c r="S12" s="120"/>
    </row>
    <row r="13" spans="1:19" ht="18.75" customHeight="1" x14ac:dyDescent="0.2">
      <c r="A13" s="922" t="s">
        <v>25</v>
      </c>
      <c r="B13" s="923"/>
      <c r="C13" s="205">
        <f>IFERROR(VLOOKUP($M14,疾患別＿1年以上[#All],2,FALSE),0)</f>
        <v>4</v>
      </c>
      <c r="D13" s="331">
        <f t="shared" si="0"/>
        <v>5.1506567087303637E-4</v>
      </c>
      <c r="F13" s="920" t="s">
        <v>25</v>
      </c>
      <c r="G13" s="921"/>
      <c r="H13" s="713">
        <f>IFERROR(VLOOKUP($M14,疾患別＿1年以上＿寛解[#All],2,FALSE),0)</f>
        <v>0</v>
      </c>
      <c r="I13" s="713">
        <f>IFERROR(VLOOKUP($M14,疾患別＿1年以上＿院内寛解[#All],2,FALSE),0)</f>
        <v>1</v>
      </c>
      <c r="J13" s="707">
        <f t="shared" si="4"/>
        <v>1</v>
      </c>
      <c r="K13" s="712">
        <f t="shared" si="3"/>
        <v>1.7452006980802793E-3</v>
      </c>
      <c r="M13" s="54" t="s">
        <v>290</v>
      </c>
      <c r="N13" s="134"/>
      <c r="O13" s="280" t="s">
        <v>322</v>
      </c>
      <c r="P13" s="38"/>
      <c r="Q13" s="35"/>
      <c r="S13" s="120"/>
    </row>
    <row r="14" spans="1:19" ht="18.75" customHeight="1" x14ac:dyDescent="0.2">
      <c r="A14" s="909" t="s">
        <v>256</v>
      </c>
      <c r="B14" s="910"/>
      <c r="C14" s="205">
        <f>IFERROR(VLOOKUP($M15,疾患別＿1年以上[#All],2,FALSE),0)</f>
        <v>11</v>
      </c>
      <c r="D14" s="331">
        <f t="shared" si="0"/>
        <v>1.4164305949008499E-3</v>
      </c>
      <c r="F14" s="901" t="s">
        <v>256</v>
      </c>
      <c r="G14" s="902"/>
      <c r="H14" s="713">
        <f>IFERROR(VLOOKUP($M15,疾患別＿1年以上＿寛解[#All],2,FALSE),0)</f>
        <v>0</v>
      </c>
      <c r="I14" s="713">
        <f>IFERROR(VLOOKUP($M15,疾患別＿1年以上＿院内寛解[#All],2,FALSE),0)</f>
        <v>2</v>
      </c>
      <c r="J14" s="707">
        <f t="shared" si="4"/>
        <v>2</v>
      </c>
      <c r="K14" s="712">
        <f t="shared" si="3"/>
        <v>3.4904013961605585E-3</v>
      </c>
      <c r="M14" s="54" t="s">
        <v>291</v>
      </c>
      <c r="N14" s="134"/>
      <c r="O14" s="280" t="s">
        <v>323</v>
      </c>
      <c r="P14" s="38"/>
      <c r="Q14" s="35"/>
      <c r="S14" s="120"/>
    </row>
    <row r="15" spans="1:19" ht="18.75" customHeight="1" x14ac:dyDescent="0.2">
      <c r="A15" s="909" t="s">
        <v>257</v>
      </c>
      <c r="B15" s="910"/>
      <c r="C15" s="205">
        <f>IFERROR(VLOOKUP($M16,疾患別＿1年以上[#All],2,FALSE),0)</f>
        <v>149</v>
      </c>
      <c r="D15" s="331">
        <f t="shared" si="0"/>
        <v>1.9186196240020603E-2</v>
      </c>
      <c r="F15" s="901" t="s">
        <v>257</v>
      </c>
      <c r="G15" s="902"/>
      <c r="H15" s="713">
        <f>IFERROR(VLOOKUP($M16,疾患別＿1年以上＿寛解[#All],2,FALSE),0)</f>
        <v>0</v>
      </c>
      <c r="I15" s="713">
        <f>IFERROR(VLOOKUP($M16,疾患別＿1年以上＿院内寛解[#All],2,FALSE),0)</f>
        <v>10</v>
      </c>
      <c r="J15" s="707">
        <f t="shared" si="4"/>
        <v>10</v>
      </c>
      <c r="K15" s="712">
        <f t="shared" si="3"/>
        <v>1.7452006980802792E-2</v>
      </c>
      <c r="M15" s="54" t="s">
        <v>296</v>
      </c>
      <c r="N15" s="133"/>
      <c r="O15" s="280" t="s">
        <v>324</v>
      </c>
      <c r="P15" s="38"/>
      <c r="Q15" s="35"/>
      <c r="S15" s="121"/>
    </row>
    <row r="16" spans="1:19" ht="18.75" customHeight="1" x14ac:dyDescent="0.2">
      <c r="A16" s="909" t="s">
        <v>23</v>
      </c>
      <c r="B16" s="910"/>
      <c r="C16" s="205">
        <f>IFERROR(VLOOKUP($M17,疾患別＿1年以上[#All],2,FALSE),0)</f>
        <v>39</v>
      </c>
      <c r="D16" s="331">
        <f t="shared" si="0"/>
        <v>5.0218902910121044E-3</v>
      </c>
      <c r="E16" s="106"/>
      <c r="F16" s="901" t="s">
        <v>23</v>
      </c>
      <c r="G16" s="902"/>
      <c r="H16" s="713">
        <f>IFERROR(VLOOKUP($M17,疾患別＿1年以上＿寛解[#All],2,FALSE),0)</f>
        <v>0</v>
      </c>
      <c r="I16" s="713">
        <f>IFERROR(VLOOKUP($M17,疾患別＿1年以上＿院内寛解[#All],2,FALSE),0)</f>
        <v>2</v>
      </c>
      <c r="J16" s="707">
        <f t="shared" si="4"/>
        <v>2</v>
      </c>
      <c r="K16" s="712">
        <f t="shared" si="3"/>
        <v>3.4904013961605585E-3</v>
      </c>
      <c r="M16" s="54" t="s">
        <v>292</v>
      </c>
      <c r="N16" s="135"/>
      <c r="O16" s="37"/>
      <c r="P16" s="38"/>
      <c r="Q16" s="35"/>
      <c r="S16" s="121"/>
    </row>
    <row r="17" spans="1:22" ht="18.75" customHeight="1" x14ac:dyDescent="0.2">
      <c r="A17" s="918" t="s">
        <v>258</v>
      </c>
      <c r="B17" s="919"/>
      <c r="C17" s="205">
        <f>IFERROR(VLOOKUP($M18,疾患別＿1年以上[#All],2,FALSE),0)</f>
        <v>12</v>
      </c>
      <c r="D17" s="331">
        <f t="shared" si="0"/>
        <v>1.545197012619109E-3</v>
      </c>
      <c r="E17" s="38"/>
      <c r="F17" s="918" t="s">
        <v>258</v>
      </c>
      <c r="G17" s="919"/>
      <c r="H17" s="713">
        <f>IFERROR(VLOOKUP($M18,疾患別＿1年以上＿寛解[#All],2,FALSE),0)</f>
        <v>1</v>
      </c>
      <c r="I17" s="713">
        <f>IFERROR(VLOOKUP($M18,疾患別＿1年以上＿院内寛解[#All],2,FALSE),0)</f>
        <v>3</v>
      </c>
      <c r="J17" s="707">
        <f t="shared" si="4"/>
        <v>4</v>
      </c>
      <c r="K17" s="712">
        <f t="shared" si="3"/>
        <v>6.9808027923211171E-3</v>
      </c>
      <c r="M17" s="54" t="s">
        <v>293</v>
      </c>
      <c r="N17" s="113"/>
      <c r="O17" s="37"/>
      <c r="P17" s="38"/>
      <c r="Q17" s="35"/>
      <c r="S17" s="121"/>
    </row>
    <row r="18" spans="1:22" ht="18.75" customHeight="1" x14ac:dyDescent="0.2">
      <c r="A18" s="909" t="s">
        <v>123</v>
      </c>
      <c r="B18" s="910"/>
      <c r="C18" s="205">
        <f>IFERROR(VLOOKUP($M19,疾患別＿1年以上[#All],2,FALSE),0)</f>
        <v>27</v>
      </c>
      <c r="D18" s="331">
        <f t="shared" si="0"/>
        <v>3.4766932783929952E-3</v>
      </c>
      <c r="E18" s="106"/>
      <c r="F18" s="903" t="s">
        <v>123</v>
      </c>
      <c r="G18" s="904"/>
      <c r="H18" s="713">
        <f>IFERROR(VLOOKUP($M19,疾患別＿1年以上＿寛解[#All],2,FALSE),0)</f>
        <v>0</v>
      </c>
      <c r="I18" s="713">
        <f>IFERROR(VLOOKUP($M19,疾患別＿1年以上＿院内寛解[#All],2,FALSE),0)</f>
        <v>1</v>
      </c>
      <c r="J18" s="707">
        <f t="shared" si="4"/>
        <v>1</v>
      </c>
      <c r="K18" s="712">
        <f t="shared" si="3"/>
        <v>1.7452006980802793E-3</v>
      </c>
      <c r="M18" s="54" t="s">
        <v>297</v>
      </c>
      <c r="S18" s="120"/>
    </row>
    <row r="19" spans="1:22" x14ac:dyDescent="0.2">
      <c r="A19" s="899" t="s">
        <v>18</v>
      </c>
      <c r="B19" s="900"/>
      <c r="C19" s="205">
        <f>IFERROR(VLOOKUP($M21,疾患別＿1年以上[#All],2,FALSE),0)</f>
        <v>38</v>
      </c>
      <c r="D19" s="331">
        <f t="shared" si="0"/>
        <v>4.8931238732938453E-3</v>
      </c>
      <c r="E19" s="38"/>
      <c r="F19" s="914" t="s">
        <v>18</v>
      </c>
      <c r="G19" s="915"/>
      <c r="H19" s="713">
        <f>IFERROR(VLOOKUP($M21,疾患別＿1年以上＿寛解[#All],2,FALSE),0)</f>
        <v>0</v>
      </c>
      <c r="I19" s="713">
        <f>IFERROR(VLOOKUP($M21,疾患別＿1年以上＿院内寛解[#All],2,FALSE),0)</f>
        <v>4</v>
      </c>
      <c r="J19" s="707">
        <f t="shared" si="4"/>
        <v>4</v>
      </c>
      <c r="K19" s="712">
        <f t="shared" si="3"/>
        <v>6.9808027923211171E-3</v>
      </c>
      <c r="M19" s="54" t="s">
        <v>294</v>
      </c>
      <c r="S19" s="7"/>
    </row>
    <row r="20" spans="1:22" ht="18.75" customHeight="1" x14ac:dyDescent="0.2">
      <c r="A20" s="899" t="s">
        <v>375</v>
      </c>
      <c r="B20" s="900"/>
      <c r="C20" s="205">
        <f>IFERROR(VLOOKUP($M22,疾患別＿1年以上[#All],2,FALSE),0)</f>
        <v>0</v>
      </c>
      <c r="D20" s="331">
        <f t="shared" si="0"/>
        <v>0</v>
      </c>
      <c r="E20" s="38"/>
      <c r="F20" s="899" t="s">
        <v>375</v>
      </c>
      <c r="G20" s="900"/>
      <c r="H20" s="713">
        <f>IFERROR(VLOOKUP($M22,疾患別＿1年以上＿寛解[#All],2,FALSE),0)</f>
        <v>0</v>
      </c>
      <c r="I20" s="713">
        <f>IFERROR(VLOOKUP($M22,疾患別＿1年以上＿院内寛解[#All],2,FALSE),0)</f>
        <v>0</v>
      </c>
      <c r="J20" s="707">
        <f t="shared" ref="J20" si="5">SUM(H20:I20)</f>
        <v>0</v>
      </c>
      <c r="K20" s="712">
        <f t="shared" si="3"/>
        <v>0</v>
      </c>
      <c r="M20" s="54" t="s">
        <v>18</v>
      </c>
    </row>
    <row r="21" spans="1:22" x14ac:dyDescent="0.2">
      <c r="A21" s="236" t="s">
        <v>11</v>
      </c>
      <c r="B21" s="237"/>
      <c r="C21" s="230">
        <f>SUM(C6:C20)</f>
        <v>7766</v>
      </c>
      <c r="D21" s="231">
        <f>SUM(D6:D20)</f>
        <v>0.99999999999999989</v>
      </c>
      <c r="F21" s="238" t="s">
        <v>11</v>
      </c>
      <c r="G21" s="239"/>
      <c r="H21" s="741">
        <f>SUM(H6:H20)</f>
        <v>68</v>
      </c>
      <c r="I21" s="741">
        <f>SUM(I6:I20)</f>
        <v>505</v>
      </c>
      <c r="J21" s="741">
        <f>SUM(J6:J20)</f>
        <v>573</v>
      </c>
      <c r="K21" s="742">
        <f>SUM(K6:K20)</f>
        <v>1</v>
      </c>
      <c r="M21" s="54" t="s">
        <v>18</v>
      </c>
      <c r="S21" s="37"/>
    </row>
    <row r="22" spans="1:22" hidden="1" x14ac:dyDescent="0.2">
      <c r="A22" s="37"/>
      <c r="B22" s="55" t="s">
        <v>63</v>
      </c>
      <c r="C22" s="44"/>
      <c r="N22" s="113"/>
      <c r="O22" s="32"/>
      <c r="P22" s="32"/>
      <c r="Q22" s="32"/>
      <c r="T22" s="136"/>
      <c r="U22" s="136"/>
      <c r="V22" s="136"/>
    </row>
    <row r="23" spans="1:22" s="3" customFormat="1" ht="19.8" hidden="1" thickBot="1" x14ac:dyDescent="0.25">
      <c r="B23" s="343" t="s">
        <v>283</v>
      </c>
      <c r="C23" s="339" t="s">
        <v>0</v>
      </c>
      <c r="D23" s="1"/>
      <c r="E23" s="1"/>
      <c r="F23" s="1"/>
      <c r="G23" s="343" t="s">
        <v>283</v>
      </c>
      <c r="H23" s="339" t="s">
        <v>28</v>
      </c>
      <c r="N23" s="133"/>
      <c r="O23" s="37"/>
      <c r="P23" s="38"/>
      <c r="Q23" s="35"/>
      <c r="R23" s="1"/>
      <c r="T23" s="37"/>
      <c r="U23" s="38"/>
      <c r="V23" s="35"/>
    </row>
    <row r="24" spans="1:22" ht="18.75" hidden="1" customHeight="1" thickTop="1" thickBot="1" x14ac:dyDescent="0.25">
      <c r="A24" s="253"/>
      <c r="B24" s="292" t="s">
        <v>372</v>
      </c>
      <c r="C24" s="34" t="s">
        <v>615</v>
      </c>
      <c r="D24" s="3"/>
      <c r="E24" s="3"/>
      <c r="F24" s="265"/>
      <c r="G24" s="292" t="s">
        <v>372</v>
      </c>
      <c r="H24" s="34" t="s">
        <v>615</v>
      </c>
      <c r="I24" s="240"/>
      <c r="J24" s="271"/>
      <c r="M24" s="133"/>
      <c r="N24" s="37"/>
      <c r="O24" s="38"/>
      <c r="P24" s="35"/>
    </row>
    <row r="25" spans="1:22" ht="18.75" hidden="1" customHeight="1" thickTop="1" x14ac:dyDescent="0.2">
      <c r="A25" s="267"/>
      <c r="B25" s="42" t="s">
        <v>295</v>
      </c>
      <c r="C25" s="116">
        <v>988</v>
      </c>
      <c r="F25" s="266"/>
      <c r="G25" s="42" t="s">
        <v>295</v>
      </c>
      <c r="H25" s="116">
        <v>5</v>
      </c>
      <c r="I25" s="272"/>
      <c r="J25" s="271"/>
      <c r="M25" s="133"/>
      <c r="N25" s="37"/>
      <c r="O25" s="38"/>
      <c r="P25" s="35"/>
    </row>
    <row r="26" spans="1:22" ht="18.75" hidden="1" customHeight="1" x14ac:dyDescent="0.2">
      <c r="A26" s="267"/>
      <c r="B26" s="42" t="s">
        <v>284</v>
      </c>
      <c r="C26" s="116">
        <v>149</v>
      </c>
      <c r="F26" s="267"/>
      <c r="G26" s="293" t="s">
        <v>284</v>
      </c>
      <c r="H26" s="263">
        <v>1</v>
      </c>
      <c r="I26" s="272"/>
      <c r="J26" s="271"/>
      <c r="M26" s="133"/>
      <c r="N26" s="37"/>
      <c r="O26" s="38"/>
      <c r="P26" s="35"/>
    </row>
    <row r="27" spans="1:22" ht="18.75" hidden="1" customHeight="1" x14ac:dyDescent="0.2">
      <c r="A27" s="267"/>
      <c r="B27" s="42" t="s">
        <v>285</v>
      </c>
      <c r="C27" s="116">
        <v>807</v>
      </c>
      <c r="F27" s="266"/>
      <c r="G27" s="260" t="s">
        <v>285</v>
      </c>
      <c r="H27" s="261">
        <v>5</v>
      </c>
      <c r="I27" s="272"/>
      <c r="J27" s="271"/>
      <c r="M27" s="133"/>
      <c r="N27" s="37"/>
      <c r="O27" s="38"/>
      <c r="P27" s="35"/>
    </row>
    <row r="28" spans="1:22" ht="18.75" hidden="1" customHeight="1" x14ac:dyDescent="0.2">
      <c r="A28" s="267"/>
      <c r="B28" s="42" t="s">
        <v>286</v>
      </c>
      <c r="C28" s="116">
        <v>217</v>
      </c>
      <c r="F28" s="267"/>
      <c r="G28" s="262" t="s">
        <v>286</v>
      </c>
      <c r="H28" s="263">
        <v>4</v>
      </c>
      <c r="I28" s="272"/>
      <c r="J28" s="271"/>
      <c r="M28" s="133"/>
      <c r="N28" s="37"/>
      <c r="O28" s="38"/>
      <c r="P28" s="35"/>
    </row>
    <row r="29" spans="1:22" ht="18.75" hidden="1" customHeight="1" x14ac:dyDescent="0.2">
      <c r="A29" s="267"/>
      <c r="B29" s="71" t="s">
        <v>200</v>
      </c>
      <c r="C29" s="116">
        <v>20</v>
      </c>
      <c r="F29" s="266"/>
      <c r="G29" s="260" t="s">
        <v>200</v>
      </c>
      <c r="H29" s="261">
        <v>0</v>
      </c>
      <c r="I29" s="272"/>
      <c r="J29" s="271"/>
      <c r="M29" s="133"/>
      <c r="N29" s="37"/>
      <c r="O29" s="38"/>
      <c r="P29" s="35"/>
    </row>
    <row r="30" spans="1:22" ht="18.75" hidden="1" customHeight="1" x14ac:dyDescent="0.2">
      <c r="A30" s="267"/>
      <c r="B30" s="42" t="s">
        <v>201</v>
      </c>
      <c r="C30" s="116">
        <v>37</v>
      </c>
      <c r="F30" s="267"/>
      <c r="G30" s="262" t="s">
        <v>201</v>
      </c>
      <c r="H30" s="263">
        <v>0</v>
      </c>
      <c r="I30" s="272"/>
      <c r="J30" s="271"/>
      <c r="M30" s="133"/>
      <c r="N30" s="37"/>
      <c r="O30" s="38"/>
      <c r="P30" s="35"/>
    </row>
    <row r="31" spans="1:22" ht="18.75" hidden="1" customHeight="1" x14ac:dyDescent="0.2">
      <c r="A31" s="267"/>
      <c r="B31" s="42" t="s">
        <v>287</v>
      </c>
      <c r="C31" s="116">
        <v>4616</v>
      </c>
      <c r="F31" s="266"/>
      <c r="G31" s="260" t="s">
        <v>287</v>
      </c>
      <c r="H31" s="261">
        <v>44</v>
      </c>
      <c r="I31" s="272"/>
      <c r="J31" s="271"/>
      <c r="M31" s="133"/>
      <c r="N31" s="37"/>
      <c r="O31" s="38"/>
      <c r="P31" s="35"/>
    </row>
    <row r="32" spans="1:22" ht="18.75" hidden="1" customHeight="1" x14ac:dyDescent="0.2">
      <c r="A32" s="267"/>
      <c r="B32" s="42" t="s">
        <v>288</v>
      </c>
      <c r="C32" s="116">
        <v>268</v>
      </c>
      <c r="F32" s="267"/>
      <c r="G32" s="262" t="s">
        <v>288</v>
      </c>
      <c r="H32" s="263">
        <v>2</v>
      </c>
      <c r="I32" s="272"/>
      <c r="J32" s="271"/>
      <c r="M32" s="134"/>
      <c r="N32" s="37"/>
      <c r="O32" s="38"/>
      <c r="P32" s="35"/>
    </row>
    <row r="33" spans="1:22" ht="18.75" hidden="1" customHeight="1" x14ac:dyDescent="0.2">
      <c r="A33" s="267"/>
      <c r="B33" s="42" t="s">
        <v>289</v>
      </c>
      <c r="C33" s="116">
        <v>312</v>
      </c>
      <c r="F33" s="266"/>
      <c r="G33" s="260" t="s">
        <v>289</v>
      </c>
      <c r="H33" s="261">
        <v>5</v>
      </c>
      <c r="I33" s="272"/>
      <c r="J33" s="271"/>
      <c r="M33" s="134"/>
      <c r="N33" s="37"/>
      <c r="O33" s="38"/>
      <c r="P33" s="35"/>
    </row>
    <row r="34" spans="1:22" ht="18.75" hidden="1" customHeight="1" x14ac:dyDescent="0.2">
      <c r="A34" s="267"/>
      <c r="B34" s="42" t="s">
        <v>290</v>
      </c>
      <c r="C34" s="116">
        <v>72</v>
      </c>
      <c r="F34" s="267"/>
      <c r="G34" s="262" t="s">
        <v>290</v>
      </c>
      <c r="H34" s="263">
        <v>1</v>
      </c>
      <c r="I34" s="272"/>
      <c r="J34" s="271"/>
      <c r="M34" s="134"/>
      <c r="N34" s="37"/>
      <c r="O34" s="38"/>
      <c r="P34" s="35"/>
    </row>
    <row r="35" spans="1:22" ht="18.75" hidden="1" customHeight="1" x14ac:dyDescent="0.2">
      <c r="A35" s="267"/>
      <c r="B35" s="42" t="s">
        <v>291</v>
      </c>
      <c r="C35" s="116">
        <v>4</v>
      </c>
      <c r="F35" s="266"/>
      <c r="G35" s="260" t="s">
        <v>291</v>
      </c>
      <c r="H35" s="261">
        <v>0</v>
      </c>
      <c r="I35" s="272"/>
      <c r="J35" s="271"/>
      <c r="M35" s="133"/>
      <c r="N35" s="37"/>
      <c r="O35" s="38"/>
      <c r="P35" s="35"/>
    </row>
    <row r="36" spans="1:22" ht="18.75" hidden="1" customHeight="1" x14ac:dyDescent="0.2">
      <c r="A36" s="267"/>
      <c r="B36" s="42" t="s">
        <v>296</v>
      </c>
      <c r="C36" s="116">
        <v>11</v>
      </c>
      <c r="F36" s="267"/>
      <c r="G36" s="262" t="s">
        <v>296</v>
      </c>
      <c r="H36" s="263">
        <v>0</v>
      </c>
      <c r="I36" s="272"/>
      <c r="J36" s="271"/>
      <c r="M36" s="135"/>
      <c r="N36" s="37"/>
      <c r="O36" s="38"/>
      <c r="P36" s="35"/>
    </row>
    <row r="37" spans="1:22" ht="18.75" hidden="1" customHeight="1" x14ac:dyDescent="0.2">
      <c r="A37" s="267"/>
      <c r="B37" s="42" t="s">
        <v>292</v>
      </c>
      <c r="C37" s="116">
        <v>149</v>
      </c>
      <c r="F37" s="266"/>
      <c r="G37" s="260" t="s">
        <v>292</v>
      </c>
      <c r="H37" s="261">
        <v>0</v>
      </c>
      <c r="I37" s="272"/>
      <c r="J37" s="271"/>
      <c r="M37" s="113"/>
      <c r="N37" s="37"/>
      <c r="O37" s="38"/>
      <c r="P37" s="35"/>
    </row>
    <row r="38" spans="1:22" ht="18.75" hidden="1" customHeight="1" x14ac:dyDescent="0.2">
      <c r="A38" s="267"/>
      <c r="B38" s="42" t="s">
        <v>293</v>
      </c>
      <c r="C38" s="116">
        <v>39</v>
      </c>
      <c r="F38" s="267"/>
      <c r="G38" s="262" t="s">
        <v>293</v>
      </c>
      <c r="H38" s="263">
        <v>0</v>
      </c>
      <c r="I38" s="272"/>
      <c r="J38" s="271"/>
    </row>
    <row r="39" spans="1:22" ht="18.75" hidden="1" customHeight="1" x14ac:dyDescent="0.2">
      <c r="A39" s="267"/>
      <c r="B39" s="71" t="s">
        <v>297</v>
      </c>
      <c r="C39" s="116">
        <v>12</v>
      </c>
      <c r="F39" s="266"/>
      <c r="G39" s="260" t="s">
        <v>297</v>
      </c>
      <c r="H39" s="261">
        <v>1</v>
      </c>
      <c r="I39" s="272"/>
      <c r="J39" s="271"/>
    </row>
    <row r="40" spans="1:22" ht="18.75" hidden="1" customHeight="1" x14ac:dyDescent="0.2">
      <c r="A40" s="267"/>
      <c r="B40" s="42" t="s">
        <v>18</v>
      </c>
      <c r="C40" s="116">
        <v>38</v>
      </c>
      <c r="F40" s="267"/>
      <c r="G40" s="264" t="s">
        <v>18</v>
      </c>
      <c r="H40" s="263">
        <v>0</v>
      </c>
      <c r="I40" s="272"/>
      <c r="J40" s="271"/>
    </row>
    <row r="41" spans="1:22" ht="18.75" hidden="1" customHeight="1" x14ac:dyDescent="0.2">
      <c r="A41" s="267"/>
      <c r="B41" s="42" t="s">
        <v>294</v>
      </c>
      <c r="C41" s="116">
        <v>27</v>
      </c>
      <c r="F41" s="266"/>
      <c r="G41" s="259" t="s">
        <v>294</v>
      </c>
      <c r="H41" s="258">
        <v>0</v>
      </c>
      <c r="I41" s="272"/>
      <c r="J41" s="271"/>
    </row>
    <row r="42" spans="1:22" ht="18.75" hidden="1" customHeight="1" x14ac:dyDescent="0.2">
      <c r="A42" s="267"/>
      <c r="B42" s="42" t="s">
        <v>616</v>
      </c>
      <c r="C42" s="116">
        <v>0</v>
      </c>
      <c r="F42" s="266"/>
      <c r="G42" s="277" t="s">
        <v>616</v>
      </c>
      <c r="H42" s="261">
        <v>0</v>
      </c>
      <c r="I42" s="272"/>
      <c r="J42" s="271"/>
    </row>
    <row r="43" spans="1:22" ht="18.75" hidden="1" customHeight="1" thickBot="1" x14ac:dyDescent="0.25">
      <c r="A43" s="21"/>
      <c r="G43" s="343" t="s">
        <v>283</v>
      </c>
      <c r="H43" s="339" t="s">
        <v>364</v>
      </c>
      <c r="I43" s="21"/>
      <c r="J43" s="21"/>
    </row>
    <row r="44" spans="1:22" ht="18.75" hidden="1" customHeight="1" thickTop="1" thickBot="1" x14ac:dyDescent="0.25">
      <c r="A44" s="21"/>
      <c r="G44" s="292" t="s">
        <v>372</v>
      </c>
      <c r="H44" s="34" t="s">
        <v>615</v>
      </c>
      <c r="I44" s="21"/>
      <c r="J44" s="21"/>
    </row>
    <row r="45" spans="1:22" ht="18.75" hidden="1" customHeight="1" thickTop="1" x14ac:dyDescent="0.2">
      <c r="A45" s="21"/>
      <c r="G45" s="293" t="s">
        <v>295</v>
      </c>
      <c r="H45" s="263">
        <v>24</v>
      </c>
      <c r="I45" s="21"/>
      <c r="J45" s="21"/>
      <c r="N45" s="133"/>
      <c r="O45" s="37"/>
      <c r="P45" s="38"/>
      <c r="Q45" s="35"/>
      <c r="T45" s="37"/>
      <c r="U45" s="38"/>
      <c r="V45" s="35"/>
    </row>
    <row r="46" spans="1:22" ht="18.75" hidden="1" customHeight="1" x14ac:dyDescent="0.2">
      <c r="A46" s="21"/>
      <c r="G46" s="293" t="s">
        <v>284</v>
      </c>
      <c r="H46" s="263">
        <v>4</v>
      </c>
      <c r="I46" s="21"/>
      <c r="J46" s="21"/>
      <c r="N46" s="133"/>
      <c r="O46" s="37"/>
      <c r="P46" s="38"/>
      <c r="Q46" s="35"/>
      <c r="T46" s="37"/>
      <c r="U46" s="38"/>
      <c r="V46" s="35"/>
    </row>
    <row r="47" spans="1:22" ht="18.75" hidden="1" customHeight="1" x14ac:dyDescent="0.2">
      <c r="A47" s="21"/>
      <c r="G47" s="293" t="s">
        <v>285</v>
      </c>
      <c r="H47" s="263">
        <v>51</v>
      </c>
      <c r="I47" s="21"/>
      <c r="J47" s="21"/>
      <c r="N47" s="133"/>
      <c r="O47" s="37"/>
      <c r="P47" s="38"/>
      <c r="Q47" s="35"/>
      <c r="T47" s="37"/>
      <c r="U47" s="38"/>
      <c r="V47" s="35"/>
    </row>
    <row r="48" spans="1:22" ht="18.75" hidden="1" customHeight="1" x14ac:dyDescent="0.2">
      <c r="A48" s="21"/>
      <c r="G48" s="293" t="s">
        <v>286</v>
      </c>
      <c r="H48" s="263">
        <v>29</v>
      </c>
      <c r="I48" s="21"/>
      <c r="J48" s="21"/>
      <c r="N48" s="133"/>
      <c r="O48" s="37"/>
      <c r="P48" s="38"/>
      <c r="Q48" s="35"/>
      <c r="T48" s="37"/>
      <c r="U48" s="38"/>
      <c r="V48" s="35"/>
    </row>
    <row r="49" spans="1:22" ht="18.75" hidden="1" customHeight="1" x14ac:dyDescent="0.2">
      <c r="A49" s="21"/>
      <c r="G49" s="293" t="s">
        <v>200</v>
      </c>
      <c r="H49" s="263">
        <v>1</v>
      </c>
      <c r="I49" s="21"/>
      <c r="J49" s="21"/>
      <c r="N49" s="133"/>
      <c r="O49" s="37"/>
      <c r="P49" s="38"/>
      <c r="Q49" s="35"/>
      <c r="T49" s="37"/>
      <c r="U49" s="38"/>
      <c r="V49" s="35"/>
    </row>
    <row r="50" spans="1:22" ht="18.75" hidden="1" customHeight="1" x14ac:dyDescent="0.2">
      <c r="A50" s="21"/>
      <c r="G50" s="293" t="s">
        <v>201</v>
      </c>
      <c r="H50" s="263">
        <v>4</v>
      </c>
      <c r="I50" s="21"/>
      <c r="J50" s="21"/>
      <c r="N50" s="133"/>
      <c r="O50" s="37"/>
      <c r="P50" s="38"/>
      <c r="Q50" s="35"/>
      <c r="T50" s="37"/>
      <c r="U50" s="38"/>
      <c r="V50" s="35"/>
    </row>
    <row r="51" spans="1:22" ht="18.75" hidden="1" customHeight="1" x14ac:dyDescent="0.2">
      <c r="A51" s="21"/>
      <c r="G51" s="293" t="s">
        <v>287</v>
      </c>
      <c r="H51" s="263">
        <v>287</v>
      </c>
      <c r="I51" s="21"/>
      <c r="J51" s="21"/>
      <c r="N51" s="134"/>
      <c r="O51" s="37"/>
      <c r="P51" s="38"/>
      <c r="Q51" s="35"/>
      <c r="T51" s="37"/>
      <c r="U51" s="38"/>
      <c r="V51" s="35"/>
    </row>
    <row r="52" spans="1:22" ht="18.75" hidden="1" customHeight="1" x14ac:dyDescent="0.2">
      <c r="G52" s="293" t="s">
        <v>288</v>
      </c>
      <c r="H52" s="263">
        <v>30</v>
      </c>
      <c r="N52" s="134"/>
      <c r="O52" s="37"/>
      <c r="P52" s="38"/>
      <c r="Q52" s="35"/>
      <c r="T52" s="37"/>
      <c r="U52" s="38"/>
      <c r="V52" s="35"/>
    </row>
    <row r="53" spans="1:22" ht="18.75" hidden="1" customHeight="1" x14ac:dyDescent="0.2">
      <c r="G53" s="293" t="s">
        <v>289</v>
      </c>
      <c r="H53" s="263">
        <v>41</v>
      </c>
      <c r="N53" s="134"/>
      <c r="T53" s="37"/>
      <c r="U53" s="38"/>
      <c r="V53" s="35"/>
    </row>
    <row r="54" spans="1:22" ht="18.75" hidden="1" customHeight="1" x14ac:dyDescent="0.2">
      <c r="G54" s="293" t="s">
        <v>290</v>
      </c>
      <c r="H54" s="263">
        <v>11</v>
      </c>
      <c r="N54" s="133"/>
      <c r="T54" s="37"/>
      <c r="U54" s="38"/>
      <c r="V54" s="35"/>
    </row>
    <row r="55" spans="1:22" hidden="1" x14ac:dyDescent="0.2">
      <c r="G55" s="293" t="s">
        <v>291</v>
      </c>
      <c r="H55" s="263">
        <v>1</v>
      </c>
      <c r="N55" s="135"/>
      <c r="T55" s="37"/>
      <c r="U55" s="38"/>
      <c r="V55" s="35"/>
    </row>
    <row r="56" spans="1:22" hidden="1" x14ac:dyDescent="0.2">
      <c r="G56" s="293" t="s">
        <v>296</v>
      </c>
      <c r="H56" s="263">
        <v>2</v>
      </c>
      <c r="T56" s="137"/>
      <c r="U56" s="138"/>
      <c r="V56" s="139"/>
    </row>
    <row r="57" spans="1:22" hidden="1" x14ac:dyDescent="0.2">
      <c r="B57" s="42"/>
      <c r="G57" s="293" t="s">
        <v>292</v>
      </c>
      <c r="H57" s="263">
        <v>10</v>
      </c>
    </row>
    <row r="58" spans="1:22" hidden="1" x14ac:dyDescent="0.2">
      <c r="G58" s="293" t="s">
        <v>293</v>
      </c>
      <c r="H58" s="263">
        <v>2</v>
      </c>
      <c r="N58" s="133"/>
      <c r="O58" s="37"/>
      <c r="P58" s="38"/>
      <c r="Q58" s="35"/>
      <c r="T58" s="37"/>
      <c r="U58" s="38"/>
      <c r="V58" s="35"/>
    </row>
    <row r="59" spans="1:22" ht="34.799999999999997" hidden="1" x14ac:dyDescent="0.2">
      <c r="G59" s="293" t="s">
        <v>297</v>
      </c>
      <c r="H59" s="263">
        <v>3</v>
      </c>
    </row>
    <row r="60" spans="1:22" hidden="1" x14ac:dyDescent="0.2">
      <c r="G60" s="293" t="s">
        <v>18</v>
      </c>
      <c r="H60" s="263">
        <v>4</v>
      </c>
    </row>
    <row r="61" spans="1:22" hidden="1" x14ac:dyDescent="0.2">
      <c r="G61" s="293" t="s">
        <v>294</v>
      </c>
      <c r="H61" s="263">
        <v>1</v>
      </c>
      <c r="N61" s="133"/>
      <c r="O61" s="37"/>
      <c r="P61" s="38"/>
      <c r="Q61" s="35"/>
      <c r="T61" s="37"/>
      <c r="U61" s="38"/>
      <c r="V61" s="35"/>
    </row>
    <row r="62" spans="1:22" hidden="1" x14ac:dyDescent="0.2">
      <c r="G62" s="71" t="s">
        <v>616</v>
      </c>
      <c r="H62" s="263">
        <v>0</v>
      </c>
    </row>
    <row r="63" spans="1:22" hidden="1" x14ac:dyDescent="0.2"/>
  </sheetData>
  <mergeCells count="26">
    <mergeCell ref="A20:B20"/>
    <mergeCell ref="F20:G20"/>
    <mergeCell ref="A19:B19"/>
    <mergeCell ref="A5:B5"/>
    <mergeCell ref="A9:B9"/>
    <mergeCell ref="A10:B10"/>
    <mergeCell ref="A11:B11"/>
    <mergeCell ref="A12:B12"/>
    <mergeCell ref="A13:B13"/>
    <mergeCell ref="A14:B14"/>
    <mergeCell ref="A15:B15"/>
    <mergeCell ref="A16:B16"/>
    <mergeCell ref="A17:B17"/>
    <mergeCell ref="A18:B18"/>
    <mergeCell ref="F19:G19"/>
    <mergeCell ref="F5:G5"/>
    <mergeCell ref="F9:G9"/>
    <mergeCell ref="F10:G10"/>
    <mergeCell ref="F11:G11"/>
    <mergeCell ref="F12:G12"/>
    <mergeCell ref="F13:G13"/>
    <mergeCell ref="F14:G14"/>
    <mergeCell ref="F15:G15"/>
    <mergeCell ref="F16:G16"/>
    <mergeCell ref="F17:G17"/>
    <mergeCell ref="F18:G18"/>
  </mergeCells>
  <phoneticPr fontId="2"/>
  <pageMargins left="0.70866141732283472" right="0.70866141732283472" top="0.74803149606299213" bottom="0.74803149606299213" header="0.31496062992125984" footer="0.31496062992125984"/>
  <pageSetup paperSize="9" scale="76" fitToHeight="0" orientation="landscape" r:id="rId1"/>
  <drawing r:id="rId2"/>
  <mc:AlternateContent xmlns:mc="http://schemas.openxmlformats.org/markup-compatibility/2006">
    <mc:Choice Requires="v">
      <legacyDrawing r:id="rId3"/>
    </mc:Choice>
  </mc:AlternateContent>
  <controls>
    <control shapeId="25601" r:id="rId4" name="Button 1">
      <controlPr defaultSize="0" print="0" autoFill="0" autoPict="0" macro="[0]!データ削除_疾患別_1年以上">
        <anchor moveWithCells="1" sizeWithCells="1">
          <from>
            <xdr:col>9</xdr:col>
            <xdr:colOff>106680</xdr:colOff>
            <xdr:row>22</xdr:row>
            <xdr:rowOff>220980</xdr:rowOff>
          </from>
          <to>
            <xdr:col>15</xdr:col>
            <xdr:colOff>83820</xdr:colOff>
            <xdr:row>25</xdr:row>
            <xdr:rowOff>76200</xdr:rowOff>
          </to>
        </anchor>
      </controlPr>
    </control>
  </controls>
  <tableParts count="3">
    <tablePart r:id="rId5"/>
    <tablePart r:id="rId6"/>
    <tablePart r:id="rId7"/>
  </tableParts>
</worksheet>
</file>

<file path=xl/worksheets/sheet1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00B0F0"/>
  </sheetPr>
  <dimension ref="A1:H13"/>
  <sheetViews>
    <sheetView showGridLines="0" view="pageBreakPreview" zoomScale="120" zoomScaleNormal="100" zoomScaleSheetLayoutView="120" workbookViewId="0">
      <selection sqref="A1:C1"/>
    </sheetView>
  </sheetViews>
  <sheetFormatPr defaultColWidth="9" defaultRowHeight="17.399999999999999" x14ac:dyDescent="0.2"/>
  <cols>
    <col min="1" max="1" width="13.6640625" style="1" customWidth="1"/>
    <col min="2" max="2" width="9.33203125" style="1" customWidth="1"/>
    <col min="3" max="3" width="14.109375" style="1" customWidth="1"/>
    <col min="4" max="4" width="14.109375" style="396" customWidth="1"/>
    <col min="5" max="5" width="10.77734375" style="1" hidden="1" customWidth="1"/>
    <col min="6" max="6" width="7.21875" style="1" hidden="1" customWidth="1"/>
    <col min="7" max="7" width="11.6640625" style="1" hidden="1" customWidth="1"/>
    <col min="8" max="8" width="12.88671875" style="1" customWidth="1"/>
    <col min="9" max="9" width="6.6640625" style="1" customWidth="1"/>
    <col min="10" max="10" width="7.33203125" style="1" customWidth="1"/>
    <col min="11" max="11" width="5" style="1" customWidth="1"/>
    <col min="12" max="12" width="6.6640625" style="1" customWidth="1"/>
    <col min="13" max="13" width="7.33203125" style="1" customWidth="1"/>
    <col min="14" max="16384" width="9" style="1"/>
  </cols>
  <sheetData>
    <row r="1" spans="1:8" s="3" customFormat="1" ht="19.2" x14ac:dyDescent="0.2">
      <c r="A1" s="924" t="s">
        <v>155</v>
      </c>
      <c r="B1" s="924"/>
      <c r="C1" s="924"/>
    </row>
    <row r="2" spans="1:8" x14ac:dyDescent="0.2">
      <c r="A2" s="4"/>
    </row>
    <row r="3" spans="1:8" s="3" customFormat="1" ht="19.2" x14ac:dyDescent="0.2">
      <c r="A3" s="4" t="s">
        <v>13</v>
      </c>
      <c r="E3" s="6"/>
      <c r="F3" s="45"/>
      <c r="G3" s="46"/>
      <c r="H3" s="46"/>
    </row>
    <row r="4" spans="1:8" x14ac:dyDescent="0.2">
      <c r="A4" s="738"/>
      <c r="B4" s="738" t="s">
        <v>0</v>
      </c>
      <c r="C4" s="738" t="s">
        <v>1</v>
      </c>
      <c r="D4" s="893"/>
      <c r="E4" s="21"/>
      <c r="F4" s="7"/>
      <c r="G4" s="8"/>
      <c r="H4" s="48"/>
    </row>
    <row r="5" spans="1:8" x14ac:dyDescent="0.2">
      <c r="A5" s="704" t="s">
        <v>28</v>
      </c>
      <c r="B5" s="713">
        <v>68</v>
      </c>
      <c r="C5" s="706">
        <f>IFERROR(B5/B$11,"-")</f>
        <v>8.7561164048416181E-3</v>
      </c>
      <c r="D5" s="894"/>
      <c r="E5" s="21"/>
      <c r="G5" s="8"/>
      <c r="H5" s="48"/>
    </row>
    <row r="6" spans="1:8" x14ac:dyDescent="0.2">
      <c r="A6" s="704" t="s">
        <v>29</v>
      </c>
      <c r="B6" s="713">
        <v>505</v>
      </c>
      <c r="C6" s="706">
        <f t="shared" ref="C6:C10" si="0">IFERROR(B6/B$11,"-")</f>
        <v>6.5027040947720841E-2</v>
      </c>
      <c r="D6" s="894"/>
      <c r="E6" s="21"/>
      <c r="F6" s="7"/>
      <c r="G6" s="8"/>
      <c r="H6" s="48"/>
    </row>
    <row r="7" spans="1:8" x14ac:dyDescent="0.2">
      <c r="A7" s="704" t="s">
        <v>30</v>
      </c>
      <c r="B7" s="713">
        <v>1203</v>
      </c>
      <c r="C7" s="706">
        <f t="shared" si="0"/>
        <v>0.15490600051506567</v>
      </c>
      <c r="D7" s="894"/>
      <c r="E7" s="21"/>
      <c r="F7" s="7"/>
      <c r="G7" s="8"/>
      <c r="H7" s="48"/>
    </row>
    <row r="8" spans="1:8" x14ac:dyDescent="0.2">
      <c r="A8" s="704" t="s">
        <v>31</v>
      </c>
      <c r="B8" s="713">
        <v>3518</v>
      </c>
      <c r="C8" s="706">
        <f t="shared" si="0"/>
        <v>0.45300025753283546</v>
      </c>
      <c r="D8" s="894"/>
      <c r="E8" s="21"/>
      <c r="F8" s="7"/>
      <c r="G8" s="8"/>
      <c r="H8" s="48"/>
    </row>
    <row r="9" spans="1:8" x14ac:dyDescent="0.2">
      <c r="A9" s="704" t="s">
        <v>32</v>
      </c>
      <c r="B9" s="713">
        <v>2029</v>
      </c>
      <c r="C9" s="706">
        <f t="shared" si="0"/>
        <v>0.26126706155034768</v>
      </c>
      <c r="D9" s="894"/>
      <c r="E9" s="21"/>
      <c r="F9" s="7"/>
      <c r="G9" s="8"/>
      <c r="H9" s="48"/>
    </row>
    <row r="10" spans="1:8" x14ac:dyDescent="0.2">
      <c r="A10" s="704" t="s">
        <v>33</v>
      </c>
      <c r="B10" s="713">
        <v>443</v>
      </c>
      <c r="C10" s="706">
        <f t="shared" si="0"/>
        <v>5.704352304918877E-2</v>
      </c>
      <c r="D10" s="894"/>
      <c r="E10" s="21"/>
      <c r="F10" s="49"/>
      <c r="G10" s="50"/>
      <c r="H10" s="51"/>
    </row>
    <row r="11" spans="1:8" x14ac:dyDescent="0.2">
      <c r="A11" s="740" t="s">
        <v>11</v>
      </c>
      <c r="B11" s="741">
        <f>SUM(B5:B10)</f>
        <v>7766</v>
      </c>
      <c r="C11" s="745">
        <f>SUM(C5:C10)</f>
        <v>1</v>
      </c>
      <c r="D11" s="895"/>
      <c r="E11" s="21"/>
      <c r="F11" s="21"/>
      <c r="G11" s="21"/>
      <c r="H11" s="21"/>
    </row>
    <row r="13" spans="1:8" hidden="1" x14ac:dyDescent="0.2">
      <c r="B13" s="350" t="s">
        <v>365</v>
      </c>
    </row>
  </sheetData>
  <mergeCells count="1">
    <mergeCell ref="A1:C1"/>
  </mergeCells>
  <phoneticPr fontId="2"/>
  <pageMargins left="0.70866141732283472" right="0.70866141732283472" top="0.74803149606299213" bottom="0.74803149606299213" header="0.31496062992125984" footer="0.31496062992125984"/>
  <pageSetup paperSize="11" orientation="landscape" r:id="rId1"/>
  <drawing r:id="rId2"/>
  <mc:AlternateContent xmlns:mc="http://schemas.openxmlformats.org/markup-compatibility/2006">
    <mc:Choice Requires="v">
      <legacyDrawing r:id="rId3"/>
    </mc:Choice>
  </mc:AlternateContent>
  <controls>
    <control shapeId="26625" r:id="rId4" name="Button 1">
      <controlPr defaultSize="0" print="0" autoFill="0" autoPict="0" macro="[0]!データ削除_状態像区分">
        <anchor moveWithCells="1" sizeWithCells="1">
          <from>
            <xdr:col>4</xdr:col>
            <xdr:colOff>373380</xdr:colOff>
            <xdr:row>1</xdr:row>
            <xdr:rowOff>114300</xdr:rowOff>
          </from>
          <to>
            <xdr:col>6</xdr:col>
            <xdr:colOff>60960</xdr:colOff>
            <xdr:row>3</xdr:row>
            <xdr:rowOff>22860</xdr:rowOff>
          </to>
        </anchor>
      </controlPr>
    </control>
  </controls>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00B0F0"/>
    <pageSetUpPr fitToPage="1"/>
  </sheetPr>
  <dimension ref="A1:AJ64"/>
  <sheetViews>
    <sheetView showGridLines="0" view="pageBreakPreview" zoomScale="70" zoomScaleNormal="85" zoomScaleSheetLayoutView="70" workbookViewId="0"/>
  </sheetViews>
  <sheetFormatPr defaultColWidth="9" defaultRowHeight="17.399999999999999" x14ac:dyDescent="0.2"/>
  <cols>
    <col min="1" max="1" width="62.44140625" style="1" customWidth="1"/>
    <col min="2" max="2" width="9.33203125" style="1" customWidth="1"/>
    <col min="3" max="3" width="11.109375" style="1" bestFit="1" customWidth="1"/>
    <col min="4" max="4" width="4.109375" style="1" customWidth="1"/>
    <col min="5" max="5" width="62.33203125" style="1" customWidth="1"/>
    <col min="6" max="8" width="9.33203125" style="1" customWidth="1"/>
    <col min="9" max="9" width="11.109375" style="1" bestFit="1" customWidth="1"/>
    <col min="10" max="10" width="6.21875" style="1" customWidth="1"/>
    <col min="11" max="11" width="3.109375" style="1" customWidth="1"/>
    <col min="12" max="12" width="49.6640625" style="1" hidden="1" customWidth="1"/>
    <col min="13" max="13" width="8.109375" style="1" customWidth="1"/>
    <col min="14" max="14" width="2.6640625" style="1" customWidth="1"/>
    <col min="15" max="15" width="4.44140625" style="1" customWidth="1"/>
    <col min="16" max="16" width="57.109375" style="1" customWidth="1"/>
    <col min="17" max="17" width="6.33203125" style="1" customWidth="1"/>
    <col min="18" max="18" width="25.21875" style="1" customWidth="1"/>
    <col min="19" max="19" width="47.88671875" style="1" bestFit="1" customWidth="1"/>
    <col min="20" max="20" width="34" style="1" customWidth="1"/>
    <col min="21" max="21" width="25.21875" style="1" customWidth="1"/>
    <col min="22" max="22" width="55.21875" style="1" customWidth="1"/>
    <col min="23" max="23" width="41.44140625" style="1" customWidth="1"/>
    <col min="24" max="24" width="32.77734375" style="1" customWidth="1"/>
    <col min="25" max="26" width="47.88671875" style="1" bestFit="1" customWidth="1"/>
    <col min="27" max="27" width="29" style="1" bestFit="1" customWidth="1"/>
    <col min="28" max="28" width="55.21875" style="1" bestFit="1" customWidth="1"/>
    <col min="29" max="29" width="41.44140625" style="1" bestFit="1" customWidth="1"/>
    <col min="30" max="30" width="32.77734375" style="1" bestFit="1" customWidth="1"/>
    <col min="31" max="16384" width="9" style="1"/>
  </cols>
  <sheetData>
    <row r="1" spans="1:17" s="3" customFormat="1" ht="19.2" x14ac:dyDescent="0.2">
      <c r="A1" s="2" t="s">
        <v>236</v>
      </c>
    </row>
    <row r="2" spans="1:17" x14ac:dyDescent="0.2">
      <c r="A2" s="4"/>
    </row>
    <row r="3" spans="1:17" x14ac:dyDescent="0.2">
      <c r="A3" s="4" t="s">
        <v>13</v>
      </c>
      <c r="E3" s="4" t="s">
        <v>113</v>
      </c>
    </row>
    <row r="4" spans="1:17" x14ac:dyDescent="0.2">
      <c r="A4" s="242"/>
      <c r="B4" s="738" t="s">
        <v>0</v>
      </c>
      <c r="C4" s="738" t="s">
        <v>1</v>
      </c>
      <c r="E4" s="242"/>
      <c r="F4" s="738" t="s">
        <v>114</v>
      </c>
      <c r="G4" s="746" t="s">
        <v>116</v>
      </c>
      <c r="H4" s="738" t="s">
        <v>12</v>
      </c>
      <c r="I4" s="738" t="s">
        <v>1</v>
      </c>
      <c r="L4" s="106"/>
      <c r="M4" s="106"/>
      <c r="P4" s="106"/>
      <c r="Q4" s="106"/>
    </row>
    <row r="5" spans="1:17" ht="34.799999999999997" x14ac:dyDescent="0.2">
      <c r="A5" s="225" t="s">
        <v>231</v>
      </c>
      <c r="B5" s="748">
        <v>1201</v>
      </c>
      <c r="C5" s="706">
        <f>IFERROR(B5/B$8,"-")</f>
        <v>0.15464846767962914</v>
      </c>
      <c r="E5" s="225" t="s">
        <v>231</v>
      </c>
      <c r="F5" s="747">
        <v>49</v>
      </c>
      <c r="G5" s="748">
        <v>295</v>
      </c>
      <c r="H5" s="707">
        <f>SUM(F5:G5)</f>
        <v>344</v>
      </c>
      <c r="I5" s="706">
        <f>IFERROR(H5/H$8,"-")</f>
        <v>0.6003490401396161</v>
      </c>
      <c r="L5" s="37"/>
      <c r="M5" s="22"/>
      <c r="P5" s="37"/>
      <c r="Q5" s="22"/>
    </row>
    <row r="6" spans="1:17" x14ac:dyDescent="0.2">
      <c r="A6" s="223" t="s">
        <v>232</v>
      </c>
      <c r="B6" s="737">
        <v>6414</v>
      </c>
      <c r="C6" s="706">
        <f t="shared" ref="C6:C7" si="0">IFERROR(B6/B$8,"-")</f>
        <v>0.82590780324491375</v>
      </c>
      <c r="E6" s="223" t="s">
        <v>232</v>
      </c>
      <c r="F6" s="737">
        <v>0</v>
      </c>
      <c r="G6" s="737">
        <v>174</v>
      </c>
      <c r="H6" s="707">
        <f t="shared" ref="H6:H7" si="1">SUM(F6:G6)</f>
        <v>174</v>
      </c>
      <c r="I6" s="706">
        <f t="shared" ref="I6:I7" si="2">IFERROR(H6/H$8,"-")</f>
        <v>0.30366492146596857</v>
      </c>
      <c r="L6" s="37"/>
      <c r="M6" s="22"/>
      <c r="P6" s="37"/>
      <c r="Q6" s="22"/>
    </row>
    <row r="7" spans="1:17" x14ac:dyDescent="0.2">
      <c r="A7" s="223" t="s">
        <v>233</v>
      </c>
      <c r="B7" s="737">
        <v>151</v>
      </c>
      <c r="C7" s="706">
        <f t="shared" si="0"/>
        <v>1.944372907545712E-2</v>
      </c>
      <c r="E7" s="223" t="s">
        <v>233</v>
      </c>
      <c r="F7" s="737">
        <v>19</v>
      </c>
      <c r="G7" s="737">
        <v>36</v>
      </c>
      <c r="H7" s="707">
        <f t="shared" si="1"/>
        <v>55</v>
      </c>
      <c r="I7" s="706">
        <f t="shared" si="2"/>
        <v>9.5986038394415357E-2</v>
      </c>
      <c r="L7" s="37"/>
      <c r="M7" s="22"/>
      <c r="P7" s="37"/>
      <c r="Q7" s="22"/>
    </row>
    <row r="8" spans="1:17" x14ac:dyDescent="0.2">
      <c r="A8" s="229" t="s">
        <v>11</v>
      </c>
      <c r="B8" s="741">
        <f>SUM(B5:B7)</f>
        <v>7766</v>
      </c>
      <c r="C8" s="742">
        <f>SUM(C5:C7)</f>
        <v>1</v>
      </c>
      <c r="E8" s="229" t="s">
        <v>11</v>
      </c>
      <c r="F8" s="741">
        <f>SUM(F5:F7)</f>
        <v>68</v>
      </c>
      <c r="G8" s="741">
        <f>SUM(G5:G7)</f>
        <v>505</v>
      </c>
      <c r="H8" s="741">
        <f>SUM(H5:H7)</f>
        <v>573</v>
      </c>
      <c r="I8" s="742">
        <f>SUM(I5:I7)</f>
        <v>1</v>
      </c>
      <c r="L8" s="350" t="s">
        <v>365</v>
      </c>
      <c r="M8" s="22"/>
      <c r="P8" s="37"/>
      <c r="Q8" s="22"/>
    </row>
    <row r="9" spans="1:17" s="103" customFormat="1" ht="11.25" customHeight="1" x14ac:dyDescent="0.2">
      <c r="A9" s="56"/>
      <c r="B9" s="749"/>
      <c r="C9" s="750"/>
      <c r="E9" s="56"/>
      <c r="F9" s="749"/>
      <c r="G9" s="749"/>
      <c r="H9" s="749"/>
      <c r="I9" s="750"/>
      <c r="L9" s="128"/>
      <c r="M9" s="129"/>
      <c r="P9" s="128"/>
      <c r="Q9" s="129"/>
    </row>
    <row r="10" spans="1:17" s="3" customFormat="1" ht="19.2" x14ac:dyDescent="0.2">
      <c r="A10" s="2" t="s">
        <v>85</v>
      </c>
      <c r="B10" s="718"/>
      <c r="C10" s="718"/>
      <c r="F10" s="718"/>
      <c r="G10" s="718"/>
      <c r="H10" s="718"/>
      <c r="I10" s="718"/>
    </row>
    <row r="11" spans="1:17" x14ac:dyDescent="0.2">
      <c r="A11" s="4"/>
      <c r="B11" s="172"/>
      <c r="C11" s="172"/>
      <c r="F11" s="172"/>
      <c r="G11" s="172"/>
      <c r="H11" s="172"/>
      <c r="I11" s="172"/>
    </row>
    <row r="12" spans="1:17" x14ac:dyDescent="0.2">
      <c r="A12" s="4" t="s">
        <v>13</v>
      </c>
      <c r="B12" s="172"/>
      <c r="C12" s="172"/>
      <c r="E12" s="4" t="s">
        <v>113</v>
      </c>
      <c r="F12" s="172"/>
      <c r="G12" s="172"/>
      <c r="H12" s="172"/>
      <c r="I12" s="172"/>
    </row>
    <row r="13" spans="1:17" x14ac:dyDescent="0.2">
      <c r="A13" s="242"/>
      <c r="B13" s="738" t="s">
        <v>0</v>
      </c>
      <c r="C13" s="738" t="s">
        <v>1</v>
      </c>
      <c r="E13" s="242"/>
      <c r="F13" s="738" t="s">
        <v>114</v>
      </c>
      <c r="G13" s="746" t="s">
        <v>116</v>
      </c>
      <c r="H13" s="738" t="s">
        <v>12</v>
      </c>
      <c r="I13" s="738" t="s">
        <v>1</v>
      </c>
      <c r="L13" s="106"/>
      <c r="M13" s="106"/>
      <c r="P13" s="106"/>
      <c r="Q13" s="106"/>
    </row>
    <row r="14" spans="1:17" x14ac:dyDescent="0.5">
      <c r="A14" s="223" t="s">
        <v>34</v>
      </c>
      <c r="B14" s="751">
        <v>1152</v>
      </c>
      <c r="C14" s="706">
        <f>IFERROR(B14/B$16,"-")</f>
        <v>0.95920066611157373</v>
      </c>
      <c r="E14" s="223" t="s">
        <v>34</v>
      </c>
      <c r="F14" s="747">
        <v>47</v>
      </c>
      <c r="G14" s="751">
        <v>289</v>
      </c>
      <c r="H14" s="707">
        <f>SUM(F14:G14)</f>
        <v>336</v>
      </c>
      <c r="I14" s="706">
        <f>IFERROR(H14/H$16,"-")</f>
        <v>0.97674418604651159</v>
      </c>
      <c r="L14" s="37"/>
      <c r="M14" s="22"/>
      <c r="P14" s="37"/>
      <c r="Q14" s="22"/>
    </row>
    <row r="15" spans="1:17" x14ac:dyDescent="0.2">
      <c r="A15" s="223" t="s">
        <v>35</v>
      </c>
      <c r="B15" s="737">
        <v>49</v>
      </c>
      <c r="C15" s="706">
        <f>IFERROR(B15/B$16,"-")</f>
        <v>4.0799333888426312E-2</v>
      </c>
      <c r="E15" s="223" t="s">
        <v>35</v>
      </c>
      <c r="F15" s="737">
        <v>2</v>
      </c>
      <c r="G15" s="737">
        <v>6</v>
      </c>
      <c r="H15" s="707">
        <f t="shared" ref="H15" si="3">SUM(F15:G15)</f>
        <v>8</v>
      </c>
      <c r="I15" s="706">
        <f>IFERROR(H15/H$16,"-")</f>
        <v>2.3255813953488372E-2</v>
      </c>
      <c r="L15" s="37"/>
      <c r="M15" s="22"/>
      <c r="P15" s="37"/>
      <c r="Q15" s="22"/>
    </row>
    <row r="16" spans="1:17" x14ac:dyDescent="0.2">
      <c r="A16" s="229" t="s">
        <v>11</v>
      </c>
      <c r="B16" s="741">
        <f>SUM(B14:B15)</f>
        <v>1201</v>
      </c>
      <c r="C16" s="742">
        <f>SUM(C14:C15)</f>
        <v>1</v>
      </c>
      <c r="E16" s="229" t="s">
        <v>11</v>
      </c>
      <c r="F16" s="741">
        <f>SUM(F14:F15)</f>
        <v>49</v>
      </c>
      <c r="G16" s="741">
        <f>SUM(G14:G15)</f>
        <v>295</v>
      </c>
      <c r="H16" s="741">
        <f>SUM(H14:H15)</f>
        <v>344</v>
      </c>
      <c r="I16" s="742">
        <f>SUM(I14:I15)</f>
        <v>1</v>
      </c>
      <c r="L16" s="37"/>
      <c r="M16" s="22"/>
      <c r="P16" s="37"/>
      <c r="Q16" s="22"/>
    </row>
    <row r="17" spans="1:36" x14ac:dyDescent="0.2">
      <c r="A17" s="4"/>
      <c r="L17" s="37"/>
      <c r="M17" s="22"/>
      <c r="P17" s="37"/>
      <c r="Q17" s="22"/>
    </row>
    <row r="18" spans="1:36" s="3" customFormat="1" ht="19.2" x14ac:dyDescent="0.2">
      <c r="A18" s="2" t="s">
        <v>86</v>
      </c>
      <c r="K18" s="1"/>
      <c r="L18" s="37"/>
      <c r="M18" s="22"/>
      <c r="O18" s="1"/>
      <c r="P18" s="37"/>
      <c r="Q18" s="22"/>
    </row>
    <row r="19" spans="1:36" x14ac:dyDescent="0.2">
      <c r="A19" s="4"/>
      <c r="L19" s="37"/>
      <c r="M19" s="22"/>
      <c r="P19" s="37"/>
      <c r="Q19" s="22"/>
    </row>
    <row r="20" spans="1:36" x14ac:dyDescent="0.2">
      <c r="A20" s="4" t="s">
        <v>13</v>
      </c>
      <c r="E20" s="4" t="s">
        <v>113</v>
      </c>
      <c r="L20" s="37"/>
      <c r="M20" s="22"/>
      <c r="P20" s="37"/>
      <c r="Q20" s="22"/>
    </row>
    <row r="21" spans="1:36" x14ac:dyDescent="0.2">
      <c r="A21" s="916">
        <f>B14</f>
        <v>1152</v>
      </c>
      <c r="B21" s="916"/>
      <c r="C21" s="916"/>
      <c r="E21" s="917">
        <f>H14</f>
        <v>336</v>
      </c>
      <c r="F21" s="917"/>
      <c r="G21" s="917"/>
      <c r="H21" s="917"/>
      <c r="I21" s="917"/>
      <c r="L21" s="37"/>
      <c r="M21" s="22"/>
      <c r="P21" s="37"/>
      <c r="Q21" s="22"/>
    </row>
    <row r="22" spans="1:36" x14ac:dyDescent="0.2">
      <c r="A22" s="242"/>
      <c r="B22" s="738" t="s">
        <v>37</v>
      </c>
      <c r="C22" s="738" t="s">
        <v>1</v>
      </c>
      <c r="E22" s="242"/>
      <c r="F22" s="738" t="s">
        <v>114</v>
      </c>
      <c r="G22" s="746" t="s">
        <v>116</v>
      </c>
      <c r="H22" s="738" t="s">
        <v>12</v>
      </c>
      <c r="I22" s="738" t="s">
        <v>1</v>
      </c>
      <c r="L22" s="37"/>
      <c r="M22" s="22"/>
      <c r="P22" s="37"/>
      <c r="Q22" s="22"/>
    </row>
    <row r="23" spans="1:36" ht="37.5" customHeight="1" x14ac:dyDescent="0.2">
      <c r="A23" s="241" t="s">
        <v>250</v>
      </c>
      <c r="B23" s="737">
        <v>393</v>
      </c>
      <c r="C23" s="706">
        <f>IFERROR(B23/B$14,"-")</f>
        <v>0.34114583333333331</v>
      </c>
      <c r="E23" s="752" t="s">
        <v>235</v>
      </c>
      <c r="F23" s="737">
        <v>5</v>
      </c>
      <c r="G23" s="737">
        <v>85</v>
      </c>
      <c r="H23" s="707">
        <f>SUM(F23:G23)</f>
        <v>90</v>
      </c>
      <c r="I23" s="706">
        <f>IFERROR(H23/H$14,"-")</f>
        <v>0.26785714285714285</v>
      </c>
      <c r="L23" s="37"/>
      <c r="M23" s="22"/>
      <c r="P23" s="37"/>
      <c r="Q23" s="22"/>
    </row>
    <row r="24" spans="1:36" x14ac:dyDescent="0.2">
      <c r="A24" s="223" t="s">
        <v>159</v>
      </c>
      <c r="B24" s="737">
        <v>314</v>
      </c>
      <c r="C24" s="706">
        <f t="shared" ref="C24:C41" si="4">IFERROR(B24/B$14,"-")</f>
        <v>0.27256944444444442</v>
      </c>
      <c r="E24" s="223" t="s">
        <v>159</v>
      </c>
      <c r="F24" s="737">
        <v>1</v>
      </c>
      <c r="G24" s="737">
        <v>53</v>
      </c>
      <c r="H24" s="707">
        <f t="shared" ref="H24:H42" si="5">SUM(F24:G24)</f>
        <v>54</v>
      </c>
      <c r="I24" s="706">
        <f t="shared" ref="I24:I42" si="6">IFERROR(H24/H$14,"-")</f>
        <v>0.16071428571428573</v>
      </c>
      <c r="L24" s="37"/>
      <c r="M24" s="22"/>
      <c r="P24" s="37"/>
      <c r="Q24" s="22"/>
    </row>
    <row r="25" spans="1:36" x14ac:dyDescent="0.2">
      <c r="A25" s="223" t="s">
        <v>38</v>
      </c>
      <c r="B25" s="737">
        <v>39</v>
      </c>
      <c r="C25" s="706">
        <f t="shared" si="4"/>
        <v>3.3854166666666664E-2</v>
      </c>
      <c r="E25" s="223" t="s">
        <v>38</v>
      </c>
      <c r="F25" s="737">
        <v>0</v>
      </c>
      <c r="G25" s="737">
        <v>6</v>
      </c>
      <c r="H25" s="707">
        <f t="shared" si="5"/>
        <v>6</v>
      </c>
      <c r="I25" s="706">
        <f t="shared" si="6"/>
        <v>1.7857142857142856E-2</v>
      </c>
      <c r="L25" s="37"/>
      <c r="M25" s="22"/>
      <c r="P25" s="37"/>
      <c r="Q25" s="22"/>
    </row>
    <row r="26" spans="1:36" x14ac:dyDescent="0.2">
      <c r="A26" s="223" t="s">
        <v>39</v>
      </c>
      <c r="B26" s="737">
        <v>555</v>
      </c>
      <c r="C26" s="706">
        <f t="shared" si="4"/>
        <v>0.48177083333333331</v>
      </c>
      <c r="E26" s="223" t="s">
        <v>39</v>
      </c>
      <c r="F26" s="737">
        <v>15</v>
      </c>
      <c r="G26" s="737">
        <v>146</v>
      </c>
      <c r="H26" s="707">
        <f t="shared" si="5"/>
        <v>161</v>
      </c>
      <c r="I26" s="706">
        <f t="shared" si="6"/>
        <v>0.47916666666666669</v>
      </c>
      <c r="L26" s="37"/>
      <c r="M26" s="22"/>
      <c r="P26" s="37"/>
      <c r="Q26" s="22"/>
    </row>
    <row r="27" spans="1:36" x14ac:dyDescent="0.2">
      <c r="A27" s="223" t="s">
        <v>40</v>
      </c>
      <c r="B27" s="737">
        <v>576</v>
      </c>
      <c r="C27" s="706">
        <f t="shared" si="4"/>
        <v>0.5</v>
      </c>
      <c r="E27" s="223" t="s">
        <v>40</v>
      </c>
      <c r="F27" s="737">
        <v>10</v>
      </c>
      <c r="G27" s="737">
        <v>95</v>
      </c>
      <c r="H27" s="707">
        <f t="shared" si="5"/>
        <v>105</v>
      </c>
      <c r="I27" s="706">
        <f t="shared" si="6"/>
        <v>0.3125</v>
      </c>
      <c r="L27" s="37"/>
      <c r="M27" s="22"/>
      <c r="P27" s="37"/>
      <c r="Q27" s="22"/>
    </row>
    <row r="28" spans="1:36" x14ac:dyDescent="0.2">
      <c r="A28" s="223" t="s">
        <v>41</v>
      </c>
      <c r="B28" s="737">
        <v>369</v>
      </c>
      <c r="C28" s="706">
        <f t="shared" si="4"/>
        <v>0.3203125</v>
      </c>
      <c r="E28" s="223" t="s">
        <v>41</v>
      </c>
      <c r="F28" s="737">
        <v>12</v>
      </c>
      <c r="G28" s="737">
        <v>75</v>
      </c>
      <c r="H28" s="707">
        <f t="shared" si="5"/>
        <v>87</v>
      </c>
      <c r="I28" s="706">
        <f t="shared" si="6"/>
        <v>0.25892857142857145</v>
      </c>
      <c r="L28" s="37"/>
      <c r="M28" s="22"/>
      <c r="P28" s="37"/>
      <c r="Q28" s="22"/>
    </row>
    <row r="29" spans="1:36" x14ac:dyDescent="0.2">
      <c r="A29" s="223" t="s">
        <v>42</v>
      </c>
      <c r="B29" s="737">
        <v>89</v>
      </c>
      <c r="C29" s="706">
        <f t="shared" si="4"/>
        <v>7.7256944444444448E-2</v>
      </c>
      <c r="E29" s="223" t="s">
        <v>42</v>
      </c>
      <c r="F29" s="737">
        <v>0</v>
      </c>
      <c r="G29" s="737">
        <v>9</v>
      </c>
      <c r="H29" s="707">
        <f t="shared" si="5"/>
        <v>9</v>
      </c>
      <c r="I29" s="706">
        <f t="shared" si="6"/>
        <v>2.6785714285714284E-2</v>
      </c>
      <c r="L29" s="37"/>
      <c r="M29" s="22"/>
      <c r="P29" s="37"/>
      <c r="Q29" s="22"/>
    </row>
    <row r="30" spans="1:36" x14ac:dyDescent="0.2">
      <c r="A30" s="223" t="s">
        <v>43</v>
      </c>
      <c r="B30" s="737">
        <v>397</v>
      </c>
      <c r="C30" s="706">
        <f t="shared" si="4"/>
        <v>0.34461805555555558</v>
      </c>
      <c r="E30" s="223" t="s">
        <v>43</v>
      </c>
      <c r="F30" s="737">
        <v>6</v>
      </c>
      <c r="G30" s="737">
        <v>85</v>
      </c>
      <c r="H30" s="707">
        <f t="shared" si="5"/>
        <v>91</v>
      </c>
      <c r="I30" s="706">
        <f t="shared" si="6"/>
        <v>0.27083333333333331</v>
      </c>
      <c r="L30" s="37"/>
      <c r="M30" s="22"/>
      <c r="P30" s="37"/>
      <c r="Q30" s="22"/>
    </row>
    <row r="31" spans="1:36" x14ac:dyDescent="0.2">
      <c r="A31" s="223" t="s">
        <v>44</v>
      </c>
      <c r="B31" s="737">
        <v>282</v>
      </c>
      <c r="C31" s="706">
        <f t="shared" si="4"/>
        <v>0.24479166666666666</v>
      </c>
      <c r="E31" s="223" t="s">
        <v>44</v>
      </c>
      <c r="F31" s="737">
        <v>3</v>
      </c>
      <c r="G31" s="737">
        <v>62</v>
      </c>
      <c r="H31" s="707">
        <f t="shared" si="5"/>
        <v>65</v>
      </c>
      <c r="I31" s="706">
        <f t="shared" si="6"/>
        <v>0.19345238095238096</v>
      </c>
      <c r="K31" s="21"/>
      <c r="L31" s="7"/>
      <c r="M31" s="70"/>
      <c r="N31" s="21"/>
      <c r="O31" s="21"/>
      <c r="P31" s="7"/>
      <c r="Q31" s="70"/>
      <c r="R31" s="21"/>
      <c r="S31" s="21"/>
      <c r="T31" s="21"/>
      <c r="U31" s="21"/>
      <c r="V31" s="21"/>
      <c r="W31" s="21"/>
      <c r="X31" s="21"/>
      <c r="Y31" s="21"/>
      <c r="Z31" s="21"/>
      <c r="AA31" s="21"/>
      <c r="AB31" s="21"/>
      <c r="AC31" s="21"/>
      <c r="AD31" s="21"/>
      <c r="AE31" s="21"/>
      <c r="AF31" s="21"/>
      <c r="AG31" s="21"/>
      <c r="AH31" s="21"/>
      <c r="AI31" s="21"/>
      <c r="AJ31" s="21"/>
    </row>
    <row r="32" spans="1:36" x14ac:dyDescent="0.2">
      <c r="A32" s="223" t="s">
        <v>246</v>
      </c>
      <c r="B32" s="737">
        <v>229</v>
      </c>
      <c r="C32" s="706">
        <f t="shared" si="4"/>
        <v>0.19878472222222221</v>
      </c>
      <c r="E32" s="223" t="s">
        <v>246</v>
      </c>
      <c r="F32" s="737">
        <v>13</v>
      </c>
      <c r="G32" s="737">
        <v>55</v>
      </c>
      <c r="H32" s="707">
        <f t="shared" si="5"/>
        <v>68</v>
      </c>
      <c r="I32" s="706">
        <f t="shared" si="6"/>
        <v>0.20238095238095238</v>
      </c>
      <c r="K32" s="21"/>
      <c r="L32" s="7"/>
      <c r="M32" s="70"/>
      <c r="N32" s="21"/>
      <c r="O32" s="21"/>
      <c r="P32" s="7"/>
      <c r="Q32" s="70"/>
      <c r="R32" s="21"/>
      <c r="S32" s="21"/>
      <c r="T32" s="21"/>
      <c r="U32" s="21"/>
      <c r="V32" s="21"/>
      <c r="W32" s="21"/>
      <c r="X32" s="21"/>
      <c r="Y32" s="21"/>
      <c r="Z32" s="21"/>
      <c r="AA32" s="21"/>
      <c r="AB32" s="21"/>
      <c r="AC32" s="21"/>
      <c r="AD32" s="21"/>
      <c r="AE32" s="21"/>
      <c r="AF32" s="21"/>
      <c r="AG32" s="21"/>
      <c r="AH32" s="21"/>
      <c r="AI32" s="21"/>
      <c r="AJ32" s="21"/>
    </row>
    <row r="33" spans="1:36" x14ac:dyDescent="0.2">
      <c r="A33" s="223" t="s">
        <v>46</v>
      </c>
      <c r="B33" s="737">
        <v>322</v>
      </c>
      <c r="C33" s="706">
        <f t="shared" si="4"/>
        <v>0.2795138888888889</v>
      </c>
      <c r="E33" s="223" t="s">
        <v>46</v>
      </c>
      <c r="F33" s="737">
        <v>19</v>
      </c>
      <c r="G33" s="737">
        <v>69</v>
      </c>
      <c r="H33" s="707">
        <f t="shared" si="5"/>
        <v>88</v>
      </c>
      <c r="I33" s="706">
        <f t="shared" si="6"/>
        <v>0.26190476190476192</v>
      </c>
      <c r="K33" s="21"/>
      <c r="L33" s="7"/>
      <c r="M33" s="70"/>
      <c r="N33" s="21"/>
      <c r="O33" s="21"/>
      <c r="P33" s="7"/>
      <c r="Q33" s="70"/>
      <c r="R33" s="21"/>
      <c r="S33" s="21"/>
      <c r="T33" s="21"/>
      <c r="U33" s="21"/>
      <c r="V33" s="21"/>
      <c r="W33" s="21"/>
      <c r="X33" s="21"/>
      <c r="Y33" s="21"/>
      <c r="Z33" s="21"/>
      <c r="AA33" s="21"/>
      <c r="AB33" s="21"/>
      <c r="AC33" s="21"/>
      <c r="AD33" s="21"/>
      <c r="AE33" s="21"/>
      <c r="AF33" s="21"/>
      <c r="AG33" s="21"/>
      <c r="AH33" s="21"/>
      <c r="AI33" s="21"/>
      <c r="AJ33" s="21"/>
    </row>
    <row r="34" spans="1:36" x14ac:dyDescent="0.2">
      <c r="A34" s="223" t="s">
        <v>47</v>
      </c>
      <c r="B34" s="737">
        <v>68</v>
      </c>
      <c r="C34" s="706">
        <f t="shared" si="4"/>
        <v>5.9027777777777776E-2</v>
      </c>
      <c r="E34" s="223" t="s">
        <v>47</v>
      </c>
      <c r="F34" s="737">
        <v>4</v>
      </c>
      <c r="G34" s="737">
        <v>15</v>
      </c>
      <c r="H34" s="707">
        <f t="shared" si="5"/>
        <v>19</v>
      </c>
      <c r="I34" s="706">
        <f t="shared" si="6"/>
        <v>5.6547619047619048E-2</v>
      </c>
      <c r="K34" s="21"/>
      <c r="L34" s="7"/>
      <c r="M34" s="70"/>
      <c r="N34" s="21"/>
      <c r="O34" s="21"/>
      <c r="P34" s="7"/>
      <c r="Q34" s="70"/>
      <c r="R34" s="21"/>
      <c r="S34" s="21"/>
      <c r="T34" s="21"/>
      <c r="U34" s="21"/>
      <c r="V34" s="21"/>
      <c r="W34" s="21"/>
      <c r="X34" s="21"/>
      <c r="Y34" s="21"/>
      <c r="Z34" s="21"/>
      <c r="AA34" s="21"/>
      <c r="AB34" s="21"/>
      <c r="AC34" s="21"/>
      <c r="AD34" s="21"/>
      <c r="AE34" s="21"/>
      <c r="AF34" s="21"/>
      <c r="AG34" s="21"/>
      <c r="AH34" s="21"/>
      <c r="AI34" s="21"/>
      <c r="AJ34" s="21"/>
    </row>
    <row r="35" spans="1:36" x14ac:dyDescent="0.2">
      <c r="A35" s="223" t="s">
        <v>48</v>
      </c>
      <c r="B35" s="737">
        <v>39</v>
      </c>
      <c r="C35" s="706">
        <f t="shared" si="4"/>
        <v>3.3854166666666664E-2</v>
      </c>
      <c r="E35" s="223" t="s">
        <v>48</v>
      </c>
      <c r="F35" s="737">
        <v>1</v>
      </c>
      <c r="G35" s="737">
        <v>4</v>
      </c>
      <c r="H35" s="707">
        <f t="shared" si="5"/>
        <v>5</v>
      </c>
      <c r="I35" s="706">
        <f t="shared" si="6"/>
        <v>1.488095238095238E-2</v>
      </c>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row>
    <row r="36" spans="1:36" x14ac:dyDescent="0.2">
      <c r="A36" s="223" t="s">
        <v>49</v>
      </c>
      <c r="B36" s="737">
        <v>4</v>
      </c>
      <c r="C36" s="706">
        <f t="shared" si="4"/>
        <v>3.472222222222222E-3</v>
      </c>
      <c r="E36" s="223" t="s">
        <v>49</v>
      </c>
      <c r="F36" s="737">
        <v>0</v>
      </c>
      <c r="G36" s="737">
        <v>0</v>
      </c>
      <c r="H36" s="707">
        <f t="shared" si="5"/>
        <v>0</v>
      </c>
      <c r="I36" s="706">
        <f t="shared" si="6"/>
        <v>0</v>
      </c>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row>
    <row r="37" spans="1:36" x14ac:dyDescent="0.2">
      <c r="A37" s="223" t="s">
        <v>50</v>
      </c>
      <c r="B37" s="737">
        <v>109</v>
      </c>
      <c r="C37" s="706">
        <f t="shared" si="4"/>
        <v>9.4618055555555552E-2</v>
      </c>
      <c r="E37" s="223" t="s">
        <v>50</v>
      </c>
      <c r="F37" s="737">
        <v>3</v>
      </c>
      <c r="G37" s="737">
        <v>28</v>
      </c>
      <c r="H37" s="707">
        <f t="shared" si="5"/>
        <v>31</v>
      </c>
      <c r="I37" s="706">
        <f t="shared" si="6"/>
        <v>9.2261904761904767E-2</v>
      </c>
      <c r="K37" s="21"/>
      <c r="L37" s="130"/>
      <c r="M37" s="130"/>
      <c r="N37" s="21"/>
      <c r="O37" s="21"/>
      <c r="P37" s="21"/>
      <c r="Q37" s="21"/>
      <c r="R37" s="21"/>
      <c r="S37" s="21"/>
      <c r="T37" s="21"/>
      <c r="U37" s="21"/>
      <c r="V37" s="21"/>
      <c r="W37" s="21"/>
      <c r="X37" s="21"/>
      <c r="Y37" s="21"/>
      <c r="Z37" s="21"/>
      <c r="AA37" s="21"/>
      <c r="AB37" s="21"/>
      <c r="AC37" s="21"/>
      <c r="AD37" s="21"/>
      <c r="AE37" s="21"/>
      <c r="AF37" s="21"/>
      <c r="AG37" s="21"/>
      <c r="AH37" s="21"/>
      <c r="AI37" s="21"/>
      <c r="AJ37" s="21"/>
    </row>
    <row r="38" spans="1:36" x14ac:dyDescent="0.2">
      <c r="A38" s="223" t="s">
        <v>51</v>
      </c>
      <c r="B38" s="737">
        <v>101</v>
      </c>
      <c r="C38" s="706">
        <f t="shared" si="4"/>
        <v>8.7673611111111105E-2</v>
      </c>
      <c r="E38" s="223" t="s">
        <v>51</v>
      </c>
      <c r="F38" s="737">
        <v>5</v>
      </c>
      <c r="G38" s="737">
        <v>27</v>
      </c>
      <c r="H38" s="707">
        <f t="shared" si="5"/>
        <v>32</v>
      </c>
      <c r="I38" s="706">
        <f t="shared" si="6"/>
        <v>9.5238095238095233E-2</v>
      </c>
      <c r="K38" s="21"/>
      <c r="L38" s="7"/>
      <c r="M38" s="70"/>
      <c r="N38" s="21"/>
      <c r="O38" s="21"/>
      <c r="P38" s="21"/>
      <c r="Q38" s="21"/>
      <c r="R38" s="21"/>
      <c r="S38" s="21"/>
      <c r="T38" s="21"/>
      <c r="U38" s="21"/>
      <c r="V38" s="21"/>
      <c r="W38" s="21"/>
      <c r="X38" s="21"/>
      <c r="Y38" s="21"/>
      <c r="Z38" s="21"/>
      <c r="AA38" s="21"/>
      <c r="AB38" s="21"/>
      <c r="AC38" s="21"/>
      <c r="AD38" s="21"/>
      <c r="AE38" s="21"/>
      <c r="AF38" s="21"/>
      <c r="AG38" s="21"/>
      <c r="AH38" s="21"/>
      <c r="AI38" s="21"/>
      <c r="AJ38" s="21"/>
    </row>
    <row r="39" spans="1:36" x14ac:dyDescent="0.2">
      <c r="A39" s="223" t="s">
        <v>247</v>
      </c>
      <c r="B39" s="737">
        <v>18</v>
      </c>
      <c r="C39" s="706">
        <f t="shared" si="4"/>
        <v>1.5625E-2</v>
      </c>
      <c r="E39" s="753" t="s">
        <v>247</v>
      </c>
      <c r="F39" s="737">
        <v>2</v>
      </c>
      <c r="G39" s="737">
        <v>7</v>
      </c>
      <c r="H39" s="707">
        <f t="shared" si="5"/>
        <v>9</v>
      </c>
      <c r="I39" s="706">
        <f t="shared" si="6"/>
        <v>2.6785714285714284E-2</v>
      </c>
      <c r="K39" s="21"/>
      <c r="L39" s="7"/>
      <c r="M39" s="70"/>
      <c r="N39" s="21"/>
      <c r="O39" s="21"/>
      <c r="P39" s="21"/>
      <c r="Q39" s="21"/>
      <c r="R39" s="21"/>
      <c r="S39" s="21"/>
      <c r="T39" s="21"/>
      <c r="U39" s="21"/>
      <c r="V39" s="21"/>
      <c r="W39" s="21"/>
      <c r="X39" s="21"/>
      <c r="Y39" s="21"/>
      <c r="Z39" s="21"/>
      <c r="AA39" s="21"/>
      <c r="AB39" s="21"/>
      <c r="AC39" s="21"/>
      <c r="AD39" s="21"/>
      <c r="AE39" s="21"/>
      <c r="AF39" s="21"/>
      <c r="AG39" s="21"/>
      <c r="AH39" s="21"/>
      <c r="AI39" s="21"/>
      <c r="AJ39" s="21"/>
    </row>
    <row r="40" spans="1:36" x14ac:dyDescent="0.2">
      <c r="A40" s="227" t="s">
        <v>377</v>
      </c>
      <c r="B40" s="735">
        <v>165</v>
      </c>
      <c r="C40" s="736">
        <f t="shared" si="4"/>
        <v>0.14322916666666666</v>
      </c>
      <c r="D40" s="103"/>
      <c r="E40" s="391" t="s">
        <v>377</v>
      </c>
      <c r="F40" s="737">
        <v>3</v>
      </c>
      <c r="G40" s="737">
        <v>28</v>
      </c>
      <c r="H40" s="707">
        <f t="shared" si="5"/>
        <v>31</v>
      </c>
      <c r="I40" s="706">
        <f t="shared" si="6"/>
        <v>9.2261904761904767E-2</v>
      </c>
      <c r="L40" s="37"/>
      <c r="M40" s="22"/>
    </row>
    <row r="41" spans="1:36" ht="37.5" customHeight="1" x14ac:dyDescent="0.2">
      <c r="A41" s="390" t="s">
        <v>647</v>
      </c>
      <c r="B41" s="735">
        <v>83</v>
      </c>
      <c r="C41" s="736">
        <f t="shared" si="4"/>
        <v>7.2048611111111105E-2</v>
      </c>
      <c r="D41" s="103"/>
      <c r="E41" s="390" t="s">
        <v>648</v>
      </c>
      <c r="F41" s="737">
        <v>1</v>
      </c>
      <c r="G41" s="737">
        <v>10</v>
      </c>
      <c r="H41" s="707">
        <f t="shared" si="5"/>
        <v>11</v>
      </c>
      <c r="I41" s="706">
        <f t="shared" si="6"/>
        <v>3.273809523809524E-2</v>
      </c>
      <c r="L41" s="37"/>
      <c r="M41" s="22"/>
    </row>
    <row r="42" spans="1:36" x14ac:dyDescent="0.2">
      <c r="A42" s="227" t="s">
        <v>53</v>
      </c>
      <c r="B42" s="735">
        <v>30</v>
      </c>
      <c r="C42" s="736">
        <f>IFERROR(B42/B$14,"-")</f>
        <v>2.6041666666666668E-2</v>
      </c>
      <c r="D42" s="103"/>
      <c r="E42" s="391" t="s">
        <v>53</v>
      </c>
      <c r="F42" s="737">
        <v>2</v>
      </c>
      <c r="G42" s="737">
        <v>6</v>
      </c>
      <c r="H42" s="707">
        <f t="shared" si="5"/>
        <v>8</v>
      </c>
      <c r="I42" s="706">
        <f t="shared" si="6"/>
        <v>2.3809523809523808E-2</v>
      </c>
      <c r="L42" s="37"/>
      <c r="M42" s="22"/>
    </row>
    <row r="43" spans="1:36" x14ac:dyDescent="0.2">
      <c r="K43" s="21"/>
      <c r="L43" s="7"/>
      <c r="M43" s="70"/>
      <c r="N43" s="21"/>
      <c r="O43" s="21"/>
      <c r="P43" s="21"/>
      <c r="Q43" s="21"/>
      <c r="R43" s="21"/>
      <c r="S43" s="21"/>
      <c r="T43" s="21"/>
      <c r="U43" s="21"/>
      <c r="V43" s="21"/>
      <c r="W43" s="21"/>
      <c r="X43" s="21"/>
      <c r="Y43" s="21"/>
      <c r="Z43" s="21"/>
      <c r="AA43" s="21"/>
      <c r="AB43" s="21"/>
      <c r="AC43" s="21"/>
      <c r="AD43" s="21"/>
      <c r="AE43" s="21"/>
      <c r="AF43" s="21"/>
      <c r="AG43" s="21"/>
      <c r="AH43" s="21"/>
      <c r="AI43" s="21"/>
      <c r="AJ43" s="21"/>
    </row>
    <row r="44" spans="1:36" x14ac:dyDescent="0.2">
      <c r="K44" s="21"/>
      <c r="L44" s="7"/>
      <c r="M44" s="70"/>
      <c r="N44" s="21"/>
      <c r="O44" s="21"/>
      <c r="P44" s="21"/>
      <c r="Q44" s="21"/>
      <c r="R44" s="21"/>
      <c r="S44" s="21"/>
      <c r="T44" s="21"/>
      <c r="U44" s="21"/>
      <c r="V44" s="21"/>
      <c r="W44" s="21"/>
      <c r="X44" s="21"/>
      <c r="Y44" s="21"/>
      <c r="Z44" s="21"/>
      <c r="AA44" s="21"/>
      <c r="AB44" s="21"/>
      <c r="AC44" s="21"/>
      <c r="AD44" s="21"/>
      <c r="AE44" s="21"/>
      <c r="AF44" s="21"/>
      <c r="AG44" s="21"/>
      <c r="AH44" s="21"/>
      <c r="AI44" s="21"/>
      <c r="AJ44" s="21"/>
    </row>
    <row r="45" spans="1:36" x14ac:dyDescent="0.2">
      <c r="K45" s="21"/>
      <c r="L45" s="7"/>
      <c r="M45" s="70"/>
      <c r="N45" s="21"/>
      <c r="O45" s="21"/>
      <c r="P45" s="21"/>
      <c r="Q45" s="21"/>
      <c r="R45" s="21"/>
      <c r="S45" s="21"/>
      <c r="T45" s="21"/>
      <c r="U45" s="21"/>
      <c r="V45" s="21"/>
      <c r="W45" s="21"/>
      <c r="X45" s="21"/>
      <c r="Y45" s="21"/>
      <c r="Z45" s="21"/>
      <c r="AA45" s="21"/>
      <c r="AB45" s="21"/>
      <c r="AC45" s="21"/>
      <c r="AD45" s="21"/>
      <c r="AE45" s="21"/>
      <c r="AF45" s="21"/>
      <c r="AG45" s="21"/>
      <c r="AH45" s="21"/>
      <c r="AI45" s="21"/>
      <c r="AJ45" s="21"/>
    </row>
    <row r="46" spans="1:36" x14ac:dyDescent="0.2">
      <c r="K46" s="21"/>
      <c r="L46" s="7"/>
      <c r="M46" s="70"/>
      <c r="N46" s="21"/>
      <c r="O46" s="21"/>
      <c r="P46" s="21"/>
      <c r="Q46" s="21"/>
      <c r="R46" s="21"/>
      <c r="S46" s="21"/>
      <c r="T46" s="21"/>
      <c r="U46" s="21"/>
      <c r="V46" s="21"/>
      <c r="W46" s="21"/>
      <c r="X46" s="21"/>
      <c r="Y46" s="21"/>
      <c r="Z46" s="21"/>
      <c r="AA46" s="21"/>
      <c r="AB46" s="21"/>
      <c r="AC46" s="21"/>
      <c r="AD46" s="21"/>
      <c r="AE46" s="21"/>
      <c r="AF46" s="21"/>
      <c r="AG46" s="21"/>
      <c r="AH46" s="21"/>
      <c r="AI46" s="21"/>
      <c r="AJ46" s="21"/>
    </row>
    <row r="47" spans="1:36" x14ac:dyDescent="0.2">
      <c r="K47" s="21"/>
      <c r="L47" s="7"/>
      <c r="M47" s="70"/>
      <c r="N47" s="21"/>
      <c r="O47" s="21"/>
      <c r="P47" s="21"/>
      <c r="Q47" s="21"/>
      <c r="R47" s="21"/>
      <c r="S47" s="21"/>
      <c r="T47" s="21"/>
      <c r="U47" s="21"/>
      <c r="V47" s="21"/>
      <c r="W47" s="21"/>
      <c r="X47" s="21"/>
      <c r="Y47" s="21"/>
      <c r="Z47" s="21"/>
      <c r="AA47" s="21"/>
      <c r="AB47" s="21"/>
      <c r="AC47" s="21"/>
      <c r="AD47" s="21"/>
      <c r="AE47" s="21"/>
      <c r="AF47" s="21"/>
      <c r="AG47" s="21"/>
      <c r="AH47" s="21"/>
      <c r="AI47" s="21"/>
      <c r="AJ47" s="21"/>
    </row>
    <row r="48" spans="1:36" x14ac:dyDescent="0.2">
      <c r="K48" s="21"/>
      <c r="L48" s="7"/>
      <c r="M48" s="70"/>
      <c r="N48" s="21"/>
      <c r="O48" s="21"/>
      <c r="P48" s="21"/>
      <c r="Q48" s="21"/>
      <c r="R48" s="21"/>
      <c r="S48" s="21"/>
      <c r="T48" s="21"/>
      <c r="U48" s="21"/>
      <c r="V48" s="21"/>
      <c r="W48" s="21"/>
      <c r="X48" s="21"/>
      <c r="Y48" s="21"/>
      <c r="Z48" s="21"/>
      <c r="AA48" s="21"/>
      <c r="AB48" s="21"/>
      <c r="AC48" s="21"/>
      <c r="AD48" s="21"/>
      <c r="AE48" s="21"/>
      <c r="AF48" s="21"/>
      <c r="AG48" s="21"/>
      <c r="AH48" s="21"/>
      <c r="AI48" s="21"/>
      <c r="AJ48" s="21"/>
    </row>
    <row r="49" spans="11:36" x14ac:dyDescent="0.2">
      <c r="K49" s="21"/>
      <c r="L49" s="7"/>
      <c r="M49" s="70"/>
      <c r="N49" s="21"/>
      <c r="O49" s="21"/>
      <c r="P49" s="21"/>
      <c r="Q49" s="21"/>
      <c r="R49" s="21"/>
      <c r="S49" s="21"/>
      <c r="T49" s="21"/>
      <c r="U49" s="21"/>
      <c r="V49" s="21"/>
      <c r="W49" s="21"/>
      <c r="X49" s="21"/>
      <c r="Y49" s="21"/>
      <c r="Z49" s="21"/>
      <c r="AA49" s="21"/>
      <c r="AB49" s="21"/>
      <c r="AC49" s="21"/>
      <c r="AD49" s="21"/>
      <c r="AE49" s="21"/>
      <c r="AF49" s="21"/>
      <c r="AG49" s="21"/>
      <c r="AH49" s="21"/>
      <c r="AI49" s="21"/>
      <c r="AJ49" s="21"/>
    </row>
    <row r="50" spans="11:36" x14ac:dyDescent="0.2">
      <c r="K50" s="21"/>
      <c r="L50" s="7"/>
      <c r="M50" s="70"/>
      <c r="N50" s="21"/>
      <c r="O50" s="21"/>
      <c r="P50" s="21"/>
      <c r="Q50" s="21"/>
      <c r="R50" s="21"/>
      <c r="S50" s="21"/>
      <c r="T50" s="21"/>
      <c r="U50" s="21"/>
      <c r="V50" s="21"/>
      <c r="W50" s="21"/>
      <c r="X50" s="21"/>
      <c r="Y50" s="21"/>
      <c r="Z50" s="21"/>
      <c r="AA50" s="21"/>
      <c r="AB50" s="21"/>
      <c r="AC50" s="21"/>
      <c r="AD50" s="21"/>
      <c r="AE50" s="21"/>
      <c r="AF50" s="21"/>
      <c r="AG50" s="21"/>
      <c r="AH50" s="21"/>
      <c r="AI50" s="21"/>
      <c r="AJ50" s="21"/>
    </row>
    <row r="51" spans="11:36" x14ac:dyDescent="0.2">
      <c r="K51" s="21"/>
      <c r="L51" s="7"/>
      <c r="M51" s="70"/>
      <c r="N51" s="21"/>
      <c r="O51" s="21"/>
      <c r="P51" s="21"/>
      <c r="Q51" s="21"/>
      <c r="R51" s="21"/>
      <c r="S51" s="21"/>
      <c r="T51" s="21"/>
      <c r="U51" s="21"/>
      <c r="V51" s="21"/>
      <c r="W51" s="21"/>
      <c r="X51" s="21"/>
      <c r="Y51" s="21"/>
      <c r="Z51" s="21"/>
      <c r="AA51" s="21"/>
      <c r="AB51" s="21"/>
      <c r="AC51" s="21"/>
      <c r="AD51" s="21"/>
      <c r="AE51" s="21"/>
      <c r="AF51" s="21"/>
      <c r="AG51" s="21"/>
      <c r="AH51" s="21"/>
      <c r="AI51" s="21"/>
      <c r="AJ51" s="21"/>
    </row>
    <row r="52" spans="11:36" x14ac:dyDescent="0.2">
      <c r="K52" s="21"/>
      <c r="L52" s="7"/>
      <c r="M52" s="70"/>
      <c r="N52" s="21"/>
      <c r="O52" s="21"/>
      <c r="P52" s="21"/>
      <c r="Q52" s="21"/>
      <c r="R52" s="21"/>
      <c r="S52" s="21"/>
      <c r="T52" s="21"/>
      <c r="U52" s="21"/>
      <c r="V52" s="21"/>
      <c r="W52" s="21"/>
      <c r="X52" s="21"/>
      <c r="Y52" s="21"/>
      <c r="Z52" s="21"/>
      <c r="AA52" s="21"/>
      <c r="AB52" s="21"/>
      <c r="AC52" s="21"/>
      <c r="AD52" s="21"/>
      <c r="AE52" s="21"/>
      <c r="AF52" s="21"/>
      <c r="AG52" s="21"/>
      <c r="AH52" s="21"/>
      <c r="AI52" s="21"/>
      <c r="AJ52" s="21"/>
    </row>
    <row r="53" spans="11:36" x14ac:dyDescent="0.2">
      <c r="K53" s="21"/>
      <c r="L53" s="7"/>
      <c r="M53" s="70"/>
      <c r="N53" s="21"/>
      <c r="O53" s="21"/>
      <c r="P53" s="21"/>
      <c r="Q53" s="21"/>
      <c r="R53" s="21"/>
      <c r="S53" s="21"/>
      <c r="T53" s="21"/>
      <c r="U53" s="21"/>
      <c r="V53" s="21"/>
      <c r="W53" s="21"/>
      <c r="X53" s="21"/>
      <c r="Y53" s="21"/>
      <c r="Z53" s="21"/>
      <c r="AA53" s="21"/>
      <c r="AB53" s="21"/>
      <c r="AC53" s="21"/>
      <c r="AD53" s="21"/>
      <c r="AE53" s="21"/>
      <c r="AF53" s="21"/>
      <c r="AG53" s="21"/>
      <c r="AH53" s="21"/>
      <c r="AI53" s="21"/>
      <c r="AJ53" s="21"/>
    </row>
    <row r="54" spans="11:36" x14ac:dyDescent="0.2">
      <c r="K54" s="21"/>
      <c r="L54" s="7"/>
      <c r="M54" s="70"/>
      <c r="N54" s="21"/>
      <c r="O54" s="21"/>
      <c r="P54" s="21"/>
      <c r="Q54" s="21"/>
      <c r="R54" s="21"/>
      <c r="S54" s="21"/>
      <c r="T54" s="21"/>
      <c r="U54" s="21"/>
      <c r="V54" s="21"/>
      <c r="W54" s="21"/>
      <c r="X54" s="21"/>
      <c r="Y54" s="21"/>
      <c r="Z54" s="21"/>
      <c r="AA54" s="21"/>
      <c r="AB54" s="21"/>
      <c r="AC54" s="21"/>
      <c r="AD54" s="21"/>
      <c r="AE54" s="21"/>
      <c r="AF54" s="21"/>
      <c r="AG54" s="21"/>
      <c r="AH54" s="21"/>
      <c r="AI54" s="21"/>
      <c r="AJ54" s="21"/>
    </row>
    <row r="55" spans="11:36" x14ac:dyDescent="0.2">
      <c r="K55" s="21"/>
      <c r="L55" s="7"/>
      <c r="M55" s="70"/>
      <c r="N55" s="21"/>
      <c r="O55" s="21"/>
      <c r="P55" s="21"/>
      <c r="Q55" s="21"/>
      <c r="R55" s="21"/>
      <c r="S55" s="21"/>
      <c r="T55" s="21"/>
      <c r="U55" s="21"/>
      <c r="V55" s="21"/>
      <c r="W55" s="21"/>
      <c r="X55" s="21"/>
      <c r="Y55" s="21"/>
      <c r="Z55" s="21"/>
      <c r="AA55" s="21"/>
      <c r="AB55" s="21"/>
      <c r="AC55" s="21"/>
      <c r="AD55" s="21"/>
      <c r="AE55" s="21"/>
      <c r="AF55" s="21"/>
      <c r="AG55" s="21"/>
      <c r="AH55" s="21"/>
      <c r="AI55" s="21"/>
      <c r="AJ55" s="21"/>
    </row>
    <row r="56" spans="11:36" x14ac:dyDescent="0.2">
      <c r="K56" s="21"/>
      <c r="L56" s="7"/>
      <c r="M56" s="70"/>
      <c r="N56" s="21"/>
      <c r="O56" s="21"/>
      <c r="P56" s="21"/>
      <c r="Q56" s="21"/>
      <c r="R56" s="21"/>
      <c r="S56" s="21"/>
      <c r="T56" s="21"/>
      <c r="U56" s="21"/>
      <c r="V56" s="21"/>
      <c r="W56" s="21"/>
      <c r="X56" s="21"/>
      <c r="Y56" s="21"/>
      <c r="Z56" s="21"/>
      <c r="AA56" s="21"/>
      <c r="AB56" s="21"/>
      <c r="AC56" s="21"/>
      <c r="AD56" s="21"/>
      <c r="AE56" s="21"/>
      <c r="AF56" s="21"/>
      <c r="AG56" s="21"/>
      <c r="AH56" s="21"/>
      <c r="AI56" s="21"/>
      <c r="AJ56" s="21"/>
    </row>
    <row r="57" spans="11:36" x14ac:dyDescent="0.2">
      <c r="K57" s="21"/>
      <c r="L57" s="7"/>
      <c r="M57" s="70"/>
      <c r="N57" s="21"/>
      <c r="O57" s="21"/>
      <c r="P57" s="21"/>
      <c r="Q57" s="21"/>
      <c r="R57" s="21"/>
      <c r="S57" s="21"/>
      <c r="T57" s="21"/>
      <c r="U57" s="21"/>
      <c r="V57" s="21"/>
      <c r="W57" s="21"/>
      <c r="X57" s="21"/>
      <c r="Y57" s="21"/>
      <c r="Z57" s="21"/>
      <c r="AA57" s="21"/>
      <c r="AB57" s="21"/>
      <c r="AC57" s="21"/>
      <c r="AD57" s="21"/>
      <c r="AE57" s="21"/>
      <c r="AF57" s="21"/>
      <c r="AG57" s="21"/>
      <c r="AH57" s="21"/>
      <c r="AI57" s="21"/>
      <c r="AJ57" s="21"/>
    </row>
    <row r="58" spans="11:36" x14ac:dyDescent="0.2">
      <c r="K58" s="21"/>
      <c r="L58" s="7"/>
      <c r="M58" s="70"/>
      <c r="N58" s="21"/>
      <c r="O58" s="21"/>
      <c r="P58" s="21"/>
      <c r="Q58" s="21"/>
      <c r="R58" s="21"/>
      <c r="S58" s="21"/>
      <c r="T58" s="21"/>
      <c r="U58" s="21"/>
      <c r="V58" s="21"/>
      <c r="W58" s="21"/>
      <c r="X58" s="21"/>
      <c r="Y58" s="21"/>
      <c r="Z58" s="21"/>
      <c r="AA58" s="21"/>
      <c r="AB58" s="21"/>
      <c r="AC58" s="21"/>
      <c r="AD58" s="21"/>
      <c r="AE58" s="21"/>
      <c r="AF58" s="21"/>
      <c r="AG58" s="21"/>
      <c r="AH58" s="21"/>
      <c r="AI58" s="21"/>
      <c r="AJ58" s="21"/>
    </row>
    <row r="59" spans="11:36" x14ac:dyDescent="0.2">
      <c r="K59" s="21"/>
      <c r="L59" s="7"/>
      <c r="M59" s="70"/>
      <c r="N59" s="21"/>
      <c r="O59" s="21"/>
      <c r="P59" s="21"/>
      <c r="Q59" s="21"/>
      <c r="R59" s="21"/>
      <c r="S59" s="21"/>
      <c r="T59" s="21"/>
      <c r="U59" s="21"/>
      <c r="V59" s="21"/>
      <c r="W59" s="21"/>
      <c r="X59" s="21"/>
      <c r="Y59" s="21"/>
      <c r="Z59" s="21"/>
      <c r="AA59" s="21"/>
      <c r="AB59" s="21"/>
      <c r="AC59" s="21"/>
      <c r="AD59" s="21"/>
      <c r="AE59" s="21"/>
      <c r="AF59" s="21"/>
      <c r="AG59" s="21"/>
      <c r="AH59" s="21"/>
      <c r="AI59" s="21"/>
      <c r="AJ59" s="21"/>
    </row>
    <row r="60" spans="11:36" x14ac:dyDescent="0.2">
      <c r="K60" s="21"/>
      <c r="L60" s="7"/>
      <c r="M60" s="70"/>
      <c r="N60" s="21"/>
      <c r="O60" s="21"/>
      <c r="P60" s="21"/>
      <c r="Q60" s="21"/>
      <c r="R60" s="21"/>
      <c r="S60" s="21"/>
      <c r="T60" s="21"/>
      <c r="U60" s="21"/>
      <c r="V60" s="21"/>
      <c r="W60" s="21"/>
      <c r="X60" s="21"/>
      <c r="Y60" s="21"/>
      <c r="Z60" s="21"/>
      <c r="AA60" s="21"/>
      <c r="AB60" s="21"/>
      <c r="AC60" s="21"/>
      <c r="AD60" s="21"/>
      <c r="AE60" s="21"/>
      <c r="AF60" s="21"/>
      <c r="AG60" s="21"/>
      <c r="AH60" s="21"/>
      <c r="AI60" s="21"/>
      <c r="AJ60" s="21"/>
    </row>
    <row r="61" spans="11:36" x14ac:dyDescent="0.2">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row>
    <row r="62" spans="11:36" x14ac:dyDescent="0.2">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row>
    <row r="63" spans="11:36" x14ac:dyDescent="0.2">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row>
    <row r="64" spans="11:36" x14ac:dyDescent="0.2">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row>
  </sheetData>
  <mergeCells count="2">
    <mergeCell ref="A21:C21"/>
    <mergeCell ref="E21:I21"/>
  </mergeCells>
  <phoneticPr fontId="2"/>
  <pageMargins left="0.70866141732283472" right="0.70866141732283472" top="0.74803149606299213" bottom="0.74803149606299213" header="0.31496062992125984" footer="0.31496062992125984"/>
  <pageSetup paperSize="11" scale="41" orientation="landscape" r:id="rId1"/>
  <drawing r:id="rId2"/>
  <mc:AlternateContent xmlns:mc="http://schemas.openxmlformats.org/markup-compatibility/2006">
    <mc:Choice Requires="v">
      <legacyDrawing r:id="rId3"/>
    </mc:Choice>
  </mc:AlternateContent>
  <controls>
    <control shapeId="27649" r:id="rId4" name="Button 1">
      <controlPr defaultSize="0" print="0" autoFill="0" autoPict="0" macro="[0]!データ削除_退院阻害要因">
        <anchor moveWithCells="1" sizeWithCells="1">
          <from>
            <xdr:col>11</xdr:col>
            <xdr:colOff>0</xdr:colOff>
            <xdr:row>3</xdr:row>
            <xdr:rowOff>190500</xdr:rowOff>
          </from>
          <to>
            <xdr:col>11</xdr:col>
            <xdr:colOff>2103120</xdr:colOff>
            <xdr:row>5</xdr:row>
            <xdr:rowOff>198120</xdr:rowOff>
          </to>
        </anchor>
      </controlPr>
    </control>
  </controls>
</worksheet>
</file>

<file path=xl/worksheets/sheet1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rgb="FFFFC000"/>
  </sheetPr>
  <dimension ref="A1:Q101"/>
  <sheetViews>
    <sheetView showGridLines="0" view="pageBreakPreview" zoomScaleNormal="100" zoomScaleSheetLayoutView="100" workbookViewId="0"/>
  </sheetViews>
  <sheetFormatPr defaultColWidth="9" defaultRowHeight="17.399999999999999" x14ac:dyDescent="0.2"/>
  <cols>
    <col min="1" max="1" width="18.21875" style="1" customWidth="1"/>
    <col min="2" max="3" width="9.33203125" style="1" customWidth="1"/>
    <col min="4" max="4" width="3.33203125" style="1" customWidth="1"/>
    <col min="5" max="5" width="18.21875" style="1" customWidth="1"/>
    <col min="6" max="7" width="9.33203125" style="1" customWidth="1"/>
    <col min="8" max="8" width="9" style="1"/>
    <col min="9" max="13" width="12" style="1" hidden="1" customWidth="1"/>
    <col min="14" max="17" width="9" style="1" hidden="1" customWidth="1"/>
    <col min="18" max="18" width="9" style="1" customWidth="1"/>
    <col min="19" max="16384" width="9" style="1"/>
  </cols>
  <sheetData>
    <row r="1" spans="1:15" s="3" customFormat="1" ht="19.2" x14ac:dyDescent="0.2">
      <c r="A1" s="2" t="s">
        <v>204</v>
      </c>
    </row>
    <row r="2" spans="1:15" s="3" customFormat="1" ht="19.2" x14ac:dyDescent="0.2">
      <c r="A2" s="2"/>
      <c r="I2" s="55" t="s">
        <v>63</v>
      </c>
    </row>
    <row r="3" spans="1:15" ht="19.8" thickBot="1" x14ac:dyDescent="0.25">
      <c r="A3" s="4" t="s">
        <v>13</v>
      </c>
      <c r="E3" s="4" t="s">
        <v>113</v>
      </c>
      <c r="I3" s="257" t="s">
        <v>298</v>
      </c>
      <c r="J3" s="339" t="s">
        <v>278</v>
      </c>
      <c r="K3" s="3"/>
      <c r="L3" s="257" t="s">
        <v>298</v>
      </c>
      <c r="M3" s="346" t="s">
        <v>275</v>
      </c>
    </row>
    <row r="4" spans="1:15" ht="18.600000000000001" thickTop="1" thickBot="1" x14ac:dyDescent="0.25">
      <c r="A4" s="754"/>
      <c r="B4" s="755" t="s">
        <v>0</v>
      </c>
      <c r="C4" s="755" t="s">
        <v>1</v>
      </c>
      <c r="D4" s="172"/>
      <c r="E4" s="754"/>
      <c r="F4" s="755" t="s">
        <v>0</v>
      </c>
      <c r="G4" s="755" t="s">
        <v>1</v>
      </c>
      <c r="I4" s="289" t="s">
        <v>372</v>
      </c>
      <c r="J4" s="34" t="s">
        <v>610</v>
      </c>
      <c r="L4" s="289" t="s">
        <v>372</v>
      </c>
      <c r="M4" s="34" t="s">
        <v>610</v>
      </c>
    </row>
    <row r="5" spans="1:15" ht="18" thickTop="1" x14ac:dyDescent="0.2">
      <c r="A5" s="248" t="s">
        <v>94</v>
      </c>
      <c r="B5" s="756">
        <f>IFERROR(VLOOKUP($O5,年齢区分＿65歳以上[#All],2,FALSE),0)</f>
        <v>1132</v>
      </c>
      <c r="C5" s="712">
        <f>IFERROR(B5/B$11,"-")</f>
        <v>0.13328623572353704</v>
      </c>
      <c r="D5" s="172"/>
      <c r="E5" s="248" t="s">
        <v>94</v>
      </c>
      <c r="F5" s="756">
        <f>IFERROR(VLOOKUP($O5,年齢区分＿65歳以上＿寛解・院内寛解[#All],2,FALSE),0)</f>
        <v>166</v>
      </c>
      <c r="G5" s="712">
        <f>IFERROR(F5/F$11,"-")</f>
        <v>0.19951923076923078</v>
      </c>
      <c r="I5" s="55" t="s">
        <v>300</v>
      </c>
      <c r="J5" s="250">
        <v>1132</v>
      </c>
      <c r="K5" s="11"/>
      <c r="L5" s="55" t="s">
        <v>300</v>
      </c>
      <c r="M5" s="250">
        <v>166</v>
      </c>
      <c r="O5" s="294" t="s">
        <v>300</v>
      </c>
    </row>
    <row r="6" spans="1:15" x14ac:dyDescent="0.2">
      <c r="A6" s="248" t="s">
        <v>95</v>
      </c>
      <c r="B6" s="756">
        <f>IFERROR(VLOOKUP($O6,年齢区分＿65歳以上[#All],2,FALSE),0)</f>
        <v>1540</v>
      </c>
      <c r="C6" s="712">
        <f t="shared" ref="C6:C10" si="0">IFERROR(B6/B$11,"-")</f>
        <v>0.18132579771576593</v>
      </c>
      <c r="D6" s="172"/>
      <c r="E6" s="248" t="s">
        <v>95</v>
      </c>
      <c r="F6" s="713">
        <f>IFERROR(VLOOKUP($O6,年齢区分＿65歳以上＿寛解・院内寛解[#All],2,FALSE),0)</f>
        <v>184</v>
      </c>
      <c r="G6" s="712">
        <f t="shared" ref="G6:G10" si="1">IFERROR(F6/F$11,"-")</f>
        <v>0.22115384615384615</v>
      </c>
      <c r="I6" s="55" t="s">
        <v>301</v>
      </c>
      <c r="J6" s="250">
        <v>1540</v>
      </c>
      <c r="K6" s="14"/>
      <c r="L6" s="55" t="s">
        <v>301</v>
      </c>
      <c r="M6" s="250">
        <v>184</v>
      </c>
      <c r="O6" s="253" t="s">
        <v>301</v>
      </c>
    </row>
    <row r="7" spans="1:15" x14ac:dyDescent="0.2">
      <c r="A7" s="248" t="s">
        <v>96</v>
      </c>
      <c r="B7" s="756">
        <f>IFERROR(VLOOKUP($O7,年齢区分＿65歳以上[#All],2,FALSE),0)</f>
        <v>1821</v>
      </c>
      <c r="C7" s="712">
        <f t="shared" si="0"/>
        <v>0.21441186859766867</v>
      </c>
      <c r="D7" s="172"/>
      <c r="E7" s="248" t="s">
        <v>96</v>
      </c>
      <c r="F7" s="713">
        <f>IFERROR(VLOOKUP($O7,年齢区分＿65歳以上＿寛解・院内寛解[#All],2,FALSE),0)</f>
        <v>166</v>
      </c>
      <c r="G7" s="712">
        <f t="shared" si="1"/>
        <v>0.19951923076923078</v>
      </c>
      <c r="I7" s="55" t="s">
        <v>302</v>
      </c>
      <c r="J7" s="250">
        <v>1821</v>
      </c>
      <c r="K7" s="14"/>
      <c r="L7" s="55" t="s">
        <v>302</v>
      </c>
      <c r="M7" s="250">
        <v>166</v>
      </c>
      <c r="O7" s="253" t="s">
        <v>302</v>
      </c>
    </row>
    <row r="8" spans="1:15" x14ac:dyDescent="0.2">
      <c r="A8" s="248" t="s">
        <v>97</v>
      </c>
      <c r="B8" s="756">
        <f>IFERROR(VLOOKUP($O8,年齢区分＿65歳以上[#All],2,FALSE),0)</f>
        <v>1833</v>
      </c>
      <c r="C8" s="712">
        <f t="shared" si="0"/>
        <v>0.21582479689155776</v>
      </c>
      <c r="D8" s="172"/>
      <c r="E8" s="248" t="s">
        <v>97</v>
      </c>
      <c r="F8" s="713">
        <f>IFERROR(VLOOKUP($O8,年齢区分＿65歳以上＿寛解・院内寛解[#All],2,FALSE),0)</f>
        <v>164</v>
      </c>
      <c r="G8" s="712">
        <f t="shared" si="1"/>
        <v>0.19711538461538461</v>
      </c>
      <c r="I8" s="55" t="s">
        <v>303</v>
      </c>
      <c r="J8" s="250">
        <v>1833</v>
      </c>
      <c r="K8" s="17"/>
      <c r="L8" s="55" t="s">
        <v>303</v>
      </c>
      <c r="M8" s="250">
        <v>164</v>
      </c>
      <c r="O8" s="253" t="s">
        <v>303</v>
      </c>
    </row>
    <row r="9" spans="1:15" x14ac:dyDescent="0.2">
      <c r="A9" s="248" t="s">
        <v>98</v>
      </c>
      <c r="B9" s="756">
        <f>IFERROR(VLOOKUP($O9,年齢区分＿65歳以上[#All],2,FALSE),0)</f>
        <v>1397</v>
      </c>
      <c r="C9" s="712">
        <f t="shared" si="0"/>
        <v>0.16448840221358765</v>
      </c>
      <c r="D9" s="172"/>
      <c r="E9" s="248" t="s">
        <v>98</v>
      </c>
      <c r="F9" s="713">
        <f>IFERROR(VLOOKUP($O9,年齢区分＿65歳以上＿寛解・院内寛解[#All],2,FALSE),0)</f>
        <v>107</v>
      </c>
      <c r="G9" s="712">
        <f t="shared" si="1"/>
        <v>0.12860576923076922</v>
      </c>
      <c r="I9" s="55" t="s">
        <v>304</v>
      </c>
      <c r="J9" s="250">
        <v>1397</v>
      </c>
      <c r="K9" s="17"/>
      <c r="L9" s="55" t="s">
        <v>304</v>
      </c>
      <c r="M9" s="250">
        <v>107</v>
      </c>
      <c r="O9" s="253" t="s">
        <v>304</v>
      </c>
    </row>
    <row r="10" spans="1:15" x14ac:dyDescent="0.2">
      <c r="A10" s="248" t="s">
        <v>162</v>
      </c>
      <c r="B10" s="756">
        <f>IFERROR(VLOOKUP($O10,年齢区分＿65歳以上[#All],2,FALSE),0)</f>
        <v>770</v>
      </c>
      <c r="C10" s="712">
        <f t="shared" si="0"/>
        <v>9.0662898857882965E-2</v>
      </c>
      <c r="D10" s="172"/>
      <c r="E10" s="248" t="s">
        <v>162</v>
      </c>
      <c r="F10" s="713">
        <f>IFERROR(VLOOKUP($O10,年齢区分＿65歳以上＿寛解・院内寛解[#All],2,FALSE),0)</f>
        <v>45</v>
      </c>
      <c r="G10" s="712">
        <f t="shared" si="1"/>
        <v>5.4086538461538464E-2</v>
      </c>
      <c r="I10" s="55" t="s">
        <v>10</v>
      </c>
      <c r="J10" s="250">
        <v>770</v>
      </c>
      <c r="K10" s="17"/>
      <c r="L10" s="55" t="s">
        <v>10</v>
      </c>
      <c r="M10" s="250">
        <v>45</v>
      </c>
      <c r="O10" s="253" t="s">
        <v>10</v>
      </c>
    </row>
    <row r="11" spans="1:15" x14ac:dyDescent="0.2">
      <c r="A11" s="754" t="s">
        <v>160</v>
      </c>
      <c r="B11" s="757">
        <f>SUM(B5:B10)</f>
        <v>8493</v>
      </c>
      <c r="C11" s="758">
        <f>SUM(C5:C10)</f>
        <v>1</v>
      </c>
      <c r="D11" s="172"/>
      <c r="E11" s="754" t="s">
        <v>160</v>
      </c>
      <c r="F11" s="757">
        <f>SUM(F5:F10)</f>
        <v>832</v>
      </c>
      <c r="G11" s="758">
        <f>SUM(G5:G10)</f>
        <v>0.99999999999999989</v>
      </c>
      <c r="I11" s="55"/>
      <c r="J11" s="250"/>
      <c r="K11" s="17"/>
      <c r="L11" s="55"/>
      <c r="M11" s="250"/>
    </row>
    <row r="12" spans="1:15" x14ac:dyDescent="0.2">
      <c r="A12" s="248" t="s">
        <v>202</v>
      </c>
      <c r="B12" s="711">
        <f>B5+B6</f>
        <v>2672</v>
      </c>
      <c r="C12" s="712">
        <f>IFERROR(B12/B$11,"-")</f>
        <v>0.31461203343930294</v>
      </c>
      <c r="D12" s="172"/>
      <c r="E12" s="248" t="s">
        <v>202</v>
      </c>
      <c r="F12" s="711">
        <f>F5+F6</f>
        <v>350</v>
      </c>
      <c r="G12" s="712">
        <f>IFERROR(F12/F$11,"-")</f>
        <v>0.42067307692307693</v>
      </c>
      <c r="I12" s="55"/>
      <c r="J12" s="250"/>
      <c r="K12" s="17"/>
      <c r="L12" s="55"/>
      <c r="M12" s="250"/>
    </row>
    <row r="13" spans="1:15" x14ac:dyDescent="0.2">
      <c r="A13" s="248" t="s">
        <v>203</v>
      </c>
      <c r="B13" s="711">
        <f>B7+B8+B9+B10</f>
        <v>5821</v>
      </c>
      <c r="C13" s="712">
        <f>IFERROR(B13/B$11,"-")</f>
        <v>0.685387966560697</v>
      </c>
      <c r="D13" s="172"/>
      <c r="E13" s="248" t="s">
        <v>203</v>
      </c>
      <c r="F13" s="711">
        <f>F7+F8+F9+F10</f>
        <v>482</v>
      </c>
      <c r="G13" s="712">
        <f>IFERROR(F13/F$11,"-")</f>
        <v>0.57932692307692313</v>
      </c>
      <c r="I13" s="55"/>
      <c r="J13" s="250"/>
      <c r="K13" s="17"/>
      <c r="L13" s="55"/>
      <c r="M13" s="250"/>
    </row>
    <row r="14" spans="1:15" ht="19.5" customHeight="1" x14ac:dyDescent="0.2">
      <c r="I14" s="15"/>
      <c r="J14" s="59"/>
      <c r="K14" s="17"/>
      <c r="L14" s="15"/>
      <c r="M14" s="59"/>
    </row>
    <row r="15" spans="1:15" ht="19.5" customHeight="1" x14ac:dyDescent="0.2">
      <c r="K15" s="107"/>
    </row>
    <row r="16" spans="1:15" ht="19.5" customHeight="1" x14ac:dyDescent="0.2">
      <c r="K16" s="107"/>
    </row>
    <row r="17" spans="1:11" ht="19.5" customHeight="1" x14ac:dyDescent="0.2">
      <c r="K17" s="107"/>
    </row>
    <row r="18" spans="1:11" ht="19.5" customHeight="1" x14ac:dyDescent="0.2">
      <c r="K18" s="107"/>
    </row>
    <row r="19" spans="1:11" ht="19.5" customHeight="1" x14ac:dyDescent="0.2">
      <c r="K19" s="107"/>
    </row>
    <row r="20" spans="1:11" ht="19.5" customHeight="1" x14ac:dyDescent="0.2">
      <c r="K20" s="107"/>
    </row>
    <row r="21" spans="1:11" ht="19.5" customHeight="1" x14ac:dyDescent="0.2">
      <c r="K21" s="107"/>
    </row>
    <row r="22" spans="1:11" ht="19.5" customHeight="1" x14ac:dyDescent="0.2">
      <c r="K22" s="107"/>
    </row>
    <row r="23" spans="1:11" x14ac:dyDescent="0.2">
      <c r="A23" s="103"/>
      <c r="B23" s="123"/>
      <c r="C23" s="124"/>
      <c r="K23" s="107"/>
    </row>
    <row r="24" spans="1:11" x14ac:dyDescent="0.2">
      <c r="A24" s="111"/>
      <c r="B24" s="125"/>
      <c r="C24" s="126"/>
    </row>
    <row r="25" spans="1:11" x14ac:dyDescent="0.2">
      <c r="A25" s="111"/>
      <c r="B25" s="125"/>
      <c r="C25" s="126"/>
    </row>
    <row r="26" spans="1:11" x14ac:dyDescent="0.2">
      <c r="A26" s="111"/>
      <c r="B26" s="125"/>
      <c r="C26" s="126"/>
    </row>
    <row r="28" spans="1:11" x14ac:dyDescent="0.2">
      <c r="D28" s="4"/>
    </row>
    <row r="29" spans="1:11" x14ac:dyDescent="0.2">
      <c r="D29" s="4"/>
    </row>
    <row r="32" spans="1:11" x14ac:dyDescent="0.2">
      <c r="B32" s="106"/>
      <c r="C32" s="32"/>
      <c r="D32" s="32"/>
    </row>
    <row r="33" spans="1:8" x14ac:dyDescent="0.2">
      <c r="B33" s="37"/>
      <c r="C33" s="38"/>
      <c r="D33" s="35"/>
      <c r="G33" s="38"/>
      <c r="H33" s="38"/>
    </row>
    <row r="34" spans="1:8" x14ac:dyDescent="0.2">
      <c r="B34" s="37"/>
      <c r="C34" s="38"/>
      <c r="D34" s="35"/>
      <c r="G34" s="38"/>
      <c r="H34" s="38"/>
    </row>
    <row r="35" spans="1:8" x14ac:dyDescent="0.2">
      <c r="B35" s="37"/>
      <c r="C35" s="38"/>
      <c r="D35" s="35"/>
      <c r="G35" s="38"/>
      <c r="H35" s="38"/>
    </row>
    <row r="36" spans="1:8" x14ac:dyDescent="0.2">
      <c r="B36" s="37"/>
      <c r="C36" s="38"/>
      <c r="D36" s="35"/>
      <c r="G36" s="38"/>
      <c r="H36" s="38"/>
    </row>
    <row r="37" spans="1:8" x14ac:dyDescent="0.2">
      <c r="A37" s="21"/>
      <c r="B37" s="7"/>
      <c r="C37" s="8"/>
      <c r="D37" s="48"/>
      <c r="E37" s="21"/>
      <c r="G37" s="8"/>
      <c r="H37" s="8"/>
    </row>
    <row r="38" spans="1:8" x14ac:dyDescent="0.2">
      <c r="A38" s="21"/>
      <c r="B38" s="7"/>
      <c r="C38" s="8"/>
      <c r="D38" s="48"/>
      <c r="E38" s="21"/>
      <c r="F38" s="21"/>
      <c r="G38" s="8"/>
      <c r="H38" s="8"/>
    </row>
    <row r="39" spans="1:8" x14ac:dyDescent="0.2">
      <c r="A39" s="21"/>
      <c r="B39" s="7"/>
      <c r="C39" s="8"/>
      <c r="D39" s="48"/>
      <c r="E39" s="21"/>
      <c r="F39" s="21"/>
      <c r="G39" s="8"/>
      <c r="H39" s="8"/>
    </row>
    <row r="40" spans="1:8" x14ac:dyDescent="0.2">
      <c r="A40" s="21"/>
      <c r="B40" s="7"/>
      <c r="C40" s="8"/>
      <c r="D40" s="48"/>
      <c r="E40" s="21"/>
      <c r="F40" s="21"/>
      <c r="G40" s="8"/>
      <c r="H40" s="8"/>
    </row>
    <row r="41" spans="1:8" x14ac:dyDescent="0.2">
      <c r="A41" s="21"/>
      <c r="B41" s="7"/>
      <c r="C41" s="8"/>
      <c r="D41" s="48"/>
      <c r="E41" s="21"/>
      <c r="F41" s="21"/>
      <c r="G41" s="8"/>
      <c r="H41" s="8"/>
    </row>
    <row r="42" spans="1:8" x14ac:dyDescent="0.2">
      <c r="A42" s="21"/>
      <c r="B42" s="7"/>
      <c r="C42" s="8"/>
      <c r="D42" s="48"/>
      <c r="E42" s="21"/>
      <c r="F42" s="21"/>
      <c r="G42" s="8"/>
      <c r="H42" s="8"/>
    </row>
    <row r="43" spans="1:8" x14ac:dyDescent="0.2">
      <c r="A43" s="21"/>
      <c r="B43" s="7"/>
      <c r="C43" s="8"/>
      <c r="D43" s="48"/>
      <c r="E43" s="21"/>
      <c r="F43" s="21"/>
      <c r="G43" s="8"/>
      <c r="H43" s="8"/>
    </row>
    <row r="44" spans="1:8" x14ac:dyDescent="0.2">
      <c r="A44" s="21"/>
      <c r="B44" s="7"/>
      <c r="C44" s="8"/>
      <c r="D44" s="48"/>
      <c r="E44" s="21"/>
      <c r="F44" s="21"/>
      <c r="G44" s="8"/>
      <c r="H44" s="8"/>
    </row>
    <row r="45" spans="1:8" x14ac:dyDescent="0.2">
      <c r="A45" s="21"/>
      <c r="B45" s="7"/>
      <c r="C45" s="8"/>
      <c r="D45" s="48"/>
      <c r="E45" s="21"/>
      <c r="F45" s="21"/>
      <c r="G45" s="8"/>
      <c r="H45" s="8"/>
    </row>
    <row r="46" spans="1:8" x14ac:dyDescent="0.2">
      <c r="A46" s="21"/>
      <c r="B46" s="7"/>
      <c r="C46" s="8"/>
      <c r="D46" s="48"/>
      <c r="E46" s="21"/>
      <c r="F46" s="21"/>
      <c r="G46" s="8"/>
      <c r="H46" s="8"/>
    </row>
    <row r="47" spans="1:8" x14ac:dyDescent="0.2">
      <c r="A47" s="21"/>
      <c r="B47" s="7"/>
      <c r="C47" s="8"/>
      <c r="D47" s="48"/>
      <c r="E47" s="21"/>
      <c r="F47" s="21"/>
      <c r="G47" s="8"/>
      <c r="H47" s="8"/>
    </row>
    <row r="48" spans="1:8" x14ac:dyDescent="0.2">
      <c r="A48" s="21"/>
      <c r="B48" s="7"/>
      <c r="C48" s="8"/>
      <c r="D48" s="48"/>
      <c r="E48" s="21"/>
      <c r="F48" s="21"/>
      <c r="G48" s="8"/>
      <c r="H48" s="8"/>
    </row>
    <row r="49" spans="1:8" x14ac:dyDescent="0.2">
      <c r="A49" s="21"/>
      <c r="B49" s="7"/>
      <c r="C49" s="8"/>
      <c r="D49" s="48"/>
      <c r="E49" s="21"/>
      <c r="F49" s="21"/>
      <c r="G49" s="8"/>
      <c r="H49" s="8"/>
    </row>
    <row r="50" spans="1:8" x14ac:dyDescent="0.2">
      <c r="A50" s="21"/>
      <c r="B50" s="7"/>
      <c r="C50" s="8"/>
      <c r="D50" s="48"/>
      <c r="E50" s="21"/>
      <c r="F50" s="21"/>
      <c r="G50" s="8"/>
      <c r="H50" s="8"/>
    </row>
    <row r="51" spans="1:8" x14ac:dyDescent="0.2">
      <c r="A51" s="21"/>
      <c r="B51" s="7"/>
      <c r="C51" s="8"/>
      <c r="D51" s="48"/>
      <c r="E51" s="21"/>
      <c r="F51" s="21"/>
      <c r="G51" s="8"/>
      <c r="H51" s="8"/>
    </row>
    <row r="52" spans="1:8" x14ac:dyDescent="0.2">
      <c r="A52" s="21"/>
      <c r="B52" s="7"/>
      <c r="C52" s="8"/>
      <c r="D52" s="48"/>
      <c r="E52" s="21"/>
      <c r="F52" s="21"/>
      <c r="G52" s="8"/>
      <c r="H52" s="8"/>
    </row>
    <row r="53" spans="1:8" x14ac:dyDescent="0.2">
      <c r="A53" s="21"/>
      <c r="B53" s="7"/>
      <c r="C53" s="8"/>
      <c r="D53" s="48"/>
      <c r="E53" s="21"/>
      <c r="F53" s="21"/>
      <c r="G53" s="8"/>
      <c r="H53" s="8"/>
    </row>
    <row r="54" spans="1:8" x14ac:dyDescent="0.2">
      <c r="A54" s="21"/>
      <c r="B54" s="7"/>
      <c r="C54" s="8"/>
      <c r="D54" s="48"/>
      <c r="E54" s="21"/>
      <c r="F54" s="21"/>
      <c r="G54" s="8"/>
      <c r="H54" s="8"/>
    </row>
    <row r="55" spans="1:8" x14ac:dyDescent="0.2">
      <c r="A55" s="21"/>
      <c r="B55" s="7"/>
      <c r="C55" s="8"/>
      <c r="D55" s="48"/>
      <c r="E55" s="21"/>
      <c r="F55" s="21"/>
      <c r="G55" s="8"/>
      <c r="H55" s="8"/>
    </row>
    <row r="56" spans="1:8" x14ac:dyDescent="0.2">
      <c r="A56" s="21"/>
      <c r="B56" s="7"/>
      <c r="C56" s="8"/>
      <c r="D56" s="48"/>
      <c r="E56" s="21"/>
      <c r="F56" s="21"/>
      <c r="G56" s="8"/>
      <c r="H56" s="8"/>
    </row>
    <row r="57" spans="1:8" x14ac:dyDescent="0.2">
      <c r="A57" s="21"/>
      <c r="B57" s="7"/>
      <c r="C57" s="8"/>
      <c r="D57" s="48"/>
      <c r="E57" s="21"/>
      <c r="F57" s="21"/>
      <c r="G57" s="8"/>
      <c r="H57" s="8"/>
    </row>
    <row r="58" spans="1:8" x14ac:dyDescent="0.2">
      <c r="A58" s="21"/>
      <c r="B58" s="7"/>
      <c r="C58" s="8"/>
      <c r="D58" s="48"/>
      <c r="E58" s="21"/>
      <c r="F58" s="21"/>
      <c r="G58" s="8"/>
      <c r="H58" s="8"/>
    </row>
    <row r="59" spans="1:8" x14ac:dyDescent="0.2">
      <c r="A59" s="21"/>
      <c r="B59" s="7"/>
      <c r="C59" s="8"/>
      <c r="D59" s="48"/>
      <c r="E59" s="21"/>
      <c r="F59" s="21"/>
      <c r="G59" s="8"/>
      <c r="H59" s="8"/>
    </row>
    <row r="60" spans="1:8" x14ac:dyDescent="0.2">
      <c r="A60" s="21"/>
      <c r="B60" s="7"/>
      <c r="C60" s="8"/>
      <c r="D60" s="48"/>
      <c r="E60" s="21"/>
      <c r="F60" s="21"/>
      <c r="G60" s="8"/>
      <c r="H60" s="8"/>
    </row>
    <row r="61" spans="1:8" x14ac:dyDescent="0.2">
      <c r="A61" s="21"/>
      <c r="B61" s="7"/>
      <c r="C61" s="8"/>
      <c r="D61" s="48"/>
      <c r="E61" s="21"/>
      <c r="F61" s="21"/>
      <c r="G61" s="8"/>
      <c r="H61" s="8"/>
    </row>
    <row r="62" spans="1:8" x14ac:dyDescent="0.2">
      <c r="A62" s="21"/>
      <c r="B62" s="7"/>
      <c r="C62" s="8"/>
      <c r="D62" s="48"/>
      <c r="E62" s="21"/>
      <c r="F62" s="21"/>
      <c r="G62" s="8"/>
      <c r="H62" s="8"/>
    </row>
    <row r="63" spans="1:8" x14ac:dyDescent="0.2">
      <c r="A63" s="21"/>
      <c r="B63" s="7"/>
      <c r="C63" s="8"/>
      <c r="D63" s="48"/>
      <c r="E63" s="21"/>
      <c r="F63" s="21"/>
      <c r="G63" s="8"/>
      <c r="H63" s="127"/>
    </row>
    <row r="64" spans="1:8" x14ac:dyDescent="0.2">
      <c r="A64" s="21"/>
      <c r="B64" s="7"/>
      <c r="C64" s="8"/>
      <c r="D64" s="48"/>
      <c r="E64" s="21"/>
      <c r="F64" s="21"/>
      <c r="G64" s="8"/>
      <c r="H64" s="21"/>
    </row>
    <row r="65" spans="1:8" x14ac:dyDescent="0.2">
      <c r="A65" s="21"/>
      <c r="B65" s="7"/>
      <c r="C65" s="8"/>
      <c r="D65" s="48"/>
      <c r="E65" s="21"/>
      <c r="F65" s="21"/>
      <c r="G65" s="8"/>
      <c r="H65" s="127"/>
    </row>
    <row r="66" spans="1:8" x14ac:dyDescent="0.2">
      <c r="A66" s="21"/>
      <c r="B66" s="7"/>
      <c r="C66" s="8"/>
      <c r="D66" s="48"/>
      <c r="E66" s="21"/>
      <c r="F66" s="21"/>
      <c r="G66" s="8"/>
      <c r="H66" s="127"/>
    </row>
    <row r="67" spans="1:8" x14ac:dyDescent="0.2">
      <c r="A67" s="21"/>
      <c r="B67" s="7"/>
      <c r="C67" s="8"/>
      <c r="D67" s="48"/>
      <c r="E67" s="21"/>
      <c r="F67" s="21"/>
      <c r="G67" s="8"/>
      <c r="H67" s="21"/>
    </row>
    <row r="68" spans="1:8" x14ac:dyDescent="0.2">
      <c r="A68" s="21"/>
      <c r="B68" s="7"/>
      <c r="C68" s="8"/>
      <c r="D68" s="48"/>
      <c r="E68" s="21"/>
      <c r="F68" s="21"/>
      <c r="G68" s="8"/>
      <c r="H68" s="127"/>
    </row>
    <row r="69" spans="1:8" x14ac:dyDescent="0.2">
      <c r="A69" s="21"/>
      <c r="B69" s="21"/>
      <c r="C69" s="21"/>
      <c r="D69" s="21"/>
      <c r="E69" s="21"/>
      <c r="F69" s="21"/>
      <c r="G69" s="8"/>
      <c r="H69" s="127"/>
    </row>
    <row r="70" spans="1:8" x14ac:dyDescent="0.2">
      <c r="A70" s="21"/>
      <c r="B70" s="21"/>
      <c r="C70" s="21"/>
      <c r="D70" s="21"/>
      <c r="E70" s="21"/>
      <c r="F70" s="21"/>
      <c r="G70" s="8"/>
      <c r="H70" s="21"/>
    </row>
    <row r="71" spans="1:8" x14ac:dyDescent="0.2">
      <c r="A71" s="21"/>
      <c r="B71" s="21"/>
      <c r="C71" s="21"/>
      <c r="D71" s="21"/>
      <c r="E71" s="21"/>
      <c r="F71" s="21"/>
      <c r="G71" s="8"/>
      <c r="H71" s="77"/>
    </row>
    <row r="72" spans="1:8" x14ac:dyDescent="0.2">
      <c r="A72" s="21"/>
      <c r="B72" s="21"/>
      <c r="C72" s="21"/>
      <c r="D72" s="21"/>
      <c r="E72" s="21"/>
      <c r="F72" s="21"/>
      <c r="G72" s="50"/>
      <c r="H72" s="21"/>
    </row>
    <row r="73" spans="1:8" x14ac:dyDescent="0.2">
      <c r="A73" s="21"/>
      <c r="B73" s="21"/>
      <c r="C73" s="21"/>
      <c r="D73" s="21"/>
      <c r="E73" s="21"/>
      <c r="F73" s="21"/>
      <c r="G73" s="21"/>
      <c r="H73" s="21"/>
    </row>
    <row r="74" spans="1:8" x14ac:dyDescent="0.2">
      <c r="A74" s="21"/>
      <c r="B74" s="21"/>
      <c r="C74" s="21"/>
      <c r="D74" s="21"/>
      <c r="E74" s="21"/>
      <c r="F74" s="21"/>
      <c r="G74" s="21"/>
      <c r="H74" s="21"/>
    </row>
    <row r="75" spans="1:8" x14ac:dyDescent="0.2">
      <c r="A75" s="21"/>
      <c r="B75" s="21"/>
      <c r="C75" s="21"/>
      <c r="D75" s="21"/>
      <c r="E75" s="21"/>
      <c r="F75" s="21"/>
      <c r="G75" s="21"/>
      <c r="H75" s="21"/>
    </row>
    <row r="76" spans="1:8" x14ac:dyDescent="0.2">
      <c r="A76" s="21"/>
      <c r="B76" s="21"/>
      <c r="C76" s="21"/>
      <c r="D76" s="21"/>
      <c r="E76" s="21"/>
      <c r="F76" s="21"/>
      <c r="G76" s="21"/>
      <c r="H76" s="21"/>
    </row>
    <row r="77" spans="1:8" x14ac:dyDescent="0.2">
      <c r="A77" s="21"/>
      <c r="B77" s="21"/>
      <c r="C77" s="21"/>
      <c r="D77" s="21"/>
      <c r="E77" s="21"/>
      <c r="F77" s="21"/>
      <c r="G77" s="21"/>
      <c r="H77" s="21"/>
    </row>
    <row r="78" spans="1:8" x14ac:dyDescent="0.2">
      <c r="A78" s="21"/>
      <c r="B78" s="21"/>
      <c r="C78" s="21"/>
      <c r="D78" s="21"/>
      <c r="E78" s="21"/>
      <c r="F78" s="21"/>
      <c r="G78" s="21"/>
      <c r="H78" s="21"/>
    </row>
    <row r="79" spans="1:8" x14ac:dyDescent="0.2">
      <c r="A79" s="21"/>
      <c r="B79" s="21"/>
      <c r="C79" s="21"/>
      <c r="D79" s="21"/>
      <c r="E79" s="21"/>
      <c r="F79" s="21"/>
      <c r="G79" s="21"/>
      <c r="H79" s="21"/>
    </row>
    <row r="80" spans="1:8" x14ac:dyDescent="0.2">
      <c r="A80" s="21"/>
      <c r="B80" s="21"/>
      <c r="C80" s="21"/>
      <c r="D80" s="21"/>
      <c r="E80" s="21"/>
      <c r="F80" s="21"/>
      <c r="G80" s="21"/>
      <c r="H80" s="21"/>
    </row>
    <row r="81" spans="1:8" x14ac:dyDescent="0.2">
      <c r="A81" s="21"/>
      <c r="B81" s="21"/>
      <c r="C81" s="21"/>
      <c r="D81" s="21"/>
      <c r="E81" s="21"/>
      <c r="F81" s="21"/>
      <c r="G81" s="21"/>
      <c r="H81" s="21"/>
    </row>
    <row r="82" spans="1:8" x14ac:dyDescent="0.2">
      <c r="A82" s="21"/>
      <c r="B82" s="21"/>
      <c r="C82" s="21"/>
      <c r="D82" s="21"/>
      <c r="E82" s="21"/>
      <c r="F82" s="21"/>
      <c r="G82" s="21"/>
      <c r="H82" s="21"/>
    </row>
    <row r="83" spans="1:8" x14ac:dyDescent="0.2">
      <c r="A83" s="21"/>
      <c r="B83" s="21"/>
      <c r="C83" s="21"/>
      <c r="D83" s="21"/>
      <c r="E83" s="21"/>
      <c r="F83" s="21"/>
      <c r="G83" s="21"/>
      <c r="H83" s="21"/>
    </row>
    <row r="84" spans="1:8" x14ac:dyDescent="0.2">
      <c r="A84" s="21"/>
      <c r="B84" s="21"/>
      <c r="C84" s="21"/>
      <c r="D84" s="21"/>
      <c r="E84" s="21"/>
      <c r="F84" s="21"/>
      <c r="G84" s="21"/>
      <c r="H84" s="21"/>
    </row>
    <row r="85" spans="1:8" x14ac:dyDescent="0.2">
      <c r="A85" s="21"/>
      <c r="B85" s="21"/>
      <c r="C85" s="21"/>
      <c r="D85" s="21"/>
      <c r="E85" s="21"/>
      <c r="F85" s="21"/>
      <c r="G85" s="21"/>
      <c r="H85" s="21"/>
    </row>
    <row r="86" spans="1:8" x14ac:dyDescent="0.2">
      <c r="A86" s="21"/>
      <c r="B86" s="21"/>
      <c r="C86" s="21"/>
      <c r="D86" s="21"/>
      <c r="E86" s="21"/>
      <c r="F86" s="21"/>
      <c r="G86" s="21"/>
      <c r="H86" s="21"/>
    </row>
    <row r="87" spans="1:8" x14ac:dyDescent="0.2">
      <c r="A87" s="21"/>
      <c r="B87" s="21"/>
      <c r="C87" s="21"/>
      <c r="D87" s="21"/>
      <c r="E87" s="21"/>
      <c r="F87" s="21"/>
      <c r="G87" s="21"/>
      <c r="H87" s="21"/>
    </row>
    <row r="88" spans="1:8" x14ac:dyDescent="0.2">
      <c r="A88" s="21"/>
      <c r="B88" s="21"/>
      <c r="C88" s="21"/>
      <c r="D88" s="21"/>
      <c r="E88" s="21"/>
      <c r="F88" s="21"/>
      <c r="G88" s="21"/>
      <c r="H88" s="21"/>
    </row>
    <row r="89" spans="1:8" x14ac:dyDescent="0.2">
      <c r="A89" s="21"/>
      <c r="B89" s="21"/>
      <c r="C89" s="21"/>
      <c r="D89" s="21"/>
      <c r="E89" s="21"/>
      <c r="F89" s="21"/>
      <c r="G89" s="21"/>
      <c r="H89" s="21"/>
    </row>
    <row r="90" spans="1:8" x14ac:dyDescent="0.2">
      <c r="A90" s="21"/>
      <c r="B90" s="21"/>
      <c r="C90" s="21"/>
      <c r="D90" s="21"/>
      <c r="E90" s="21"/>
      <c r="F90" s="21"/>
      <c r="G90" s="21"/>
      <c r="H90" s="21"/>
    </row>
    <row r="91" spans="1:8" x14ac:dyDescent="0.2">
      <c r="A91" s="21"/>
      <c r="B91" s="21"/>
      <c r="C91" s="21"/>
      <c r="D91" s="21"/>
      <c r="E91" s="21"/>
      <c r="F91" s="21"/>
      <c r="G91" s="21"/>
      <c r="H91" s="21"/>
    </row>
    <row r="92" spans="1:8" x14ac:dyDescent="0.2">
      <c r="A92" s="21"/>
      <c r="B92" s="21"/>
      <c r="C92" s="21"/>
      <c r="D92" s="21"/>
      <c r="E92" s="21"/>
      <c r="F92" s="21"/>
      <c r="G92" s="21"/>
      <c r="H92" s="21"/>
    </row>
    <row r="93" spans="1:8" x14ac:dyDescent="0.2">
      <c r="A93" s="21"/>
      <c r="B93" s="21"/>
      <c r="C93" s="21"/>
      <c r="D93" s="21"/>
      <c r="E93" s="21"/>
      <c r="F93" s="21"/>
      <c r="G93" s="21"/>
      <c r="H93" s="21"/>
    </row>
    <row r="94" spans="1:8" x14ac:dyDescent="0.2">
      <c r="A94" s="21"/>
      <c r="B94" s="21"/>
      <c r="C94" s="21"/>
      <c r="D94" s="21"/>
      <c r="E94" s="21"/>
      <c r="F94" s="21"/>
      <c r="G94" s="21"/>
      <c r="H94" s="21"/>
    </row>
    <row r="95" spans="1:8" x14ac:dyDescent="0.2">
      <c r="A95" s="21"/>
      <c r="B95" s="21"/>
      <c r="C95" s="21"/>
      <c r="D95" s="21"/>
      <c r="E95" s="21"/>
      <c r="F95" s="21"/>
      <c r="G95" s="21"/>
      <c r="H95" s="21"/>
    </row>
    <row r="96" spans="1:8" x14ac:dyDescent="0.2">
      <c r="A96" s="21"/>
      <c r="B96" s="21"/>
      <c r="C96" s="21"/>
      <c r="D96" s="21"/>
      <c r="E96" s="21"/>
      <c r="F96" s="21"/>
      <c r="G96" s="21"/>
      <c r="H96" s="21"/>
    </row>
    <row r="97" spans="1:8" x14ac:dyDescent="0.2">
      <c r="A97" s="21"/>
      <c r="B97" s="21"/>
      <c r="C97" s="21"/>
      <c r="D97" s="21"/>
      <c r="E97" s="21"/>
      <c r="F97" s="21"/>
      <c r="G97" s="21"/>
      <c r="H97" s="21"/>
    </row>
    <row r="98" spans="1:8" x14ac:dyDescent="0.2">
      <c r="A98" s="21"/>
      <c r="B98" s="21"/>
      <c r="C98" s="21"/>
      <c r="D98" s="21"/>
      <c r="E98" s="21"/>
      <c r="F98" s="21"/>
      <c r="G98" s="21"/>
      <c r="H98" s="21"/>
    </row>
    <row r="99" spans="1:8" x14ac:dyDescent="0.2">
      <c r="A99" s="21"/>
      <c r="B99" s="21"/>
      <c r="C99" s="21"/>
      <c r="D99" s="21"/>
      <c r="E99" s="21"/>
      <c r="F99" s="21"/>
      <c r="G99" s="21"/>
      <c r="H99" s="21"/>
    </row>
    <row r="100" spans="1:8" x14ac:dyDescent="0.2">
      <c r="A100" s="21"/>
      <c r="B100" s="21"/>
      <c r="C100" s="21"/>
      <c r="D100" s="21"/>
      <c r="E100" s="21"/>
      <c r="F100" s="21"/>
      <c r="G100" s="21"/>
      <c r="H100" s="21"/>
    </row>
    <row r="101" spans="1:8" x14ac:dyDescent="0.2">
      <c r="A101" s="21"/>
      <c r="B101" s="21"/>
      <c r="C101" s="21"/>
      <c r="D101" s="21"/>
      <c r="E101" s="21"/>
      <c r="F101" s="21"/>
      <c r="G101" s="21"/>
      <c r="H101" s="21"/>
    </row>
  </sheetData>
  <phoneticPr fontId="2"/>
  <pageMargins left="0.70866141732283472" right="0.70866141732283472" top="0.74803149606299213" bottom="0.74803149606299213" header="0.31496062992125984" footer="0.31496062992125984"/>
  <pageSetup paperSize="11" scale="94" orientation="landscape" r:id="rId1"/>
  <drawing r:id="rId2"/>
  <mc:AlternateContent xmlns:mc="http://schemas.openxmlformats.org/markup-compatibility/2006">
    <mc:Choice Requires="v">
      <legacyDrawing r:id="rId3"/>
    </mc:Choice>
  </mc:AlternateContent>
  <controls>
    <control shapeId="28673" r:id="rId4" name="Button 1">
      <controlPr defaultSize="0" print="0" autoFill="0" autoPict="0" macro="[0]!データ削除_年齢区分_65歳以上">
        <anchor moveWithCells="1" sizeWithCells="1">
          <from>
            <xdr:col>13</xdr:col>
            <xdr:colOff>533400</xdr:colOff>
            <xdr:row>2</xdr:row>
            <xdr:rowOff>76200</xdr:rowOff>
          </from>
          <to>
            <xdr:col>16</xdr:col>
            <xdr:colOff>563880</xdr:colOff>
            <xdr:row>4</xdr:row>
            <xdr:rowOff>45720</xdr:rowOff>
          </to>
        </anchor>
      </controlPr>
    </control>
  </controls>
  <tableParts count="2">
    <tablePart r:id="rId5"/>
    <tablePart r:id="rId6"/>
  </tableParts>
</worksheet>
</file>

<file path=xl/worksheets/sheet1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C000"/>
    <pageSetUpPr fitToPage="1"/>
  </sheetPr>
  <dimension ref="A1:J34"/>
  <sheetViews>
    <sheetView showGridLines="0" view="pageBreakPreview" zoomScaleNormal="100" zoomScaleSheetLayoutView="100" workbookViewId="0"/>
  </sheetViews>
  <sheetFormatPr defaultColWidth="9" defaultRowHeight="17.399999999999999" x14ac:dyDescent="0.2"/>
  <cols>
    <col min="1" max="1" width="21.77734375" style="1" customWidth="1"/>
    <col min="2" max="3" width="9.33203125" style="1" customWidth="1"/>
    <col min="4" max="4" width="9" style="1" customWidth="1"/>
    <col min="5" max="5" width="20.6640625" style="1" hidden="1" customWidth="1"/>
    <col min="6" max="6" width="9" style="1" hidden="1" customWidth="1"/>
    <col min="7" max="7" width="8.77734375" style="1" hidden="1" customWidth="1"/>
    <col min="8" max="10" width="9" style="1" hidden="1" customWidth="1"/>
    <col min="11" max="16384" width="9" style="1"/>
  </cols>
  <sheetData>
    <row r="1" spans="1:6" ht="19.2" x14ac:dyDescent="0.2">
      <c r="A1" s="2" t="s">
        <v>205</v>
      </c>
    </row>
    <row r="2" spans="1:6" ht="19.2" x14ac:dyDescent="0.2">
      <c r="A2" s="2"/>
      <c r="E2" s="55" t="s">
        <v>63</v>
      </c>
    </row>
    <row r="3" spans="1:6" ht="19.8" thickBot="1" x14ac:dyDescent="0.25">
      <c r="A3" s="4" t="s">
        <v>13</v>
      </c>
      <c r="B3" s="2"/>
      <c r="E3" s="257" t="s">
        <v>281</v>
      </c>
      <c r="F3" s="339" t="s">
        <v>0</v>
      </c>
    </row>
    <row r="4" spans="1:6" ht="18.600000000000001" thickTop="1" thickBot="1" x14ac:dyDescent="0.25">
      <c r="A4" s="754"/>
      <c r="B4" s="755" t="s">
        <v>225</v>
      </c>
      <c r="C4" s="755" t="s">
        <v>226</v>
      </c>
      <c r="E4" s="295" t="s">
        <v>372</v>
      </c>
      <c r="F4" s="254" t="s">
        <v>611</v>
      </c>
    </row>
    <row r="5" spans="1:6" ht="18" thickTop="1" x14ac:dyDescent="0.2">
      <c r="A5" s="248" t="s">
        <v>99</v>
      </c>
      <c r="B5" s="713">
        <f>IFERROR(VLOOKUP("措置入院",入院形態＿65歳以上[#All],2,FALSE),0)+IFERROR(VLOOKUP("緊急措置入院",入院形態＿65歳以上[#All],2,FALSE),0)</f>
        <v>7</v>
      </c>
      <c r="C5" s="712">
        <f>IFERROR(B5/B$10,"-")</f>
        <v>8.2420817143529965E-4</v>
      </c>
      <c r="E5" s="39" t="s">
        <v>16</v>
      </c>
      <c r="F5" s="47">
        <v>3975</v>
      </c>
    </row>
    <row r="6" spans="1:6" x14ac:dyDescent="0.2">
      <c r="A6" s="248" t="s">
        <v>100</v>
      </c>
      <c r="B6" s="713">
        <f>IFERROR(VLOOKUP(A6,入院形態＿65歳以上[#All],2,FALSE),0)</f>
        <v>4508</v>
      </c>
      <c r="C6" s="712">
        <f t="shared" ref="C6:C9" si="0">IFERROR(B6/B$10,"-")</f>
        <v>0.53079006240433302</v>
      </c>
      <c r="E6" s="39" t="s">
        <v>612</v>
      </c>
      <c r="F6" s="40">
        <v>7</v>
      </c>
    </row>
    <row r="7" spans="1:6" x14ac:dyDescent="0.2">
      <c r="A7" s="248" t="s">
        <v>101</v>
      </c>
      <c r="B7" s="713">
        <f>IFERROR(VLOOKUP(A7,入院形態＿65歳以上[#All],2,FALSE),0)</f>
        <v>3975</v>
      </c>
      <c r="C7" s="712">
        <f t="shared" si="0"/>
        <v>0.46803249735075947</v>
      </c>
      <c r="E7" s="39" t="s">
        <v>613</v>
      </c>
      <c r="F7" s="40">
        <v>2</v>
      </c>
    </row>
    <row r="8" spans="1:6" x14ac:dyDescent="0.2">
      <c r="A8" s="248" t="s">
        <v>102</v>
      </c>
      <c r="B8" s="713">
        <f>IFERROR(VLOOKUP(A8,入院形態＿65歳以上[#All],2,FALSE),0)</f>
        <v>0</v>
      </c>
      <c r="C8" s="712">
        <f t="shared" si="0"/>
        <v>0</v>
      </c>
      <c r="E8" s="39" t="s">
        <v>17</v>
      </c>
      <c r="F8" s="40">
        <v>0</v>
      </c>
    </row>
    <row r="9" spans="1:6" x14ac:dyDescent="0.2">
      <c r="A9" s="248" t="s">
        <v>103</v>
      </c>
      <c r="B9" s="713">
        <f>IFERROR(VLOOKUP("鑑定入院",入院形態＿65歳以上[#All],2,FALSE),0)+IFERROR(VLOOKUP("医療観察法による入院",入院形態＿65歳以上[#All],2,FALSE),0)+IFERROR(VLOOKUP("不明",入院形態＿65歳以上[#All],2,FALSE),0)</f>
        <v>3</v>
      </c>
      <c r="C9" s="712">
        <f t="shared" si="0"/>
        <v>3.5323207347227127E-4</v>
      </c>
      <c r="E9" s="39" t="s">
        <v>15</v>
      </c>
      <c r="F9" s="40">
        <v>4508</v>
      </c>
    </row>
    <row r="10" spans="1:6" x14ac:dyDescent="0.2">
      <c r="A10" s="754" t="s">
        <v>160</v>
      </c>
      <c r="B10" s="757">
        <f>SUM(B5:B9)</f>
        <v>8493</v>
      </c>
      <c r="C10" s="758">
        <f>SUM(C5:C9)</f>
        <v>1</v>
      </c>
      <c r="E10" s="42" t="s">
        <v>614</v>
      </c>
      <c r="F10" s="40">
        <v>1</v>
      </c>
    </row>
    <row r="11" spans="1:6" x14ac:dyDescent="0.2">
      <c r="E11" s="42" t="s">
        <v>373</v>
      </c>
      <c r="F11" s="40">
        <v>0</v>
      </c>
    </row>
    <row r="12" spans="1:6" x14ac:dyDescent="0.2">
      <c r="E12" s="39" t="s">
        <v>374</v>
      </c>
      <c r="F12" s="40">
        <v>0</v>
      </c>
    </row>
    <row r="13" spans="1:6" x14ac:dyDescent="0.2">
      <c r="E13" s="55" t="s">
        <v>63</v>
      </c>
      <c r="F13" s="256"/>
    </row>
    <row r="14" spans="1:6" ht="18" thickBot="1" x14ac:dyDescent="0.25">
      <c r="A14" s="4" t="s">
        <v>227</v>
      </c>
      <c r="E14" s="341" t="s">
        <v>281</v>
      </c>
      <c r="F14" s="346" t="s">
        <v>305</v>
      </c>
    </row>
    <row r="15" spans="1:6" ht="18.600000000000001" thickTop="1" thickBot="1" x14ac:dyDescent="0.25">
      <c r="A15" s="754"/>
      <c r="B15" s="755" t="s">
        <v>225</v>
      </c>
      <c r="C15" s="755" t="s">
        <v>226</v>
      </c>
      <c r="E15" s="295" t="s">
        <v>372</v>
      </c>
      <c r="F15" s="254" t="s">
        <v>611</v>
      </c>
    </row>
    <row r="16" spans="1:6" ht="18" thickTop="1" x14ac:dyDescent="0.2">
      <c r="A16" s="248" t="s">
        <v>99</v>
      </c>
      <c r="B16" s="713">
        <f>IFERROR(VLOOKUP("措置入院",入院形態＿65歳以上＿寛解・院内寛解[#All],2,FALSE),0)+IFERROR(VLOOKUP("緊急措置入院",入院形態＿65歳以上＿寛解・院内寛解[#All],2,FALSE),0)</f>
        <v>1</v>
      </c>
      <c r="C16" s="712">
        <f>IFERROR(B16/B$21,"-")</f>
        <v>1.201923076923077E-3</v>
      </c>
      <c r="E16" s="39" t="s">
        <v>16</v>
      </c>
      <c r="F16" s="47">
        <v>578</v>
      </c>
    </row>
    <row r="17" spans="1:7" x14ac:dyDescent="0.2">
      <c r="A17" s="248" t="s">
        <v>100</v>
      </c>
      <c r="B17" s="713">
        <f>IFERROR(VLOOKUP(A17,入院形態＿65歳以上＿寛解・院内寛解[#All],2,FALSE),0)</f>
        <v>253</v>
      </c>
      <c r="C17" s="712">
        <f t="shared" ref="C17:C20" si="1">IFERROR(B17/B$21,"-")</f>
        <v>0.30408653846153844</v>
      </c>
      <c r="E17" s="39" t="s">
        <v>612</v>
      </c>
      <c r="F17" s="47">
        <v>1</v>
      </c>
    </row>
    <row r="18" spans="1:7" ht="19.2" x14ac:dyDescent="0.2">
      <c r="A18" s="248" t="s">
        <v>101</v>
      </c>
      <c r="B18" s="713">
        <f>IFERROR(VLOOKUP(A18,入院形態＿65歳以上＿寛解・院内寛解[#All],2,FALSE),0)</f>
        <v>578</v>
      </c>
      <c r="C18" s="712">
        <f t="shared" si="1"/>
        <v>0.69471153846153844</v>
      </c>
      <c r="E18" s="39" t="s">
        <v>613</v>
      </c>
      <c r="F18" s="47">
        <v>0</v>
      </c>
      <c r="G18" s="3"/>
    </row>
    <row r="19" spans="1:7" x14ac:dyDescent="0.2">
      <c r="A19" s="248" t="s">
        <v>102</v>
      </c>
      <c r="B19" s="713">
        <f>IFERROR(VLOOKUP(A19,入院形態＿65歳以上＿寛解・院内寛解[#All],2,FALSE),0)</f>
        <v>0</v>
      </c>
      <c r="C19" s="712">
        <f t="shared" si="1"/>
        <v>0</v>
      </c>
      <c r="E19" s="39" t="s">
        <v>17</v>
      </c>
      <c r="F19" s="47">
        <v>0</v>
      </c>
    </row>
    <row r="20" spans="1:7" x14ac:dyDescent="0.2">
      <c r="A20" s="248" t="s">
        <v>103</v>
      </c>
      <c r="B20" s="713">
        <f>IFERROR(VLOOKUP("鑑定入院",入院形態＿65歳以上＿寛解・院内寛解[#All],2,FALSE),0)+IFERROR(VLOOKUP("医療観察法による入院",入院形態＿65歳以上＿寛解・院内寛解[#All],2,FALSE),0)+IFERROR(VLOOKUP("不明",入院形態＿65歳以上＿寛解・院内寛解[#All],2,FALSE),0)</f>
        <v>0</v>
      </c>
      <c r="C20" s="712">
        <f t="shared" si="1"/>
        <v>0</v>
      </c>
      <c r="E20" s="39" t="s">
        <v>15</v>
      </c>
      <c r="F20" s="47">
        <v>253</v>
      </c>
      <c r="G20" s="21"/>
    </row>
    <row r="21" spans="1:7" x14ac:dyDescent="0.2">
      <c r="A21" s="754" t="s">
        <v>160</v>
      </c>
      <c r="B21" s="757">
        <f>SUM(B16:B20)</f>
        <v>832</v>
      </c>
      <c r="C21" s="758">
        <f>SUM(C16:C20)</f>
        <v>1</v>
      </c>
      <c r="E21" s="42" t="s">
        <v>614</v>
      </c>
      <c r="F21" s="47">
        <v>0</v>
      </c>
      <c r="G21" s="21"/>
    </row>
    <row r="22" spans="1:7" x14ac:dyDescent="0.2">
      <c r="E22" s="42" t="s">
        <v>373</v>
      </c>
      <c r="F22" s="47">
        <v>0</v>
      </c>
      <c r="G22" s="21"/>
    </row>
    <row r="23" spans="1:7" x14ac:dyDescent="0.2">
      <c r="E23" s="39" t="s">
        <v>374</v>
      </c>
      <c r="F23" s="47">
        <v>0</v>
      </c>
      <c r="G23" s="21"/>
    </row>
    <row r="26" spans="1:7" x14ac:dyDescent="0.2">
      <c r="C26" s="4"/>
    </row>
    <row r="27" spans="1:7" x14ac:dyDescent="0.2">
      <c r="C27" s="4"/>
    </row>
    <row r="30" spans="1:7" x14ac:dyDescent="0.2">
      <c r="A30" s="106"/>
      <c r="B30" s="32"/>
      <c r="C30" s="32"/>
    </row>
    <row r="31" spans="1:7" x14ac:dyDescent="0.2">
      <c r="A31" s="37"/>
      <c r="B31" s="38"/>
      <c r="C31" s="122"/>
    </row>
    <row r="32" spans="1:7" x14ac:dyDescent="0.2">
      <c r="A32" s="37"/>
      <c r="B32" s="38"/>
      <c r="C32" s="122"/>
    </row>
    <row r="33" spans="1:3" x14ac:dyDescent="0.2">
      <c r="A33" s="37"/>
      <c r="B33" s="38"/>
      <c r="C33" s="35"/>
    </row>
    <row r="34" spans="1:3" x14ac:dyDescent="0.2">
      <c r="A34" s="37"/>
      <c r="B34" s="38"/>
      <c r="C34" s="35"/>
    </row>
  </sheetData>
  <phoneticPr fontId="2"/>
  <printOptions horizontalCentered="1"/>
  <pageMargins left="0.70866141732283472" right="0.70866141732283472" top="1.1417322834645669" bottom="0.74803149606299213" header="0.70866141732283472" footer="0.31496062992125984"/>
  <pageSetup paperSize="11" scale="81" orientation="landscape" r:id="rId1"/>
  <drawing r:id="rId2"/>
  <mc:AlternateContent xmlns:mc="http://schemas.openxmlformats.org/markup-compatibility/2006">
    <mc:Choice Requires="v">
      <legacyDrawing r:id="rId3"/>
    </mc:Choice>
  </mc:AlternateContent>
  <controls>
    <control shapeId="29697" r:id="rId4" name="Button 1">
      <controlPr defaultSize="0" print="0" autoFill="0" autoPict="0" macro="[0]!データ削除_入院形態_65歳以上">
        <anchor moveWithCells="1" sizeWithCells="1">
          <from>
            <xdr:col>6</xdr:col>
            <xdr:colOff>632460</xdr:colOff>
            <xdr:row>3</xdr:row>
            <xdr:rowOff>45720</xdr:rowOff>
          </from>
          <to>
            <xdr:col>9</xdr:col>
            <xdr:colOff>411480</xdr:colOff>
            <xdr:row>5</xdr:row>
            <xdr:rowOff>45720</xdr:rowOff>
          </to>
        </anchor>
      </controlPr>
    </control>
  </controls>
  <tableParts count="2">
    <tablePart r:id="rId5"/>
    <tablePart r:id="rId6"/>
  </tableParts>
</worksheet>
</file>

<file path=xl/worksheets/sheet1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C000"/>
    <pageSetUpPr fitToPage="1"/>
  </sheetPr>
  <dimension ref="A1:U65"/>
  <sheetViews>
    <sheetView showGridLines="0" view="pageBreakPreview" zoomScale="90" zoomScaleNormal="100" zoomScaleSheetLayoutView="90" workbookViewId="0"/>
  </sheetViews>
  <sheetFormatPr defaultColWidth="9" defaultRowHeight="17.399999999999999" x14ac:dyDescent="0.2"/>
  <cols>
    <col min="1" max="1" width="3.33203125" style="1" customWidth="1"/>
    <col min="2" max="2" width="2.109375" style="1" customWidth="1"/>
    <col min="3" max="3" width="43.77734375" style="1" customWidth="1"/>
    <col min="4" max="4" width="9.33203125" style="1" customWidth="1"/>
    <col min="5" max="5" width="10.77734375" style="1" bestFit="1" customWidth="1"/>
    <col min="6" max="6" width="0.88671875" style="1" customWidth="1"/>
    <col min="7" max="7" width="10.5546875" style="1" bestFit="1" customWidth="1"/>
    <col min="8" max="8" width="10.77734375" style="1" bestFit="1" customWidth="1"/>
    <col min="9" max="9" width="6.88671875" style="37" customWidth="1"/>
    <col min="10" max="10" width="41.88671875" style="1" hidden="1" customWidth="1"/>
    <col min="11" max="11" width="10.6640625" style="1" hidden="1" customWidth="1"/>
    <col min="12" max="21" width="9" style="1" hidden="1" customWidth="1"/>
    <col min="22" max="16384" width="9" style="1"/>
  </cols>
  <sheetData>
    <row r="1" spans="1:20" ht="19.2" x14ac:dyDescent="0.2">
      <c r="B1" s="2" t="s">
        <v>228</v>
      </c>
    </row>
    <row r="3" spans="1:20" x14ac:dyDescent="0.2">
      <c r="B3" s="4" t="s">
        <v>13</v>
      </c>
      <c r="C3" s="112"/>
      <c r="J3" s="55" t="s">
        <v>63</v>
      </c>
    </row>
    <row r="4" spans="1:20" ht="18.75" customHeight="1" thickBot="1" x14ac:dyDescent="0.5">
      <c r="G4" s="925" t="s">
        <v>105</v>
      </c>
      <c r="H4" s="925"/>
      <c r="J4" s="343" t="s">
        <v>283</v>
      </c>
      <c r="K4" s="339" t="s">
        <v>0</v>
      </c>
    </row>
    <row r="5" spans="1:20" ht="18.75" customHeight="1" thickTop="1" thickBot="1" x14ac:dyDescent="0.25">
      <c r="B5" s="930"/>
      <c r="C5" s="930"/>
      <c r="D5" s="755" t="s">
        <v>0</v>
      </c>
      <c r="E5" s="755" t="s">
        <v>1</v>
      </c>
      <c r="F5" s="759"/>
      <c r="G5" s="755" t="s">
        <v>0</v>
      </c>
      <c r="H5" s="755" t="s">
        <v>1</v>
      </c>
      <c r="J5" s="292" t="s">
        <v>372</v>
      </c>
      <c r="K5" s="291" t="s">
        <v>615</v>
      </c>
      <c r="O5" s="54" t="s">
        <v>295</v>
      </c>
      <c r="T5" s="280" t="s">
        <v>325</v>
      </c>
    </row>
    <row r="6" spans="1:20" ht="18.75" customHeight="1" thickTop="1" x14ac:dyDescent="0.2">
      <c r="B6" s="931" t="s">
        <v>407</v>
      </c>
      <c r="C6" s="932"/>
      <c r="D6" s="760">
        <f>SUM(D7:D9)</f>
        <v>3755</v>
      </c>
      <c r="E6" s="761">
        <f>SUM(E7:E9)</f>
        <v>0.44212881196279291</v>
      </c>
      <c r="F6" s="762"/>
      <c r="G6" s="763">
        <f>'２-Ⅲ'!C5</f>
        <v>4059</v>
      </c>
      <c r="H6" s="764">
        <f>SUM(H7:H9)</f>
        <v>0.28665254237288135</v>
      </c>
      <c r="J6" s="42" t="s">
        <v>295</v>
      </c>
      <c r="K6" s="116">
        <v>2030</v>
      </c>
      <c r="O6" s="54" t="s">
        <v>284</v>
      </c>
      <c r="T6" s="280" t="s">
        <v>314</v>
      </c>
    </row>
    <row r="7" spans="1:20" ht="18.75" customHeight="1" x14ac:dyDescent="0.2">
      <c r="A7" s="113"/>
      <c r="B7" s="114"/>
      <c r="C7" s="115" t="s">
        <v>269</v>
      </c>
      <c r="D7" s="765">
        <f>IFERROR(VLOOKUP($O5,疾患別＿65歳以上[#All],2,FALSE),0)</f>
        <v>2030</v>
      </c>
      <c r="E7" s="766">
        <f>IFERROR(D7/D$22,"-")</f>
        <v>0.23902036971623691</v>
      </c>
      <c r="F7" s="767"/>
      <c r="G7" s="768">
        <f>'２-Ⅲ'!C6</f>
        <v>2086</v>
      </c>
      <c r="H7" s="766">
        <f>IFERROR(G7/G$22,"-")</f>
        <v>0.14731638418079096</v>
      </c>
      <c r="J7" s="42" t="s">
        <v>284</v>
      </c>
      <c r="K7" s="116">
        <v>262</v>
      </c>
      <c r="N7" s="9"/>
      <c r="O7" s="54" t="s">
        <v>285</v>
      </c>
      <c r="T7" s="280" t="s">
        <v>315</v>
      </c>
    </row>
    <row r="8" spans="1:20" ht="18.75" customHeight="1" x14ac:dyDescent="0.2">
      <c r="A8" s="113"/>
      <c r="B8" s="114"/>
      <c r="C8" s="117" t="s">
        <v>106</v>
      </c>
      <c r="D8" s="769">
        <f>IFERROR(VLOOKUP($O6,疾患別＿65歳以上[#All],2,FALSE),0)</f>
        <v>262</v>
      </c>
      <c r="E8" s="770">
        <f t="shared" ref="E8:E20" si="0">IFERROR(D8/D$22,"-")</f>
        <v>3.084893441657836E-2</v>
      </c>
      <c r="F8" s="767"/>
      <c r="G8" s="771">
        <f>'２-Ⅲ'!C7</f>
        <v>284</v>
      </c>
      <c r="H8" s="722">
        <f t="shared" ref="H8:H20" si="1">IFERROR(G8/G$22,"-")</f>
        <v>2.0056497175141241E-2</v>
      </c>
      <c r="J8" s="42" t="s">
        <v>285</v>
      </c>
      <c r="K8" s="116">
        <v>1463</v>
      </c>
      <c r="N8" s="9"/>
      <c r="O8" s="54" t="s">
        <v>286</v>
      </c>
      <c r="T8" s="280" t="s">
        <v>316</v>
      </c>
    </row>
    <row r="9" spans="1:20" ht="37.5" customHeight="1" x14ac:dyDescent="0.2">
      <c r="A9" s="113"/>
      <c r="B9" s="118"/>
      <c r="C9" s="119" t="s">
        <v>68</v>
      </c>
      <c r="D9" s="772">
        <f>IFERROR(VLOOKUP($O7,疾患別＿65歳以上[#All],2,FALSE),0)</f>
        <v>1463</v>
      </c>
      <c r="E9" s="723">
        <f t="shared" si="0"/>
        <v>0.17225950782997762</v>
      </c>
      <c r="F9" s="767"/>
      <c r="G9" s="773">
        <f>'２-Ⅲ'!C8</f>
        <v>1689</v>
      </c>
      <c r="H9" s="774">
        <f t="shared" si="1"/>
        <v>0.11927966101694916</v>
      </c>
      <c r="J9" s="42" t="s">
        <v>286</v>
      </c>
      <c r="K9" s="116">
        <v>323</v>
      </c>
      <c r="N9" s="9"/>
      <c r="O9" s="54" t="s">
        <v>312</v>
      </c>
      <c r="T9" s="280" t="s">
        <v>317</v>
      </c>
    </row>
    <row r="10" spans="1:20" ht="18.75" customHeight="1" x14ac:dyDescent="0.2">
      <c r="A10" s="113"/>
      <c r="B10" s="920" t="s">
        <v>251</v>
      </c>
      <c r="C10" s="926"/>
      <c r="D10" s="775">
        <f>IFERROR(VLOOKUP($O8,疾患別＿65歳以上[#All],2,FALSE),0)+IFERROR(VLOOKUP($O9,疾患別＿65歳以上[#All],2,FALSE),0)+IFERROR(VLOOKUP($O10,疾患別＿65歳以上[#All],2,FALSE),0)</f>
        <v>350</v>
      </c>
      <c r="E10" s="776">
        <f t="shared" si="0"/>
        <v>4.121040857176498E-2</v>
      </c>
      <c r="F10" s="777"/>
      <c r="G10" s="775">
        <f>'２-Ⅲ'!C9</f>
        <v>755</v>
      </c>
      <c r="H10" s="776">
        <f t="shared" si="1"/>
        <v>5.3319209039548024E-2</v>
      </c>
      <c r="J10" s="71" t="s">
        <v>200</v>
      </c>
      <c r="K10" s="116">
        <v>16</v>
      </c>
      <c r="N10" s="9"/>
      <c r="O10" s="54" t="s">
        <v>313</v>
      </c>
      <c r="T10" s="280" t="s">
        <v>318</v>
      </c>
    </row>
    <row r="11" spans="1:20" ht="18.75" customHeight="1" x14ac:dyDescent="0.2">
      <c r="A11" s="113"/>
      <c r="B11" s="920" t="s">
        <v>252</v>
      </c>
      <c r="C11" s="926"/>
      <c r="D11" s="775">
        <f>IFERROR(VLOOKUP($O11,疾患別＿65歳以上[#All],2,FALSE),0)</f>
        <v>3126</v>
      </c>
      <c r="E11" s="776">
        <f t="shared" si="0"/>
        <v>0.36806782055810666</v>
      </c>
      <c r="F11" s="777"/>
      <c r="G11" s="775">
        <f>'２-Ⅲ'!C10</f>
        <v>6731</v>
      </c>
      <c r="H11" s="776">
        <f t="shared" si="1"/>
        <v>0.47535310734463276</v>
      </c>
      <c r="J11" s="42" t="s">
        <v>201</v>
      </c>
      <c r="K11" s="116">
        <v>11</v>
      </c>
      <c r="O11" s="54" t="s">
        <v>287</v>
      </c>
      <c r="T11" s="280" t="s">
        <v>319</v>
      </c>
    </row>
    <row r="12" spans="1:20" ht="18.75" customHeight="1" x14ac:dyDescent="0.2">
      <c r="A12" s="113"/>
      <c r="B12" s="920" t="s">
        <v>22</v>
      </c>
      <c r="C12" s="926"/>
      <c r="D12" s="775">
        <f>IFERROR(VLOOKUP($O12,疾患別＿65歳以上[#All],2,FALSE),0)+IFERROR(VLOOKUP($O13,疾患別＿65歳以上[#All],2,FALSE),0)</f>
        <v>1002</v>
      </c>
      <c r="E12" s="776">
        <f t="shared" si="0"/>
        <v>0.11797951253973861</v>
      </c>
      <c r="F12" s="777"/>
      <c r="G12" s="775">
        <f>'２-Ⅲ'!C11</f>
        <v>1633</v>
      </c>
      <c r="H12" s="776">
        <f t="shared" si="1"/>
        <v>0.11532485875706215</v>
      </c>
      <c r="J12" s="42" t="s">
        <v>287</v>
      </c>
      <c r="K12" s="116">
        <v>3126</v>
      </c>
      <c r="O12" s="54" t="s">
        <v>288</v>
      </c>
      <c r="T12" s="280" t="s">
        <v>320</v>
      </c>
    </row>
    <row r="13" spans="1:20" ht="18.75" customHeight="1" x14ac:dyDescent="0.2">
      <c r="A13" s="113"/>
      <c r="B13" s="933" t="s">
        <v>24</v>
      </c>
      <c r="C13" s="934"/>
      <c r="D13" s="775">
        <f>IFERROR(VLOOKUP($O14,疾患別＿65歳以上[#All],2,FALSE),0)</f>
        <v>101</v>
      </c>
      <c r="E13" s="776">
        <f t="shared" si="0"/>
        <v>1.1892146473566467E-2</v>
      </c>
      <c r="F13" s="777"/>
      <c r="G13" s="775">
        <f>'２-Ⅲ'!C12</f>
        <v>263</v>
      </c>
      <c r="H13" s="776">
        <f t="shared" si="1"/>
        <v>1.8573446327683617E-2</v>
      </c>
      <c r="J13" s="42" t="s">
        <v>288</v>
      </c>
      <c r="K13" s="116">
        <v>405</v>
      </c>
      <c r="N13" s="9"/>
      <c r="O13" s="54" t="s">
        <v>289</v>
      </c>
      <c r="T13" s="280" t="s">
        <v>321</v>
      </c>
    </row>
    <row r="14" spans="1:20" ht="18.75" customHeight="1" x14ac:dyDescent="0.2">
      <c r="A14" s="113"/>
      <c r="B14" s="920" t="s">
        <v>25</v>
      </c>
      <c r="C14" s="926"/>
      <c r="D14" s="775">
        <f>IFERROR(VLOOKUP($O15,疾患別＿65歳以上[#All],2,FALSE),0)</f>
        <v>6</v>
      </c>
      <c r="E14" s="776">
        <f t="shared" si="0"/>
        <v>7.0646414694454254E-4</v>
      </c>
      <c r="F14" s="777"/>
      <c r="G14" s="775">
        <f>'２-Ⅲ'!C13</f>
        <v>58</v>
      </c>
      <c r="H14" s="776">
        <f t="shared" si="1"/>
        <v>4.0960451977401129E-3</v>
      </c>
      <c r="J14" s="42" t="s">
        <v>289</v>
      </c>
      <c r="K14" s="116">
        <v>597</v>
      </c>
      <c r="N14" s="9"/>
      <c r="O14" s="54" t="s">
        <v>290</v>
      </c>
      <c r="T14" s="280" t="s">
        <v>322</v>
      </c>
    </row>
    <row r="15" spans="1:20" ht="18.75" customHeight="1" x14ac:dyDescent="0.2">
      <c r="A15" s="113"/>
      <c r="B15" s="920" t="s">
        <v>261</v>
      </c>
      <c r="C15" s="926"/>
      <c r="D15" s="775">
        <f>IFERROR(VLOOKUP($O16,疾患別＿65歳以上[#All],2,FALSE),0)</f>
        <v>7</v>
      </c>
      <c r="E15" s="776">
        <f t="shared" si="0"/>
        <v>8.2420817143529965E-4</v>
      </c>
      <c r="F15" s="777"/>
      <c r="G15" s="775">
        <f>'２-Ⅲ'!C14</f>
        <v>38</v>
      </c>
      <c r="H15" s="776">
        <f t="shared" si="1"/>
        <v>2.6836158192090395E-3</v>
      </c>
      <c r="J15" s="42" t="s">
        <v>290</v>
      </c>
      <c r="K15" s="116">
        <v>101</v>
      </c>
      <c r="N15" s="9"/>
      <c r="O15" s="54" t="s">
        <v>291</v>
      </c>
      <c r="T15" s="280" t="s">
        <v>323</v>
      </c>
    </row>
    <row r="16" spans="1:20" ht="18.75" customHeight="1" x14ac:dyDescent="0.2">
      <c r="A16" s="113"/>
      <c r="B16" s="920" t="s">
        <v>249</v>
      </c>
      <c r="C16" s="926"/>
      <c r="D16" s="775">
        <f>IFERROR(VLOOKUP($O17,疾患別＿65歳以上[#All],2,FALSE),0)</f>
        <v>56</v>
      </c>
      <c r="E16" s="776">
        <f t="shared" si="0"/>
        <v>6.5936653714823972E-3</v>
      </c>
      <c r="F16" s="777"/>
      <c r="G16" s="775">
        <f>'２-Ⅲ'!C15</f>
        <v>305</v>
      </c>
      <c r="H16" s="776">
        <f t="shared" si="1"/>
        <v>2.1539548022598869E-2</v>
      </c>
      <c r="J16" s="42" t="s">
        <v>291</v>
      </c>
      <c r="K16" s="116">
        <v>6</v>
      </c>
      <c r="N16" s="9"/>
      <c r="O16" s="54" t="s">
        <v>296</v>
      </c>
      <c r="T16" s="280" t="s">
        <v>324</v>
      </c>
    </row>
    <row r="17" spans="1:15" ht="18.75" customHeight="1" x14ac:dyDescent="0.2">
      <c r="A17" s="113"/>
      <c r="B17" s="920" t="s">
        <v>83</v>
      </c>
      <c r="C17" s="926"/>
      <c r="D17" s="775">
        <f>IFERROR(VLOOKUP($O18,疾患別＿65歳以上[#All],2,FALSE),0)</f>
        <v>9</v>
      </c>
      <c r="E17" s="776">
        <f t="shared" si="0"/>
        <v>1.0596962204168139E-3</v>
      </c>
      <c r="F17" s="777"/>
      <c r="G17" s="775">
        <f>'２-Ⅲ'!C16</f>
        <v>153</v>
      </c>
      <c r="H17" s="776">
        <f t="shared" si="1"/>
        <v>1.0805084745762712E-2</v>
      </c>
      <c r="J17" s="42" t="s">
        <v>296</v>
      </c>
      <c r="K17" s="116">
        <v>7</v>
      </c>
      <c r="N17" s="9"/>
      <c r="O17" s="54" t="s">
        <v>292</v>
      </c>
    </row>
    <row r="18" spans="1:15" ht="37.5" customHeight="1" x14ac:dyDescent="0.2">
      <c r="A18" s="113"/>
      <c r="B18" s="920" t="s">
        <v>258</v>
      </c>
      <c r="C18" s="926"/>
      <c r="D18" s="775">
        <f>IFERROR(VLOOKUP($O19,疾患別＿65歳以上[#All],2,FALSE),0)</f>
        <v>11</v>
      </c>
      <c r="E18" s="776">
        <f t="shared" si="0"/>
        <v>1.2951842693983281E-3</v>
      </c>
      <c r="F18" s="777"/>
      <c r="G18" s="775">
        <f>'２-Ⅲ'!C17</f>
        <v>43</v>
      </c>
      <c r="H18" s="776">
        <f t="shared" si="1"/>
        <v>3.036723163841808E-3</v>
      </c>
      <c r="J18" s="42" t="s">
        <v>292</v>
      </c>
      <c r="K18" s="116">
        <v>56</v>
      </c>
      <c r="N18" s="9"/>
      <c r="O18" s="54" t="s">
        <v>293</v>
      </c>
    </row>
    <row r="19" spans="1:15" ht="18.75" customHeight="1" x14ac:dyDescent="0.2">
      <c r="A19" s="113"/>
      <c r="B19" s="920" t="s">
        <v>67</v>
      </c>
      <c r="C19" s="926"/>
      <c r="D19" s="775">
        <f>IFERROR(VLOOKUP($O20,疾患別＿65歳以上[#All],2,FALSE),0)</f>
        <v>19</v>
      </c>
      <c r="E19" s="776">
        <f t="shared" si="0"/>
        <v>2.2371364653243847E-3</v>
      </c>
      <c r="F19" s="777"/>
      <c r="G19" s="775">
        <f>'２-Ⅲ'!C18</f>
        <v>40</v>
      </c>
      <c r="H19" s="776">
        <f t="shared" si="1"/>
        <v>2.8248587570621469E-3</v>
      </c>
      <c r="J19" s="42" t="s">
        <v>293</v>
      </c>
      <c r="K19" s="116">
        <v>9</v>
      </c>
      <c r="N19" s="9"/>
      <c r="O19" s="54" t="s">
        <v>297</v>
      </c>
    </row>
    <row r="20" spans="1:15" ht="18.75" customHeight="1" x14ac:dyDescent="0.2">
      <c r="A20" s="113"/>
      <c r="B20" s="927" t="s">
        <v>18</v>
      </c>
      <c r="C20" s="928"/>
      <c r="D20" s="775">
        <f>IFERROR(VLOOKUP($O21,疾患別＿65歳以上[#All],2,FALSE),0)</f>
        <v>51</v>
      </c>
      <c r="E20" s="776">
        <f t="shared" si="0"/>
        <v>6.0049452490286122E-3</v>
      </c>
      <c r="F20" s="777"/>
      <c r="G20" s="775">
        <f>'２-Ⅲ'!C19</f>
        <v>82</v>
      </c>
      <c r="H20" s="776">
        <f t="shared" si="1"/>
        <v>5.7909604519774012E-3</v>
      </c>
      <c r="J20" s="71" t="s">
        <v>297</v>
      </c>
      <c r="K20" s="116">
        <v>11</v>
      </c>
      <c r="N20" s="9"/>
      <c r="O20" s="54" t="s">
        <v>294</v>
      </c>
    </row>
    <row r="21" spans="1:15" s="393" customFormat="1" ht="18.75" customHeight="1" x14ac:dyDescent="0.2">
      <c r="A21" s="113"/>
      <c r="B21" s="927" t="s">
        <v>379</v>
      </c>
      <c r="C21" s="928"/>
      <c r="D21" s="775">
        <f>IFERROR(VLOOKUP($O22,疾患別＿65歳以上[#All],2,FALSE),0)</f>
        <v>0</v>
      </c>
      <c r="E21" s="776">
        <f t="shared" ref="E21" si="2">IFERROR(D21/D$22,"-")</f>
        <v>0</v>
      </c>
      <c r="F21" s="777"/>
      <c r="G21" s="775">
        <f>'２-Ⅲ'!C20</f>
        <v>0</v>
      </c>
      <c r="H21" s="776">
        <f t="shared" ref="H21" si="3">IFERROR(G21/G$22,"-")</f>
        <v>0</v>
      </c>
      <c r="I21" s="394"/>
      <c r="J21" s="71" t="s">
        <v>18</v>
      </c>
      <c r="K21" s="116">
        <v>51</v>
      </c>
      <c r="N21" s="395"/>
      <c r="O21" s="54" t="s">
        <v>18</v>
      </c>
    </row>
    <row r="22" spans="1:15" ht="18.75" customHeight="1" x14ac:dyDescent="0.2">
      <c r="B22" s="929" t="s">
        <v>160</v>
      </c>
      <c r="C22" s="929"/>
      <c r="D22" s="778">
        <f>SUM(D7:D21)</f>
        <v>8493</v>
      </c>
      <c r="E22" s="758">
        <f>SUM(E7:E20)</f>
        <v>1</v>
      </c>
      <c r="F22" s="779"/>
      <c r="G22" s="778">
        <f>SUM(G7:G21)</f>
        <v>14160</v>
      </c>
      <c r="H22" s="758">
        <f>SUM(H7:H20)</f>
        <v>0.99999999999999989</v>
      </c>
      <c r="J22" s="42" t="s">
        <v>294</v>
      </c>
      <c r="K22" s="116">
        <v>19</v>
      </c>
      <c r="N22" s="9"/>
      <c r="O22" s="42" t="s">
        <v>379</v>
      </c>
    </row>
    <row r="23" spans="1:15" x14ac:dyDescent="0.2">
      <c r="G23" s="62"/>
      <c r="J23" s="42" t="s">
        <v>616</v>
      </c>
      <c r="K23" s="116">
        <v>0</v>
      </c>
    </row>
    <row r="24" spans="1:15" x14ac:dyDescent="0.2">
      <c r="B24" s="4" t="s">
        <v>113</v>
      </c>
      <c r="C24" s="112"/>
      <c r="G24" s="62"/>
      <c r="J24" s="392"/>
      <c r="K24" s="392"/>
    </row>
    <row r="25" spans="1:15" ht="19.8" thickBot="1" x14ac:dyDescent="0.5">
      <c r="G25" s="925" t="s">
        <v>105</v>
      </c>
      <c r="H25" s="925"/>
      <c r="J25" s="343" t="s">
        <v>283</v>
      </c>
      <c r="K25" s="346" t="s">
        <v>305</v>
      </c>
    </row>
    <row r="26" spans="1:15" ht="18.75" customHeight="1" thickTop="1" thickBot="1" x14ac:dyDescent="0.25">
      <c r="B26" s="930"/>
      <c r="C26" s="930"/>
      <c r="D26" s="755" t="s">
        <v>0</v>
      </c>
      <c r="E26" s="755" t="s">
        <v>1</v>
      </c>
      <c r="F26" s="759"/>
      <c r="G26" s="755" t="s">
        <v>0</v>
      </c>
      <c r="H26" s="755" t="s">
        <v>1</v>
      </c>
      <c r="J26" s="292" t="s">
        <v>372</v>
      </c>
      <c r="K26" s="291" t="s">
        <v>615</v>
      </c>
    </row>
    <row r="27" spans="1:15" ht="18.75" customHeight="1" thickTop="1" x14ac:dyDescent="0.2">
      <c r="B27" s="931" t="s">
        <v>407</v>
      </c>
      <c r="C27" s="932"/>
      <c r="D27" s="780">
        <f>SUM(D28:D30)</f>
        <v>249</v>
      </c>
      <c r="E27" s="781">
        <f>SUM(E28:E30)</f>
        <v>0.29927884615384615</v>
      </c>
      <c r="F27" s="782"/>
      <c r="G27" s="783">
        <f>'２-Ⅲ'!J5</f>
        <v>277</v>
      </c>
      <c r="H27" s="764">
        <f>SUM(H28:H30)</f>
        <v>0.15363283416528006</v>
      </c>
      <c r="J27" s="42" t="s">
        <v>295</v>
      </c>
      <c r="K27" s="116">
        <v>110</v>
      </c>
    </row>
    <row r="28" spans="1:15" ht="18.75" customHeight="1" x14ac:dyDescent="0.2">
      <c r="A28" s="113"/>
      <c r="B28" s="114"/>
      <c r="C28" s="115" t="s">
        <v>269</v>
      </c>
      <c r="D28" s="784">
        <f>IFERROR(VLOOKUP($O5,疾患別＿65歳以上＿寛解・院内寛解[#All],2,FALSE),0)</f>
        <v>110</v>
      </c>
      <c r="E28" s="721">
        <f>IFERROR(D28/D$43,"-")</f>
        <v>0.13221153846153846</v>
      </c>
      <c r="F28" s="767"/>
      <c r="G28" s="768">
        <f>'２-Ⅲ'!J6</f>
        <v>115</v>
      </c>
      <c r="H28" s="766">
        <f>IFERROR(G28/G$43,"-")</f>
        <v>6.3782584581253465E-2</v>
      </c>
      <c r="J28" s="293" t="s">
        <v>284</v>
      </c>
      <c r="K28" s="263">
        <v>11</v>
      </c>
      <c r="M28" s="9"/>
      <c r="N28" s="9"/>
    </row>
    <row r="29" spans="1:15" ht="18.75" customHeight="1" x14ac:dyDescent="0.2">
      <c r="A29" s="113"/>
      <c r="B29" s="114"/>
      <c r="C29" s="117" t="s">
        <v>106</v>
      </c>
      <c r="D29" s="784">
        <f>IFERROR(VLOOKUP($O6,疾患別＿65歳以上＿寛解・院内寛解[#All],2,FALSE),0)</f>
        <v>11</v>
      </c>
      <c r="E29" s="785">
        <f t="shared" ref="E29:E41" si="4">IFERROR(D29/D$43,"-")</f>
        <v>1.3221153846153846E-2</v>
      </c>
      <c r="F29" s="767"/>
      <c r="G29" s="771">
        <f>'２-Ⅲ'!J7</f>
        <v>12</v>
      </c>
      <c r="H29" s="722">
        <f t="shared" ref="H29:H41" si="5">IFERROR(G29/G$43,"-")</f>
        <v>6.6555740432612314E-3</v>
      </c>
      <c r="J29" s="260" t="s">
        <v>285</v>
      </c>
      <c r="K29" s="261">
        <v>128</v>
      </c>
      <c r="M29" s="9"/>
      <c r="N29" s="9"/>
    </row>
    <row r="30" spans="1:15" ht="37.5" customHeight="1" x14ac:dyDescent="0.2">
      <c r="A30" s="113"/>
      <c r="B30" s="118"/>
      <c r="C30" s="119" t="s">
        <v>68</v>
      </c>
      <c r="D30" s="784">
        <f>IFERROR(VLOOKUP($O7,疾患別＿65歳以上＿寛解・院内寛解[#All],2,FALSE),0)</f>
        <v>128</v>
      </c>
      <c r="E30" s="723">
        <f t="shared" si="4"/>
        <v>0.15384615384615385</v>
      </c>
      <c r="F30" s="767"/>
      <c r="G30" s="773">
        <f>'２-Ⅲ'!J8</f>
        <v>150</v>
      </c>
      <c r="H30" s="774">
        <f t="shared" si="5"/>
        <v>8.3194675540765387E-2</v>
      </c>
      <c r="J30" s="262" t="s">
        <v>286</v>
      </c>
      <c r="K30" s="263">
        <v>83</v>
      </c>
      <c r="M30" s="9"/>
      <c r="N30" s="9"/>
    </row>
    <row r="31" spans="1:15" ht="18.75" customHeight="1" x14ac:dyDescent="0.2">
      <c r="A31" s="113"/>
      <c r="B31" s="920" t="s">
        <v>20</v>
      </c>
      <c r="C31" s="926"/>
      <c r="D31" s="786">
        <f>IFERROR(VLOOKUP($O8,疾患別＿65歳以上＿寛解・院内寛解[#All],2,FALSE),0)+IFERROR(VLOOKUP($O9,疾患別＿65歳以上＿寛解・院内寛解[#All],2,FALSE),0)+IFERROR(VLOOKUP($O10,疾患別＿65歳以上＿寛解・院内寛解[#All],2,FALSE),0)</f>
        <v>89</v>
      </c>
      <c r="E31" s="776">
        <f t="shared" si="4"/>
        <v>0.10697115384615384</v>
      </c>
      <c r="F31" s="777"/>
      <c r="G31" s="775">
        <f>'２-Ⅲ'!J9</f>
        <v>240</v>
      </c>
      <c r="H31" s="776">
        <f t="shared" si="5"/>
        <v>0.13311148086522462</v>
      </c>
      <c r="J31" s="260" t="s">
        <v>200</v>
      </c>
      <c r="K31" s="261">
        <v>2</v>
      </c>
      <c r="M31" s="9"/>
      <c r="N31" s="9"/>
    </row>
    <row r="32" spans="1:15" ht="18.75" customHeight="1" x14ac:dyDescent="0.2">
      <c r="A32" s="113"/>
      <c r="B32" s="920" t="s">
        <v>21</v>
      </c>
      <c r="C32" s="926"/>
      <c r="D32" s="786">
        <f>IFERROR(VLOOKUP($O11,疾患別＿65歳以上＿寛解・院内寛解[#All],2,FALSE),0)</f>
        <v>293</v>
      </c>
      <c r="E32" s="776">
        <f t="shared" si="4"/>
        <v>0.35216346153846156</v>
      </c>
      <c r="F32" s="777"/>
      <c r="G32" s="775">
        <f>'２-Ⅲ'!J10</f>
        <v>752</v>
      </c>
      <c r="H32" s="776">
        <f t="shared" si="5"/>
        <v>0.41708264004437051</v>
      </c>
      <c r="J32" s="262" t="s">
        <v>201</v>
      </c>
      <c r="K32" s="263">
        <v>4</v>
      </c>
    </row>
    <row r="33" spans="1:14" ht="18.75" customHeight="1" x14ac:dyDescent="0.2">
      <c r="A33" s="113"/>
      <c r="B33" s="920" t="s">
        <v>22</v>
      </c>
      <c r="C33" s="926"/>
      <c r="D33" s="786">
        <f>IFERROR(VLOOKUP($O12,疾患別＿65歳以上＿寛解・院内寛解[#All],2,FALSE),0)+IFERROR(VLOOKUP($O13,疾患別＿65歳以上＿寛解・院内寛解[#All],2,FALSE),0)</f>
        <v>163</v>
      </c>
      <c r="E33" s="776">
        <f t="shared" si="4"/>
        <v>0.19591346153846154</v>
      </c>
      <c r="F33" s="777"/>
      <c r="G33" s="775">
        <f>'２-Ⅲ'!J11</f>
        <v>347</v>
      </c>
      <c r="H33" s="776">
        <f t="shared" si="5"/>
        <v>0.19245701608430393</v>
      </c>
      <c r="J33" s="260" t="s">
        <v>287</v>
      </c>
      <c r="K33" s="261">
        <v>293</v>
      </c>
    </row>
    <row r="34" spans="1:14" ht="18.75" customHeight="1" x14ac:dyDescent="0.2">
      <c r="A34" s="113"/>
      <c r="B34" s="933" t="s">
        <v>253</v>
      </c>
      <c r="C34" s="934"/>
      <c r="D34" s="786">
        <f>IFERROR(VLOOKUP($O14,疾患別＿65歳以上＿寛解・院内寛解[#All],2,FALSE),0)</f>
        <v>21</v>
      </c>
      <c r="E34" s="776">
        <f t="shared" si="4"/>
        <v>2.5240384615384616E-2</v>
      </c>
      <c r="F34" s="777"/>
      <c r="G34" s="775">
        <f>'２-Ⅲ'!J12</f>
        <v>73</v>
      </c>
      <c r="H34" s="776">
        <f t="shared" si="5"/>
        <v>4.0488075429839156E-2</v>
      </c>
      <c r="J34" s="262" t="s">
        <v>288</v>
      </c>
      <c r="K34" s="263">
        <v>59</v>
      </c>
      <c r="M34" s="9"/>
      <c r="N34" s="9"/>
    </row>
    <row r="35" spans="1:14" ht="18.75" customHeight="1" x14ac:dyDescent="0.2">
      <c r="A35" s="113"/>
      <c r="B35" s="920" t="s">
        <v>254</v>
      </c>
      <c r="C35" s="926"/>
      <c r="D35" s="786">
        <f>IFERROR(VLOOKUP($O15,疾患別＿65歳以上＿寛解・院内寛解[#All],2,FALSE),0)</f>
        <v>0</v>
      </c>
      <c r="E35" s="776">
        <f t="shared" si="4"/>
        <v>0</v>
      </c>
      <c r="F35" s="777"/>
      <c r="G35" s="775">
        <f>'２-Ⅲ'!J13</f>
        <v>4</v>
      </c>
      <c r="H35" s="776">
        <f t="shared" si="5"/>
        <v>2.2185246810870773E-3</v>
      </c>
      <c r="J35" s="260" t="s">
        <v>289</v>
      </c>
      <c r="K35" s="261">
        <v>104</v>
      </c>
      <c r="M35" s="9"/>
      <c r="N35" s="9"/>
    </row>
    <row r="36" spans="1:14" ht="18.75" customHeight="1" x14ac:dyDescent="0.2">
      <c r="A36" s="113"/>
      <c r="B36" s="920" t="s">
        <v>259</v>
      </c>
      <c r="C36" s="926"/>
      <c r="D36" s="786">
        <f>IFERROR(VLOOKUP($O16,疾患別＿65歳以上＿寛解・院内寛解[#All],2,FALSE),0)</f>
        <v>4</v>
      </c>
      <c r="E36" s="776">
        <f t="shared" si="4"/>
        <v>4.807692307692308E-3</v>
      </c>
      <c r="F36" s="777"/>
      <c r="G36" s="775">
        <f>'２-Ⅲ'!J14</f>
        <v>16</v>
      </c>
      <c r="H36" s="776">
        <f t="shared" si="5"/>
        <v>8.8740987243483092E-3</v>
      </c>
      <c r="J36" s="262" t="s">
        <v>290</v>
      </c>
      <c r="K36" s="263">
        <v>21</v>
      </c>
      <c r="M36" s="9"/>
      <c r="N36" s="9"/>
    </row>
    <row r="37" spans="1:14" ht="18.75" customHeight="1" x14ac:dyDescent="0.2">
      <c r="A37" s="113"/>
      <c r="B37" s="920" t="s">
        <v>255</v>
      </c>
      <c r="C37" s="926"/>
      <c r="D37" s="786">
        <f>IFERROR(VLOOKUP($O17,疾患別＿65歳以上＿寛解・院内寛解[#All],2,FALSE),0)</f>
        <v>3</v>
      </c>
      <c r="E37" s="776">
        <f t="shared" si="4"/>
        <v>3.605769230769231E-3</v>
      </c>
      <c r="F37" s="777"/>
      <c r="G37" s="775">
        <f>'２-Ⅲ'!J15</f>
        <v>36</v>
      </c>
      <c r="H37" s="776">
        <f t="shared" si="5"/>
        <v>1.9966722129783693E-2</v>
      </c>
      <c r="J37" s="260" t="s">
        <v>291</v>
      </c>
      <c r="K37" s="261">
        <v>0</v>
      </c>
      <c r="M37" s="9"/>
      <c r="N37" s="9"/>
    </row>
    <row r="38" spans="1:14" ht="18.75" customHeight="1" x14ac:dyDescent="0.2">
      <c r="A38" s="113"/>
      <c r="B38" s="920" t="s">
        <v>23</v>
      </c>
      <c r="C38" s="926"/>
      <c r="D38" s="786">
        <f>IFERROR(VLOOKUP($O18,疾患別＿65歳以上＿寛解・院内寛解[#All],2,FALSE),0)</f>
        <v>1</v>
      </c>
      <c r="E38" s="776">
        <f t="shared" si="4"/>
        <v>1.201923076923077E-3</v>
      </c>
      <c r="F38" s="777"/>
      <c r="G38" s="775">
        <f>'２-Ⅲ'!J16</f>
        <v>36</v>
      </c>
      <c r="H38" s="776">
        <f t="shared" si="5"/>
        <v>1.9966722129783693E-2</v>
      </c>
      <c r="J38" s="262" t="s">
        <v>296</v>
      </c>
      <c r="K38" s="263">
        <v>4</v>
      </c>
      <c r="M38" s="9"/>
      <c r="N38" s="9"/>
    </row>
    <row r="39" spans="1:14" ht="37.5" customHeight="1" x14ac:dyDescent="0.2">
      <c r="A39" s="113"/>
      <c r="B39" s="920" t="s">
        <v>260</v>
      </c>
      <c r="C39" s="926"/>
      <c r="D39" s="786">
        <f>IFERROR(VLOOKUP($O19,疾患別＿65歳以上＿寛解・院内寛解[#All],2,FALSE),0)</f>
        <v>3</v>
      </c>
      <c r="E39" s="776">
        <f t="shared" si="4"/>
        <v>3.605769230769231E-3</v>
      </c>
      <c r="F39" s="777"/>
      <c r="G39" s="775">
        <f>'２-Ⅲ'!J17</f>
        <v>10</v>
      </c>
      <c r="H39" s="776">
        <f t="shared" si="5"/>
        <v>5.546311702717693E-3</v>
      </c>
      <c r="J39" s="260" t="s">
        <v>292</v>
      </c>
      <c r="K39" s="261">
        <v>3</v>
      </c>
      <c r="M39" s="9"/>
      <c r="N39" s="9"/>
    </row>
    <row r="40" spans="1:14" ht="18.75" customHeight="1" x14ac:dyDescent="0.2">
      <c r="A40" s="113"/>
      <c r="B40" s="920" t="s">
        <v>67</v>
      </c>
      <c r="C40" s="926"/>
      <c r="D40" s="786">
        <f>IFERROR(VLOOKUP($O20,疾患別＿65歳以上＿寛解・院内寛解[#All],2,FALSE),0)</f>
        <v>2</v>
      </c>
      <c r="E40" s="776">
        <f t="shared" si="4"/>
        <v>2.403846153846154E-3</v>
      </c>
      <c r="F40" s="777"/>
      <c r="G40" s="775">
        <f>'２-Ⅲ'!J18</f>
        <v>3</v>
      </c>
      <c r="H40" s="776">
        <f t="shared" si="5"/>
        <v>1.6638935108153079E-3</v>
      </c>
      <c r="J40" s="262" t="s">
        <v>293</v>
      </c>
      <c r="K40" s="263">
        <v>1</v>
      </c>
      <c r="M40" s="9"/>
      <c r="N40" s="9"/>
    </row>
    <row r="41" spans="1:14" ht="18.75" customHeight="1" x14ac:dyDescent="0.2">
      <c r="A41" s="113"/>
      <c r="B41" s="927" t="s">
        <v>18</v>
      </c>
      <c r="C41" s="928"/>
      <c r="D41" s="786">
        <f>IFERROR(VLOOKUP($O21,疾患別＿65歳以上＿寛解・院内寛解[#All],2,FALSE),0)</f>
        <v>4</v>
      </c>
      <c r="E41" s="776">
        <f t="shared" si="4"/>
        <v>4.807692307692308E-3</v>
      </c>
      <c r="F41" s="777"/>
      <c r="G41" s="775">
        <f>'２-Ⅲ'!J19</f>
        <v>9</v>
      </c>
      <c r="H41" s="776">
        <f t="shared" si="5"/>
        <v>4.9916805324459234E-3</v>
      </c>
      <c r="J41" s="260" t="s">
        <v>297</v>
      </c>
      <c r="K41" s="261">
        <v>3</v>
      </c>
      <c r="M41" s="9"/>
      <c r="N41" s="9"/>
    </row>
    <row r="42" spans="1:14" s="393" customFormat="1" ht="18.75" customHeight="1" x14ac:dyDescent="0.2">
      <c r="A42" s="113"/>
      <c r="B42" s="927" t="s">
        <v>379</v>
      </c>
      <c r="C42" s="928"/>
      <c r="D42" s="775">
        <f>IFERROR(VLOOKUP($O22,疾患別＿65歳以上＿寛解・院内寛解[#All],2,FALSE),0)</f>
        <v>0</v>
      </c>
      <c r="E42" s="776">
        <f t="shared" ref="E42" si="6">IFERROR(D42/D$22,"-")</f>
        <v>0</v>
      </c>
      <c r="F42" s="777"/>
      <c r="G42" s="775">
        <f>'２-Ⅲ'!J20</f>
        <v>0</v>
      </c>
      <c r="H42" s="776">
        <f t="shared" ref="H42" si="7">IFERROR(G42/G$22,"-")</f>
        <v>0</v>
      </c>
      <c r="I42" s="394"/>
      <c r="J42" s="260" t="s">
        <v>18</v>
      </c>
      <c r="K42" s="261">
        <v>4</v>
      </c>
      <c r="M42" s="395"/>
      <c r="N42" s="395"/>
    </row>
    <row r="43" spans="1:14" ht="18.75" customHeight="1" x14ac:dyDescent="0.2">
      <c r="B43" s="929" t="s">
        <v>160</v>
      </c>
      <c r="C43" s="929"/>
      <c r="D43" s="778">
        <f>SUM(D28:D42)</f>
        <v>832</v>
      </c>
      <c r="E43" s="758">
        <f>SUM(E28:E41)</f>
        <v>1.0000000000000002</v>
      </c>
      <c r="F43" s="779"/>
      <c r="G43" s="778">
        <f>SUM(G28:G42)</f>
        <v>1803</v>
      </c>
      <c r="H43" s="758">
        <f>IFERROR(G43/$G$43,0)</f>
        <v>1</v>
      </c>
      <c r="J43" s="264" t="s">
        <v>294</v>
      </c>
      <c r="K43" s="263">
        <v>2</v>
      </c>
      <c r="M43" s="9"/>
      <c r="N43" s="9"/>
    </row>
    <row r="44" spans="1:14" x14ac:dyDescent="0.2">
      <c r="J44" s="259" t="s">
        <v>616</v>
      </c>
      <c r="K44" s="258">
        <v>0</v>
      </c>
    </row>
    <row r="48" spans="1:14" x14ac:dyDescent="0.2">
      <c r="E48" s="4"/>
      <c r="F48" s="4"/>
      <c r="G48" s="4"/>
    </row>
    <row r="49" spans="3:9" x14ac:dyDescent="0.2">
      <c r="E49" s="4"/>
      <c r="F49" s="4"/>
      <c r="G49" s="4"/>
    </row>
    <row r="52" spans="3:9" x14ac:dyDescent="0.2">
      <c r="E52" s="32"/>
      <c r="F52" s="32"/>
      <c r="G52" s="32"/>
      <c r="I52" s="120"/>
    </row>
    <row r="53" spans="3:9" x14ac:dyDescent="0.2">
      <c r="E53" s="35"/>
      <c r="F53" s="35"/>
      <c r="G53" s="35"/>
      <c r="I53" s="120"/>
    </row>
    <row r="54" spans="3:9" x14ac:dyDescent="0.2">
      <c r="E54" s="35"/>
      <c r="F54" s="35"/>
      <c r="G54" s="35"/>
      <c r="I54" s="7"/>
    </row>
    <row r="55" spans="3:9" x14ac:dyDescent="0.2">
      <c r="E55" s="35"/>
      <c r="F55" s="35"/>
      <c r="G55" s="35"/>
      <c r="I55" s="120"/>
    </row>
    <row r="56" spans="3:9" x14ac:dyDescent="0.2">
      <c r="E56" s="35"/>
      <c r="F56" s="35"/>
      <c r="G56" s="35"/>
      <c r="I56" s="120"/>
    </row>
    <row r="57" spans="3:9" x14ac:dyDescent="0.2">
      <c r="E57" s="35"/>
      <c r="F57" s="35"/>
      <c r="G57" s="35"/>
      <c r="I57" s="120"/>
    </row>
    <row r="58" spans="3:9" x14ac:dyDescent="0.2">
      <c r="E58" s="35"/>
      <c r="F58" s="35"/>
      <c r="G58" s="35"/>
      <c r="I58" s="120"/>
    </row>
    <row r="59" spans="3:9" x14ac:dyDescent="0.2">
      <c r="E59" s="35"/>
      <c r="F59" s="35"/>
      <c r="G59" s="35"/>
      <c r="I59" s="120"/>
    </row>
    <row r="60" spans="3:9" x14ac:dyDescent="0.2">
      <c r="E60" s="35"/>
      <c r="F60" s="35"/>
      <c r="G60" s="35"/>
      <c r="I60" s="120"/>
    </row>
    <row r="61" spans="3:9" x14ac:dyDescent="0.2">
      <c r="E61" s="35"/>
      <c r="F61" s="35"/>
      <c r="G61" s="35"/>
      <c r="I61" s="121"/>
    </row>
    <row r="62" spans="3:9" x14ac:dyDescent="0.2">
      <c r="E62" s="35"/>
      <c r="F62" s="35"/>
      <c r="G62" s="35"/>
      <c r="I62" s="121"/>
    </row>
    <row r="63" spans="3:9" x14ac:dyDescent="0.2">
      <c r="E63" s="35"/>
      <c r="F63" s="35"/>
      <c r="G63" s="35"/>
      <c r="I63" s="121"/>
    </row>
    <row r="64" spans="3:9" x14ac:dyDescent="0.2">
      <c r="C64" s="37"/>
      <c r="D64" s="38"/>
      <c r="E64" s="35"/>
      <c r="F64" s="35"/>
      <c r="G64" s="35"/>
      <c r="I64" s="120"/>
    </row>
    <row r="65" spans="3:9" x14ac:dyDescent="0.2">
      <c r="C65" s="37"/>
      <c r="D65" s="38"/>
      <c r="E65" s="35"/>
      <c r="F65" s="35"/>
      <c r="G65" s="35"/>
      <c r="I65" s="7"/>
    </row>
  </sheetData>
  <mergeCells count="32">
    <mergeCell ref="B31:C31"/>
    <mergeCell ref="B13:C13"/>
    <mergeCell ref="B5:C5"/>
    <mergeCell ref="B6:C6"/>
    <mergeCell ref="B10:C10"/>
    <mergeCell ref="B11:C11"/>
    <mergeCell ref="B12:C12"/>
    <mergeCell ref="B21:C21"/>
    <mergeCell ref="B43:C43"/>
    <mergeCell ref="B33:C33"/>
    <mergeCell ref="B34:C34"/>
    <mergeCell ref="B35:C35"/>
    <mergeCell ref="B36:C36"/>
    <mergeCell ref="B37:C37"/>
    <mergeCell ref="B38:C38"/>
    <mergeCell ref="B42:C42"/>
    <mergeCell ref="G4:H4"/>
    <mergeCell ref="G25:H25"/>
    <mergeCell ref="B39:C39"/>
    <mergeCell ref="B40:C40"/>
    <mergeCell ref="B41:C41"/>
    <mergeCell ref="B32:C32"/>
    <mergeCell ref="B14:C14"/>
    <mergeCell ref="B15:C15"/>
    <mergeCell ref="B16:C16"/>
    <mergeCell ref="B17:C17"/>
    <mergeCell ref="B18:C18"/>
    <mergeCell ref="B19:C19"/>
    <mergeCell ref="B20:C20"/>
    <mergeCell ref="B22:C22"/>
    <mergeCell ref="B26:C26"/>
    <mergeCell ref="B27:C27"/>
  </mergeCells>
  <phoneticPr fontId="2"/>
  <printOptions horizontalCentered="1"/>
  <pageMargins left="0.70866141732283472" right="0.70866141732283472" top="1.1417322834645669" bottom="0.74803149606299213" header="0.70866141732283472" footer="0.31496062992125984"/>
  <pageSetup paperSize="9" scale="86" orientation="portrait" r:id="rId1"/>
  <drawing r:id="rId2"/>
  <mc:AlternateContent xmlns:mc="http://schemas.openxmlformats.org/markup-compatibility/2006">
    <mc:Choice Requires="v">
      <legacyDrawing r:id="rId3"/>
    </mc:Choice>
  </mc:AlternateContent>
  <controls>
    <control shapeId="30721" r:id="rId4" name="Button 1">
      <controlPr defaultSize="0" print="0" autoFill="0" autoPict="0" macro="[0]!データ削除_疾患別_65歳以上">
        <anchor moveWithCells="1" sizeWithCells="1">
          <from>
            <xdr:col>11</xdr:col>
            <xdr:colOff>556260</xdr:colOff>
            <xdr:row>4</xdr:row>
            <xdr:rowOff>22860</xdr:rowOff>
          </from>
          <to>
            <xdr:col>13</xdr:col>
            <xdr:colOff>533400</xdr:colOff>
            <xdr:row>5</xdr:row>
            <xdr:rowOff>228600</xdr:rowOff>
          </to>
        </anchor>
      </controlPr>
    </control>
  </controls>
  <tableParts count="2">
    <tablePart r:id="rId5"/>
    <tablePart r:id="rId6"/>
  </tableParts>
</worksheet>
</file>

<file path=xl/worksheets/sheet1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FFC000"/>
    <pageSetUpPr fitToPage="1"/>
  </sheetPr>
  <dimension ref="A1:R50"/>
  <sheetViews>
    <sheetView showGridLines="0" view="pageBreakPreview" zoomScale="80" zoomScaleNormal="100" zoomScaleSheetLayoutView="80" workbookViewId="0"/>
  </sheetViews>
  <sheetFormatPr defaultColWidth="9" defaultRowHeight="17.399999999999999" x14ac:dyDescent="0.2"/>
  <cols>
    <col min="1" max="1" width="23.77734375" style="1" customWidth="1"/>
    <col min="2" max="2" width="9.33203125" style="1" customWidth="1"/>
    <col min="3" max="3" width="10.5546875" style="1" bestFit="1" customWidth="1"/>
    <col min="4" max="4" width="9.33203125" style="1" customWidth="1"/>
    <col min="5" max="5" width="10.5546875" style="41" bestFit="1" customWidth="1"/>
    <col min="6" max="6" width="0.6640625" style="1" customWidth="1"/>
    <col min="7" max="7" width="9.33203125" style="1" customWidth="1"/>
    <col min="8" max="8" width="10.5546875" style="1" bestFit="1" customWidth="1"/>
    <col min="9" max="9" width="9" style="1"/>
    <col min="10" max="14" width="13.6640625" style="1" hidden="1" customWidth="1"/>
    <col min="15" max="18" width="9" style="1" hidden="1" customWidth="1"/>
    <col min="19" max="20" width="0" style="1" hidden="1" customWidth="1"/>
    <col min="21" max="16384" width="9" style="1"/>
  </cols>
  <sheetData>
    <row r="1" spans="1:17" ht="19.2" x14ac:dyDescent="0.2">
      <c r="A1" s="2" t="s">
        <v>206</v>
      </c>
    </row>
    <row r="3" spans="1:17" ht="18.75" customHeight="1" x14ac:dyDescent="0.2">
      <c r="A3" s="940"/>
      <c r="B3" s="935" t="s">
        <v>109</v>
      </c>
      <c r="C3" s="936"/>
      <c r="D3" s="936"/>
      <c r="E3" s="937"/>
      <c r="F3" s="787"/>
      <c r="G3" s="941" t="s">
        <v>105</v>
      </c>
      <c r="H3" s="942"/>
      <c r="J3" s="55" t="s">
        <v>63</v>
      </c>
    </row>
    <row r="4" spans="1:17" ht="18.75" customHeight="1" thickBot="1" x14ac:dyDescent="0.25">
      <c r="A4" s="940"/>
      <c r="B4" s="935"/>
      <c r="C4" s="937"/>
      <c r="D4" s="938" t="s">
        <v>104</v>
      </c>
      <c r="E4" s="939"/>
      <c r="F4" s="787"/>
      <c r="G4" s="943"/>
      <c r="H4" s="944"/>
      <c r="J4" s="257" t="s">
        <v>299</v>
      </c>
      <c r="K4" s="339" t="s">
        <v>278</v>
      </c>
      <c r="L4" s="3"/>
      <c r="M4" s="257" t="s">
        <v>299</v>
      </c>
      <c r="N4" s="346" t="s">
        <v>305</v>
      </c>
    </row>
    <row r="5" spans="1:17" ht="18.75" customHeight="1" thickTop="1" thickBot="1" x14ac:dyDescent="0.25">
      <c r="A5" s="940"/>
      <c r="B5" s="788" t="s">
        <v>0</v>
      </c>
      <c r="C5" s="789" t="s">
        <v>1</v>
      </c>
      <c r="D5" s="788" t="s">
        <v>0</v>
      </c>
      <c r="E5" s="789" t="s">
        <v>1</v>
      </c>
      <c r="F5" s="787"/>
      <c r="G5" s="788" t="s">
        <v>0</v>
      </c>
      <c r="H5" s="789" t="s">
        <v>1</v>
      </c>
      <c r="J5" s="296" t="s">
        <v>372</v>
      </c>
      <c r="K5" s="94" t="s">
        <v>617</v>
      </c>
      <c r="M5" s="296" t="s">
        <v>372</v>
      </c>
      <c r="N5" s="94" t="s">
        <v>617</v>
      </c>
    </row>
    <row r="6" spans="1:17" ht="18.75" customHeight="1" thickTop="1" x14ac:dyDescent="0.2">
      <c r="A6" s="248" t="s">
        <v>60</v>
      </c>
      <c r="B6" s="790">
        <f>IFERROR(VLOOKUP($Q6,在院期間＿65歳以上[#All],2,FALSE),0)</f>
        <v>780</v>
      </c>
      <c r="C6" s="791">
        <f>IFERROR(B6/B$22,"-")</f>
        <v>9.1840339102790533E-2</v>
      </c>
      <c r="D6" s="792">
        <f>IFERROR(VLOOKUP($Q6,在院期間＿65歳以上＿寛解・院内寛解[#All],2,FALSE),0)</f>
        <v>110</v>
      </c>
      <c r="E6" s="793">
        <f>IFERROR(D6/D$22,"-")</f>
        <v>0.13221153846153846</v>
      </c>
      <c r="F6" s="172"/>
      <c r="G6" s="794">
        <f>'２-Ⅳ'!B5</f>
        <v>1771</v>
      </c>
      <c r="H6" s="795">
        <f>IFERROR(G6/G$22,"-")</f>
        <v>0.12507062146892656</v>
      </c>
      <c r="J6" s="42" t="s">
        <v>182</v>
      </c>
      <c r="K6" s="58">
        <v>780</v>
      </c>
      <c r="M6" s="42" t="s">
        <v>182</v>
      </c>
      <c r="N6" s="58">
        <v>110</v>
      </c>
      <c r="Q6" s="273" t="s">
        <v>182</v>
      </c>
    </row>
    <row r="7" spans="1:17" ht="18.75" customHeight="1" x14ac:dyDescent="0.2">
      <c r="A7" s="248" t="s">
        <v>207</v>
      </c>
      <c r="B7" s="790">
        <f>IFERROR(VLOOKUP($Q7,在院期間＿65歳以上[#All],2,FALSE),0)</f>
        <v>1159</v>
      </c>
      <c r="C7" s="791">
        <f t="shared" ref="C7:C26" si="0">IFERROR(B7/B$22,"-")</f>
        <v>0.13646532438478748</v>
      </c>
      <c r="D7" s="792">
        <f>IFERROR(VLOOKUP($Q7,在院期間＿65歳以上＿寛解・院内寛解[#All],2,FALSE),0)</f>
        <v>203</v>
      </c>
      <c r="E7" s="793">
        <f t="shared" ref="E7:E21" si="1">IFERROR(D7/D$22,"-")</f>
        <v>0.24399038461538461</v>
      </c>
      <c r="F7" s="172"/>
      <c r="G7" s="794">
        <f>'２-Ⅳ'!B6</f>
        <v>2121</v>
      </c>
      <c r="H7" s="795">
        <f t="shared" ref="H7:H26" si="2">IFERROR(G7/G$22,"-")</f>
        <v>0.14978813559322035</v>
      </c>
      <c r="J7" s="42" t="s">
        <v>183</v>
      </c>
      <c r="K7" s="397">
        <v>1159</v>
      </c>
      <c r="M7" s="42" t="s">
        <v>183</v>
      </c>
      <c r="N7" s="269">
        <v>203</v>
      </c>
      <c r="Q7" s="273" t="s">
        <v>183</v>
      </c>
    </row>
    <row r="8" spans="1:17" ht="18.75" customHeight="1" x14ac:dyDescent="0.2">
      <c r="A8" s="248" t="s">
        <v>208</v>
      </c>
      <c r="B8" s="790">
        <f>IFERROR(VLOOKUP($Q8,在院期間＿65歳以上[#All],2,FALSE),0)</f>
        <v>758</v>
      </c>
      <c r="C8" s="791">
        <f t="shared" si="0"/>
        <v>8.9249970563993877E-2</v>
      </c>
      <c r="D8" s="792">
        <f>IFERROR(VLOOKUP($Q8,在院期間＿65歳以上＿寛解・院内寛解[#All],2,FALSE),0)</f>
        <v>87</v>
      </c>
      <c r="E8" s="793">
        <f t="shared" si="1"/>
        <v>0.1045673076923077</v>
      </c>
      <c r="F8" s="172"/>
      <c r="G8" s="794">
        <f>'２-Ⅳ'!B7</f>
        <v>1159</v>
      </c>
      <c r="H8" s="795">
        <f t="shared" si="2"/>
        <v>8.1850282485875711E-2</v>
      </c>
      <c r="J8" s="42" t="s">
        <v>184</v>
      </c>
      <c r="K8" s="58">
        <v>758</v>
      </c>
      <c r="M8" s="42" t="s">
        <v>184</v>
      </c>
      <c r="N8" s="269">
        <v>87</v>
      </c>
      <c r="Q8" s="274" t="s">
        <v>184</v>
      </c>
    </row>
    <row r="9" spans="1:17" ht="18.75" customHeight="1" x14ac:dyDescent="0.2">
      <c r="A9" s="248" t="s">
        <v>209</v>
      </c>
      <c r="B9" s="790">
        <f>IFERROR(VLOOKUP($Q9,在院期間＿65歳以上[#All],2,FALSE),0)</f>
        <v>892</v>
      </c>
      <c r="C9" s="791">
        <f t="shared" si="0"/>
        <v>0.10502766984575533</v>
      </c>
      <c r="D9" s="792">
        <f>IFERROR(VLOOKUP($Q9,在院期間＿65歳以上＿寛解・院内寛解[#All],2,FALSE),0)</f>
        <v>76</v>
      </c>
      <c r="E9" s="793">
        <f t="shared" si="1"/>
        <v>9.1346153846153841E-2</v>
      </c>
      <c r="F9" s="172"/>
      <c r="G9" s="794">
        <f>'２-Ⅳ'!B8</f>
        <v>1343</v>
      </c>
      <c r="H9" s="795">
        <f t="shared" si="2"/>
        <v>9.4844632768361581E-2</v>
      </c>
      <c r="J9" s="42" t="s">
        <v>185</v>
      </c>
      <c r="K9" s="397">
        <v>892</v>
      </c>
      <c r="M9" s="42" t="s">
        <v>185</v>
      </c>
      <c r="N9" s="269">
        <v>76</v>
      </c>
      <c r="Q9" s="273" t="s">
        <v>185</v>
      </c>
    </row>
    <row r="10" spans="1:17" ht="18.75" customHeight="1" x14ac:dyDescent="0.2">
      <c r="A10" s="248" t="s">
        <v>210</v>
      </c>
      <c r="B10" s="790">
        <f>IFERROR(VLOOKUP($Q10,在院期間＿65歳以上[#All],2,FALSE),0)</f>
        <v>640</v>
      </c>
      <c r="C10" s="791">
        <f t="shared" si="0"/>
        <v>7.5356175674084536E-2</v>
      </c>
      <c r="D10" s="792">
        <f>IFERROR(VLOOKUP($Q10,在院期間＿65歳以上＿寛解・院内寛解[#All],2,FALSE),0)</f>
        <v>57</v>
      </c>
      <c r="E10" s="793">
        <f t="shared" si="1"/>
        <v>6.8509615384615391E-2</v>
      </c>
      <c r="F10" s="172"/>
      <c r="G10" s="794">
        <f>'２-Ⅳ'!B9</f>
        <v>936</v>
      </c>
      <c r="H10" s="795">
        <f t="shared" si="2"/>
        <v>6.6101694915254236E-2</v>
      </c>
      <c r="J10" s="42" t="s">
        <v>186</v>
      </c>
      <c r="K10" s="58">
        <v>640</v>
      </c>
      <c r="M10" s="42" t="s">
        <v>186</v>
      </c>
      <c r="N10" s="269">
        <v>57</v>
      </c>
      <c r="Q10" s="274" t="s">
        <v>186</v>
      </c>
    </row>
    <row r="11" spans="1:17" ht="18.75" customHeight="1" x14ac:dyDescent="0.2">
      <c r="A11" s="248" t="s">
        <v>211</v>
      </c>
      <c r="B11" s="790">
        <f>IFERROR(VLOOKUP($Q11,在院期間＿65歳以上[#All],2,FALSE),0)</f>
        <v>453</v>
      </c>
      <c r="C11" s="791">
        <f t="shared" si="0"/>
        <v>5.3338043094312962E-2</v>
      </c>
      <c r="D11" s="792">
        <f>IFERROR(VLOOKUP($Q11,在院期間＿65歳以上＿寛解・院内寛解[#All],2,FALSE),0)</f>
        <v>31</v>
      </c>
      <c r="E11" s="793">
        <f t="shared" si="1"/>
        <v>3.7259615384615384E-2</v>
      </c>
      <c r="F11" s="172"/>
      <c r="G11" s="794">
        <f>'２-Ⅳ'!B10</f>
        <v>648</v>
      </c>
      <c r="H11" s="795">
        <f t="shared" si="2"/>
        <v>4.576271186440678E-2</v>
      </c>
      <c r="J11" s="42" t="s">
        <v>187</v>
      </c>
      <c r="K11" s="58">
        <v>453</v>
      </c>
      <c r="M11" s="42" t="s">
        <v>187</v>
      </c>
      <c r="N11" s="269">
        <v>31</v>
      </c>
      <c r="Q11" s="273" t="s">
        <v>187</v>
      </c>
    </row>
    <row r="12" spans="1:17" ht="18.75" customHeight="1" x14ac:dyDescent="0.2">
      <c r="A12" s="248" t="s">
        <v>212</v>
      </c>
      <c r="B12" s="790">
        <f>IFERROR(VLOOKUP($Q12,在院期間＿65歳以上[#All],2,FALSE),0)</f>
        <v>680</v>
      </c>
      <c r="C12" s="791">
        <f t="shared" si="0"/>
        <v>8.0065936653714823E-2</v>
      </c>
      <c r="D12" s="792">
        <f>IFERROR(VLOOKUP($Q12,在院期間＿65歳以上＿寛解・院内寛解[#All],2,FALSE),0)</f>
        <v>52</v>
      </c>
      <c r="E12" s="793">
        <f t="shared" si="1"/>
        <v>6.25E-2</v>
      </c>
      <c r="F12" s="172"/>
      <c r="G12" s="794">
        <f>'２-Ⅳ'!B11</f>
        <v>980</v>
      </c>
      <c r="H12" s="795">
        <f t="shared" si="2"/>
        <v>6.9209039548022599E-2</v>
      </c>
      <c r="J12" s="42" t="s">
        <v>188</v>
      </c>
      <c r="K12" s="58">
        <v>680</v>
      </c>
      <c r="M12" s="42" t="s">
        <v>188</v>
      </c>
      <c r="N12" s="269">
        <v>52</v>
      </c>
      <c r="Q12" s="274" t="s">
        <v>188</v>
      </c>
    </row>
    <row r="13" spans="1:17" ht="18.75" customHeight="1" x14ac:dyDescent="0.2">
      <c r="A13" s="248" t="s">
        <v>213</v>
      </c>
      <c r="B13" s="790">
        <f>IFERROR(VLOOKUP($Q13,在院期間＿65歳以上[#All],2,FALSE),0)</f>
        <v>507</v>
      </c>
      <c r="C13" s="791">
        <f t="shared" si="0"/>
        <v>5.9696220416813849E-2</v>
      </c>
      <c r="D13" s="792">
        <f>IFERROR(VLOOKUP($Q13,在院期間＿65歳以上＿寛解・院内寛解[#All],2,FALSE),0)</f>
        <v>32</v>
      </c>
      <c r="E13" s="793">
        <f t="shared" si="1"/>
        <v>3.8461538461538464E-2</v>
      </c>
      <c r="F13" s="172"/>
      <c r="G13" s="794">
        <f>'２-Ⅳ'!B12</f>
        <v>741</v>
      </c>
      <c r="H13" s="795">
        <f t="shared" si="2"/>
        <v>5.2330508474576272E-2</v>
      </c>
      <c r="J13" s="42" t="s">
        <v>189</v>
      </c>
      <c r="K13" s="58">
        <v>507</v>
      </c>
      <c r="M13" s="42" t="s">
        <v>189</v>
      </c>
      <c r="N13" s="269">
        <v>32</v>
      </c>
      <c r="Q13" s="273" t="s">
        <v>189</v>
      </c>
    </row>
    <row r="14" spans="1:17" ht="18.75" customHeight="1" x14ac:dyDescent="0.2">
      <c r="A14" s="248" t="s">
        <v>214</v>
      </c>
      <c r="B14" s="790">
        <f>IFERROR(VLOOKUP($Q14,在院期間＿65歳以上[#All],2,FALSE),0)</f>
        <v>415</v>
      </c>
      <c r="C14" s="791">
        <f t="shared" si="0"/>
        <v>4.8863770163664194E-2</v>
      </c>
      <c r="D14" s="792">
        <f>IFERROR(VLOOKUP($Q14,在院期間＿65歳以上＿寛解・院内寛解[#All],2,FALSE),0)</f>
        <v>30</v>
      </c>
      <c r="E14" s="793">
        <f t="shared" si="1"/>
        <v>3.6057692307692304E-2</v>
      </c>
      <c r="F14" s="172"/>
      <c r="G14" s="794">
        <f>'２-Ⅳ'!B13</f>
        <v>650</v>
      </c>
      <c r="H14" s="795">
        <f t="shared" si="2"/>
        <v>4.5903954802259887E-2</v>
      </c>
      <c r="J14" s="42" t="s">
        <v>190</v>
      </c>
      <c r="K14" s="58">
        <v>415</v>
      </c>
      <c r="M14" s="42" t="s">
        <v>190</v>
      </c>
      <c r="N14" s="269">
        <v>30</v>
      </c>
      <c r="Q14" s="274" t="s">
        <v>190</v>
      </c>
    </row>
    <row r="15" spans="1:17" ht="18.75" customHeight="1" x14ac:dyDescent="0.2">
      <c r="A15" s="248" t="s">
        <v>215</v>
      </c>
      <c r="B15" s="790">
        <f>IFERROR(VLOOKUP($Q15,在院期間＿65歳以上[#All],2,FALSE),0)</f>
        <v>330</v>
      </c>
      <c r="C15" s="791">
        <f t="shared" si="0"/>
        <v>3.8855528081949843E-2</v>
      </c>
      <c r="D15" s="792">
        <f>IFERROR(VLOOKUP($Q15,在院期間＿65歳以上＿寛解・院内寛解[#All],2,FALSE),0)</f>
        <v>27</v>
      </c>
      <c r="E15" s="793">
        <f t="shared" si="1"/>
        <v>3.245192307692308E-2</v>
      </c>
      <c r="F15" s="172"/>
      <c r="G15" s="794">
        <f>'２-Ⅳ'!B14</f>
        <v>519</v>
      </c>
      <c r="H15" s="795">
        <f t="shared" si="2"/>
        <v>3.6652542372881354E-2</v>
      </c>
      <c r="J15" s="42" t="s">
        <v>191</v>
      </c>
      <c r="K15" s="58">
        <v>330</v>
      </c>
      <c r="M15" s="42" t="s">
        <v>191</v>
      </c>
      <c r="N15" s="269">
        <v>27</v>
      </c>
      <c r="Q15" s="273" t="s">
        <v>191</v>
      </c>
    </row>
    <row r="16" spans="1:17" ht="18.75" customHeight="1" x14ac:dyDescent="0.2">
      <c r="A16" s="248" t="s">
        <v>216</v>
      </c>
      <c r="B16" s="790">
        <f>IFERROR(VLOOKUP($Q16,在院期間＿65歳以上[#All],2,FALSE),0)</f>
        <v>262</v>
      </c>
      <c r="C16" s="791">
        <f t="shared" si="0"/>
        <v>3.084893441657836E-2</v>
      </c>
      <c r="D16" s="792">
        <f>IFERROR(VLOOKUP($Q16,在院期間＿65歳以上＿寛解・院内寛解[#All],2,FALSE),0)</f>
        <v>18</v>
      </c>
      <c r="E16" s="793">
        <f t="shared" si="1"/>
        <v>2.1634615384615384E-2</v>
      </c>
      <c r="F16" s="172"/>
      <c r="G16" s="794">
        <f>'２-Ⅳ'!B15</f>
        <v>447</v>
      </c>
      <c r="H16" s="795">
        <f t="shared" si="2"/>
        <v>3.1567796610169493E-2</v>
      </c>
      <c r="J16" s="42" t="s">
        <v>192</v>
      </c>
      <c r="K16" s="58">
        <v>262</v>
      </c>
      <c r="M16" s="42" t="s">
        <v>192</v>
      </c>
      <c r="N16" s="269">
        <v>18</v>
      </c>
      <c r="Q16" s="274" t="s">
        <v>192</v>
      </c>
    </row>
    <row r="17" spans="1:17" ht="18.75" customHeight="1" x14ac:dyDescent="0.2">
      <c r="A17" s="248" t="s">
        <v>217</v>
      </c>
      <c r="B17" s="790">
        <f>IFERROR(VLOOKUP($Q17,在院期間＿65歳以上[#All],2,FALSE),0)</f>
        <v>191</v>
      </c>
      <c r="C17" s="791">
        <f t="shared" si="0"/>
        <v>2.2489108677734605E-2</v>
      </c>
      <c r="D17" s="792">
        <f>IFERROR(VLOOKUP($Q17,在院期間＿65歳以上＿寛解・院内寛解[#All],2,FALSE),0)</f>
        <v>16</v>
      </c>
      <c r="E17" s="793">
        <f t="shared" si="1"/>
        <v>1.9230769230769232E-2</v>
      </c>
      <c r="F17" s="172"/>
      <c r="G17" s="794">
        <f>'２-Ⅳ'!B16</f>
        <v>334</v>
      </c>
      <c r="H17" s="795">
        <f t="shared" si="2"/>
        <v>2.3587570621468927E-2</v>
      </c>
      <c r="J17" s="42" t="s">
        <v>193</v>
      </c>
      <c r="K17" s="58">
        <v>191</v>
      </c>
      <c r="M17" s="42" t="s">
        <v>193</v>
      </c>
      <c r="N17" s="269">
        <v>16</v>
      </c>
      <c r="Q17" s="273" t="s">
        <v>193</v>
      </c>
    </row>
    <row r="18" spans="1:17" ht="18.75" customHeight="1" x14ac:dyDescent="0.2">
      <c r="A18" s="248" t="s">
        <v>218</v>
      </c>
      <c r="B18" s="790">
        <f>IFERROR(VLOOKUP($Q18,在院期間＿65歳以上[#All],2,FALSE),0)</f>
        <v>140</v>
      </c>
      <c r="C18" s="791">
        <f t="shared" si="0"/>
        <v>1.6484163428705994E-2</v>
      </c>
      <c r="D18" s="792">
        <f>IFERROR(VLOOKUP($Q18,在院期間＿65歳以上＿寛解・院内寛解[#All],2,FALSE),0)</f>
        <v>13</v>
      </c>
      <c r="E18" s="793">
        <f t="shared" si="1"/>
        <v>1.5625E-2</v>
      </c>
      <c r="F18" s="172"/>
      <c r="G18" s="794">
        <f>'２-Ⅳ'!B17</f>
        <v>252</v>
      </c>
      <c r="H18" s="795">
        <f t="shared" si="2"/>
        <v>1.7796610169491526E-2</v>
      </c>
      <c r="J18" s="42" t="s">
        <v>194</v>
      </c>
      <c r="K18" s="58">
        <v>140</v>
      </c>
      <c r="M18" s="42" t="s">
        <v>194</v>
      </c>
      <c r="N18" s="269">
        <v>13</v>
      </c>
      <c r="Q18" s="274" t="s">
        <v>194</v>
      </c>
    </row>
    <row r="19" spans="1:17" ht="18.75" customHeight="1" x14ac:dyDescent="0.2">
      <c r="A19" s="248" t="s">
        <v>219</v>
      </c>
      <c r="B19" s="790">
        <f>IFERROR(VLOOKUP($Q19,在院期間＿65歳以上[#All],2,FALSE),0)</f>
        <v>129</v>
      </c>
      <c r="C19" s="791">
        <f t="shared" si="0"/>
        <v>1.5188979159307664E-2</v>
      </c>
      <c r="D19" s="792">
        <f>IFERROR(VLOOKUP($Q19,在院期間＿65歳以上＿寛解・院内寛解[#All],2,FALSE),0)</f>
        <v>12</v>
      </c>
      <c r="E19" s="793">
        <f t="shared" si="1"/>
        <v>1.4423076923076924E-2</v>
      </c>
      <c r="F19" s="172"/>
      <c r="G19" s="794">
        <f>'２-Ⅳ'!B18</f>
        <v>254</v>
      </c>
      <c r="H19" s="795">
        <f t="shared" si="2"/>
        <v>1.7937853107344633E-2</v>
      </c>
      <c r="J19" s="42" t="s">
        <v>195</v>
      </c>
      <c r="K19" s="58">
        <v>129</v>
      </c>
      <c r="M19" s="42" t="s">
        <v>195</v>
      </c>
      <c r="N19" s="269">
        <v>12</v>
      </c>
      <c r="Q19" s="273" t="s">
        <v>195</v>
      </c>
    </row>
    <row r="20" spans="1:17" ht="18.75" customHeight="1" x14ac:dyDescent="0.2">
      <c r="A20" s="248" t="s">
        <v>220</v>
      </c>
      <c r="B20" s="790">
        <f>IFERROR(VLOOKUP($Q20,在院期間＿65歳以上[#All],2,FALSE),0)</f>
        <v>650</v>
      </c>
      <c r="C20" s="791">
        <f t="shared" si="0"/>
        <v>7.6533615918992118E-2</v>
      </c>
      <c r="D20" s="792">
        <f>IFERROR(VLOOKUP($Q20,在院期間＿65歳以上＿寛解・院内寛解[#All],2,FALSE),0)</f>
        <v>46</v>
      </c>
      <c r="E20" s="793">
        <f t="shared" si="1"/>
        <v>5.5288461538461536E-2</v>
      </c>
      <c r="F20" s="172"/>
      <c r="G20" s="794">
        <f>'２-Ⅳ'!B19</f>
        <v>1240</v>
      </c>
      <c r="H20" s="795">
        <f t="shared" si="2"/>
        <v>8.7570621468926552E-2</v>
      </c>
      <c r="J20" s="42" t="s">
        <v>196</v>
      </c>
      <c r="K20" s="58">
        <v>650</v>
      </c>
      <c r="M20" s="42" t="s">
        <v>196</v>
      </c>
      <c r="N20" s="269">
        <v>46</v>
      </c>
      <c r="Q20" s="274" t="s">
        <v>196</v>
      </c>
    </row>
    <row r="21" spans="1:17" ht="18.75" customHeight="1" x14ac:dyDescent="0.2">
      <c r="A21" s="248" t="s">
        <v>61</v>
      </c>
      <c r="B21" s="790">
        <f>IFERROR(VLOOKUP($Q21,在院期間＿65歳以上[#All],2,FALSE),0)</f>
        <v>507</v>
      </c>
      <c r="C21" s="796">
        <f t="shared" si="0"/>
        <v>5.9696220416813849E-2</v>
      </c>
      <c r="D21" s="792">
        <f>IFERROR(VLOOKUP($Q21,在院期間＿65歳以上＿寛解・院内寛解[#All],2,FALSE),0)</f>
        <v>22</v>
      </c>
      <c r="E21" s="797">
        <f t="shared" si="1"/>
        <v>2.6442307692307692E-2</v>
      </c>
      <c r="F21" s="172"/>
      <c r="G21" s="794">
        <f>'２-Ⅳ'!B20</f>
        <v>765</v>
      </c>
      <c r="H21" s="798">
        <f t="shared" si="2"/>
        <v>5.4025423728813561E-2</v>
      </c>
      <c r="I21" s="103"/>
      <c r="J21" s="42" t="s">
        <v>197</v>
      </c>
      <c r="K21" s="58">
        <v>507</v>
      </c>
      <c r="M21" s="42" t="s">
        <v>197</v>
      </c>
      <c r="N21" s="269">
        <v>22</v>
      </c>
      <c r="Q21" s="273" t="s">
        <v>197</v>
      </c>
    </row>
    <row r="22" spans="1:17" ht="18.75" customHeight="1" x14ac:dyDescent="0.2">
      <c r="A22" s="754" t="s">
        <v>160</v>
      </c>
      <c r="B22" s="799">
        <f>SUM(B6:B21)</f>
        <v>8493</v>
      </c>
      <c r="C22" s="800">
        <f t="shared" ref="C22:D22" si="3">SUM(C6:C21)</f>
        <v>0.99999999999999989</v>
      </c>
      <c r="D22" s="799">
        <f t="shared" si="3"/>
        <v>832</v>
      </c>
      <c r="E22" s="801">
        <f t="shared" ref="E22" si="4">SUM(E6:E21)</f>
        <v>1</v>
      </c>
      <c r="F22" s="172"/>
      <c r="G22" s="802">
        <f>SUM(G6:G21)</f>
        <v>14160</v>
      </c>
      <c r="H22" s="803">
        <f t="shared" ref="H22" si="5">SUM(H6:H21)</f>
        <v>1</v>
      </c>
      <c r="I22" s="103"/>
    </row>
    <row r="23" spans="1:17" ht="18.75" customHeight="1" x14ac:dyDescent="0.2">
      <c r="A23" s="804" t="s">
        <v>56</v>
      </c>
      <c r="B23" s="805">
        <f>SUM(B6:B9)</f>
        <v>3589</v>
      </c>
      <c r="C23" s="806">
        <f t="shared" si="0"/>
        <v>0.42258330389732723</v>
      </c>
      <c r="D23" s="805">
        <f>SUM(D6:D9)</f>
        <v>476</v>
      </c>
      <c r="E23" s="806">
        <f>IFERROR(D23/D$22,"-")</f>
        <v>0.57211538461538458</v>
      </c>
      <c r="F23" s="807"/>
      <c r="G23" s="805">
        <f>SUM(G6:G9)</f>
        <v>6394</v>
      </c>
      <c r="H23" s="806">
        <f t="shared" si="2"/>
        <v>0.45155367231638416</v>
      </c>
    </row>
    <row r="24" spans="1:17" ht="18.75" customHeight="1" x14ac:dyDescent="0.2">
      <c r="A24" s="804" t="s">
        <v>57</v>
      </c>
      <c r="B24" s="805">
        <f>SUM(B10:B14)</f>
        <v>2695</v>
      </c>
      <c r="C24" s="806">
        <f t="shared" si="0"/>
        <v>0.31732014600259034</v>
      </c>
      <c r="D24" s="805">
        <f>SUM(D10:D14)</f>
        <v>202</v>
      </c>
      <c r="E24" s="806">
        <f t="shared" ref="E24:E26" si="6">IFERROR(D24/D$22,"-")</f>
        <v>0.24278846153846154</v>
      </c>
      <c r="F24" s="807"/>
      <c r="G24" s="805">
        <f>SUM(G10:G14)</f>
        <v>3955</v>
      </c>
      <c r="H24" s="806">
        <f t="shared" si="2"/>
        <v>0.27930790960451979</v>
      </c>
    </row>
    <row r="25" spans="1:17" ht="18.75" customHeight="1" x14ac:dyDescent="0.2">
      <c r="A25" s="804" t="s">
        <v>58</v>
      </c>
      <c r="B25" s="805">
        <f>SUM(B15:B19)</f>
        <v>1052</v>
      </c>
      <c r="C25" s="806">
        <f t="shared" si="0"/>
        <v>0.12386671376427646</v>
      </c>
      <c r="D25" s="805">
        <f>SUM(D15:D19)</f>
        <v>86</v>
      </c>
      <c r="E25" s="806">
        <f t="shared" si="6"/>
        <v>0.10336538461538461</v>
      </c>
      <c r="F25" s="807"/>
      <c r="G25" s="805">
        <f>SUM(G15:G19)</f>
        <v>1806</v>
      </c>
      <c r="H25" s="806">
        <f t="shared" si="2"/>
        <v>0.12754237288135592</v>
      </c>
    </row>
    <row r="26" spans="1:17" ht="18.75" customHeight="1" x14ac:dyDescent="0.2">
      <c r="A26" s="804" t="s">
        <v>59</v>
      </c>
      <c r="B26" s="805">
        <f>SUM(B20:B21)</f>
        <v>1157</v>
      </c>
      <c r="C26" s="806">
        <f t="shared" si="0"/>
        <v>0.13622983633580596</v>
      </c>
      <c r="D26" s="805">
        <f>SUM(D20:D21)</f>
        <v>68</v>
      </c>
      <c r="E26" s="806">
        <f t="shared" si="6"/>
        <v>8.1730769230769232E-2</v>
      </c>
      <c r="F26" s="807"/>
      <c r="G26" s="805">
        <f>SUM(G20:G21)</f>
        <v>2005</v>
      </c>
      <c r="H26" s="806">
        <f t="shared" si="2"/>
        <v>0.14159604519774011</v>
      </c>
    </row>
    <row r="30" spans="1:17" x14ac:dyDescent="0.2">
      <c r="C30" s="4"/>
    </row>
    <row r="33" spans="1:3" x14ac:dyDescent="0.2">
      <c r="A33" s="106"/>
      <c r="B33" s="32"/>
      <c r="C33" s="32"/>
    </row>
    <row r="34" spans="1:3" x14ac:dyDescent="0.2">
      <c r="A34" s="37"/>
      <c r="B34" s="38"/>
      <c r="C34" s="44"/>
    </row>
    <row r="35" spans="1:3" x14ac:dyDescent="0.2">
      <c r="A35" s="37"/>
      <c r="B35" s="38"/>
      <c r="C35" s="44"/>
    </row>
    <row r="36" spans="1:3" x14ac:dyDescent="0.2">
      <c r="A36" s="37"/>
      <c r="B36" s="38"/>
      <c r="C36" s="44"/>
    </row>
    <row r="37" spans="1:3" ht="13.5" customHeight="1" x14ac:dyDescent="0.2">
      <c r="A37" s="37"/>
      <c r="B37" s="38"/>
      <c r="C37" s="44"/>
    </row>
    <row r="38" spans="1:3" x14ac:dyDescent="0.2">
      <c r="A38" s="37"/>
      <c r="B38" s="38"/>
      <c r="C38" s="44"/>
    </row>
    <row r="39" spans="1:3" x14ac:dyDescent="0.2">
      <c r="A39" s="37"/>
      <c r="B39" s="38"/>
      <c r="C39" s="44"/>
    </row>
    <row r="40" spans="1:3" x14ac:dyDescent="0.2">
      <c r="A40" s="37"/>
      <c r="B40" s="38"/>
      <c r="C40" s="44"/>
    </row>
    <row r="41" spans="1:3" x14ac:dyDescent="0.2">
      <c r="A41" s="37"/>
      <c r="B41" s="38"/>
      <c r="C41" s="44"/>
    </row>
    <row r="42" spans="1:3" x14ac:dyDescent="0.2">
      <c r="A42" s="37"/>
      <c r="B42" s="38"/>
      <c r="C42" s="44"/>
    </row>
    <row r="43" spans="1:3" x14ac:dyDescent="0.2">
      <c r="A43" s="37"/>
      <c r="B43" s="38"/>
      <c r="C43" s="44"/>
    </row>
    <row r="44" spans="1:3" x14ac:dyDescent="0.2">
      <c r="A44" s="37"/>
      <c r="B44" s="38"/>
      <c r="C44" s="44"/>
    </row>
    <row r="45" spans="1:3" x14ac:dyDescent="0.2">
      <c r="A45" s="37"/>
      <c r="B45" s="38"/>
      <c r="C45" s="44"/>
    </row>
    <row r="46" spans="1:3" x14ac:dyDescent="0.2">
      <c r="A46" s="37"/>
      <c r="B46" s="38"/>
      <c r="C46" s="44"/>
    </row>
    <row r="47" spans="1:3" x14ac:dyDescent="0.2">
      <c r="A47" s="37"/>
      <c r="B47" s="38"/>
      <c r="C47" s="44"/>
    </row>
    <row r="48" spans="1:3" x14ac:dyDescent="0.2">
      <c r="A48" s="37"/>
      <c r="B48" s="38"/>
      <c r="C48" s="44"/>
    </row>
    <row r="49" spans="1:3" x14ac:dyDescent="0.2">
      <c r="A49" s="37"/>
      <c r="B49" s="38"/>
      <c r="C49" s="44"/>
    </row>
    <row r="50" spans="1:3" x14ac:dyDescent="0.2">
      <c r="A50" s="37"/>
      <c r="B50" s="38"/>
      <c r="C50" s="44"/>
    </row>
  </sheetData>
  <mergeCells count="5">
    <mergeCell ref="B3:C4"/>
    <mergeCell ref="D3:E3"/>
    <mergeCell ref="D4:E4"/>
    <mergeCell ref="A3:A5"/>
    <mergeCell ref="G3:H4"/>
  </mergeCells>
  <phoneticPr fontId="2"/>
  <printOptions horizontalCentered="1"/>
  <pageMargins left="0.70866141732283472" right="0.70866141732283472" top="0.74803149606299213" bottom="0.74803149606299213" header="0.70866141732283472" footer="0.31496062992125984"/>
  <pageSetup paperSize="11" scale="69" orientation="landscape" r:id="rId1"/>
  <drawing r:id="rId2"/>
  <mc:AlternateContent xmlns:mc="http://schemas.openxmlformats.org/markup-compatibility/2006">
    <mc:Choice Requires="v">
      <legacyDrawing r:id="rId3"/>
    </mc:Choice>
  </mc:AlternateContent>
  <controls>
    <control shapeId="31745" r:id="rId4" name="Button 1">
      <controlPr defaultSize="0" print="0" autoFill="0" autoPict="0" macro="[0]!データ削除_在院期間_65歳以上">
        <anchor moveWithCells="1" sizeWithCells="1">
          <from>
            <xdr:col>14</xdr:col>
            <xdr:colOff>152400</xdr:colOff>
            <xdr:row>0</xdr:row>
            <xdr:rowOff>236220</xdr:rowOff>
          </from>
          <to>
            <xdr:col>15</xdr:col>
            <xdr:colOff>457200</xdr:colOff>
            <xdr:row>2</xdr:row>
            <xdr:rowOff>106680</xdr:rowOff>
          </to>
        </anchor>
      </controlPr>
    </control>
  </controls>
  <tableParts count="2">
    <tablePart r:id="rId5"/>
    <tablePart r:id="rId6"/>
  </tableParts>
</worksheet>
</file>

<file path=xl/worksheets/sheet1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FFC000"/>
    <pageSetUpPr fitToPage="1"/>
  </sheetPr>
  <dimension ref="A1:J36"/>
  <sheetViews>
    <sheetView showGridLines="0" view="pageBreakPreview" zoomScale="90" zoomScaleNormal="100" zoomScaleSheetLayoutView="90" workbookViewId="0"/>
  </sheetViews>
  <sheetFormatPr defaultColWidth="9" defaultRowHeight="17.399999999999999" x14ac:dyDescent="0.2"/>
  <cols>
    <col min="1" max="1" width="13.109375" style="1" bestFit="1" customWidth="1"/>
    <col min="2" max="2" width="9.33203125" style="1" customWidth="1"/>
    <col min="3" max="3" width="10.77734375" style="1" bestFit="1" customWidth="1"/>
    <col min="4" max="4" width="1.21875" style="1" customWidth="1"/>
    <col min="5" max="5" width="9.33203125" style="1" customWidth="1"/>
    <col min="6" max="6" width="10.77734375" style="1" bestFit="1" customWidth="1"/>
    <col min="7" max="7" width="10.77734375" style="396" customWidth="1"/>
    <col min="8" max="8" width="9" style="41" hidden="1" customWidth="1"/>
    <col min="9" max="10" width="9" style="1" hidden="1" customWidth="1"/>
    <col min="11" max="11" width="9" style="1" customWidth="1"/>
    <col min="12" max="16384" width="9" style="1"/>
  </cols>
  <sheetData>
    <row r="1" spans="1:7" ht="19.2" x14ac:dyDescent="0.2">
      <c r="A1" s="2" t="s">
        <v>221</v>
      </c>
    </row>
    <row r="3" spans="1:7" x14ac:dyDescent="0.2">
      <c r="A3" s="4" t="s">
        <v>222</v>
      </c>
      <c r="B3" s="4"/>
    </row>
    <row r="4" spans="1:7" x14ac:dyDescent="0.45">
      <c r="E4" s="945" t="s">
        <v>105</v>
      </c>
      <c r="F4" s="945"/>
      <c r="G4" s="891"/>
    </row>
    <row r="5" spans="1:7" x14ac:dyDescent="0.2">
      <c r="A5" s="754"/>
      <c r="B5" s="755" t="s">
        <v>0</v>
      </c>
      <c r="C5" s="755" t="s">
        <v>1</v>
      </c>
      <c r="D5" s="808"/>
      <c r="E5" s="755" t="s">
        <v>0</v>
      </c>
      <c r="F5" s="755" t="s">
        <v>1</v>
      </c>
      <c r="G5" s="896"/>
    </row>
    <row r="6" spans="1:7" x14ac:dyDescent="0.2">
      <c r="A6" s="248" t="s">
        <v>28</v>
      </c>
      <c r="B6" s="713">
        <v>167</v>
      </c>
      <c r="C6" s="712">
        <f>IFERROR(B6/B$12,"-")</f>
        <v>1.9663252089956434E-2</v>
      </c>
      <c r="D6" s="809"/>
      <c r="E6" s="747">
        <f>'２-Ⅴ'!B5</f>
        <v>398</v>
      </c>
      <c r="F6" s="712">
        <f>IFERROR(E6/E$12,"-")</f>
        <v>2.8107344632768361E-2</v>
      </c>
      <c r="G6" s="897"/>
    </row>
    <row r="7" spans="1:7" x14ac:dyDescent="0.2">
      <c r="A7" s="248" t="s">
        <v>29</v>
      </c>
      <c r="B7" s="713">
        <v>665</v>
      </c>
      <c r="C7" s="712">
        <f t="shared" ref="C7:C11" si="0">IFERROR(B7/B$12,"-")</f>
        <v>7.829977628635347E-2</v>
      </c>
      <c r="D7" s="809"/>
      <c r="E7" s="747">
        <f>'２-Ⅴ'!B6</f>
        <v>1405</v>
      </c>
      <c r="F7" s="712">
        <f t="shared" ref="F7:F11" si="1">IFERROR(E7/E$12,"-")</f>
        <v>9.9223163841807904E-2</v>
      </c>
      <c r="G7" s="897"/>
    </row>
    <row r="8" spans="1:7" x14ac:dyDescent="0.2">
      <c r="A8" s="248" t="s">
        <v>30</v>
      </c>
      <c r="B8" s="713">
        <v>1526</v>
      </c>
      <c r="C8" s="712">
        <f t="shared" si="0"/>
        <v>0.17967738137289532</v>
      </c>
      <c r="D8" s="809"/>
      <c r="E8" s="747">
        <f>'２-Ⅴ'!B7</f>
        <v>2679</v>
      </c>
      <c r="F8" s="712">
        <f t="shared" si="1"/>
        <v>0.18919491525423729</v>
      </c>
      <c r="G8" s="897"/>
    </row>
    <row r="9" spans="1:7" x14ac:dyDescent="0.2">
      <c r="A9" s="248" t="s">
        <v>31</v>
      </c>
      <c r="B9" s="713">
        <v>3613</v>
      </c>
      <c r="C9" s="712">
        <f t="shared" si="0"/>
        <v>0.42540916048510535</v>
      </c>
      <c r="D9" s="809"/>
      <c r="E9" s="747">
        <f>'２-Ⅴ'!B8</f>
        <v>5705</v>
      </c>
      <c r="F9" s="712">
        <f t="shared" si="1"/>
        <v>0.4028954802259887</v>
      </c>
      <c r="G9" s="897"/>
    </row>
    <row r="10" spans="1:7" x14ac:dyDescent="0.2">
      <c r="A10" s="248" t="s">
        <v>32</v>
      </c>
      <c r="B10" s="713">
        <v>2104</v>
      </c>
      <c r="C10" s="712">
        <f t="shared" si="0"/>
        <v>0.24773342752855293</v>
      </c>
      <c r="D10" s="809"/>
      <c r="E10" s="747">
        <f>'２-Ⅴ'!B9</f>
        <v>3298</v>
      </c>
      <c r="F10" s="712">
        <f t="shared" si="1"/>
        <v>0.23290960451977402</v>
      </c>
      <c r="G10" s="897"/>
    </row>
    <row r="11" spans="1:7" x14ac:dyDescent="0.2">
      <c r="A11" s="248" t="s">
        <v>33</v>
      </c>
      <c r="B11" s="713">
        <v>418</v>
      </c>
      <c r="C11" s="712">
        <f t="shared" si="0"/>
        <v>4.9217002237136466E-2</v>
      </c>
      <c r="D11" s="809"/>
      <c r="E11" s="747">
        <f>'２-Ⅴ'!B10</f>
        <v>675</v>
      </c>
      <c r="F11" s="712">
        <f t="shared" si="1"/>
        <v>4.7669491525423727E-2</v>
      </c>
      <c r="G11" s="897"/>
    </row>
    <row r="12" spans="1:7" x14ac:dyDescent="0.2">
      <c r="A12" s="754" t="s">
        <v>160</v>
      </c>
      <c r="B12" s="810">
        <f>SUM(B6:B11)</f>
        <v>8493</v>
      </c>
      <c r="C12" s="758">
        <f>SUM(C6:C11)</f>
        <v>0.99999999999999989</v>
      </c>
      <c r="D12" s="811"/>
      <c r="E12" s="812">
        <f>SUM(E6:E11)</f>
        <v>14160</v>
      </c>
      <c r="F12" s="758">
        <f>SUM(F6:F11)</f>
        <v>1</v>
      </c>
      <c r="G12" s="898"/>
    </row>
    <row r="13" spans="1:7" x14ac:dyDescent="0.2">
      <c r="D13" s="109"/>
    </row>
    <row r="14" spans="1:7" x14ac:dyDescent="0.2">
      <c r="A14" s="4" t="s">
        <v>223</v>
      </c>
      <c r="D14" s="109"/>
    </row>
    <row r="15" spans="1:7" x14ac:dyDescent="0.45">
      <c r="A15" s="172"/>
      <c r="B15" s="172"/>
      <c r="C15" s="172"/>
      <c r="D15" s="172"/>
      <c r="E15" s="946" t="s">
        <v>105</v>
      </c>
      <c r="F15" s="946"/>
      <c r="G15" s="892"/>
    </row>
    <row r="16" spans="1:7" x14ac:dyDescent="0.2">
      <c r="A16" s="754"/>
      <c r="B16" s="755" t="s">
        <v>0</v>
      </c>
      <c r="C16" s="755" t="s">
        <v>1</v>
      </c>
      <c r="D16" s="808"/>
      <c r="E16" s="755" t="s">
        <v>0</v>
      </c>
      <c r="F16" s="755" t="s">
        <v>1</v>
      </c>
      <c r="G16" s="896"/>
    </row>
    <row r="17" spans="1:7" x14ac:dyDescent="0.2">
      <c r="A17" s="248" t="s">
        <v>28</v>
      </c>
      <c r="B17" s="713">
        <v>43</v>
      </c>
      <c r="C17" s="712">
        <f>IFERROR(B17/B$23,"-")</f>
        <v>8.7683523654159875E-3</v>
      </c>
      <c r="D17" s="809"/>
      <c r="E17" s="747">
        <f>'３-Ⅳ'!B5</f>
        <v>68</v>
      </c>
      <c r="F17" s="712">
        <f>IFERROR(E17/E$23,"-")</f>
        <v>8.7561164048416181E-3</v>
      </c>
      <c r="G17" s="897"/>
    </row>
    <row r="18" spans="1:7" x14ac:dyDescent="0.2">
      <c r="A18" s="248" t="s">
        <v>29</v>
      </c>
      <c r="B18" s="713">
        <v>313</v>
      </c>
      <c r="C18" s="712">
        <f t="shared" ref="C18:C22" si="2">IFERROR(B18/B$23,"-")</f>
        <v>6.3825448613376828E-2</v>
      </c>
      <c r="D18" s="809"/>
      <c r="E18" s="747">
        <f>'３-Ⅳ'!B6</f>
        <v>505</v>
      </c>
      <c r="F18" s="712">
        <f t="shared" ref="F18:F22" si="3">IFERROR(E18/E$23,"-")</f>
        <v>6.5027040947720841E-2</v>
      </c>
      <c r="G18" s="897"/>
    </row>
    <row r="19" spans="1:7" x14ac:dyDescent="0.2">
      <c r="A19" s="248" t="s">
        <v>30</v>
      </c>
      <c r="B19" s="713">
        <v>753</v>
      </c>
      <c r="C19" s="712">
        <f t="shared" si="2"/>
        <v>0.15354812398042414</v>
      </c>
      <c r="D19" s="809"/>
      <c r="E19" s="747">
        <f>'３-Ⅳ'!B7</f>
        <v>1203</v>
      </c>
      <c r="F19" s="712">
        <f t="shared" si="3"/>
        <v>0.15490600051506567</v>
      </c>
      <c r="G19" s="897"/>
    </row>
    <row r="20" spans="1:7" x14ac:dyDescent="0.2">
      <c r="A20" s="248" t="s">
        <v>31</v>
      </c>
      <c r="B20" s="713">
        <v>2269</v>
      </c>
      <c r="C20" s="712">
        <f t="shared" si="2"/>
        <v>0.46268352365415988</v>
      </c>
      <c r="D20" s="809"/>
      <c r="E20" s="747">
        <f>'３-Ⅳ'!B8</f>
        <v>3518</v>
      </c>
      <c r="F20" s="712">
        <f t="shared" si="3"/>
        <v>0.45300025753283546</v>
      </c>
      <c r="G20" s="897"/>
    </row>
    <row r="21" spans="1:7" x14ac:dyDescent="0.2">
      <c r="A21" s="248" t="s">
        <v>32</v>
      </c>
      <c r="B21" s="713">
        <v>1272</v>
      </c>
      <c r="C21" s="712">
        <f t="shared" si="2"/>
        <v>0.25938009787928223</v>
      </c>
      <c r="D21" s="809"/>
      <c r="E21" s="747">
        <f>'３-Ⅳ'!B9</f>
        <v>2029</v>
      </c>
      <c r="F21" s="712">
        <f t="shared" si="3"/>
        <v>0.26126706155034768</v>
      </c>
      <c r="G21" s="897"/>
    </row>
    <row r="22" spans="1:7" x14ac:dyDescent="0.2">
      <c r="A22" s="248" t="s">
        <v>33</v>
      </c>
      <c r="B22" s="713">
        <v>254</v>
      </c>
      <c r="C22" s="712">
        <f t="shared" si="2"/>
        <v>5.1794453507340944E-2</v>
      </c>
      <c r="D22" s="809"/>
      <c r="E22" s="747">
        <f>'３-Ⅳ'!B10</f>
        <v>443</v>
      </c>
      <c r="F22" s="712">
        <f t="shared" si="3"/>
        <v>5.704352304918877E-2</v>
      </c>
      <c r="G22" s="897"/>
    </row>
    <row r="23" spans="1:7" x14ac:dyDescent="0.2">
      <c r="A23" s="754" t="s">
        <v>160</v>
      </c>
      <c r="B23" s="810">
        <f>SUM(B17:B22)</f>
        <v>4904</v>
      </c>
      <c r="C23" s="758">
        <f>SUM(C17:C22)</f>
        <v>1</v>
      </c>
      <c r="D23" s="811"/>
      <c r="E23" s="812">
        <f>SUM(E17:E22)</f>
        <v>7766</v>
      </c>
      <c r="F23" s="758">
        <f>SUM(F17:F22)</f>
        <v>1</v>
      </c>
      <c r="G23" s="898"/>
    </row>
    <row r="24" spans="1:7" hidden="1" x14ac:dyDescent="0.2"/>
    <row r="25" spans="1:7" hidden="1" x14ac:dyDescent="0.2">
      <c r="B25" s="350" t="s">
        <v>365</v>
      </c>
    </row>
    <row r="26" spans="1:7" hidden="1" x14ac:dyDescent="0.2"/>
    <row r="27" spans="1:7" x14ac:dyDescent="0.2">
      <c r="C27" s="4"/>
      <c r="D27" s="4"/>
      <c r="E27" s="4"/>
      <c r="F27" s="4"/>
      <c r="G27" s="4"/>
    </row>
    <row r="29" spans="1:7" x14ac:dyDescent="0.2">
      <c r="A29" s="106"/>
      <c r="B29" s="32"/>
      <c r="C29" s="32"/>
      <c r="D29" s="32"/>
      <c r="E29" s="32"/>
      <c r="F29" s="32"/>
      <c r="G29" s="32"/>
    </row>
    <row r="30" spans="1:7" x14ac:dyDescent="0.2">
      <c r="A30" s="37"/>
      <c r="B30" s="38"/>
      <c r="C30" s="35"/>
      <c r="D30" s="35"/>
      <c r="E30" s="35"/>
      <c r="F30" s="35"/>
      <c r="G30" s="35"/>
    </row>
    <row r="31" spans="1:7" x14ac:dyDescent="0.2">
      <c r="A31" s="37"/>
      <c r="B31" s="38"/>
      <c r="C31" s="35"/>
      <c r="D31" s="35"/>
      <c r="E31" s="35"/>
      <c r="F31" s="35"/>
      <c r="G31" s="35"/>
    </row>
    <row r="32" spans="1:7" x14ac:dyDescent="0.2">
      <c r="A32" s="37"/>
      <c r="B32" s="38"/>
      <c r="C32" s="35"/>
      <c r="D32" s="35"/>
      <c r="E32" s="35"/>
      <c r="F32" s="35"/>
      <c r="G32" s="35"/>
    </row>
    <row r="33" spans="1:7" x14ac:dyDescent="0.2">
      <c r="A33" s="37"/>
      <c r="B33" s="38"/>
      <c r="C33" s="35"/>
      <c r="D33" s="35"/>
      <c r="E33" s="35"/>
      <c r="F33" s="35"/>
      <c r="G33" s="35"/>
    </row>
    <row r="34" spans="1:7" x14ac:dyDescent="0.2">
      <c r="A34" s="37"/>
      <c r="B34" s="38"/>
      <c r="C34" s="35"/>
      <c r="D34" s="35"/>
      <c r="E34" s="35"/>
      <c r="F34" s="35"/>
      <c r="G34" s="35"/>
    </row>
    <row r="35" spans="1:7" x14ac:dyDescent="0.2">
      <c r="A35" s="37"/>
      <c r="B35" s="38"/>
      <c r="C35" s="35"/>
      <c r="D35" s="35"/>
      <c r="E35" s="35"/>
      <c r="F35" s="35"/>
      <c r="G35" s="35"/>
    </row>
    <row r="36" spans="1:7" x14ac:dyDescent="0.2">
      <c r="A36" s="37"/>
      <c r="B36" s="38"/>
      <c r="C36" s="35"/>
      <c r="D36" s="35"/>
      <c r="E36" s="35"/>
      <c r="F36" s="35"/>
      <c r="G36" s="35"/>
    </row>
  </sheetData>
  <mergeCells count="2">
    <mergeCell ref="E4:F4"/>
    <mergeCell ref="E15:F15"/>
  </mergeCells>
  <phoneticPr fontId="2"/>
  <printOptions horizontalCentered="1"/>
  <pageMargins left="0.70866141732283472" right="0.70866141732283472" top="0.74803149606299213" bottom="0.74803149606299213" header="0.70866141732283472" footer="0.31496062992125984"/>
  <pageSetup paperSize="11" scale="83" orientation="landscape" r:id="rId1"/>
  <drawing r:id="rId2"/>
  <mc:AlternateContent xmlns:mc="http://schemas.openxmlformats.org/markup-compatibility/2006">
    <mc:Choice Requires="v">
      <legacyDrawing r:id="rId3"/>
    </mc:Choice>
  </mc:AlternateContent>
  <controls>
    <control shapeId="32769" r:id="rId4" name="Button 1">
      <controlPr defaultSize="0" print="0" autoFill="0" autoPict="0" macro="[0]!データ削除_状態像区分_65歳以上">
        <anchor moveWithCells="1" sizeWithCells="1">
          <from>
            <xdr:col>7</xdr:col>
            <xdr:colOff>373380</xdr:colOff>
            <xdr:row>2</xdr:row>
            <xdr:rowOff>228600</xdr:rowOff>
          </from>
          <to>
            <xdr:col>9</xdr:col>
            <xdr:colOff>45720</xdr:colOff>
            <xdr:row>5</xdr:row>
            <xdr:rowOff>0</xdr:rowOff>
          </to>
        </anchor>
      </controlPr>
    </control>
  </controls>
</worksheet>
</file>

<file path=xl/worksheets/sheet1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FFC000"/>
    <pageSetUpPr fitToPage="1"/>
  </sheetPr>
  <dimension ref="A1:N76"/>
  <sheetViews>
    <sheetView showGridLines="0" view="pageBreakPreview" zoomScale="80" zoomScaleNormal="110" zoomScaleSheetLayoutView="80" workbookViewId="0"/>
  </sheetViews>
  <sheetFormatPr defaultColWidth="9" defaultRowHeight="17.399999999999999" x14ac:dyDescent="0.2"/>
  <cols>
    <col min="1" max="1" width="37.44140625" style="1" customWidth="1"/>
    <col min="2" max="2" width="9.33203125" style="1" customWidth="1"/>
    <col min="3" max="3" width="10.5546875" style="1" bestFit="1" customWidth="1"/>
    <col min="4" max="4" width="9.33203125" style="1" customWidth="1"/>
    <col min="5" max="5" width="10.5546875" style="1" bestFit="1" customWidth="1"/>
    <col min="6" max="6" width="9" style="1"/>
    <col min="7" max="7" width="37.44140625" style="1" customWidth="1"/>
    <col min="8" max="8" width="9.33203125" style="1" customWidth="1"/>
    <col min="9" max="9" width="10.5546875" style="1" bestFit="1" customWidth="1"/>
    <col min="10" max="10" width="9.33203125" style="1" customWidth="1"/>
    <col min="11" max="11" width="10.5546875" style="1" bestFit="1" customWidth="1"/>
    <col min="12" max="14" width="9" style="1" hidden="1" customWidth="1"/>
    <col min="15" max="15" width="9" style="1" customWidth="1"/>
    <col min="16" max="16384" width="9" style="1"/>
  </cols>
  <sheetData>
    <row r="1" spans="1:12" ht="19.2" x14ac:dyDescent="0.2">
      <c r="A1" s="2" t="s">
        <v>237</v>
      </c>
    </row>
    <row r="2" spans="1:12" x14ac:dyDescent="0.2">
      <c r="A2" s="4" t="s">
        <v>13</v>
      </c>
      <c r="G2" s="4" t="s">
        <v>113</v>
      </c>
    </row>
    <row r="3" spans="1:12" x14ac:dyDescent="0.45">
      <c r="A3" s="70"/>
      <c r="B3" s="70"/>
      <c r="C3" s="23"/>
      <c r="D3" s="925" t="s">
        <v>105</v>
      </c>
      <c r="E3" s="925"/>
      <c r="G3" s="70"/>
      <c r="H3" s="70"/>
      <c r="I3" s="23"/>
      <c r="J3" s="925" t="s">
        <v>105</v>
      </c>
      <c r="K3" s="925"/>
    </row>
    <row r="4" spans="1:12" x14ac:dyDescent="0.2">
      <c r="A4" s="243"/>
      <c r="B4" s="813" t="s">
        <v>0</v>
      </c>
      <c r="C4" s="814" t="s">
        <v>1</v>
      </c>
      <c r="D4" s="815" t="s">
        <v>0</v>
      </c>
      <c r="E4" s="816" t="s">
        <v>1</v>
      </c>
      <c r="G4" s="243"/>
      <c r="H4" s="813" t="s">
        <v>0</v>
      </c>
      <c r="I4" s="814" t="s">
        <v>1</v>
      </c>
      <c r="J4" s="815" t="s">
        <v>0</v>
      </c>
      <c r="K4" s="816" t="s">
        <v>1</v>
      </c>
      <c r="L4" s="21"/>
    </row>
    <row r="5" spans="1:12" ht="30" x14ac:dyDescent="0.2">
      <c r="A5" s="217" t="s">
        <v>231</v>
      </c>
      <c r="B5" s="817">
        <v>1267</v>
      </c>
      <c r="C5" s="798">
        <f>IFERROR(B5/B$8,"-")</f>
        <v>0.14918167902978924</v>
      </c>
      <c r="D5" s="818">
        <f>'２-Ⅵ'!B5</f>
        <v>1982</v>
      </c>
      <c r="E5" s="798">
        <f>IFERROR(D5/D$8,"-")</f>
        <v>0.13997175141242937</v>
      </c>
      <c r="G5" s="217" t="s">
        <v>231</v>
      </c>
      <c r="H5" s="817">
        <v>367</v>
      </c>
      <c r="I5" s="798">
        <f>IFERROR(H5/H$8,"-")</f>
        <v>0.44110576923076922</v>
      </c>
      <c r="J5" s="818">
        <f>'２-Ⅵ'!H5</f>
        <v>616</v>
      </c>
      <c r="K5" s="798">
        <f>IFERROR(J5/J$8,"-")</f>
        <v>0.34165280088740985</v>
      </c>
    </row>
    <row r="6" spans="1:12" x14ac:dyDescent="0.2">
      <c r="A6" s="831" t="s">
        <v>232</v>
      </c>
      <c r="B6" s="817">
        <v>6505</v>
      </c>
      <c r="C6" s="798">
        <f t="shared" ref="C6:C7" si="0">IFERROR(B6/B$8,"-")</f>
        <v>0.76592487931237485</v>
      </c>
      <c r="D6" s="819">
        <f>'２-Ⅵ'!B6</f>
        <v>10522</v>
      </c>
      <c r="E6" s="798">
        <f t="shared" ref="E6:E7" si="1">IFERROR(D6/D$8,"-")</f>
        <v>0.74307909604519773</v>
      </c>
      <c r="G6" s="831" t="s">
        <v>232</v>
      </c>
      <c r="H6" s="817">
        <v>164</v>
      </c>
      <c r="I6" s="798">
        <f t="shared" ref="I6:I7" si="2">IFERROR(H6/H$8,"-")</f>
        <v>0.19711538461538461</v>
      </c>
      <c r="J6" s="819">
        <f>'２-Ⅵ'!H6</f>
        <v>387</v>
      </c>
      <c r="K6" s="798">
        <f t="shared" ref="K6:K7" si="3">IFERROR(J6/J$8,"-")</f>
        <v>0.21464226289517471</v>
      </c>
    </row>
    <row r="7" spans="1:12" x14ac:dyDescent="0.2">
      <c r="A7" s="218" t="s">
        <v>233</v>
      </c>
      <c r="B7" s="817">
        <v>721</v>
      </c>
      <c r="C7" s="798">
        <f t="shared" si="0"/>
        <v>8.4893441657835869E-2</v>
      </c>
      <c r="D7" s="819">
        <f>'２-Ⅵ'!B7</f>
        <v>1656</v>
      </c>
      <c r="E7" s="798">
        <f t="shared" si="1"/>
        <v>0.11694915254237288</v>
      </c>
      <c r="G7" s="218" t="s">
        <v>233</v>
      </c>
      <c r="H7" s="817">
        <v>301</v>
      </c>
      <c r="I7" s="798">
        <f t="shared" si="2"/>
        <v>0.36177884615384615</v>
      </c>
      <c r="J7" s="819">
        <f>'２-Ⅵ'!H7</f>
        <v>800</v>
      </c>
      <c r="K7" s="798">
        <f t="shared" si="3"/>
        <v>0.44370493621741541</v>
      </c>
    </row>
    <row r="8" spans="1:12" x14ac:dyDescent="0.2">
      <c r="A8" s="244" t="s">
        <v>160</v>
      </c>
      <c r="B8" s="820">
        <f>SUM(B5:B7)</f>
        <v>8493</v>
      </c>
      <c r="C8" s="821">
        <f>SUM(C5:C7)</f>
        <v>0.99999999999999989</v>
      </c>
      <c r="D8" s="245">
        <f>SUM(D5:D7)</f>
        <v>14160</v>
      </c>
      <c r="E8" s="821">
        <f>SUM(E5:E7)</f>
        <v>1</v>
      </c>
      <c r="G8" s="244" t="s">
        <v>160</v>
      </c>
      <c r="H8" s="820">
        <f>SUM(H5:H7)</f>
        <v>832</v>
      </c>
      <c r="I8" s="821">
        <f>SUM(I5:I7)</f>
        <v>1</v>
      </c>
      <c r="J8" s="245">
        <f>SUM(J5:J7)</f>
        <v>1803</v>
      </c>
      <c r="K8" s="821">
        <f>SUM(K5:K7)</f>
        <v>1</v>
      </c>
    </row>
    <row r="9" spans="1:12" s="103" customFormat="1" x14ac:dyDescent="0.2">
      <c r="A9" s="100"/>
      <c r="B9" s="101"/>
      <c r="C9" s="102"/>
      <c r="D9" s="101"/>
      <c r="E9" s="102"/>
      <c r="G9" s="100"/>
      <c r="H9" s="101"/>
      <c r="I9" s="102"/>
      <c r="J9" s="101"/>
      <c r="K9" s="102"/>
    </row>
    <row r="10" spans="1:12" x14ac:dyDescent="0.2">
      <c r="A10" s="4" t="s">
        <v>13</v>
      </c>
      <c r="G10" s="4" t="s">
        <v>113</v>
      </c>
    </row>
    <row r="11" spans="1:12" x14ac:dyDescent="0.45">
      <c r="A11" s="70"/>
      <c r="B11" s="70"/>
      <c r="C11" s="23"/>
      <c r="D11" s="925" t="s">
        <v>105</v>
      </c>
      <c r="E11" s="925"/>
      <c r="G11" s="70"/>
      <c r="H11" s="70"/>
      <c r="I11" s="23"/>
      <c r="J11" s="925" t="s">
        <v>105</v>
      </c>
      <c r="K11" s="925"/>
    </row>
    <row r="12" spans="1:12" x14ac:dyDescent="0.2">
      <c r="A12" s="243"/>
      <c r="B12" s="813" t="s">
        <v>0</v>
      </c>
      <c r="C12" s="814" t="s">
        <v>1</v>
      </c>
      <c r="D12" s="815" t="s">
        <v>0</v>
      </c>
      <c r="E12" s="816" t="s">
        <v>1</v>
      </c>
      <c r="G12" s="243"/>
      <c r="H12" s="822" t="s">
        <v>0</v>
      </c>
      <c r="I12" s="823" t="s">
        <v>1</v>
      </c>
      <c r="J12" s="813" t="s">
        <v>0</v>
      </c>
      <c r="K12" s="816" t="s">
        <v>1</v>
      </c>
      <c r="L12" s="21"/>
    </row>
    <row r="13" spans="1:12" x14ac:dyDescent="0.2">
      <c r="A13" s="218" t="s">
        <v>110</v>
      </c>
      <c r="B13" s="817">
        <v>1138</v>
      </c>
      <c r="C13" s="798">
        <f>IFERROR(B13/B$15,"-")</f>
        <v>0.89818468823993691</v>
      </c>
      <c r="D13" s="818">
        <f>'２-Ⅵ'!B14</f>
        <v>1751</v>
      </c>
      <c r="E13" s="798">
        <f>IFERROR(D13/D$15,"-")</f>
        <v>0.88345105953582237</v>
      </c>
      <c r="G13" s="218" t="s">
        <v>110</v>
      </c>
      <c r="H13" s="817">
        <v>328</v>
      </c>
      <c r="I13" s="824">
        <f>IFERROR(H13/H$15,"-")</f>
        <v>0.89373297002724794</v>
      </c>
      <c r="J13" s="817">
        <f>'２-Ⅵ'!H14</f>
        <v>537</v>
      </c>
      <c r="K13" s="798">
        <f>IFERROR(J13/J$15,"-")</f>
        <v>0.87175324675324672</v>
      </c>
    </row>
    <row r="14" spans="1:12" x14ac:dyDescent="0.2">
      <c r="A14" s="218" t="s">
        <v>111</v>
      </c>
      <c r="B14" s="817">
        <v>129</v>
      </c>
      <c r="C14" s="798">
        <f>IFERROR(B14/B$15,"-")</f>
        <v>0.10181531176006314</v>
      </c>
      <c r="D14" s="819">
        <f>'２-Ⅵ'!B15</f>
        <v>231</v>
      </c>
      <c r="E14" s="798">
        <f>IFERROR(D14/D$15,"-")</f>
        <v>0.1165489404641776</v>
      </c>
      <c r="G14" s="218" t="s">
        <v>111</v>
      </c>
      <c r="H14" s="825">
        <v>39</v>
      </c>
      <c r="I14" s="824">
        <f>IFERROR(H14/H$15,"-")</f>
        <v>0.10626702997275204</v>
      </c>
      <c r="J14" s="825">
        <f>'２-Ⅵ'!H15</f>
        <v>79</v>
      </c>
      <c r="K14" s="798">
        <f>IFERROR(J14/J$15,"-")</f>
        <v>0.12824675324675325</v>
      </c>
    </row>
    <row r="15" spans="1:12" x14ac:dyDescent="0.2">
      <c r="A15" s="244" t="s">
        <v>160</v>
      </c>
      <c r="B15" s="820">
        <f>SUM(B13:B14)</f>
        <v>1267</v>
      </c>
      <c r="C15" s="821">
        <f>SUM(C13:C14)</f>
        <v>1</v>
      </c>
      <c r="D15" s="245">
        <f>SUM(D13:D14)</f>
        <v>1982</v>
      </c>
      <c r="E15" s="821">
        <f>SUM(E13:E14)</f>
        <v>1</v>
      </c>
      <c r="G15" s="244" t="s">
        <v>160</v>
      </c>
      <c r="H15" s="820">
        <f>SUM(H13:H14)</f>
        <v>367</v>
      </c>
      <c r="I15" s="826">
        <f>SUM(I13:I14)</f>
        <v>1</v>
      </c>
      <c r="J15" s="820">
        <f>SUM(J13:J14)</f>
        <v>616</v>
      </c>
      <c r="K15" s="800">
        <f>SUM(K13:K14)</f>
        <v>1</v>
      </c>
    </row>
    <row r="17" spans="1:12" ht="24.75" customHeight="1" x14ac:dyDescent="0.2">
      <c r="A17" s="2" t="s">
        <v>55</v>
      </c>
      <c r="G17" s="2"/>
    </row>
    <row r="18" spans="1:12" s="21" customFormat="1" x14ac:dyDescent="0.2">
      <c r="A18" s="947" t="s">
        <v>273</v>
      </c>
      <c r="B18" s="947"/>
      <c r="C18" s="947"/>
      <c r="D18" s="947"/>
      <c r="E18" s="947"/>
      <c r="G18" s="947" t="s">
        <v>273</v>
      </c>
      <c r="H18" s="947"/>
      <c r="I18" s="947"/>
      <c r="J18" s="947"/>
      <c r="K18" s="947"/>
    </row>
    <row r="19" spans="1:12" s="21" customFormat="1" x14ac:dyDescent="0.45">
      <c r="A19" s="70"/>
      <c r="B19" s="70"/>
      <c r="C19" s="23"/>
      <c r="D19" s="945" t="s">
        <v>105</v>
      </c>
      <c r="E19" s="945"/>
      <c r="G19" s="70"/>
      <c r="H19" s="70"/>
      <c r="I19" s="23"/>
      <c r="J19" s="945" t="s">
        <v>105</v>
      </c>
      <c r="K19" s="945"/>
    </row>
    <row r="20" spans="1:12" ht="18" customHeight="1" x14ac:dyDescent="0.2">
      <c r="A20" s="243"/>
      <c r="B20" s="813" t="s">
        <v>0</v>
      </c>
      <c r="C20" s="814" t="s">
        <v>1</v>
      </c>
      <c r="D20" s="815" t="s">
        <v>0</v>
      </c>
      <c r="E20" s="816" t="s">
        <v>1</v>
      </c>
      <c r="G20" s="243"/>
      <c r="H20" s="822" t="s">
        <v>0</v>
      </c>
      <c r="I20" s="823" t="s">
        <v>1</v>
      </c>
      <c r="J20" s="813" t="s">
        <v>0</v>
      </c>
      <c r="K20" s="816" t="s">
        <v>1</v>
      </c>
      <c r="L20" s="21"/>
    </row>
    <row r="21" spans="1:12" ht="28.5" customHeight="1" x14ac:dyDescent="0.2">
      <c r="A21" s="219" t="s">
        <v>243</v>
      </c>
      <c r="B21" s="825">
        <v>369</v>
      </c>
      <c r="C21" s="796">
        <f>IFERROR(B21/B$13,"-")</f>
        <v>0.3242530755711775</v>
      </c>
      <c r="D21" s="827">
        <f>'２-Ⅵ'!B23</f>
        <v>608</v>
      </c>
      <c r="E21" s="795">
        <f>IFERROR(D21/D$13,"-")</f>
        <v>0.34723015419760139</v>
      </c>
      <c r="G21" s="219" t="s">
        <v>238</v>
      </c>
      <c r="H21" s="825">
        <v>80</v>
      </c>
      <c r="I21" s="828">
        <f>IFERROR(H21/H$13,"-")</f>
        <v>0.24390243902439024</v>
      </c>
      <c r="J21" s="825">
        <f>'２-Ⅵ'!H23</f>
        <v>149</v>
      </c>
      <c r="K21" s="795">
        <f>IFERROR(J21/J$13,"-")</f>
        <v>0.27746741154562382</v>
      </c>
    </row>
    <row r="22" spans="1:12" x14ac:dyDescent="0.2">
      <c r="A22" s="220" t="s">
        <v>224</v>
      </c>
      <c r="B22" s="825">
        <v>290</v>
      </c>
      <c r="C22" s="795">
        <f t="shared" ref="C22:C40" si="4">IFERROR(B22/B$13,"-")</f>
        <v>0.25483304042179261</v>
      </c>
      <c r="D22" s="827">
        <f>'２-Ⅵ'!B24</f>
        <v>454</v>
      </c>
      <c r="E22" s="795">
        <f t="shared" ref="E22:E37" si="5">IFERROR(D22/D$13,"-")</f>
        <v>0.25928041119360368</v>
      </c>
      <c r="G22" s="220" t="s">
        <v>224</v>
      </c>
      <c r="H22" s="829">
        <v>50</v>
      </c>
      <c r="I22" s="830">
        <f t="shared" ref="I22:I40" si="6">IFERROR(H22/H$13,"-")</f>
        <v>0.1524390243902439</v>
      </c>
      <c r="J22" s="829">
        <f>'２-Ⅵ'!H24</f>
        <v>80</v>
      </c>
      <c r="K22" s="796">
        <f t="shared" ref="K22:K37" si="7">IFERROR(J22/J$13,"-")</f>
        <v>0.148975791433892</v>
      </c>
    </row>
    <row r="23" spans="1:12" x14ac:dyDescent="0.2">
      <c r="A23" s="220" t="s">
        <v>38</v>
      </c>
      <c r="B23" s="825">
        <v>23</v>
      </c>
      <c r="C23" s="796">
        <f t="shared" si="4"/>
        <v>2.0210896309314587E-2</v>
      </c>
      <c r="D23" s="827">
        <f>'２-Ⅵ'!B25</f>
        <v>61</v>
      </c>
      <c r="E23" s="795">
        <f t="shared" si="5"/>
        <v>3.4837235865219876E-2</v>
      </c>
      <c r="G23" s="220" t="s">
        <v>38</v>
      </c>
      <c r="H23" s="829">
        <v>4</v>
      </c>
      <c r="I23" s="830">
        <f t="shared" si="6"/>
        <v>1.2195121951219513E-2</v>
      </c>
      <c r="J23" s="829">
        <f>'２-Ⅵ'!H25</f>
        <v>10</v>
      </c>
      <c r="K23" s="796">
        <f t="shared" si="7"/>
        <v>1.86219739292365E-2</v>
      </c>
    </row>
    <row r="24" spans="1:12" x14ac:dyDescent="0.2">
      <c r="A24" s="220" t="s">
        <v>39</v>
      </c>
      <c r="B24" s="825">
        <v>497</v>
      </c>
      <c r="C24" s="796">
        <f t="shared" si="4"/>
        <v>0.43673110720562391</v>
      </c>
      <c r="D24" s="827">
        <f>'２-Ⅵ'!B26</f>
        <v>713</v>
      </c>
      <c r="E24" s="795">
        <f t="shared" si="5"/>
        <v>0.40719588806396345</v>
      </c>
      <c r="G24" s="220" t="s">
        <v>39</v>
      </c>
      <c r="H24" s="829">
        <v>145</v>
      </c>
      <c r="I24" s="830">
        <f t="shared" si="6"/>
        <v>0.44207317073170732</v>
      </c>
      <c r="J24" s="829">
        <f>'２-Ⅵ'!H26</f>
        <v>200</v>
      </c>
      <c r="K24" s="796">
        <f t="shared" si="7"/>
        <v>0.37243947858472998</v>
      </c>
    </row>
    <row r="25" spans="1:12" x14ac:dyDescent="0.2">
      <c r="A25" s="220" t="s">
        <v>40</v>
      </c>
      <c r="B25" s="825">
        <v>525</v>
      </c>
      <c r="C25" s="796">
        <f t="shared" si="4"/>
        <v>0.46133567662565905</v>
      </c>
      <c r="D25" s="827">
        <f>'２-Ⅵ'!B27</f>
        <v>815</v>
      </c>
      <c r="E25" s="795">
        <f t="shared" si="5"/>
        <v>0.46544831524842945</v>
      </c>
      <c r="G25" s="220" t="s">
        <v>40</v>
      </c>
      <c r="H25" s="829">
        <v>98</v>
      </c>
      <c r="I25" s="830">
        <f t="shared" si="6"/>
        <v>0.29878048780487804</v>
      </c>
      <c r="J25" s="829">
        <f>'２-Ⅵ'!H27</f>
        <v>151</v>
      </c>
      <c r="K25" s="796">
        <f t="shared" si="7"/>
        <v>0.28119180633147112</v>
      </c>
    </row>
    <row r="26" spans="1:12" x14ac:dyDescent="0.2">
      <c r="A26" s="220" t="s">
        <v>41</v>
      </c>
      <c r="B26" s="825">
        <v>331</v>
      </c>
      <c r="C26" s="796">
        <f t="shared" si="4"/>
        <v>0.29086115992970124</v>
      </c>
      <c r="D26" s="827">
        <f>'２-Ⅵ'!B28</f>
        <v>522</v>
      </c>
      <c r="E26" s="795">
        <f t="shared" si="5"/>
        <v>0.29811536264991434</v>
      </c>
      <c r="G26" s="220" t="s">
        <v>41</v>
      </c>
      <c r="H26" s="829">
        <v>71</v>
      </c>
      <c r="I26" s="830">
        <f t="shared" si="6"/>
        <v>0.21646341463414634</v>
      </c>
      <c r="J26" s="829">
        <f>'２-Ⅵ'!H28</f>
        <v>128</v>
      </c>
      <c r="K26" s="796">
        <f t="shared" si="7"/>
        <v>0.23836126629422719</v>
      </c>
    </row>
    <row r="27" spans="1:12" x14ac:dyDescent="0.2">
      <c r="A27" s="220" t="s">
        <v>42</v>
      </c>
      <c r="B27" s="825">
        <v>70</v>
      </c>
      <c r="C27" s="796">
        <f t="shared" si="4"/>
        <v>6.1511423550087874E-2</v>
      </c>
      <c r="D27" s="827">
        <f>'２-Ⅵ'!B29</f>
        <v>135</v>
      </c>
      <c r="E27" s="795">
        <f t="shared" si="5"/>
        <v>7.7098800685322669E-2</v>
      </c>
      <c r="G27" s="220" t="s">
        <v>42</v>
      </c>
      <c r="H27" s="829">
        <v>7</v>
      </c>
      <c r="I27" s="830">
        <f t="shared" si="6"/>
        <v>2.1341463414634148E-2</v>
      </c>
      <c r="J27" s="829">
        <f>'２-Ⅵ'!H29</f>
        <v>16</v>
      </c>
      <c r="K27" s="796">
        <f t="shared" si="7"/>
        <v>2.9795158286778398E-2</v>
      </c>
    </row>
    <row r="28" spans="1:12" x14ac:dyDescent="0.2">
      <c r="A28" s="220" t="s">
        <v>43</v>
      </c>
      <c r="B28" s="825">
        <v>400</v>
      </c>
      <c r="C28" s="796">
        <f t="shared" si="4"/>
        <v>0.35149384885764501</v>
      </c>
      <c r="D28" s="827">
        <f>'２-Ⅵ'!B30</f>
        <v>575</v>
      </c>
      <c r="E28" s="795">
        <f t="shared" si="5"/>
        <v>0.32838378069674473</v>
      </c>
      <c r="G28" s="220" t="s">
        <v>43</v>
      </c>
      <c r="H28" s="829">
        <v>86</v>
      </c>
      <c r="I28" s="830">
        <f t="shared" si="6"/>
        <v>0.26219512195121952</v>
      </c>
      <c r="J28" s="829">
        <f>'２-Ⅵ'!H30</f>
        <v>128</v>
      </c>
      <c r="K28" s="796">
        <f t="shared" si="7"/>
        <v>0.23836126629422719</v>
      </c>
    </row>
    <row r="29" spans="1:12" x14ac:dyDescent="0.2">
      <c r="A29" s="832" t="s">
        <v>44</v>
      </c>
      <c r="B29" s="825">
        <v>269</v>
      </c>
      <c r="C29" s="796">
        <f t="shared" si="4"/>
        <v>0.23637961335676624</v>
      </c>
      <c r="D29" s="827">
        <f>'２-Ⅵ'!B31</f>
        <v>397</v>
      </c>
      <c r="E29" s="795">
        <f t="shared" si="5"/>
        <v>0.22672758423757852</v>
      </c>
      <c r="G29" s="832" t="s">
        <v>44</v>
      </c>
      <c r="H29" s="829">
        <v>66</v>
      </c>
      <c r="I29" s="830">
        <f t="shared" si="6"/>
        <v>0.20121951219512196</v>
      </c>
      <c r="J29" s="829">
        <f>'２-Ⅵ'!H31</f>
        <v>101</v>
      </c>
      <c r="K29" s="796">
        <f t="shared" si="7"/>
        <v>0.18808193668528864</v>
      </c>
    </row>
    <row r="30" spans="1:12" x14ac:dyDescent="0.2">
      <c r="A30" s="220" t="s">
        <v>248</v>
      </c>
      <c r="B30" s="825">
        <v>209</v>
      </c>
      <c r="C30" s="796">
        <f t="shared" si="4"/>
        <v>0.18365553602811951</v>
      </c>
      <c r="D30" s="827">
        <f>'２-Ⅵ'!B32</f>
        <v>302</v>
      </c>
      <c r="E30" s="795">
        <f t="shared" si="5"/>
        <v>0.1724728726442033</v>
      </c>
      <c r="G30" s="220" t="s">
        <v>248</v>
      </c>
      <c r="H30" s="829">
        <v>60</v>
      </c>
      <c r="I30" s="830">
        <f t="shared" si="6"/>
        <v>0.18292682926829268</v>
      </c>
      <c r="J30" s="829">
        <f>'２-Ⅵ'!H32</f>
        <v>87</v>
      </c>
      <c r="K30" s="796">
        <f t="shared" si="7"/>
        <v>0.16201117318435754</v>
      </c>
    </row>
    <row r="31" spans="1:12" x14ac:dyDescent="0.2">
      <c r="A31" s="220" t="s">
        <v>46</v>
      </c>
      <c r="B31" s="825">
        <v>372</v>
      </c>
      <c r="C31" s="795">
        <f t="shared" si="4"/>
        <v>0.32688927943760981</v>
      </c>
      <c r="D31" s="827">
        <f>'２-Ⅵ'!B33</f>
        <v>579</v>
      </c>
      <c r="E31" s="795">
        <f t="shared" si="5"/>
        <v>0.33066818960593947</v>
      </c>
      <c r="G31" s="220" t="s">
        <v>46</v>
      </c>
      <c r="H31" s="829">
        <v>105</v>
      </c>
      <c r="I31" s="830">
        <f t="shared" si="6"/>
        <v>0.3201219512195122</v>
      </c>
      <c r="J31" s="829">
        <f>'２-Ⅵ'!H33</f>
        <v>182</v>
      </c>
      <c r="K31" s="796">
        <f t="shared" si="7"/>
        <v>0.33891992551210426</v>
      </c>
    </row>
    <row r="32" spans="1:12" x14ac:dyDescent="0.2">
      <c r="A32" s="220" t="s">
        <v>47</v>
      </c>
      <c r="B32" s="825">
        <v>80</v>
      </c>
      <c r="C32" s="796">
        <f t="shared" si="4"/>
        <v>7.0298769771529004E-2</v>
      </c>
      <c r="D32" s="827">
        <f>'２-Ⅵ'!B34</f>
        <v>116</v>
      </c>
      <c r="E32" s="795">
        <f t="shared" si="5"/>
        <v>6.6247858366647636E-2</v>
      </c>
      <c r="G32" s="220" t="s">
        <v>47</v>
      </c>
      <c r="H32" s="829">
        <v>24</v>
      </c>
      <c r="I32" s="830">
        <f t="shared" si="6"/>
        <v>7.3170731707317069E-2</v>
      </c>
      <c r="J32" s="829">
        <f>'２-Ⅵ'!H34</f>
        <v>35</v>
      </c>
      <c r="K32" s="796">
        <f t="shared" si="7"/>
        <v>6.5176908752327747E-2</v>
      </c>
    </row>
    <row r="33" spans="1:11" x14ac:dyDescent="0.2">
      <c r="A33" s="220" t="s">
        <v>48</v>
      </c>
      <c r="B33" s="825">
        <v>46</v>
      </c>
      <c r="C33" s="796">
        <f t="shared" si="4"/>
        <v>4.0421792618629174E-2</v>
      </c>
      <c r="D33" s="827">
        <f>'２-Ⅵ'!B35</f>
        <v>73</v>
      </c>
      <c r="E33" s="795">
        <f t="shared" si="5"/>
        <v>4.1690462592804109E-2</v>
      </c>
      <c r="G33" s="220" t="s">
        <v>48</v>
      </c>
      <c r="H33" s="829">
        <v>12</v>
      </c>
      <c r="I33" s="830">
        <f t="shared" si="6"/>
        <v>3.6585365853658534E-2</v>
      </c>
      <c r="J33" s="829">
        <f>'２-Ⅵ'!H35</f>
        <v>15</v>
      </c>
      <c r="K33" s="796">
        <f t="shared" si="7"/>
        <v>2.7932960893854747E-2</v>
      </c>
    </row>
    <row r="34" spans="1:11" x14ac:dyDescent="0.2">
      <c r="A34" s="220" t="s">
        <v>49</v>
      </c>
      <c r="B34" s="825">
        <v>7</v>
      </c>
      <c r="C34" s="796">
        <f t="shared" si="4"/>
        <v>6.1511423550087872E-3</v>
      </c>
      <c r="D34" s="827">
        <f>'２-Ⅵ'!B36</f>
        <v>13</v>
      </c>
      <c r="E34" s="795">
        <f t="shared" si="5"/>
        <v>7.4243289548829245E-3</v>
      </c>
      <c r="G34" s="220" t="s">
        <v>49</v>
      </c>
      <c r="H34" s="829">
        <v>0</v>
      </c>
      <c r="I34" s="830">
        <f t="shared" si="6"/>
        <v>0</v>
      </c>
      <c r="J34" s="829">
        <f>'２-Ⅵ'!H36</f>
        <v>0</v>
      </c>
      <c r="K34" s="796">
        <f t="shared" si="7"/>
        <v>0</v>
      </c>
    </row>
    <row r="35" spans="1:11" x14ac:dyDescent="0.2">
      <c r="A35" s="220" t="s">
        <v>50</v>
      </c>
      <c r="B35" s="825">
        <v>110</v>
      </c>
      <c r="C35" s="796">
        <f t="shared" si="4"/>
        <v>9.6660808435852369E-2</v>
      </c>
      <c r="D35" s="827">
        <f>'２-Ⅵ'!B37</f>
        <v>160</v>
      </c>
      <c r="E35" s="795">
        <f t="shared" si="5"/>
        <v>9.1376356367789832E-2</v>
      </c>
      <c r="G35" s="220" t="s">
        <v>50</v>
      </c>
      <c r="H35" s="829">
        <v>31</v>
      </c>
      <c r="I35" s="830">
        <f t="shared" si="6"/>
        <v>9.451219512195122E-2</v>
      </c>
      <c r="J35" s="829">
        <f>'２-Ⅵ'!H37</f>
        <v>43</v>
      </c>
      <c r="K35" s="796">
        <f t="shared" si="7"/>
        <v>8.0074487895716945E-2</v>
      </c>
    </row>
    <row r="36" spans="1:11" x14ac:dyDescent="0.2">
      <c r="A36" s="832" t="s">
        <v>51</v>
      </c>
      <c r="B36" s="825">
        <v>100</v>
      </c>
      <c r="C36" s="796">
        <f t="shared" si="4"/>
        <v>8.7873462214411252E-2</v>
      </c>
      <c r="D36" s="827">
        <f>'２-Ⅵ'!B38</f>
        <v>161</v>
      </c>
      <c r="E36" s="795">
        <f t="shared" si="5"/>
        <v>9.1947458595088516E-2</v>
      </c>
      <c r="G36" s="832" t="s">
        <v>51</v>
      </c>
      <c r="H36" s="829">
        <v>33</v>
      </c>
      <c r="I36" s="830">
        <f t="shared" si="6"/>
        <v>0.10060975609756098</v>
      </c>
      <c r="J36" s="829">
        <f>'２-Ⅵ'!H38</f>
        <v>45</v>
      </c>
      <c r="K36" s="796">
        <f t="shared" si="7"/>
        <v>8.3798882681564241E-2</v>
      </c>
    </row>
    <row r="37" spans="1:11" x14ac:dyDescent="0.2">
      <c r="A37" s="832" t="s">
        <v>247</v>
      </c>
      <c r="B37" s="825">
        <v>20</v>
      </c>
      <c r="C37" s="796">
        <f t="shared" si="4"/>
        <v>1.7574692442882251E-2</v>
      </c>
      <c r="D37" s="827">
        <f>'２-Ⅵ'!B39</f>
        <v>34</v>
      </c>
      <c r="E37" s="795">
        <f t="shared" si="5"/>
        <v>1.9417475728155338E-2</v>
      </c>
      <c r="G37" s="832" t="s">
        <v>247</v>
      </c>
      <c r="H37" s="829">
        <v>10</v>
      </c>
      <c r="I37" s="830">
        <f t="shared" si="6"/>
        <v>3.048780487804878E-2</v>
      </c>
      <c r="J37" s="829">
        <f>'２-Ⅵ'!H39</f>
        <v>17</v>
      </c>
      <c r="K37" s="796">
        <f t="shared" si="7"/>
        <v>3.165735567970205E-2</v>
      </c>
    </row>
    <row r="38" spans="1:11" s="396" customFormat="1" x14ac:dyDescent="0.2">
      <c r="A38" s="832" t="s">
        <v>380</v>
      </c>
      <c r="B38" s="825">
        <v>194</v>
      </c>
      <c r="C38" s="796">
        <f t="shared" si="4"/>
        <v>0.17047451669595781</v>
      </c>
      <c r="D38" s="827">
        <f>'２-Ⅵ'!B40</f>
        <v>242</v>
      </c>
      <c r="E38" s="795">
        <f t="shared" ref="E38:E40" si="8">IFERROR(D38/D$13,"-")</f>
        <v>0.13820673900628214</v>
      </c>
      <c r="G38" s="832" t="s">
        <v>380</v>
      </c>
      <c r="H38" s="829">
        <v>44</v>
      </c>
      <c r="I38" s="830">
        <f t="shared" si="6"/>
        <v>0.13414634146341464</v>
      </c>
      <c r="J38" s="829">
        <f>'２-Ⅵ'!H40</f>
        <v>51</v>
      </c>
      <c r="K38" s="796">
        <f t="shared" ref="K38:K40" si="9">IFERROR(J38/J$13,"-")</f>
        <v>9.4972067039106142E-2</v>
      </c>
    </row>
    <row r="39" spans="1:11" s="396" customFormat="1" ht="30" x14ac:dyDescent="0.2">
      <c r="A39" s="219" t="s">
        <v>381</v>
      </c>
      <c r="B39" s="825">
        <v>102</v>
      </c>
      <c r="C39" s="796">
        <f t="shared" si="4"/>
        <v>8.9630931458699478E-2</v>
      </c>
      <c r="D39" s="827">
        <f>'２-Ⅵ'!B41</f>
        <v>126</v>
      </c>
      <c r="E39" s="795">
        <f t="shared" si="8"/>
        <v>7.1958880639634501E-2</v>
      </c>
      <c r="G39" s="219" t="s">
        <v>381</v>
      </c>
      <c r="H39" s="829">
        <v>13</v>
      </c>
      <c r="I39" s="830">
        <f t="shared" si="6"/>
        <v>3.9634146341463415E-2</v>
      </c>
      <c r="J39" s="829">
        <f>'２-Ⅵ'!H41</f>
        <v>16</v>
      </c>
      <c r="K39" s="796">
        <f t="shared" si="9"/>
        <v>2.9795158286778398E-2</v>
      </c>
    </row>
    <row r="40" spans="1:11" x14ac:dyDescent="0.2">
      <c r="A40" s="220" t="s">
        <v>53</v>
      </c>
      <c r="B40" s="825">
        <v>32</v>
      </c>
      <c r="C40" s="796">
        <f t="shared" si="4"/>
        <v>2.8119507908611598E-2</v>
      </c>
      <c r="D40" s="827">
        <f>'２-Ⅵ'!B42</f>
        <v>51</v>
      </c>
      <c r="E40" s="795">
        <f t="shared" si="8"/>
        <v>2.9126213592233011E-2</v>
      </c>
      <c r="G40" s="220" t="s">
        <v>53</v>
      </c>
      <c r="H40" s="829">
        <v>11</v>
      </c>
      <c r="I40" s="830">
        <f t="shared" si="6"/>
        <v>3.3536585365853661E-2</v>
      </c>
      <c r="J40" s="829">
        <f>'２-Ⅵ'!H42</f>
        <v>17</v>
      </c>
      <c r="K40" s="796">
        <f t="shared" si="9"/>
        <v>3.165735567970205E-2</v>
      </c>
    </row>
    <row r="41" spans="1:11" x14ac:dyDescent="0.2">
      <c r="A41" s="104"/>
      <c r="B41" s="105"/>
      <c r="C41" s="20"/>
      <c r="D41" s="20"/>
      <c r="E41" s="20"/>
      <c r="G41" s="104"/>
      <c r="H41" s="105"/>
      <c r="I41" s="20"/>
      <c r="J41" s="105"/>
      <c r="K41" s="20"/>
    </row>
    <row r="42" spans="1:11" x14ac:dyDescent="0.2">
      <c r="A42" s="37"/>
      <c r="B42" s="37"/>
      <c r="C42" s="37"/>
      <c r="D42" s="37"/>
      <c r="E42" s="37"/>
      <c r="G42" s="37"/>
    </row>
    <row r="43" spans="1:11" hidden="1" x14ac:dyDescent="0.2">
      <c r="A43" s="350" t="s">
        <v>365</v>
      </c>
      <c r="B43" s="37"/>
      <c r="C43" s="37"/>
      <c r="D43" s="37"/>
      <c r="E43" s="37"/>
      <c r="G43" s="37"/>
    </row>
    <row r="44" spans="1:11" x14ac:dyDescent="0.2">
      <c r="A44" s="37"/>
      <c r="B44" s="37"/>
      <c r="C44" s="37"/>
      <c r="D44" s="37"/>
      <c r="E44" s="37"/>
      <c r="G44" s="37"/>
    </row>
    <row r="50" spans="1:10" x14ac:dyDescent="0.2">
      <c r="A50" s="106"/>
      <c r="B50" s="106"/>
      <c r="C50" s="106"/>
      <c r="D50" s="106"/>
      <c r="E50" s="106"/>
      <c r="G50" s="106"/>
      <c r="H50" s="106"/>
      <c r="J50" s="106"/>
    </row>
    <row r="51" spans="1:10" x14ac:dyDescent="0.2">
      <c r="A51" s="37"/>
      <c r="B51" s="22"/>
      <c r="C51" s="22"/>
      <c r="D51" s="22"/>
      <c r="E51" s="22"/>
      <c r="G51" s="37"/>
      <c r="H51" s="22"/>
      <c r="J51" s="22"/>
    </row>
    <row r="52" spans="1:10" x14ac:dyDescent="0.2">
      <c r="A52" s="37"/>
      <c r="B52" s="22"/>
      <c r="C52" s="22"/>
      <c r="D52" s="22"/>
      <c r="E52" s="22"/>
      <c r="G52" s="37"/>
      <c r="H52" s="22"/>
      <c r="J52" s="22"/>
    </row>
    <row r="53" spans="1:10" x14ac:dyDescent="0.2">
      <c r="A53" s="37"/>
      <c r="B53" s="22"/>
      <c r="C53" s="22"/>
      <c r="D53" s="22"/>
      <c r="E53" s="22"/>
      <c r="G53" s="37"/>
      <c r="H53" s="22"/>
      <c r="J53" s="22"/>
    </row>
    <row r="54" spans="1:10" x14ac:dyDescent="0.2">
      <c r="A54" s="37"/>
      <c r="B54" s="22"/>
      <c r="C54" s="22"/>
      <c r="D54" s="22"/>
      <c r="E54" s="22"/>
      <c r="G54" s="37"/>
      <c r="H54" s="22"/>
      <c r="J54" s="22"/>
    </row>
    <row r="55" spans="1:10" x14ac:dyDescent="0.2">
      <c r="A55" s="37"/>
      <c r="B55" s="22"/>
      <c r="C55" s="22"/>
      <c r="D55" s="22"/>
      <c r="E55" s="22"/>
      <c r="G55" s="37"/>
      <c r="H55" s="22"/>
      <c r="J55" s="22"/>
    </row>
    <row r="56" spans="1:10" x14ac:dyDescent="0.2">
      <c r="A56" s="37"/>
      <c r="B56" s="22"/>
      <c r="C56" s="22"/>
      <c r="D56" s="22"/>
      <c r="E56" s="22"/>
      <c r="G56" s="37"/>
      <c r="H56" s="22"/>
      <c r="J56" s="22"/>
    </row>
    <row r="57" spans="1:10" x14ac:dyDescent="0.2">
      <c r="A57" s="37"/>
      <c r="B57" s="22"/>
      <c r="C57" s="22"/>
      <c r="D57" s="22"/>
      <c r="E57" s="22"/>
      <c r="G57" s="37"/>
      <c r="H57" s="22"/>
      <c r="J57" s="22"/>
    </row>
    <row r="58" spans="1:10" x14ac:dyDescent="0.2">
      <c r="A58" s="37"/>
      <c r="B58" s="22"/>
      <c r="C58" s="22"/>
      <c r="D58" s="22"/>
      <c r="E58" s="22"/>
      <c r="G58" s="37"/>
      <c r="H58" s="22"/>
      <c r="J58" s="22"/>
    </row>
    <row r="59" spans="1:10" x14ac:dyDescent="0.2">
      <c r="A59" s="37"/>
      <c r="B59" s="22"/>
      <c r="C59" s="22"/>
      <c r="D59" s="22"/>
      <c r="E59" s="22"/>
      <c r="G59" s="37"/>
      <c r="H59" s="22"/>
      <c r="J59" s="22"/>
    </row>
    <row r="60" spans="1:10" x14ac:dyDescent="0.2">
      <c r="A60" s="37"/>
      <c r="B60" s="22"/>
      <c r="C60" s="22"/>
      <c r="D60" s="22"/>
      <c r="E60" s="22"/>
      <c r="G60" s="37"/>
      <c r="H60" s="22"/>
      <c r="J60" s="22"/>
    </row>
    <row r="61" spans="1:10" x14ac:dyDescent="0.2">
      <c r="A61" s="37"/>
      <c r="B61" s="22"/>
      <c r="C61" s="22"/>
      <c r="D61" s="22"/>
      <c r="E61" s="22"/>
      <c r="G61" s="37"/>
      <c r="H61" s="22"/>
      <c r="J61" s="22"/>
    </row>
    <row r="62" spans="1:10" x14ac:dyDescent="0.2">
      <c r="A62" s="37"/>
      <c r="B62" s="22"/>
      <c r="C62" s="22"/>
      <c r="D62" s="22"/>
      <c r="E62" s="22"/>
      <c r="G62" s="37"/>
      <c r="H62" s="22"/>
      <c r="J62" s="22"/>
    </row>
    <row r="63" spans="1:10" x14ac:dyDescent="0.2">
      <c r="A63" s="37"/>
      <c r="B63" s="22"/>
      <c r="C63" s="22"/>
      <c r="D63" s="22"/>
      <c r="E63" s="22"/>
      <c r="G63" s="37"/>
      <c r="H63" s="22"/>
      <c r="J63" s="22"/>
    </row>
    <row r="64" spans="1:10" x14ac:dyDescent="0.2">
      <c r="A64" s="37"/>
      <c r="B64" s="22"/>
      <c r="C64" s="22"/>
      <c r="D64" s="22"/>
      <c r="E64" s="22"/>
      <c r="G64" s="37"/>
      <c r="H64" s="22"/>
      <c r="J64" s="22"/>
    </row>
    <row r="65" spans="1:10" x14ac:dyDescent="0.2">
      <c r="A65" s="37"/>
      <c r="B65" s="22"/>
      <c r="C65" s="22"/>
      <c r="D65" s="22"/>
      <c r="E65" s="22"/>
      <c r="G65" s="37"/>
      <c r="H65" s="22"/>
      <c r="J65" s="22"/>
    </row>
    <row r="66" spans="1:10" x14ac:dyDescent="0.2">
      <c r="A66" s="37"/>
      <c r="B66" s="22"/>
      <c r="C66" s="22"/>
      <c r="D66" s="22"/>
      <c r="E66" s="22"/>
      <c r="G66" s="37"/>
      <c r="H66" s="22"/>
      <c r="J66" s="22"/>
    </row>
    <row r="67" spans="1:10" x14ac:dyDescent="0.2">
      <c r="A67" s="37"/>
      <c r="B67" s="22"/>
      <c r="C67" s="22"/>
      <c r="D67" s="22"/>
      <c r="E67" s="22"/>
      <c r="G67" s="37"/>
      <c r="H67" s="22"/>
      <c r="J67" s="22"/>
    </row>
    <row r="68" spans="1:10" x14ac:dyDescent="0.2">
      <c r="A68" s="7"/>
      <c r="B68" s="70"/>
      <c r="C68" s="70"/>
      <c r="D68" s="70"/>
      <c r="E68" s="70"/>
      <c r="G68" s="7"/>
      <c r="H68" s="22"/>
      <c r="J68" s="22"/>
    </row>
    <row r="69" spans="1:10" x14ac:dyDescent="0.2">
      <c r="A69" s="7"/>
      <c r="B69" s="70"/>
      <c r="C69" s="70"/>
      <c r="D69" s="70"/>
      <c r="E69" s="70"/>
      <c r="G69" s="7"/>
      <c r="H69" s="70"/>
      <c r="J69" s="70"/>
    </row>
    <row r="70" spans="1:10" x14ac:dyDescent="0.2">
      <c r="A70" s="7"/>
      <c r="B70" s="70"/>
      <c r="C70" s="70"/>
      <c r="D70" s="70"/>
      <c r="E70" s="70"/>
      <c r="G70" s="7"/>
      <c r="H70" s="70"/>
      <c r="J70" s="70"/>
    </row>
    <row r="71" spans="1:10" x14ac:dyDescent="0.2">
      <c r="A71" s="7"/>
      <c r="B71" s="70"/>
      <c r="C71" s="70"/>
      <c r="D71" s="70"/>
      <c r="E71" s="70"/>
      <c r="G71" s="7"/>
      <c r="H71" s="70"/>
      <c r="J71" s="70"/>
    </row>
    <row r="72" spans="1:10" x14ac:dyDescent="0.2">
      <c r="A72" s="7"/>
      <c r="B72" s="70"/>
      <c r="C72" s="70"/>
      <c r="D72" s="70"/>
      <c r="E72" s="70"/>
      <c r="G72" s="7"/>
      <c r="H72" s="22"/>
      <c r="J72" s="22"/>
    </row>
    <row r="73" spans="1:10" x14ac:dyDescent="0.2">
      <c r="A73" s="21"/>
      <c r="B73" s="21"/>
      <c r="C73" s="21"/>
      <c r="D73" s="21"/>
      <c r="E73" s="21"/>
      <c r="G73" s="21"/>
    </row>
    <row r="74" spans="1:10" x14ac:dyDescent="0.2">
      <c r="A74" s="21"/>
      <c r="B74" s="21"/>
      <c r="C74" s="21"/>
      <c r="D74" s="21"/>
      <c r="E74" s="21"/>
      <c r="G74" s="21"/>
    </row>
    <row r="75" spans="1:10" x14ac:dyDescent="0.2">
      <c r="A75" s="21"/>
      <c r="B75" s="21"/>
      <c r="C75" s="21"/>
      <c r="D75" s="21"/>
      <c r="E75" s="21"/>
      <c r="G75" s="21"/>
    </row>
    <row r="76" spans="1:10" x14ac:dyDescent="0.2">
      <c r="A76" s="21"/>
      <c r="B76" s="21"/>
      <c r="C76" s="21"/>
      <c r="D76" s="21"/>
      <c r="E76" s="21"/>
      <c r="G76" s="21"/>
    </row>
  </sheetData>
  <mergeCells count="8">
    <mergeCell ref="D19:E19"/>
    <mergeCell ref="J19:K19"/>
    <mergeCell ref="D3:E3"/>
    <mergeCell ref="J3:K3"/>
    <mergeCell ref="G18:K18"/>
    <mergeCell ref="A18:E18"/>
    <mergeCell ref="D11:E11"/>
    <mergeCell ref="J11:K11"/>
  </mergeCells>
  <phoneticPr fontId="2"/>
  <printOptions horizontalCentered="1"/>
  <pageMargins left="0.70866141732283472" right="0.70866141732283472" top="1.1417322834645669" bottom="0.74803149606299213" header="0.70866141732283472" footer="0.31496062992125984"/>
  <pageSetup paperSize="9" scale="81" fitToHeight="0" orientation="landscape" r:id="rId1"/>
  <rowBreaks count="1" manualBreakCount="1">
    <brk id="16" max="10" man="1"/>
  </rowBreaks>
  <drawing r:id="rId2"/>
  <mc:AlternateContent xmlns:mc="http://schemas.openxmlformats.org/markup-compatibility/2006">
    <mc:Choice Requires="v">
      <legacyDrawing r:id="rId3"/>
    </mc:Choice>
  </mc:AlternateContent>
  <controls>
    <control shapeId="33793" r:id="rId4" name="Button 1">
      <controlPr defaultSize="0" print="0" autoFill="0" autoPict="0" macro="[0]!データ削除_入院形態_65歳以上">
        <anchor moveWithCells="1" sizeWithCells="1">
          <from>
            <xdr:col>11</xdr:col>
            <xdr:colOff>365760</xdr:colOff>
            <xdr:row>3</xdr:row>
            <xdr:rowOff>7620</xdr:rowOff>
          </from>
          <to>
            <xdr:col>13</xdr:col>
            <xdr:colOff>304800</xdr:colOff>
            <xdr:row>4</xdr:row>
            <xdr:rowOff>274320</xdr:rowOff>
          </to>
        </anchor>
      </controlPr>
    </control>
  </controls>
</worksheet>
</file>

<file path=xl/worksheets/sheet1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rgb="FFFF0000"/>
    <pageSetUpPr fitToPage="1"/>
  </sheetPr>
  <dimension ref="B1:Q67"/>
  <sheetViews>
    <sheetView showGridLines="0" view="pageBreakPreview" zoomScale="80" zoomScaleNormal="100" zoomScaleSheetLayoutView="80" workbookViewId="0"/>
  </sheetViews>
  <sheetFormatPr defaultColWidth="9" defaultRowHeight="17.399999999999999" x14ac:dyDescent="0.2"/>
  <cols>
    <col min="1" max="1" width="9" style="1" customWidth="1"/>
    <col min="2" max="2" width="50.6640625" style="1" customWidth="1"/>
    <col min="3" max="6" width="9.33203125" style="1" customWidth="1"/>
    <col min="7" max="7" width="9" style="1" hidden="1" customWidth="1"/>
    <col min="8" max="8" width="56.109375" style="1" hidden="1" customWidth="1"/>
    <col min="9" max="10" width="10.88671875" style="1" hidden="1" customWidth="1"/>
    <col min="11" max="16" width="9" style="1" hidden="1" customWidth="1"/>
    <col min="17" max="18" width="9" style="1" customWidth="1"/>
    <col min="19" max="16384" width="9" style="1"/>
  </cols>
  <sheetData>
    <row r="1" spans="2:17" ht="19.5" customHeight="1" x14ac:dyDescent="0.2">
      <c r="B1" s="2" t="s">
        <v>77</v>
      </c>
      <c r="H1" s="55" t="s">
        <v>63</v>
      </c>
    </row>
    <row r="2" spans="2:17" ht="18.75" customHeight="1" thickBot="1" x14ac:dyDescent="0.25">
      <c r="B2" s="957" t="s">
        <v>240</v>
      </c>
      <c r="C2" s="964" t="s">
        <v>266</v>
      </c>
      <c r="D2" s="965"/>
      <c r="E2" s="965"/>
      <c r="F2" s="966"/>
    </row>
    <row r="3" spans="2:17" ht="18.75" customHeight="1" thickTop="1" thickBot="1" x14ac:dyDescent="0.25">
      <c r="B3" s="958"/>
      <c r="C3" s="967" t="s">
        <v>267</v>
      </c>
      <c r="D3" s="968"/>
      <c r="E3" s="969" t="s">
        <v>265</v>
      </c>
      <c r="F3" s="968"/>
      <c r="G3" s="34" t="s">
        <v>279</v>
      </c>
      <c r="H3" s="347" t="s">
        <v>372</v>
      </c>
      <c r="I3" s="58" t="s">
        <v>307</v>
      </c>
      <c r="J3" s="58" t="s">
        <v>306</v>
      </c>
      <c r="N3" s="42" t="s">
        <v>267</v>
      </c>
      <c r="O3" s="42" t="s">
        <v>265</v>
      </c>
      <c r="Q3" s="42"/>
    </row>
    <row r="4" spans="2:17" ht="38.25" customHeight="1" thickTop="1" x14ac:dyDescent="0.2">
      <c r="B4" s="72" t="s">
        <v>231</v>
      </c>
      <c r="C4" s="255">
        <f>IFERROR(INDEX(退院予定有無×年齢階層[#All],MATCH($M4,退院予定有無×年齢階層[[#All],[行ラベル]],0),MATCH($N$3,退院予定有無×年齢階層[#Headers],0)),0)</f>
        <v>714</v>
      </c>
      <c r="D4" s="152">
        <f>IFERROR(C4/C$7,"-")</f>
        <v>0.12601482527356159</v>
      </c>
      <c r="E4" s="255">
        <f>IFERROR(INDEX(退院予定有無×年齢階層[#All],MATCH($M4,退院予定有無×年齢階層[[#All],[行ラベル]],0),MATCH($O$3,退院予定有無×年齢階層[#Headers],0)),0)</f>
        <v>1267</v>
      </c>
      <c r="F4" s="153">
        <f>IFERROR(E4/E$7,"-")</f>
        <v>0.14918167902978924</v>
      </c>
      <c r="G4" s="39">
        <f>C4+E4</f>
        <v>1981</v>
      </c>
      <c r="H4" s="33">
        <v>97</v>
      </c>
      <c r="I4" s="397">
        <v>1267</v>
      </c>
      <c r="J4" s="58">
        <v>714</v>
      </c>
      <c r="K4" s="53"/>
      <c r="M4" s="33">
        <v>97</v>
      </c>
    </row>
    <row r="5" spans="2:17" ht="18.75" customHeight="1" x14ac:dyDescent="0.2">
      <c r="B5" s="74" t="s">
        <v>241</v>
      </c>
      <c r="C5" s="154">
        <f>IFERROR(INDEX(退院予定有無×年齢階層[#All],MATCH($M5,退院予定有無×年齢階層[[#All],[行ラベル]],0),MATCH($N$3,退院予定有無×年齢階層[#Headers],0)),0)</f>
        <v>4017</v>
      </c>
      <c r="D5" s="155">
        <f>IFERROR(C5/C$7,"-")</f>
        <v>0.70896576067772676</v>
      </c>
      <c r="E5" s="154">
        <f>IFERROR(INDEX(退院予定有無×年齢階層[#All],MATCH($M5,退院予定有無×年齢階層[[#All],[行ラベル]],0),MATCH($O$3,退院予定有無×年齢階層[#Headers],0)),0)</f>
        <v>6505</v>
      </c>
      <c r="F5" s="156">
        <f>IFERROR(E5/E$7,"-")</f>
        <v>0.76592487931237485</v>
      </c>
      <c r="G5" s="39">
        <f>C5+E5</f>
        <v>10522</v>
      </c>
      <c r="H5" s="33">
        <v>98</v>
      </c>
      <c r="I5" s="397">
        <v>6505</v>
      </c>
      <c r="J5" s="397">
        <v>4017</v>
      </c>
      <c r="M5" s="33">
        <v>98</v>
      </c>
    </row>
    <row r="6" spans="2:17" ht="18.75" customHeight="1" x14ac:dyDescent="0.2">
      <c r="B6" s="93" t="s">
        <v>36</v>
      </c>
      <c r="C6" s="154">
        <f>IFERROR(INDEX(退院予定有無×年齢階層[#All],MATCH($M6,退院予定有無×年齢階層[[#All],[行ラベル]],0),MATCH($N$3,退院予定有無×年齢階層[#Headers],0)),0)</f>
        <v>935</v>
      </c>
      <c r="D6" s="158">
        <f>IFERROR(C6/C$7,"-")</f>
        <v>0.16501941404871162</v>
      </c>
      <c r="E6" s="154">
        <f>IFERROR(INDEX(退院予定有無×年齢階層[#All],MATCH($M6,退院予定有無×年齢階層[[#All],[行ラベル]],0),MATCH($O$3,退院予定有無×年齢階層[#Headers],0)),0)</f>
        <v>721</v>
      </c>
      <c r="F6" s="159">
        <f>IFERROR(E6/E$7,"-")</f>
        <v>8.4893441657835869E-2</v>
      </c>
      <c r="G6" s="39">
        <f>C6+E6</f>
        <v>1656</v>
      </c>
      <c r="H6" s="33">
        <v>99</v>
      </c>
      <c r="I6" s="58">
        <v>721</v>
      </c>
      <c r="J6" s="94">
        <v>935</v>
      </c>
      <c r="M6" s="33">
        <v>99</v>
      </c>
    </row>
    <row r="7" spans="2:17" ht="18.75" customHeight="1" x14ac:dyDescent="0.2">
      <c r="B7" s="75" t="s">
        <v>161</v>
      </c>
      <c r="C7" s="160">
        <f t="shared" ref="C7:F7" si="0">SUM(C4:C6)</f>
        <v>5666</v>
      </c>
      <c r="D7" s="161">
        <f t="shared" si="0"/>
        <v>1</v>
      </c>
      <c r="E7" s="162">
        <f t="shared" si="0"/>
        <v>8493</v>
      </c>
      <c r="F7" s="161">
        <f t="shared" si="0"/>
        <v>0.99999999999999989</v>
      </c>
      <c r="G7" s="39">
        <f>C7+E7</f>
        <v>14159</v>
      </c>
      <c r="H7" s="33"/>
      <c r="M7" s="33"/>
    </row>
    <row r="8" spans="2:17" ht="18.75" customHeight="1" thickBot="1" x14ac:dyDescent="0.25">
      <c r="B8" s="76"/>
      <c r="C8" s="163"/>
      <c r="D8" s="164"/>
      <c r="E8" s="165"/>
      <c r="F8" s="164"/>
      <c r="G8" s="39"/>
      <c r="H8" s="33"/>
      <c r="M8" s="33"/>
    </row>
    <row r="9" spans="2:17" ht="18.75" customHeight="1" thickTop="1" thickBot="1" x14ac:dyDescent="0.25">
      <c r="B9" s="95" t="s">
        <v>239</v>
      </c>
      <c r="C9" s="166"/>
      <c r="D9" s="167"/>
      <c r="E9" s="167"/>
      <c r="F9" s="168"/>
      <c r="G9" s="39"/>
      <c r="H9" s="347" t="s">
        <v>372</v>
      </c>
      <c r="I9" s="247" t="s">
        <v>307</v>
      </c>
      <c r="J9" s="247" t="s">
        <v>306</v>
      </c>
    </row>
    <row r="10" spans="2:17" ht="18.75" customHeight="1" thickTop="1" x14ac:dyDescent="0.2">
      <c r="B10" s="81" t="s">
        <v>34</v>
      </c>
      <c r="C10" s="151">
        <f>IFERROR(INDEX(阻害要因有無×年齢階層[#All],MATCH($M10,阻害要因有無×年齢階層[[#All],[行ラベル]],0),MATCH($N$3,阻害要因有無×年齢階層[#Headers],0)),0)</f>
        <v>612</v>
      </c>
      <c r="D10" s="153">
        <f>IFERROR(C10/C$4,"-")</f>
        <v>0.8571428571428571</v>
      </c>
      <c r="E10" s="151">
        <f>IFERROR(INDEX(阻害要因有無×年齢階層[#All],MATCH($M10,阻害要因有無×年齢階層[[#All],[行ラベル]],0),MATCH($O$3,阻害要因有無×年齢階層[#Headers],0)),0)</f>
        <v>1138</v>
      </c>
      <c r="F10" s="153">
        <f>IFERROR(E10/E$4,"-")</f>
        <v>0.89818468823993691</v>
      </c>
      <c r="G10" s="39">
        <f>C10+E10</f>
        <v>1750</v>
      </c>
      <c r="H10" s="33">
        <v>91</v>
      </c>
      <c r="I10" s="397">
        <v>1138</v>
      </c>
      <c r="J10" s="58">
        <v>612</v>
      </c>
      <c r="K10" s="53"/>
      <c r="M10" s="33">
        <v>91</v>
      </c>
    </row>
    <row r="11" spans="2:17" ht="18.75" customHeight="1" x14ac:dyDescent="0.2">
      <c r="B11" s="74" t="s">
        <v>35</v>
      </c>
      <c r="C11" s="154">
        <f>IFERROR(INDEX(阻害要因有無×年齢階層[#All],MATCH($M11,阻害要因有無×年齢階層[[#All],[行ラベル]],0),MATCH($N$3,阻害要因有無×年齢階層[#Headers],0)),0)</f>
        <v>102</v>
      </c>
      <c r="D11" s="155">
        <f>IFERROR(C11/C$4,"-")</f>
        <v>0.14285714285714285</v>
      </c>
      <c r="E11" s="154">
        <f>IFERROR(INDEX(阻害要因有無×年齢階層[#All],MATCH($M11,阻害要因有無×年齢階層[[#All],[行ラベル]],0),MATCH($O$3,阻害要因有無×年齢階層[#Headers],0)),0)</f>
        <v>129</v>
      </c>
      <c r="F11" s="155">
        <f>IFERROR(E11/E$4,"-")</f>
        <v>0.10181531176006314</v>
      </c>
      <c r="G11" s="39">
        <f>C11+E11</f>
        <v>231</v>
      </c>
      <c r="H11" s="33">
        <v>90</v>
      </c>
      <c r="I11" s="58">
        <v>129</v>
      </c>
      <c r="J11" s="58">
        <v>102</v>
      </c>
      <c r="M11" s="33">
        <v>90</v>
      </c>
    </row>
    <row r="12" spans="2:17" ht="18.75" customHeight="1" thickBot="1" x14ac:dyDescent="0.25">
      <c r="B12" s="82" t="s">
        <v>263</v>
      </c>
      <c r="C12" s="954"/>
      <c r="D12" s="955"/>
      <c r="E12" s="955"/>
      <c r="F12" s="956"/>
      <c r="G12" s="39"/>
      <c r="H12" s="38"/>
      <c r="K12" s="52"/>
    </row>
    <row r="13" spans="2:17" ht="18.75" customHeight="1" thickTop="1" thickBot="1" x14ac:dyDescent="0.25">
      <c r="B13" s="948" t="s">
        <v>274</v>
      </c>
      <c r="C13" s="949"/>
      <c r="D13" s="949"/>
      <c r="E13" s="949"/>
      <c r="F13" s="950"/>
      <c r="G13" s="39"/>
      <c r="H13" s="347" t="s">
        <v>651</v>
      </c>
      <c r="I13" s="247" t="s">
        <v>307</v>
      </c>
      <c r="J13" s="247" t="s">
        <v>306</v>
      </c>
    </row>
    <row r="14" spans="2:17" ht="45" customHeight="1" thickTop="1" x14ac:dyDescent="0.2">
      <c r="B14" s="96" t="s">
        <v>235</v>
      </c>
      <c r="C14" s="169">
        <f>IFERROR(INDEX(阻害要因×年齢階層[#All],MATCH($M14,阻害要因×年齢階層[[#All],[値]],0),MATCH($N$3,阻害要因×年齢階層[#Headers],0)),0)</f>
        <v>238</v>
      </c>
      <c r="D14" s="170">
        <f t="shared" ref="D14:D30" si="1">IFERROR(C14/C$10,"-")</f>
        <v>0.3888888888888889</v>
      </c>
      <c r="E14" s="169">
        <f>IFERROR(INDEX(阻害要因×年齢階層[#All],MATCH($M14,阻害要因×年齢階層[[#All],[値]],0),MATCH($O$3,阻害要因×年齢階層[#Headers],0)),0)</f>
        <v>369</v>
      </c>
      <c r="F14" s="170">
        <f t="shared" ref="F14:F30" si="2">IFERROR(E14/E$10,"-")</f>
        <v>0.3242530755711775</v>
      </c>
      <c r="G14" s="39">
        <f>SUM(C14,E14)</f>
        <v>607</v>
      </c>
      <c r="H14" s="55" t="s">
        <v>309</v>
      </c>
      <c r="I14" s="58">
        <v>369</v>
      </c>
      <c r="J14" s="58">
        <v>238</v>
      </c>
      <c r="K14" s="53"/>
      <c r="M14" s="275" t="s">
        <v>309</v>
      </c>
    </row>
    <row r="15" spans="2:17" ht="18.75" customHeight="1" x14ac:dyDescent="0.2">
      <c r="B15" s="97" t="s">
        <v>66</v>
      </c>
      <c r="C15" s="154">
        <f>IFERROR(INDEX(阻害要因×年齢階層[#All],MATCH($M15,阻害要因×年齢階層[[#All],[値]],0),MATCH($N$3,阻害要因×年齢階層[#Headers],0)),0)</f>
        <v>163</v>
      </c>
      <c r="D15" s="171">
        <f t="shared" si="1"/>
        <v>0.26633986928104575</v>
      </c>
      <c r="E15" s="154">
        <f>IFERROR(INDEX(阻害要因×年齢階層[#All],MATCH($M15,阻害要因×年齢階層[[#All],[値]],0),MATCH($O$3,阻害要因×年齢階層[#Headers],0)),0)</f>
        <v>290</v>
      </c>
      <c r="F15" s="171">
        <f t="shared" si="2"/>
        <v>0.25483304042179261</v>
      </c>
      <c r="G15" s="39">
        <f t="shared" ref="G15:G33" si="3">SUM(C15,E15)</f>
        <v>453</v>
      </c>
      <c r="H15" s="55" t="s">
        <v>310</v>
      </c>
      <c r="I15" s="58">
        <v>290</v>
      </c>
      <c r="J15" s="58">
        <v>163</v>
      </c>
      <c r="M15" s="275" t="s">
        <v>310</v>
      </c>
    </row>
    <row r="16" spans="2:17" ht="18.75" customHeight="1" x14ac:dyDescent="0.2">
      <c r="B16" s="97" t="s">
        <v>38</v>
      </c>
      <c r="C16" s="154">
        <f>IFERROR(INDEX(阻害要因×年齢階層[#All],MATCH($M16,阻害要因×年齢階層[[#All],[値]],0),MATCH($N$3,阻害要因×年齢階層[#Headers],0)),0)</f>
        <v>38</v>
      </c>
      <c r="D16" s="171">
        <f t="shared" si="1"/>
        <v>6.2091503267973858E-2</v>
      </c>
      <c r="E16" s="154">
        <f>IFERROR(INDEX(阻害要因×年齢階層[#All],MATCH($M16,阻害要因×年齢階層[[#All],[値]],0),MATCH($O$3,阻害要因×年齢階層[#Headers],0)),0)</f>
        <v>23</v>
      </c>
      <c r="F16" s="171">
        <f t="shared" si="2"/>
        <v>2.0210896309314587E-2</v>
      </c>
      <c r="G16" s="39">
        <f t="shared" si="3"/>
        <v>61</v>
      </c>
      <c r="H16" s="55" t="s">
        <v>166</v>
      </c>
      <c r="I16" s="58">
        <v>23</v>
      </c>
      <c r="J16" s="58">
        <v>38</v>
      </c>
      <c r="L16" s="22"/>
      <c r="M16" s="55" t="s">
        <v>166</v>
      </c>
    </row>
    <row r="17" spans="2:13" ht="18.75" customHeight="1" x14ac:dyDescent="0.2">
      <c r="B17" s="97" t="s">
        <v>39</v>
      </c>
      <c r="C17" s="154">
        <f>IFERROR(INDEX(阻害要因×年齢階層[#All],MATCH($M17,阻害要因×年齢階層[[#All],[値]],0),MATCH($N$3,阻害要因×年齢階層[#Headers],0)),0)</f>
        <v>216</v>
      </c>
      <c r="D17" s="155">
        <f t="shared" si="1"/>
        <v>0.35294117647058826</v>
      </c>
      <c r="E17" s="154">
        <f>IFERROR(INDEX(阻害要因×年齢階層[#All],MATCH($M17,阻害要因×年齢階層[[#All],[値]],0),MATCH($O$3,阻害要因×年齢階層[#Headers],0)),0)</f>
        <v>497</v>
      </c>
      <c r="F17" s="155">
        <f t="shared" si="2"/>
        <v>0.43673110720562391</v>
      </c>
      <c r="G17" s="39">
        <f t="shared" si="3"/>
        <v>713</v>
      </c>
      <c r="H17" s="55" t="s">
        <v>167</v>
      </c>
      <c r="I17" s="58">
        <v>497</v>
      </c>
      <c r="J17" s="58">
        <v>216</v>
      </c>
      <c r="L17" s="22"/>
      <c r="M17" s="55" t="s">
        <v>167</v>
      </c>
    </row>
    <row r="18" spans="2:13" ht="18.75" customHeight="1" x14ac:dyDescent="0.2">
      <c r="B18" s="97" t="s">
        <v>40</v>
      </c>
      <c r="C18" s="154">
        <f>IFERROR(INDEX(阻害要因×年齢階層[#All],MATCH($M18,阻害要因×年齢階層[[#All],[値]],0),MATCH($N$3,阻害要因×年齢階層[#Headers],0)),0)</f>
        <v>289</v>
      </c>
      <c r="D18" s="155">
        <f t="shared" si="1"/>
        <v>0.47222222222222221</v>
      </c>
      <c r="E18" s="154">
        <f>IFERROR(INDEX(阻害要因×年齢階層[#All],MATCH($M18,阻害要因×年齢階層[[#All],[値]],0),MATCH($O$3,阻害要因×年齢階層[#Headers],0)),0)</f>
        <v>525</v>
      </c>
      <c r="F18" s="155">
        <f t="shared" si="2"/>
        <v>0.46133567662565905</v>
      </c>
      <c r="G18" s="39">
        <f t="shared" si="3"/>
        <v>814</v>
      </c>
      <c r="H18" s="55" t="s">
        <v>168</v>
      </c>
      <c r="I18" s="58">
        <v>525</v>
      </c>
      <c r="J18" s="58">
        <v>289</v>
      </c>
      <c r="L18" s="22"/>
      <c r="M18" s="55" t="s">
        <v>168</v>
      </c>
    </row>
    <row r="19" spans="2:13" ht="18.75" customHeight="1" x14ac:dyDescent="0.2">
      <c r="B19" s="97" t="s">
        <v>41</v>
      </c>
      <c r="C19" s="154">
        <f>IFERROR(INDEX(阻害要因×年齢階層[#All],MATCH($M19,阻害要因×年齢階層[[#All],[値]],0),MATCH($N$3,阻害要因×年齢階層[#Headers],0)),0)</f>
        <v>190</v>
      </c>
      <c r="D19" s="158">
        <f t="shared" si="1"/>
        <v>0.31045751633986929</v>
      </c>
      <c r="E19" s="154">
        <f>IFERROR(INDEX(阻害要因×年齢階層[#All],MATCH($M19,阻害要因×年齢階層[[#All],[値]],0),MATCH($O$3,阻害要因×年齢階層[#Headers],0)),0)</f>
        <v>331</v>
      </c>
      <c r="F19" s="158">
        <f t="shared" si="2"/>
        <v>0.29086115992970124</v>
      </c>
      <c r="G19" s="39">
        <f t="shared" si="3"/>
        <v>521</v>
      </c>
      <c r="H19" s="55" t="s">
        <v>169</v>
      </c>
      <c r="I19" s="58">
        <v>331</v>
      </c>
      <c r="J19" s="58">
        <v>190</v>
      </c>
      <c r="M19" s="55" t="s">
        <v>169</v>
      </c>
    </row>
    <row r="20" spans="2:13" ht="18.75" customHeight="1" x14ac:dyDescent="0.2">
      <c r="B20" s="97" t="s">
        <v>42</v>
      </c>
      <c r="C20" s="154">
        <f>IFERROR(INDEX(阻害要因×年齢階層[#All],MATCH($M20,阻害要因×年齢階層[[#All],[値]],0),MATCH($N$3,阻害要因×年齢階層[#Headers],0)),0)</f>
        <v>64</v>
      </c>
      <c r="D20" s="155">
        <f t="shared" si="1"/>
        <v>0.10457516339869281</v>
      </c>
      <c r="E20" s="154">
        <f>IFERROR(INDEX(阻害要因×年齢階層[#All],MATCH($M20,阻害要因×年齢階層[[#All],[値]],0),MATCH($O$3,阻害要因×年齢階層[#Headers],0)),0)</f>
        <v>70</v>
      </c>
      <c r="F20" s="155">
        <f t="shared" si="2"/>
        <v>6.1511423550087874E-2</v>
      </c>
      <c r="G20" s="39">
        <f t="shared" si="3"/>
        <v>134</v>
      </c>
      <c r="H20" s="55" t="s">
        <v>170</v>
      </c>
      <c r="I20" s="58">
        <v>70</v>
      </c>
      <c r="J20" s="58">
        <v>64</v>
      </c>
      <c r="M20" s="55" t="s">
        <v>170</v>
      </c>
    </row>
    <row r="21" spans="2:13" ht="18.75" customHeight="1" x14ac:dyDescent="0.2">
      <c r="B21" s="97" t="s">
        <v>43</v>
      </c>
      <c r="C21" s="154">
        <f>IFERROR(INDEX(阻害要因×年齢階層[#All],MATCH($M21,阻害要因×年齢階層[[#All],[値]],0),MATCH($N$3,阻害要因×年齢階層[#Headers],0)),0)</f>
        <v>175</v>
      </c>
      <c r="D21" s="155">
        <f>IFERROR(C21/C$10,"-")</f>
        <v>0.28594771241830064</v>
      </c>
      <c r="E21" s="154">
        <f>IFERROR(INDEX(阻害要因×年齢階層[#All],MATCH($M21,阻害要因×年齢階層[[#All],[値]],0),MATCH($O$3,阻害要因×年齢階層[#Headers],0)),0)</f>
        <v>400</v>
      </c>
      <c r="F21" s="155">
        <f t="shared" si="2"/>
        <v>0.35149384885764501</v>
      </c>
      <c r="G21" s="39">
        <f t="shared" si="3"/>
        <v>575</v>
      </c>
      <c r="H21" s="55" t="s">
        <v>171</v>
      </c>
      <c r="I21" s="58">
        <v>400</v>
      </c>
      <c r="J21" s="58">
        <v>175</v>
      </c>
      <c r="M21" s="55" t="s">
        <v>171</v>
      </c>
    </row>
    <row r="22" spans="2:13" ht="18.75" customHeight="1" x14ac:dyDescent="0.2">
      <c r="B22" s="97" t="s">
        <v>44</v>
      </c>
      <c r="C22" s="154">
        <f>IFERROR(INDEX(阻害要因×年齢階層[#All],MATCH($M22,阻害要因×年齢階層[[#All],[値]],0),MATCH($N$3,阻害要因×年齢階層[#Headers],0)),0)</f>
        <v>127</v>
      </c>
      <c r="D22" s="155">
        <f t="shared" si="1"/>
        <v>0.20751633986928106</v>
      </c>
      <c r="E22" s="154">
        <f>IFERROR(INDEX(阻害要因×年齢階層[#All],MATCH($M22,阻害要因×年齢階層[[#All],[値]],0),MATCH($O$3,阻害要因×年齢階層[#Headers],0)),0)</f>
        <v>269</v>
      </c>
      <c r="F22" s="155">
        <f t="shared" si="2"/>
        <v>0.23637961335676624</v>
      </c>
      <c r="G22" s="39">
        <f t="shared" si="3"/>
        <v>396</v>
      </c>
      <c r="H22" s="55" t="s">
        <v>172</v>
      </c>
      <c r="I22" s="58">
        <v>269</v>
      </c>
      <c r="J22" s="58">
        <v>127</v>
      </c>
      <c r="M22" s="55" t="s">
        <v>172</v>
      </c>
    </row>
    <row r="23" spans="2:13" ht="18.75" customHeight="1" x14ac:dyDescent="0.2">
      <c r="B23" s="97" t="s">
        <v>45</v>
      </c>
      <c r="C23" s="154">
        <f>IFERROR(INDEX(阻害要因×年齢階層[#All],MATCH($M23,阻害要因×年齢階層[[#All],[値]],0),MATCH($N$3,阻害要因×年齢階層[#Headers],0)),0)</f>
        <v>93</v>
      </c>
      <c r="D23" s="155">
        <f t="shared" si="1"/>
        <v>0.15196078431372548</v>
      </c>
      <c r="E23" s="154">
        <f>IFERROR(INDEX(阻害要因×年齢階層[#All],MATCH($M23,阻害要因×年齢階層[[#All],[値]],0),MATCH($O$3,阻害要因×年齢階層[#Headers],0)),0)</f>
        <v>209</v>
      </c>
      <c r="F23" s="155">
        <f t="shared" si="2"/>
        <v>0.18365553602811951</v>
      </c>
      <c r="G23" s="39">
        <f t="shared" si="3"/>
        <v>302</v>
      </c>
      <c r="H23" s="55" t="s">
        <v>173</v>
      </c>
      <c r="I23" s="58">
        <v>209</v>
      </c>
      <c r="J23" s="58">
        <v>93</v>
      </c>
      <c r="M23" s="55" t="s">
        <v>173</v>
      </c>
    </row>
    <row r="24" spans="2:13" ht="18.75" customHeight="1" x14ac:dyDescent="0.2">
      <c r="B24" s="97" t="s">
        <v>46</v>
      </c>
      <c r="C24" s="154">
        <f>IFERROR(INDEX(阻害要因×年齢階層[#All],MATCH($M24,阻害要因×年齢階層[[#All],[値]],0),MATCH($N$3,阻害要因×年齢階層[#Headers],0)),0)</f>
        <v>207</v>
      </c>
      <c r="D24" s="155">
        <f t="shared" si="1"/>
        <v>0.33823529411764708</v>
      </c>
      <c r="E24" s="154">
        <f>IFERROR(INDEX(阻害要因×年齢階層[#All],MATCH($M24,阻害要因×年齢階層[[#All],[値]],0),MATCH($O$3,阻害要因×年齢階層[#Headers],0)),0)</f>
        <v>372</v>
      </c>
      <c r="F24" s="155">
        <f t="shared" si="2"/>
        <v>0.32688927943760981</v>
      </c>
      <c r="G24" s="39">
        <f t="shared" si="3"/>
        <v>579</v>
      </c>
      <c r="H24" s="55" t="s">
        <v>174</v>
      </c>
      <c r="I24" s="58">
        <v>372</v>
      </c>
      <c r="J24" s="58">
        <v>207</v>
      </c>
      <c r="M24" s="55" t="s">
        <v>174</v>
      </c>
    </row>
    <row r="25" spans="2:13" ht="18.75" customHeight="1" x14ac:dyDescent="0.2">
      <c r="B25" s="97" t="s">
        <v>47</v>
      </c>
      <c r="C25" s="154">
        <f>IFERROR(INDEX(阻害要因×年齢階層[#All],MATCH($M25,阻害要因×年齢階層[[#All],[値]],0),MATCH($N$3,阻害要因×年齢階層[#Headers],0)),0)</f>
        <v>36</v>
      </c>
      <c r="D25" s="155">
        <f t="shared" si="1"/>
        <v>5.8823529411764705E-2</v>
      </c>
      <c r="E25" s="154">
        <f>IFERROR(INDEX(阻害要因×年齢階層[#All],MATCH($M25,阻害要因×年齢階層[[#All],[値]],0),MATCH($O$3,阻害要因×年齢階層[#Headers],0)),0)</f>
        <v>80</v>
      </c>
      <c r="F25" s="155">
        <f t="shared" si="2"/>
        <v>7.0298769771529004E-2</v>
      </c>
      <c r="G25" s="39">
        <f t="shared" si="3"/>
        <v>116</v>
      </c>
      <c r="H25" s="55" t="s">
        <v>175</v>
      </c>
      <c r="I25" s="58">
        <v>80</v>
      </c>
      <c r="J25" s="58">
        <v>36</v>
      </c>
      <c r="M25" s="55" t="s">
        <v>175</v>
      </c>
    </row>
    <row r="26" spans="2:13" ht="18.75" customHeight="1" x14ac:dyDescent="0.2">
      <c r="B26" s="97" t="s">
        <v>48</v>
      </c>
      <c r="C26" s="154">
        <f>IFERROR(INDEX(阻害要因×年齢階層[#All],MATCH($M26,阻害要因×年齢階層[[#All],[値]],0),MATCH($N$3,阻害要因×年齢階層[#Headers],0)),0)</f>
        <v>27</v>
      </c>
      <c r="D26" s="155">
        <f t="shared" si="1"/>
        <v>4.4117647058823532E-2</v>
      </c>
      <c r="E26" s="154">
        <f>IFERROR(INDEX(阻害要因×年齢階層[#All],MATCH($M26,阻害要因×年齢階層[[#All],[値]],0),MATCH($O$3,阻害要因×年齢階層[#Headers],0)),0)</f>
        <v>46</v>
      </c>
      <c r="F26" s="155">
        <f t="shared" si="2"/>
        <v>4.0421792618629174E-2</v>
      </c>
      <c r="G26" s="39">
        <f t="shared" si="3"/>
        <v>73</v>
      </c>
      <c r="H26" s="55" t="s">
        <v>176</v>
      </c>
      <c r="I26" s="58">
        <v>46</v>
      </c>
      <c r="J26" s="58">
        <v>27</v>
      </c>
      <c r="M26" s="55" t="s">
        <v>176</v>
      </c>
    </row>
    <row r="27" spans="2:13" ht="18.75" customHeight="1" x14ac:dyDescent="0.2">
      <c r="B27" s="97" t="s">
        <v>49</v>
      </c>
      <c r="C27" s="154">
        <f>IFERROR(INDEX(阻害要因×年齢階層[#All],MATCH($M27,阻害要因×年齢階層[[#All],[値]],0),MATCH($N$3,阻害要因×年齢階層[#Headers],0)),0)</f>
        <v>6</v>
      </c>
      <c r="D27" s="171">
        <f t="shared" si="1"/>
        <v>9.8039215686274508E-3</v>
      </c>
      <c r="E27" s="154">
        <f>IFERROR(INDEX(阻害要因×年齢階層[#All],MATCH($M27,阻害要因×年齢階層[[#All],[値]],0),MATCH($O$3,阻害要因×年齢階層[#Headers],0)),0)</f>
        <v>7</v>
      </c>
      <c r="F27" s="171">
        <f t="shared" si="2"/>
        <v>6.1511423550087872E-3</v>
      </c>
      <c r="G27" s="39">
        <f t="shared" si="3"/>
        <v>13</v>
      </c>
      <c r="H27" s="55" t="s">
        <v>177</v>
      </c>
      <c r="I27" s="58">
        <v>7</v>
      </c>
      <c r="J27" s="58">
        <v>6</v>
      </c>
      <c r="M27" s="55" t="s">
        <v>177</v>
      </c>
    </row>
    <row r="28" spans="2:13" ht="18.75" customHeight="1" x14ac:dyDescent="0.2">
      <c r="B28" s="97" t="s">
        <v>50</v>
      </c>
      <c r="C28" s="154">
        <f>IFERROR(INDEX(阻害要因×年齢階層[#All],MATCH($M28,阻害要因×年齢階層[[#All],[値]],0),MATCH($N$3,阻害要因×年齢階層[#Headers],0)),0)</f>
        <v>50</v>
      </c>
      <c r="D28" s="155">
        <f t="shared" si="1"/>
        <v>8.1699346405228759E-2</v>
      </c>
      <c r="E28" s="154">
        <f>IFERROR(INDEX(阻害要因×年齢階層[#All],MATCH($M28,阻害要因×年齢階層[[#All],[値]],0),MATCH($O$3,阻害要因×年齢階層[#Headers],0)),0)</f>
        <v>110</v>
      </c>
      <c r="F28" s="155">
        <f t="shared" si="2"/>
        <v>9.6660808435852369E-2</v>
      </c>
      <c r="G28" s="39">
        <f t="shared" si="3"/>
        <v>160</v>
      </c>
      <c r="H28" s="55" t="s">
        <v>178</v>
      </c>
      <c r="I28" s="58">
        <v>110</v>
      </c>
      <c r="J28" s="58">
        <v>50</v>
      </c>
      <c r="M28" s="55" t="s">
        <v>178</v>
      </c>
    </row>
    <row r="29" spans="2:13" ht="18.75" customHeight="1" x14ac:dyDescent="0.2">
      <c r="B29" s="97" t="s">
        <v>51</v>
      </c>
      <c r="C29" s="154">
        <f>IFERROR(INDEX(阻害要因×年齢階層[#All],MATCH($M29,阻害要因×年齢階層[[#All],[値]],0),MATCH($N$3,阻害要因×年齢階層[#Headers],0)),0)</f>
        <v>61</v>
      </c>
      <c r="D29" s="155">
        <f t="shared" si="1"/>
        <v>9.9673202614379092E-2</v>
      </c>
      <c r="E29" s="154">
        <f>IFERROR(INDEX(阻害要因×年齢階層[#All],MATCH($M29,阻害要因×年齢階層[[#All],[値]],0),MATCH($O$3,阻害要因×年齢階層[#Headers],0)),0)</f>
        <v>100</v>
      </c>
      <c r="F29" s="155">
        <f t="shared" si="2"/>
        <v>8.7873462214411252E-2</v>
      </c>
      <c r="G29" s="39">
        <f t="shared" si="3"/>
        <v>161</v>
      </c>
      <c r="H29" s="55" t="s">
        <v>179</v>
      </c>
      <c r="I29" s="58">
        <v>100</v>
      </c>
      <c r="J29" s="58">
        <v>61</v>
      </c>
      <c r="M29" s="55" t="s">
        <v>179</v>
      </c>
    </row>
    <row r="30" spans="2:13" ht="18.75" customHeight="1" x14ac:dyDescent="0.2">
      <c r="B30" s="97" t="s">
        <v>52</v>
      </c>
      <c r="C30" s="154">
        <f>IFERROR(INDEX(阻害要因×年齢階層[#All],MATCH($M30,阻害要因×年齢階層[[#All],[値]],0),MATCH($N$3,阻害要因×年齢階層[#Headers],0)),0)</f>
        <v>14</v>
      </c>
      <c r="D30" s="155">
        <f t="shared" si="1"/>
        <v>2.2875816993464051E-2</v>
      </c>
      <c r="E30" s="154">
        <f>IFERROR(INDEX(阻害要因×年齢階層[#All],MATCH($M30,阻害要因×年齢階層[[#All],[値]],0),MATCH($O$3,阻害要因×年齢階層[#Headers],0)),0)</f>
        <v>20</v>
      </c>
      <c r="F30" s="155">
        <f t="shared" si="2"/>
        <v>1.7574692442882251E-2</v>
      </c>
      <c r="G30" s="39">
        <f t="shared" si="3"/>
        <v>34</v>
      </c>
      <c r="H30" s="55" t="s">
        <v>180</v>
      </c>
      <c r="I30" s="58">
        <v>20</v>
      </c>
      <c r="J30" s="58">
        <v>14</v>
      </c>
      <c r="M30" s="55" t="s">
        <v>180</v>
      </c>
    </row>
    <row r="31" spans="2:13" s="396" customFormat="1" ht="18.75" customHeight="1" x14ac:dyDescent="0.2">
      <c r="B31" s="398" t="s">
        <v>380</v>
      </c>
      <c r="C31" s="154">
        <f>IFERROR(INDEX(阻害要因×年齢階層[#All],MATCH($M31,阻害要因×年齢階層[[#All],[値]],0),MATCH($N$3,阻害要因×年齢階層[#Headers],0)),0)</f>
        <v>48</v>
      </c>
      <c r="D31" s="155">
        <f t="shared" ref="D31:D33" si="4">IFERROR(C31/C$10,"-")</f>
        <v>7.8431372549019607E-2</v>
      </c>
      <c r="E31" s="154">
        <f>IFERROR(INDEX(阻害要因×年齢階層[#All],MATCH($M31,阻害要因×年齢階層[[#All],[値]],0),MATCH($O$3,阻害要因×年齢階層[#Headers],0)),0)</f>
        <v>194</v>
      </c>
      <c r="F31" s="155">
        <f t="shared" ref="F31:F33" si="5">IFERROR(E31/E$10,"-")</f>
        <v>0.17047451669595781</v>
      </c>
      <c r="G31" s="39">
        <f t="shared" si="3"/>
        <v>242</v>
      </c>
      <c r="H31" s="55" t="s">
        <v>382</v>
      </c>
      <c r="I31" s="58">
        <v>194</v>
      </c>
      <c r="J31" s="58">
        <v>48</v>
      </c>
      <c r="M31" s="55" t="s">
        <v>382</v>
      </c>
    </row>
    <row r="32" spans="2:13" s="396" customFormat="1" ht="37.5" customHeight="1" x14ac:dyDescent="0.2">
      <c r="B32" s="519" t="s">
        <v>381</v>
      </c>
      <c r="C32" s="154">
        <f>IFERROR(INDEX(阻害要因×年齢階層[#All],MATCH($M32,阻害要因×年齢階層[[#All],[値]],0),MATCH($N$3,阻害要因×年齢階層[#Headers],0)),0)</f>
        <v>24</v>
      </c>
      <c r="D32" s="155">
        <f t="shared" si="4"/>
        <v>3.9215686274509803E-2</v>
      </c>
      <c r="E32" s="154">
        <f>IFERROR(INDEX(阻害要因×年齢階層[#All],MATCH($M32,阻害要因×年齢階層[[#All],[値]],0),MATCH($O$3,阻害要因×年齢階層[#Headers],0)),0)</f>
        <v>102</v>
      </c>
      <c r="F32" s="155">
        <f t="shared" si="5"/>
        <v>8.9630931458699478E-2</v>
      </c>
      <c r="G32" s="39">
        <f t="shared" si="3"/>
        <v>126</v>
      </c>
      <c r="H32" s="55" t="s">
        <v>383</v>
      </c>
      <c r="I32" s="58">
        <v>102</v>
      </c>
      <c r="J32" s="58">
        <v>24</v>
      </c>
      <c r="M32" s="55" t="s">
        <v>383</v>
      </c>
    </row>
    <row r="33" spans="2:13" ht="18.75" customHeight="1" x14ac:dyDescent="0.2">
      <c r="B33" s="98" t="s">
        <v>53</v>
      </c>
      <c r="C33" s="157">
        <f>IFERROR(INDEX(阻害要因×年齢階層[#All],MATCH($M33,阻害要因×年齢階層[[#All],[値]],0),MATCH($N$3,阻害要因×年齢階層[#Headers],0)),0)</f>
        <v>19</v>
      </c>
      <c r="D33" s="159">
        <f t="shared" si="4"/>
        <v>3.1045751633986929E-2</v>
      </c>
      <c r="E33" s="157">
        <f>IFERROR(INDEX(阻害要因×年齢階層[#All],MATCH($M33,阻害要因×年齢階層[[#All],[値]],0),MATCH($O$3,阻害要因×年齢階層[#Headers],0)),0)</f>
        <v>32</v>
      </c>
      <c r="F33" s="159">
        <f t="shared" si="5"/>
        <v>2.8119507908611598E-2</v>
      </c>
      <c r="G33" s="39">
        <f t="shared" si="3"/>
        <v>51</v>
      </c>
      <c r="H33" s="55" t="s">
        <v>181</v>
      </c>
      <c r="I33" s="58">
        <v>32</v>
      </c>
      <c r="J33" s="58">
        <v>19</v>
      </c>
      <c r="M33" s="55" t="s">
        <v>181</v>
      </c>
    </row>
    <row r="34" spans="2:13" ht="18.75" customHeight="1" x14ac:dyDescent="0.2">
      <c r="C34" s="172"/>
      <c r="D34" s="173"/>
      <c r="E34" s="172"/>
      <c r="F34" s="173"/>
      <c r="G34" s="39"/>
      <c r="H34" s="33"/>
    </row>
    <row r="35" spans="2:13" ht="18.75" customHeight="1" x14ac:dyDescent="0.2">
      <c r="B35" s="2" t="s">
        <v>87</v>
      </c>
      <c r="C35" s="172"/>
      <c r="D35" s="172"/>
      <c r="E35" s="172"/>
      <c r="F35" s="172"/>
      <c r="G35" s="39"/>
    </row>
    <row r="36" spans="2:13" ht="18.75" customHeight="1" thickBot="1" x14ac:dyDescent="0.25">
      <c r="B36" s="957" t="s">
        <v>240</v>
      </c>
      <c r="C36" s="959" t="s">
        <v>65</v>
      </c>
      <c r="D36" s="960"/>
      <c r="E36" s="960"/>
      <c r="F36" s="961"/>
      <c r="G36" s="39"/>
      <c r="H36" s="33" t="s">
        <v>63</v>
      </c>
      <c r="I36" s="42" t="s">
        <v>280</v>
      </c>
    </row>
    <row r="37" spans="2:13" ht="18.75" customHeight="1" thickTop="1" thickBot="1" x14ac:dyDescent="0.25">
      <c r="B37" s="958"/>
      <c r="C37" s="962" t="s">
        <v>267</v>
      </c>
      <c r="D37" s="963"/>
      <c r="E37" s="962" t="s">
        <v>265</v>
      </c>
      <c r="F37" s="963"/>
      <c r="G37" s="39"/>
      <c r="H37" s="347" t="s">
        <v>372</v>
      </c>
      <c r="I37" s="247" t="s">
        <v>307</v>
      </c>
      <c r="J37" s="247" t="s">
        <v>306</v>
      </c>
    </row>
    <row r="38" spans="2:13" ht="37.5" customHeight="1" thickTop="1" x14ac:dyDescent="0.2">
      <c r="B38" s="72" t="s">
        <v>231</v>
      </c>
      <c r="C38" s="151">
        <f>IFERROR(INDEX(退院予定有無×年齢階層＿寛解・院内寛解[#All],MATCH($M4,退院予定有無×年齢階層＿寛解・院内寛解[[#All],[行ラベル]],0),MATCH($N$3,退院予定有無×年齢階層＿寛解・院内寛解[#Headers],0)),0)</f>
        <v>248</v>
      </c>
      <c r="D38" s="152">
        <f>IFERROR(C38/C$41,"-")</f>
        <v>0.25567010309278349</v>
      </c>
      <c r="E38" s="151">
        <f>IFERROR(INDEX(退院予定有無×年齢階層＿寛解・院内寛解[#All],MATCH($M4,退院予定有無×年齢階層＿寛解・院内寛解[[#All],[行ラベル]],0),MATCH($O$3,退院予定有無×年齢階層＿寛解・院内寛解[#Headers],0)),0)</f>
        <v>367</v>
      </c>
      <c r="F38" s="153">
        <f>IFERROR(E38/E$41,"-")</f>
        <v>0.44110576923076922</v>
      </c>
      <c r="G38" s="39">
        <f>SUM(C38,E38)</f>
        <v>615</v>
      </c>
      <c r="H38" s="33">
        <v>97</v>
      </c>
      <c r="I38" s="58">
        <v>367</v>
      </c>
      <c r="J38" s="58">
        <v>248</v>
      </c>
    </row>
    <row r="39" spans="2:13" ht="18.75" customHeight="1" x14ac:dyDescent="0.2">
      <c r="B39" s="74" t="s">
        <v>241</v>
      </c>
      <c r="C39" s="154">
        <f>IFERROR(INDEX(退院予定有無×年齢階層＿寛解・院内寛解[#All],MATCH($M5,退院予定有無×年齢階層＿寛解・院内寛解[[#All],[行ラベル]],0),MATCH($N$3,退院予定有無×年齢階層＿寛解・院内寛解[#Headers],0)),0)</f>
        <v>223</v>
      </c>
      <c r="D39" s="155">
        <f>IFERROR(C39/C$41,"-")</f>
        <v>0.22989690721649483</v>
      </c>
      <c r="E39" s="154">
        <f>IFERROR(INDEX(退院予定有無×年齢階層＿寛解・院内寛解[#All],MATCH($M5,退院予定有無×年齢階層＿寛解・院内寛解[[#All],[行ラベル]],0),MATCH($O$3,退院予定有無×年齢階層＿寛解・院内寛解[#Headers],0)),0)</f>
        <v>164</v>
      </c>
      <c r="F39" s="156">
        <f>IFERROR(E39/E$41,"-")</f>
        <v>0.19711538461538461</v>
      </c>
      <c r="G39" s="39">
        <f t="shared" ref="G39:G41" si="6">SUM(C39,E39)</f>
        <v>387</v>
      </c>
      <c r="H39" s="33">
        <v>98</v>
      </c>
      <c r="I39" s="58">
        <v>164</v>
      </c>
      <c r="J39" s="58">
        <v>223</v>
      </c>
    </row>
    <row r="40" spans="2:13" ht="18.75" customHeight="1" x14ac:dyDescent="0.2">
      <c r="B40" s="93" t="s">
        <v>36</v>
      </c>
      <c r="C40" s="157">
        <f>IFERROR(INDEX(退院予定有無×年齢階層＿寛解・院内寛解[#All],MATCH($M6,退院予定有無×年齢階層＿寛解・院内寛解[[#All],[行ラベル]],0),MATCH($N$3,退院予定有無×年齢階層＿寛解・院内寛解[#Headers],0)),0)</f>
        <v>499</v>
      </c>
      <c r="D40" s="158">
        <f>IFERROR(C40/C$41,"-")</f>
        <v>0.5144329896907216</v>
      </c>
      <c r="E40" s="157">
        <f>IFERROR(INDEX(退院予定有無×年齢階層＿寛解・院内寛解[#All],MATCH($M6,退院予定有無×年齢階層＿寛解・院内寛解[[#All],[行ラベル]],0),MATCH($O$3,退院予定有無×年齢階層＿寛解・院内寛解[#Headers],0)),0)</f>
        <v>301</v>
      </c>
      <c r="F40" s="159">
        <f>IFERROR(E40/E$41,"-")</f>
        <v>0.36177884615384615</v>
      </c>
      <c r="G40" s="39">
        <f>SUM(C40,E40,K39)</f>
        <v>800</v>
      </c>
      <c r="H40" s="33">
        <v>99</v>
      </c>
      <c r="I40" s="58">
        <v>301</v>
      </c>
      <c r="J40" s="58">
        <v>499</v>
      </c>
    </row>
    <row r="41" spans="2:13" ht="18.75" customHeight="1" x14ac:dyDescent="0.2">
      <c r="B41" s="75" t="s">
        <v>161</v>
      </c>
      <c r="C41" s="160">
        <f t="shared" ref="C41:F41" si="7">SUM(C38:C40)</f>
        <v>970</v>
      </c>
      <c r="D41" s="161">
        <f t="shared" si="7"/>
        <v>0.99999999999999989</v>
      </c>
      <c r="E41" s="162">
        <f>SUM(E38:E40)</f>
        <v>832</v>
      </c>
      <c r="F41" s="161">
        <f t="shared" si="7"/>
        <v>1</v>
      </c>
      <c r="G41" s="39">
        <f t="shared" si="6"/>
        <v>1802</v>
      </c>
      <c r="H41" s="33"/>
    </row>
    <row r="42" spans="2:13" ht="18.75" customHeight="1" thickBot="1" x14ac:dyDescent="0.25">
      <c r="B42" s="76"/>
      <c r="C42" s="163"/>
      <c r="D42" s="164"/>
      <c r="E42" s="165"/>
      <c r="F42" s="164"/>
      <c r="G42" s="39"/>
      <c r="H42" s="33"/>
    </row>
    <row r="43" spans="2:13" ht="18.75" customHeight="1" thickTop="1" thickBot="1" x14ac:dyDescent="0.25">
      <c r="B43" s="99" t="s">
        <v>239</v>
      </c>
      <c r="C43" s="951"/>
      <c r="D43" s="952"/>
      <c r="E43" s="952"/>
      <c r="F43" s="953"/>
      <c r="G43" s="39"/>
      <c r="H43" s="347" t="s">
        <v>372</v>
      </c>
      <c r="I43" s="247" t="s">
        <v>307</v>
      </c>
      <c r="J43" s="247" t="s">
        <v>306</v>
      </c>
    </row>
    <row r="44" spans="2:13" ht="18.75" customHeight="1" thickTop="1" x14ac:dyDescent="0.2">
      <c r="B44" s="81" t="s">
        <v>34</v>
      </c>
      <c r="C44" s="151">
        <f>IFERROR(INDEX(阻害要因有無×年齢階層＿寛解・院内寛解[#All],MATCH($M10,阻害要因有無×年齢階層＿寛解・院内寛解[[#All],[行ラベル]],0),MATCH($N$3,阻害要因有無×年齢階層＿寛解・院内寛解[#Headers],0)),0)</f>
        <v>208</v>
      </c>
      <c r="D44" s="153">
        <f>IFERROR(C44/C$38,"-")</f>
        <v>0.83870967741935487</v>
      </c>
      <c r="E44" s="151">
        <f>IFERROR(INDEX(阻害要因有無×年齢階層＿寛解・院内寛解[#All],MATCH($M10,阻害要因有無×年齢階層＿寛解・院内寛解[[#All],[行ラベル]],0),MATCH($O$3,阻害要因有無×年齢階層＿寛解・院内寛解[#Headers],0)),0)</f>
        <v>328</v>
      </c>
      <c r="F44" s="153">
        <f>IFERROR(E44/E$38,"-")</f>
        <v>0.89373297002724794</v>
      </c>
      <c r="G44" s="39">
        <f>SUM(C44,E44)</f>
        <v>536</v>
      </c>
      <c r="H44" s="33">
        <v>91</v>
      </c>
      <c r="I44" s="58">
        <v>328</v>
      </c>
      <c r="J44" s="58">
        <v>208</v>
      </c>
    </row>
    <row r="45" spans="2:13" ht="18.75" customHeight="1" x14ac:dyDescent="0.2">
      <c r="B45" s="74" t="s">
        <v>35</v>
      </c>
      <c r="C45" s="154">
        <f>IFERROR(INDEX(阻害要因有無×年齢階層＿寛解・院内寛解[#All],MATCH($M11,阻害要因有無×年齢階層＿寛解・院内寛解[[#All],[行ラベル]],0),MATCH($N$3,阻害要因有無×年齢階層＿寛解・院内寛解[#Headers],0)),0)</f>
        <v>40</v>
      </c>
      <c r="D45" s="155">
        <f>IFERROR(C45/C$38,"-")</f>
        <v>0.16129032258064516</v>
      </c>
      <c r="E45" s="154">
        <f>IFERROR(INDEX(阻害要因有無×年齢階層＿寛解・院内寛解[#All],MATCH($M11,阻害要因有無×年齢階層＿寛解・院内寛解[[#All],[行ラベル]],0),MATCH($O$3,阻害要因有無×年齢階層＿寛解・院内寛解[#Headers],0)),0)</f>
        <v>39</v>
      </c>
      <c r="F45" s="155">
        <f>IFERROR(E45/E$38,"-")</f>
        <v>0.10626702997275204</v>
      </c>
      <c r="G45" s="39">
        <f t="shared" ref="G45" si="8">SUM(C45,E45)</f>
        <v>79</v>
      </c>
      <c r="H45" s="33">
        <v>90</v>
      </c>
      <c r="I45" s="58">
        <v>39</v>
      </c>
      <c r="J45" s="58">
        <v>40</v>
      </c>
    </row>
    <row r="46" spans="2:13" ht="18.75" customHeight="1" thickBot="1" x14ac:dyDescent="0.25">
      <c r="B46" s="82" t="s">
        <v>263</v>
      </c>
      <c r="C46" s="954"/>
      <c r="D46" s="955"/>
      <c r="E46" s="955"/>
      <c r="F46" s="956"/>
      <c r="G46" s="39"/>
    </row>
    <row r="47" spans="2:13" ht="21" customHeight="1" thickTop="1" thickBot="1" x14ac:dyDescent="0.25">
      <c r="B47" s="948" t="s">
        <v>274</v>
      </c>
      <c r="C47" s="949"/>
      <c r="D47" s="949"/>
      <c r="E47" s="949"/>
      <c r="F47" s="950"/>
      <c r="G47" s="39">
        <f t="shared" ref="G47:G63" si="9">SUM(C48,E48)</f>
        <v>148</v>
      </c>
      <c r="H47" s="347" t="s">
        <v>651</v>
      </c>
      <c r="I47" s="247" t="s">
        <v>307</v>
      </c>
      <c r="J47" s="247" t="s">
        <v>306</v>
      </c>
    </row>
    <row r="48" spans="2:13" ht="45" customHeight="1" thickTop="1" x14ac:dyDescent="0.2">
      <c r="B48" s="96" t="s">
        <v>235</v>
      </c>
      <c r="C48" s="154">
        <f>IFERROR(INDEX(阻害要因×年齢階層＿寛解・院内寛解[#All],MATCH($M14,阻害要因×年齢階層＿寛解・院内寛解[[#All],[値]],0),MATCH($N$3,阻害要因×年齢階層＿寛解・院内寛解[#Headers],0)),0)</f>
        <v>68</v>
      </c>
      <c r="D48" s="170">
        <f t="shared" ref="D48:D64" si="10">IFERROR(C48/C$44,"-")</f>
        <v>0.32692307692307693</v>
      </c>
      <c r="E48" s="169">
        <f>IFERROR(INDEX(阻害要因×年齢階層＿寛解・院内寛解[#All],MATCH($M14,阻害要因×年齢階層＿寛解・院内寛解[[#All],[値]],0),MATCH($O$3,阻害要因×年齢階層＿寛解・院内寛解[#Headers],0)),0)</f>
        <v>80</v>
      </c>
      <c r="F48" s="170">
        <f t="shared" ref="F48:F64" si="11">IFERROR(E48/E$44,"-")</f>
        <v>0.24390243902439024</v>
      </c>
      <c r="G48" s="39">
        <f t="shared" si="9"/>
        <v>79</v>
      </c>
      <c r="H48" s="55" t="s">
        <v>309</v>
      </c>
      <c r="I48" s="58">
        <v>80</v>
      </c>
      <c r="J48" s="58">
        <v>68</v>
      </c>
    </row>
    <row r="49" spans="2:10" ht="18.75" customHeight="1" x14ac:dyDescent="0.2">
      <c r="B49" s="97" t="s">
        <v>66</v>
      </c>
      <c r="C49" s="154">
        <f>IFERROR(INDEX(阻害要因×年齢階層＿寛解・院内寛解[#All],MATCH($M15,阻害要因×年齢階層＿寛解・院内寛解[[#All],[値]],0),MATCH($N$3,阻害要因×年齢階層＿寛解・院内寛解[#Headers],0)),0)</f>
        <v>29</v>
      </c>
      <c r="D49" s="171">
        <f t="shared" si="10"/>
        <v>0.13942307692307693</v>
      </c>
      <c r="E49" s="154">
        <f>IFERROR(INDEX(阻害要因×年齢階層＿寛解・院内寛解[#All],MATCH($M15,阻害要因×年齢階層＿寛解・院内寛解[[#All],[値]],0),MATCH($O$3,阻害要因×年齢階層＿寛解・院内寛解[#Headers],0)),0)</f>
        <v>50</v>
      </c>
      <c r="F49" s="171">
        <f t="shared" si="11"/>
        <v>0.1524390243902439</v>
      </c>
      <c r="G49" s="39">
        <f t="shared" si="9"/>
        <v>10</v>
      </c>
      <c r="H49" s="55" t="s">
        <v>310</v>
      </c>
      <c r="I49" s="58">
        <v>50</v>
      </c>
      <c r="J49" s="58">
        <v>29</v>
      </c>
    </row>
    <row r="50" spans="2:10" ht="18.75" customHeight="1" x14ac:dyDescent="0.2">
      <c r="B50" s="97" t="s">
        <v>38</v>
      </c>
      <c r="C50" s="154">
        <f>IFERROR(INDEX(阻害要因×年齢階層＿寛解・院内寛解[#All],MATCH($M16,阻害要因×年齢階層＿寛解・院内寛解[[#All],[値]],0),MATCH($N$3,阻害要因×年齢階層＿寛解・院内寛解[#Headers],0)),0)</f>
        <v>6</v>
      </c>
      <c r="D50" s="171">
        <f t="shared" si="10"/>
        <v>2.8846153846153848E-2</v>
      </c>
      <c r="E50" s="154">
        <f>IFERROR(INDEX(阻害要因×年齢階層＿寛解・院内寛解[#All],MATCH($M16,阻害要因×年齢階層＿寛解・院内寛解[[#All],[値]],0),MATCH($O$3,阻害要因×年齢階層＿寛解・院内寛解[#Headers],0)),0)</f>
        <v>4</v>
      </c>
      <c r="F50" s="171">
        <f t="shared" si="11"/>
        <v>1.2195121951219513E-2</v>
      </c>
      <c r="G50" s="39">
        <f t="shared" si="9"/>
        <v>200</v>
      </c>
      <c r="H50" s="55" t="s">
        <v>166</v>
      </c>
      <c r="I50" s="58">
        <v>4</v>
      </c>
      <c r="J50" s="58">
        <v>6</v>
      </c>
    </row>
    <row r="51" spans="2:10" ht="18.75" customHeight="1" x14ac:dyDescent="0.2">
      <c r="B51" s="97" t="s">
        <v>39</v>
      </c>
      <c r="C51" s="154">
        <f>IFERROR(INDEX(阻害要因×年齢階層＿寛解・院内寛解[#All],MATCH($M17,阻害要因×年齢階層＿寛解・院内寛解[[#All],[値]],0),MATCH($N$3,阻害要因×年齢階層＿寛解・院内寛解[#Headers],0)),0)</f>
        <v>55</v>
      </c>
      <c r="D51" s="171">
        <f t="shared" si="10"/>
        <v>0.26442307692307693</v>
      </c>
      <c r="E51" s="154">
        <f>IFERROR(INDEX(阻害要因×年齢階層＿寛解・院内寛解[#All],MATCH($M17,阻害要因×年齢階層＿寛解・院内寛解[[#All],[値]],0),MATCH($O$3,阻害要因×年齢階層＿寛解・院内寛解[#Headers],0)),0)</f>
        <v>145</v>
      </c>
      <c r="F51" s="171">
        <f t="shared" si="11"/>
        <v>0.44207317073170732</v>
      </c>
      <c r="G51" s="39">
        <f t="shared" si="9"/>
        <v>150</v>
      </c>
      <c r="H51" s="55" t="s">
        <v>167</v>
      </c>
      <c r="I51" s="58">
        <v>145</v>
      </c>
      <c r="J51" s="58">
        <v>55</v>
      </c>
    </row>
    <row r="52" spans="2:10" ht="18.75" customHeight="1" x14ac:dyDescent="0.2">
      <c r="B52" s="97" t="s">
        <v>40</v>
      </c>
      <c r="C52" s="154">
        <f>IFERROR(INDEX(阻害要因×年齢階層＿寛解・院内寛解[#All],MATCH($M18,阻害要因×年齢階層＿寛解・院内寛解[[#All],[値]],0),MATCH($N$3,阻害要因×年齢階層＿寛解・院内寛解[#Headers],0)),0)</f>
        <v>52</v>
      </c>
      <c r="D52" s="171">
        <f t="shared" si="10"/>
        <v>0.25</v>
      </c>
      <c r="E52" s="154">
        <f>IFERROR(INDEX(阻害要因×年齢階層＿寛解・院内寛解[#All],MATCH($M18,阻害要因×年齢階層＿寛解・院内寛解[[#All],[値]],0),MATCH($O$3,阻害要因×年齢階層＿寛解・院内寛解[#Headers],0)),0)</f>
        <v>98</v>
      </c>
      <c r="F52" s="171">
        <f t="shared" si="11"/>
        <v>0.29878048780487804</v>
      </c>
      <c r="G52" s="39">
        <f t="shared" si="9"/>
        <v>127</v>
      </c>
      <c r="H52" s="55" t="s">
        <v>168</v>
      </c>
      <c r="I52" s="58">
        <v>98</v>
      </c>
      <c r="J52" s="58">
        <v>52</v>
      </c>
    </row>
    <row r="53" spans="2:10" ht="18.75" customHeight="1" x14ac:dyDescent="0.2">
      <c r="B53" s="97" t="s">
        <v>41</v>
      </c>
      <c r="C53" s="154">
        <f>IFERROR(INDEX(阻害要因×年齢階層＿寛解・院内寛解[#All],MATCH($M19,阻害要因×年齢階層＿寛解・院内寛解[[#All],[値]],0),MATCH($N$3,阻害要因×年齢階層＿寛解・院内寛解[#Headers],0)),0)</f>
        <v>56</v>
      </c>
      <c r="D53" s="171">
        <f t="shared" si="10"/>
        <v>0.26923076923076922</v>
      </c>
      <c r="E53" s="154">
        <f>IFERROR(INDEX(阻害要因×年齢階層＿寛解・院内寛解[#All],MATCH($M19,阻害要因×年齢階層＿寛解・院内寛解[[#All],[値]],0),MATCH($O$3,阻害要因×年齢階層＿寛解・院内寛解[#Headers],0)),0)</f>
        <v>71</v>
      </c>
      <c r="F53" s="171">
        <f t="shared" si="11"/>
        <v>0.21646341463414634</v>
      </c>
      <c r="G53" s="39">
        <f t="shared" si="9"/>
        <v>15</v>
      </c>
      <c r="H53" s="55" t="s">
        <v>169</v>
      </c>
      <c r="I53" s="58">
        <v>71</v>
      </c>
      <c r="J53" s="58">
        <v>56</v>
      </c>
    </row>
    <row r="54" spans="2:10" ht="18.75" customHeight="1" x14ac:dyDescent="0.2">
      <c r="B54" s="97" t="s">
        <v>42</v>
      </c>
      <c r="C54" s="154">
        <f>IFERROR(INDEX(阻害要因×年齢階層＿寛解・院内寛解[#All],MATCH($M20,阻害要因×年齢階層＿寛解・院内寛解[[#All],[値]],0),MATCH($N$3,阻害要因×年齢階層＿寛解・院内寛解[#Headers],0)),0)</f>
        <v>8</v>
      </c>
      <c r="D54" s="171">
        <f t="shared" si="10"/>
        <v>3.8461538461538464E-2</v>
      </c>
      <c r="E54" s="154">
        <f>IFERROR(INDEX(阻害要因×年齢階層＿寛解・院内寛解[#All],MATCH($M20,阻害要因×年齢階層＿寛解・院内寛解[[#All],[値]],0),MATCH($O$3,阻害要因×年齢階層＿寛解・院内寛解[#Headers],0)),0)</f>
        <v>7</v>
      </c>
      <c r="F54" s="171">
        <f t="shared" si="11"/>
        <v>2.1341463414634148E-2</v>
      </c>
      <c r="G54" s="39">
        <f t="shared" si="9"/>
        <v>128</v>
      </c>
      <c r="H54" s="55" t="s">
        <v>170</v>
      </c>
      <c r="I54" s="58">
        <v>7</v>
      </c>
      <c r="J54" s="58">
        <v>8</v>
      </c>
    </row>
    <row r="55" spans="2:10" ht="18.75" customHeight="1" x14ac:dyDescent="0.2">
      <c r="B55" s="97" t="s">
        <v>43</v>
      </c>
      <c r="C55" s="154">
        <f>IFERROR(INDEX(阻害要因×年齢階層＿寛解・院内寛解[#All],MATCH($M21,阻害要因×年齢階層＿寛解・院内寛解[[#All],[値]],0),MATCH($N$3,阻害要因×年齢階層＿寛解・院内寛解[#Headers],0)),0)</f>
        <v>42</v>
      </c>
      <c r="D55" s="171">
        <f t="shared" si="10"/>
        <v>0.20192307692307693</v>
      </c>
      <c r="E55" s="154">
        <f>IFERROR(INDEX(阻害要因×年齢階層＿寛解・院内寛解[#All],MATCH($M21,阻害要因×年齢階層＿寛解・院内寛解[[#All],[値]],0),MATCH($O$3,阻害要因×年齢階層＿寛解・院内寛解[#Headers],0)),0)</f>
        <v>86</v>
      </c>
      <c r="F55" s="171">
        <f t="shared" si="11"/>
        <v>0.26219512195121952</v>
      </c>
      <c r="G55" s="39">
        <f t="shared" si="9"/>
        <v>100</v>
      </c>
      <c r="H55" s="55" t="s">
        <v>171</v>
      </c>
      <c r="I55" s="58">
        <v>86</v>
      </c>
      <c r="J55" s="58">
        <v>42</v>
      </c>
    </row>
    <row r="56" spans="2:10" ht="18.75" customHeight="1" x14ac:dyDescent="0.2">
      <c r="B56" s="97" t="s">
        <v>44</v>
      </c>
      <c r="C56" s="154">
        <f>IFERROR(INDEX(阻害要因×年齢階層＿寛解・院内寛解[#All],MATCH($M22,阻害要因×年齢階層＿寛解・院内寛解[[#All],[値]],0),MATCH($N$3,阻害要因×年齢階層＿寛解・院内寛解[#Headers],0)),0)</f>
        <v>34</v>
      </c>
      <c r="D56" s="171">
        <f t="shared" si="10"/>
        <v>0.16346153846153846</v>
      </c>
      <c r="E56" s="154">
        <f>IFERROR(INDEX(阻害要因×年齢階層＿寛解・院内寛解[#All],MATCH($M22,阻害要因×年齢階層＿寛解・院内寛解[[#All],[値]],0),MATCH($O$3,阻害要因×年齢階層＿寛解・院内寛解[#Headers],0)),0)</f>
        <v>66</v>
      </c>
      <c r="F56" s="171">
        <f t="shared" si="11"/>
        <v>0.20121951219512196</v>
      </c>
      <c r="G56" s="39">
        <f t="shared" si="9"/>
        <v>87</v>
      </c>
      <c r="H56" s="55" t="s">
        <v>172</v>
      </c>
      <c r="I56" s="58">
        <v>66</v>
      </c>
      <c r="J56" s="58">
        <v>34</v>
      </c>
    </row>
    <row r="57" spans="2:10" ht="18.75" customHeight="1" x14ac:dyDescent="0.2">
      <c r="B57" s="97" t="s">
        <v>45</v>
      </c>
      <c r="C57" s="154">
        <f>IFERROR(INDEX(阻害要因×年齢階層＿寛解・院内寛解[#All],MATCH($M23,阻害要因×年齢階層＿寛解・院内寛解[[#All],[値]],0),MATCH($N$3,阻害要因×年齢階層＿寛解・院内寛解[#Headers],0)),0)</f>
        <v>27</v>
      </c>
      <c r="D57" s="171">
        <f t="shared" si="10"/>
        <v>0.12980769230769232</v>
      </c>
      <c r="E57" s="154">
        <f>IFERROR(INDEX(阻害要因×年齢階層＿寛解・院内寛解[#All],MATCH($M23,阻害要因×年齢階層＿寛解・院内寛解[[#All],[値]],0),MATCH($O$3,阻害要因×年齢階層＿寛解・院内寛解[#Headers],0)),0)</f>
        <v>60</v>
      </c>
      <c r="F57" s="171">
        <f t="shared" si="11"/>
        <v>0.18292682926829268</v>
      </c>
      <c r="G57" s="39">
        <f t="shared" si="9"/>
        <v>182</v>
      </c>
      <c r="H57" s="55" t="s">
        <v>173</v>
      </c>
      <c r="I57" s="58">
        <v>60</v>
      </c>
      <c r="J57" s="58">
        <v>27</v>
      </c>
    </row>
    <row r="58" spans="2:10" ht="18.75" customHeight="1" x14ac:dyDescent="0.2">
      <c r="B58" s="97" t="s">
        <v>46</v>
      </c>
      <c r="C58" s="154">
        <f>IFERROR(INDEX(阻害要因×年齢階層＿寛解・院内寛解[#All],MATCH($M24,阻害要因×年齢階層＿寛解・院内寛解[[#All],[値]],0),MATCH($N$3,阻害要因×年齢階層＿寛解・院内寛解[#Headers],0)),0)</f>
        <v>77</v>
      </c>
      <c r="D58" s="171">
        <f t="shared" si="10"/>
        <v>0.37019230769230771</v>
      </c>
      <c r="E58" s="154">
        <f>IFERROR(INDEX(阻害要因×年齢階層＿寛解・院内寛解[#All],MATCH($M24,阻害要因×年齢階層＿寛解・院内寛解[[#All],[値]],0),MATCH($O$3,阻害要因×年齢階層＿寛解・院内寛解[#Headers],0)),0)</f>
        <v>105</v>
      </c>
      <c r="F58" s="171">
        <f t="shared" si="11"/>
        <v>0.3201219512195122</v>
      </c>
      <c r="G58" s="39">
        <f t="shared" si="9"/>
        <v>35</v>
      </c>
      <c r="H58" s="55" t="s">
        <v>174</v>
      </c>
      <c r="I58" s="58">
        <v>105</v>
      </c>
      <c r="J58" s="58">
        <v>77</v>
      </c>
    </row>
    <row r="59" spans="2:10" ht="18.75" customHeight="1" x14ac:dyDescent="0.2">
      <c r="B59" s="97" t="s">
        <v>47</v>
      </c>
      <c r="C59" s="154">
        <f>IFERROR(INDEX(阻害要因×年齢階層＿寛解・院内寛解[#All],MATCH($M25,阻害要因×年齢階層＿寛解・院内寛解[[#All],[値]],0),MATCH($N$3,阻害要因×年齢階層＿寛解・院内寛解[#Headers],0)),0)</f>
        <v>11</v>
      </c>
      <c r="D59" s="171">
        <f t="shared" si="10"/>
        <v>5.2884615384615384E-2</v>
      </c>
      <c r="E59" s="154">
        <f>IFERROR(INDEX(阻害要因×年齢階層＿寛解・院内寛解[#All],MATCH($M25,阻害要因×年齢階層＿寛解・院内寛解[[#All],[値]],0),MATCH($O$3,阻害要因×年齢階層＿寛解・院内寛解[#Headers],0)),0)</f>
        <v>24</v>
      </c>
      <c r="F59" s="171">
        <f t="shared" si="11"/>
        <v>7.3170731707317069E-2</v>
      </c>
      <c r="G59" s="39">
        <f t="shared" si="9"/>
        <v>15</v>
      </c>
      <c r="H59" s="55" t="s">
        <v>175</v>
      </c>
      <c r="I59" s="58">
        <v>24</v>
      </c>
      <c r="J59" s="58">
        <v>11</v>
      </c>
    </row>
    <row r="60" spans="2:10" ht="18.75" customHeight="1" x14ac:dyDescent="0.2">
      <c r="B60" s="97" t="s">
        <v>48</v>
      </c>
      <c r="C60" s="154">
        <f>IFERROR(INDEX(阻害要因×年齢階層＿寛解・院内寛解[#All],MATCH($M26,阻害要因×年齢階層＿寛解・院内寛解[[#All],[値]],0),MATCH($N$3,阻害要因×年齢階層＿寛解・院内寛解[#Headers],0)),0)</f>
        <v>3</v>
      </c>
      <c r="D60" s="171">
        <f t="shared" si="10"/>
        <v>1.4423076923076924E-2</v>
      </c>
      <c r="E60" s="154">
        <f>IFERROR(INDEX(阻害要因×年齢階層＿寛解・院内寛解[#All],MATCH($M26,阻害要因×年齢階層＿寛解・院内寛解[[#All],[値]],0),MATCH($O$3,阻害要因×年齢階層＿寛解・院内寛解[#Headers],0)),0)</f>
        <v>12</v>
      </c>
      <c r="F60" s="171">
        <f t="shared" si="11"/>
        <v>3.6585365853658534E-2</v>
      </c>
      <c r="G60" s="39">
        <f t="shared" si="9"/>
        <v>0</v>
      </c>
      <c r="H60" s="55" t="s">
        <v>176</v>
      </c>
      <c r="I60" s="58">
        <v>12</v>
      </c>
      <c r="J60" s="58">
        <v>3</v>
      </c>
    </row>
    <row r="61" spans="2:10" ht="18.75" customHeight="1" x14ac:dyDescent="0.2">
      <c r="B61" s="97" t="s">
        <v>49</v>
      </c>
      <c r="C61" s="154">
        <f>IFERROR(INDEX(阻害要因×年齢階層＿寛解・院内寛解[#All],MATCH($M27,阻害要因×年齢階層＿寛解・院内寛解[[#All],[値]],0),MATCH($N$3,阻害要因×年齢階層＿寛解・院内寛解[#Headers],0)),0)</f>
        <v>0</v>
      </c>
      <c r="D61" s="171">
        <f t="shared" si="10"/>
        <v>0</v>
      </c>
      <c r="E61" s="154">
        <f>IFERROR(INDEX(阻害要因×年齢階層＿寛解・院内寛解[#All],MATCH($M27,阻害要因×年齢階層＿寛解・院内寛解[[#All],[値]],0),MATCH($O$3,阻害要因×年齢階層＿寛解・院内寛解[#Headers],0)),0)</f>
        <v>0</v>
      </c>
      <c r="F61" s="171">
        <f t="shared" si="11"/>
        <v>0</v>
      </c>
      <c r="G61" s="39">
        <f t="shared" si="9"/>
        <v>43</v>
      </c>
      <c r="H61" s="55" t="s">
        <v>177</v>
      </c>
      <c r="I61" s="58">
        <v>0</v>
      </c>
      <c r="J61" s="58">
        <v>0</v>
      </c>
    </row>
    <row r="62" spans="2:10" ht="18.75" customHeight="1" x14ac:dyDescent="0.2">
      <c r="B62" s="97" t="s">
        <v>50</v>
      </c>
      <c r="C62" s="154">
        <f>IFERROR(INDEX(阻害要因×年齢階層＿寛解・院内寛解[#All],MATCH($M28,阻害要因×年齢階層＿寛解・院内寛解[[#All],[値]],0),MATCH($N$3,阻害要因×年齢階層＿寛解・院内寛解[#Headers],0)),0)</f>
        <v>12</v>
      </c>
      <c r="D62" s="171">
        <f t="shared" si="10"/>
        <v>5.7692307692307696E-2</v>
      </c>
      <c r="E62" s="154">
        <f>IFERROR(INDEX(阻害要因×年齢階層＿寛解・院内寛解[#All],MATCH($M28,阻害要因×年齢階層＿寛解・院内寛解[[#All],[値]],0),MATCH($O$3,阻害要因×年齢階層＿寛解・院内寛解[#Headers],0)),0)</f>
        <v>31</v>
      </c>
      <c r="F62" s="171">
        <f t="shared" si="11"/>
        <v>9.451219512195122E-2</v>
      </c>
      <c r="G62" s="39">
        <f t="shared" si="9"/>
        <v>45</v>
      </c>
      <c r="H62" s="55" t="s">
        <v>178</v>
      </c>
      <c r="I62" s="58">
        <v>31</v>
      </c>
      <c r="J62" s="58">
        <v>12</v>
      </c>
    </row>
    <row r="63" spans="2:10" ht="18.75" customHeight="1" x14ac:dyDescent="0.2">
      <c r="B63" s="97" t="s">
        <v>51</v>
      </c>
      <c r="C63" s="154">
        <f>IFERROR(INDEX(阻害要因×年齢階層＿寛解・院内寛解[#All],MATCH($M29,阻害要因×年齢階層＿寛解・院内寛解[[#All],[値]],0),MATCH($N$3,阻害要因×年齢階層＿寛解・院内寛解[#Headers],0)),0)</f>
        <v>12</v>
      </c>
      <c r="D63" s="171">
        <f t="shared" si="10"/>
        <v>5.7692307692307696E-2</v>
      </c>
      <c r="E63" s="154">
        <f>IFERROR(INDEX(阻害要因×年齢階層＿寛解・院内寛解[#All],MATCH($M29,阻害要因×年齢階層＿寛解・院内寛解[[#All],[値]],0),MATCH($O$3,阻害要因×年齢階層＿寛解・院内寛解[#Headers],0)),0)</f>
        <v>33</v>
      </c>
      <c r="F63" s="171">
        <f t="shared" si="11"/>
        <v>0.10060975609756098</v>
      </c>
      <c r="G63" s="39">
        <f t="shared" si="9"/>
        <v>17</v>
      </c>
      <c r="H63" s="55" t="s">
        <v>179</v>
      </c>
      <c r="I63" s="58">
        <v>33</v>
      </c>
      <c r="J63" s="58">
        <v>12</v>
      </c>
    </row>
    <row r="64" spans="2:10" ht="18.75" customHeight="1" x14ac:dyDescent="0.2">
      <c r="B64" s="97" t="s">
        <v>52</v>
      </c>
      <c r="C64" s="154">
        <f>IFERROR(INDEX(阻害要因×年齢階層＿寛解・院内寛解[#All],MATCH($M30,阻害要因×年齢階層＿寛解・院内寛解[[#All],[値]],0),MATCH($N$3,阻害要因×年齢階層＿寛解・院内寛解[#Headers],0)),0)</f>
        <v>7</v>
      </c>
      <c r="D64" s="171">
        <f t="shared" si="10"/>
        <v>3.3653846153846152E-2</v>
      </c>
      <c r="E64" s="154">
        <f>IFERROR(INDEX(阻害要因×年齢階層＿寛解・院内寛解[#All],MATCH($M30,阻害要因×年齢階層＿寛解・院内寛解[[#All],[値]],0),MATCH($O$3,阻害要因×年齢階層＿寛解・院内寛解[#Headers],0)),0)</f>
        <v>10</v>
      </c>
      <c r="F64" s="171">
        <f t="shared" si="11"/>
        <v>3.048780487804878E-2</v>
      </c>
      <c r="G64" s="39">
        <f>SUM(C67,E67)</f>
        <v>17</v>
      </c>
      <c r="H64" s="55" t="s">
        <v>180</v>
      </c>
      <c r="I64" s="58">
        <v>10</v>
      </c>
      <c r="J64" s="58">
        <v>7</v>
      </c>
    </row>
    <row r="65" spans="2:10" s="396" customFormat="1" ht="18.75" customHeight="1" x14ac:dyDescent="0.2">
      <c r="B65" s="398" t="s">
        <v>380</v>
      </c>
      <c r="C65" s="154">
        <f>IFERROR(INDEX(阻害要因×年齢階層＿寛解・院内寛解[#All],MATCH($M31,阻害要因×年齢階層＿寛解・院内寛解[[#All],[値]],0),MATCH($N$3,阻害要因×年齢階層＿寛解・院内寛解[#Headers],0)),0)</f>
        <v>7</v>
      </c>
      <c r="D65" s="171">
        <f t="shared" ref="D65:D67" si="12">IFERROR(C65/C$44,"-")</f>
        <v>3.3653846153846152E-2</v>
      </c>
      <c r="E65" s="154">
        <f>IFERROR(INDEX(阻害要因×年齢階層＿寛解・院内寛解[#All],MATCH($M31,阻害要因×年齢階層＿寛解・院内寛解[[#All],[値]],0),MATCH($O$3,阻害要因×年齢階層＿寛解・院内寛解[#Headers],0)),0)</f>
        <v>44</v>
      </c>
      <c r="F65" s="171">
        <f t="shared" ref="F65:F67" si="13">IFERROR(E65/E$44,"-")</f>
        <v>0.13414634146341464</v>
      </c>
      <c r="G65" s="39">
        <f t="shared" ref="G65:G67" si="14">SUM(C68,E68)</f>
        <v>0</v>
      </c>
      <c r="H65" s="55" t="s">
        <v>382</v>
      </c>
      <c r="I65" s="58">
        <v>44</v>
      </c>
      <c r="J65" s="58">
        <v>7</v>
      </c>
    </row>
    <row r="66" spans="2:10" s="396" customFormat="1" ht="38.25" customHeight="1" x14ac:dyDescent="0.2">
      <c r="B66" s="519" t="s">
        <v>381</v>
      </c>
      <c r="C66" s="154">
        <f>IFERROR(INDEX(阻害要因×年齢階層＿寛解・院内寛解[#All],MATCH($M32,阻害要因×年齢階層＿寛解・院内寛解[[#All],[値]],0),MATCH($N$3,阻害要因×年齢階層＿寛解・院内寛解[#Headers],0)),0)</f>
        <v>3</v>
      </c>
      <c r="D66" s="171">
        <f t="shared" si="12"/>
        <v>1.4423076923076924E-2</v>
      </c>
      <c r="E66" s="154">
        <f>IFERROR(INDEX(阻害要因×年齢階層＿寛解・院内寛解[#All],MATCH($M32,阻害要因×年齢階層＿寛解・院内寛解[[#All],[値]],0),MATCH($O$3,阻害要因×年齢階層＿寛解・院内寛解[#Headers],0)),0)</f>
        <v>13</v>
      </c>
      <c r="F66" s="171">
        <f t="shared" si="13"/>
        <v>3.9634146341463415E-2</v>
      </c>
      <c r="G66" s="39">
        <f t="shared" si="14"/>
        <v>0</v>
      </c>
      <c r="H66" s="55" t="s">
        <v>383</v>
      </c>
      <c r="I66" s="58">
        <v>13</v>
      </c>
      <c r="J66" s="58">
        <v>3</v>
      </c>
    </row>
    <row r="67" spans="2:10" x14ac:dyDescent="0.2">
      <c r="B67" s="98" t="s">
        <v>53</v>
      </c>
      <c r="C67" s="157">
        <f>IFERROR(INDEX(阻害要因×年齢階層＿寛解・院内寛解[#All],MATCH($M33,阻害要因×年齢階層＿寛解・院内寛解[[#All],[値]],0),MATCH($N$3,阻害要因×年齢階層＿寛解・院内寛解[#Headers],0)),0)</f>
        <v>6</v>
      </c>
      <c r="D67" s="159">
        <f t="shared" si="12"/>
        <v>2.8846153846153848E-2</v>
      </c>
      <c r="E67" s="157">
        <f>IFERROR(INDEX(阻害要因×年齢階層＿寛解・院内寛解[#All],MATCH($M33,阻害要因×年齢階層＿寛解・院内寛解[[#All],[値]],0),MATCH($O$3,阻害要因×年齢階層＿寛解・院内寛解[#Headers],0)),0)</f>
        <v>11</v>
      </c>
      <c r="F67" s="159">
        <f t="shared" si="13"/>
        <v>3.3536585365853661E-2</v>
      </c>
      <c r="G67" s="39">
        <f t="shared" si="14"/>
        <v>0</v>
      </c>
      <c r="H67" s="55" t="s">
        <v>181</v>
      </c>
      <c r="I67" s="58">
        <v>11</v>
      </c>
      <c r="J67" s="58">
        <v>6</v>
      </c>
    </row>
  </sheetData>
  <mergeCells count="13">
    <mergeCell ref="B2:B3"/>
    <mergeCell ref="C2:F2"/>
    <mergeCell ref="C3:D3"/>
    <mergeCell ref="E3:F3"/>
    <mergeCell ref="B13:F13"/>
    <mergeCell ref="B47:F47"/>
    <mergeCell ref="C43:F43"/>
    <mergeCell ref="C46:F46"/>
    <mergeCell ref="C12:F12"/>
    <mergeCell ref="B36:B37"/>
    <mergeCell ref="C36:F36"/>
    <mergeCell ref="C37:D37"/>
    <mergeCell ref="E37:F37"/>
  </mergeCells>
  <phoneticPr fontId="2"/>
  <printOptions horizontalCentered="1"/>
  <pageMargins left="0.70866141732283472" right="0.70866141732283472" top="0.74803149606299213" bottom="0.74803149606299213" header="0.31496062992125984" footer="0.31496062992125984"/>
  <pageSetup paperSize="9" fitToHeight="0" orientation="portrait" r:id="rId1"/>
  <rowBreaks count="1" manualBreakCount="1">
    <brk id="34" min="1" max="5" man="1"/>
  </rowBreaks>
  <drawing r:id="rId2"/>
  <mc:AlternateContent xmlns:mc="http://schemas.openxmlformats.org/markup-compatibility/2006">
    <mc:Choice Requires="v">
      <legacyDrawing r:id="rId3"/>
    </mc:Choice>
  </mc:AlternateContent>
  <controls>
    <control shapeId="34818" r:id="rId4" name="Button 2">
      <controlPr defaultSize="0" print="0" autoFill="0" autoPict="0" macro="[0]!データ削除_退院予定有無年齢階層">
        <anchor moveWithCells="1" sizeWithCells="1">
          <from>
            <xdr:col>10</xdr:col>
            <xdr:colOff>137160</xdr:colOff>
            <xdr:row>2</xdr:row>
            <xdr:rowOff>7620</xdr:rowOff>
          </from>
          <to>
            <xdr:col>12</xdr:col>
            <xdr:colOff>7620</xdr:colOff>
            <xdr:row>3</xdr:row>
            <xdr:rowOff>289560</xdr:rowOff>
          </to>
        </anchor>
      </controlPr>
    </control>
  </controls>
  <tableParts count="6">
    <tablePart r:id="rId5"/>
    <tablePart r:id="rId6"/>
    <tablePart r:id="rId7"/>
    <tablePart r:id="rId8"/>
    <tablePart r:id="rId9"/>
    <tablePart r:id="rId10"/>
  </tableParts>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249977111117893"/>
    <pageSetUpPr fitToPage="1"/>
  </sheetPr>
  <dimension ref="A1:T49"/>
  <sheetViews>
    <sheetView showGridLines="0" tabSelected="1" view="pageBreakPreview" zoomScaleNormal="100" zoomScaleSheetLayoutView="100" workbookViewId="0"/>
  </sheetViews>
  <sheetFormatPr defaultColWidth="13.77734375" defaultRowHeight="17.399999999999999" x14ac:dyDescent="0.2"/>
  <cols>
    <col min="1" max="1" width="14.77734375" style="1" customWidth="1"/>
    <col min="2" max="3" width="9.33203125" style="1" customWidth="1"/>
    <col min="4" max="4" width="4.109375" style="1" customWidth="1"/>
    <col min="5" max="5" width="14.77734375" style="1" customWidth="1"/>
    <col min="6" max="9" width="9.33203125" style="1" customWidth="1"/>
    <col min="10" max="10" width="13.77734375" style="1"/>
    <col min="11" max="19" width="13.77734375" style="1" hidden="1" customWidth="1"/>
    <col min="20" max="20" width="0" style="1" hidden="1" customWidth="1"/>
    <col min="21" max="16384" width="13.77734375" style="1"/>
  </cols>
  <sheetData>
    <row r="1" spans="1:20" s="3" customFormat="1" ht="19.2" x14ac:dyDescent="0.2">
      <c r="A1" s="2" t="s">
        <v>112</v>
      </c>
    </row>
    <row r="2" spans="1:20" x14ac:dyDescent="0.2">
      <c r="A2" s="4"/>
      <c r="K2" s="55" t="s">
        <v>63</v>
      </c>
    </row>
    <row r="3" spans="1:20" s="3" customFormat="1" ht="19.8" thickBot="1" x14ac:dyDescent="0.25">
      <c r="A3" s="5" t="s">
        <v>13</v>
      </c>
      <c r="B3" s="6"/>
      <c r="C3" s="6"/>
      <c r="E3" s="5" t="s">
        <v>113</v>
      </c>
      <c r="F3" s="6"/>
      <c r="G3" s="6"/>
      <c r="H3" s="6"/>
      <c r="I3" s="6"/>
      <c r="K3" s="297" t="s">
        <v>298</v>
      </c>
      <c r="L3" s="524" t="s">
        <v>278</v>
      </c>
      <c r="N3" s="257" t="s">
        <v>298</v>
      </c>
      <c r="O3" s="339" t="s">
        <v>276</v>
      </c>
      <c r="P3" s="257" t="s">
        <v>298</v>
      </c>
      <c r="Q3" s="339" t="s">
        <v>277</v>
      </c>
    </row>
    <row r="4" spans="1:20" ht="18.75" customHeight="1" thickTop="1" thickBot="1" x14ac:dyDescent="0.25">
      <c r="A4" s="580"/>
      <c r="B4" s="580" t="s">
        <v>0</v>
      </c>
      <c r="C4" s="580" t="s">
        <v>1</v>
      </c>
      <c r="D4" s="172"/>
      <c r="E4" s="580"/>
      <c r="F4" s="580" t="s">
        <v>115</v>
      </c>
      <c r="G4" s="580" t="s">
        <v>117</v>
      </c>
      <c r="H4" s="580" t="s">
        <v>12</v>
      </c>
      <c r="I4" s="580" t="s">
        <v>1</v>
      </c>
      <c r="K4" s="299" t="s">
        <v>372</v>
      </c>
      <c r="L4" s="304" t="s">
        <v>610</v>
      </c>
      <c r="M4" s="305"/>
      <c r="N4" s="299" t="s">
        <v>372</v>
      </c>
      <c r="O4" s="304" t="s">
        <v>610</v>
      </c>
      <c r="P4" s="299" t="s">
        <v>372</v>
      </c>
      <c r="Q4" s="304" t="s">
        <v>610</v>
      </c>
    </row>
    <row r="5" spans="1:20" ht="18.75" customHeight="1" thickTop="1" x14ac:dyDescent="0.2">
      <c r="A5" s="704" t="s">
        <v>2</v>
      </c>
      <c r="B5" s="705">
        <f>IFERROR(VLOOKUP($A5,年齢区分[#All],2,FALSE),0)</f>
        <v>166</v>
      </c>
      <c r="C5" s="706">
        <f t="shared" ref="C5:C14" si="0">IFERROR(B5/B$15,"-")</f>
        <v>1.172316384180791E-2</v>
      </c>
      <c r="D5" s="172"/>
      <c r="E5" s="704" t="s">
        <v>2</v>
      </c>
      <c r="F5" s="705">
        <f>IFERROR(VLOOKUP($A5,年齢区分＿寛解[#All],2,FALSE),0)</f>
        <v>7</v>
      </c>
      <c r="G5" s="705">
        <f>IFERROR(VLOOKUP($A5,年齢区分＿院内寛解[#All],2,FALSE),0)</f>
        <v>23</v>
      </c>
      <c r="H5" s="707">
        <f>SUM(F5:G5)</f>
        <v>30</v>
      </c>
      <c r="I5" s="706">
        <f t="shared" ref="I5:I14" si="1">IFERROR(H5/H$15,"-")</f>
        <v>1.6638935108153077E-2</v>
      </c>
      <c r="J5" s="9"/>
      <c r="K5" s="340" t="s">
        <v>2</v>
      </c>
      <c r="L5" s="270">
        <v>166</v>
      </c>
      <c r="M5" s="306"/>
      <c r="N5" s="340" t="s">
        <v>2</v>
      </c>
      <c r="O5" s="270">
        <v>7</v>
      </c>
      <c r="P5" s="340" t="s">
        <v>2</v>
      </c>
      <c r="Q5" s="270">
        <v>23</v>
      </c>
      <c r="R5" s="9"/>
      <c r="S5" s="9"/>
      <c r="T5" s="9"/>
    </row>
    <row r="6" spans="1:20" ht="18.75" customHeight="1" x14ac:dyDescent="0.2">
      <c r="A6" s="704" t="s">
        <v>3</v>
      </c>
      <c r="B6" s="705">
        <f>IFERROR(VLOOKUP($A6,年齢区分[#All],2,FALSE),0)</f>
        <v>342</v>
      </c>
      <c r="C6" s="706">
        <f t="shared" si="0"/>
        <v>2.4152542372881357E-2</v>
      </c>
      <c r="D6" s="172"/>
      <c r="E6" s="704" t="s">
        <v>3</v>
      </c>
      <c r="F6" s="705">
        <f>IFERROR(VLOOKUP($A6,年齢区分＿寛解[#All],2,FALSE),0)</f>
        <v>24</v>
      </c>
      <c r="G6" s="705">
        <f>IFERROR(VLOOKUP($A6,年齢区分＿院内寛解[#All],2,FALSE),0)</f>
        <v>73</v>
      </c>
      <c r="H6" s="707">
        <f t="shared" ref="H6:H14" si="2">SUM(F6:G6)</f>
        <v>97</v>
      </c>
      <c r="I6" s="706">
        <f t="shared" si="1"/>
        <v>5.379922351636162E-2</v>
      </c>
      <c r="J6" s="12"/>
      <c r="K6" s="300" t="s">
        <v>3</v>
      </c>
      <c r="L6" s="270">
        <v>342</v>
      </c>
      <c r="M6" s="307"/>
      <c r="N6" s="300" t="s">
        <v>3</v>
      </c>
      <c r="O6" s="270">
        <v>24</v>
      </c>
      <c r="P6" s="300" t="s">
        <v>3</v>
      </c>
      <c r="Q6" s="270">
        <v>73</v>
      </c>
      <c r="R6" s="9"/>
      <c r="S6" s="9"/>
      <c r="T6" s="9"/>
    </row>
    <row r="7" spans="1:20" ht="18.75" customHeight="1" x14ac:dyDescent="0.2">
      <c r="A7" s="704" t="s">
        <v>4</v>
      </c>
      <c r="B7" s="705">
        <f>IFERROR(VLOOKUP($A7,年齢区分[#All],2,FALSE),0)</f>
        <v>512</v>
      </c>
      <c r="C7" s="706">
        <f t="shared" si="0"/>
        <v>3.6158192090395481E-2</v>
      </c>
      <c r="D7" s="172"/>
      <c r="E7" s="704" t="s">
        <v>4</v>
      </c>
      <c r="F7" s="705">
        <f>IFERROR(VLOOKUP($A7,年齢区分＿寛解[#All],2,FALSE),0)</f>
        <v>29</v>
      </c>
      <c r="G7" s="705">
        <f>IFERROR(VLOOKUP($A7,年齢区分＿院内寛解[#All],2,FALSE),0)</f>
        <v>93</v>
      </c>
      <c r="H7" s="707">
        <f t="shared" si="2"/>
        <v>122</v>
      </c>
      <c r="I7" s="706">
        <f t="shared" si="1"/>
        <v>6.7665002773155847E-2</v>
      </c>
      <c r="J7" s="12"/>
      <c r="K7" s="300" t="s">
        <v>4</v>
      </c>
      <c r="L7" s="270">
        <v>512</v>
      </c>
      <c r="M7" s="307"/>
      <c r="N7" s="300" t="s">
        <v>4</v>
      </c>
      <c r="O7" s="270">
        <v>29</v>
      </c>
      <c r="P7" s="300" t="s">
        <v>4</v>
      </c>
      <c r="Q7" s="270">
        <v>93</v>
      </c>
      <c r="R7" s="9"/>
      <c r="S7" s="9"/>
      <c r="T7" s="9"/>
    </row>
    <row r="8" spans="1:20" ht="18.75" customHeight="1" x14ac:dyDescent="0.2">
      <c r="A8" s="704" t="s">
        <v>5</v>
      </c>
      <c r="B8" s="705">
        <f>IFERROR(VLOOKUP($A8,年齢区分[#All],2,FALSE),0)</f>
        <v>1052</v>
      </c>
      <c r="C8" s="706">
        <f t="shared" si="0"/>
        <v>7.4293785310734467E-2</v>
      </c>
      <c r="D8" s="172"/>
      <c r="E8" s="704" t="s">
        <v>5</v>
      </c>
      <c r="F8" s="705">
        <f>IFERROR(VLOOKUP($A8,年齢区分＿寛解[#All],2,FALSE),0)</f>
        <v>55</v>
      </c>
      <c r="G8" s="705">
        <f>IFERROR(VLOOKUP($A8,年齢区分＿院内寛解[#All],2,FALSE),0)</f>
        <v>148</v>
      </c>
      <c r="H8" s="707">
        <f t="shared" si="2"/>
        <v>203</v>
      </c>
      <c r="I8" s="706">
        <f t="shared" si="1"/>
        <v>0.11259012756516916</v>
      </c>
      <c r="J8" s="9"/>
      <c r="K8" s="300" t="s">
        <v>5</v>
      </c>
      <c r="L8" s="270">
        <v>1052</v>
      </c>
      <c r="M8" s="308"/>
      <c r="N8" s="300" t="s">
        <v>5</v>
      </c>
      <c r="O8" s="270">
        <v>55</v>
      </c>
      <c r="P8" s="300" t="s">
        <v>5</v>
      </c>
      <c r="Q8" s="270">
        <v>148</v>
      </c>
      <c r="R8" s="9"/>
      <c r="S8" s="9"/>
      <c r="T8" s="9"/>
    </row>
    <row r="9" spans="1:20" ht="18.75" customHeight="1" x14ac:dyDescent="0.2">
      <c r="A9" s="704" t="s">
        <v>6</v>
      </c>
      <c r="B9" s="705">
        <f>IFERROR(VLOOKUP($A9,年齢区分[#All],2,FALSE),0)</f>
        <v>2378</v>
      </c>
      <c r="C9" s="706">
        <f t="shared" si="0"/>
        <v>0.16793785310734463</v>
      </c>
      <c r="D9" s="172"/>
      <c r="E9" s="704" t="s">
        <v>6</v>
      </c>
      <c r="F9" s="705">
        <f>IFERROR(VLOOKUP($A9,年齢区分＿寛解[#All],2,FALSE),0)</f>
        <v>81</v>
      </c>
      <c r="G9" s="705">
        <f>IFERROR(VLOOKUP($A9,年齢区分＿院内寛解[#All],2,FALSE),0)</f>
        <v>279</v>
      </c>
      <c r="H9" s="707">
        <f t="shared" si="2"/>
        <v>360</v>
      </c>
      <c r="I9" s="706">
        <f t="shared" si="1"/>
        <v>0.19966722129783693</v>
      </c>
      <c r="J9" s="9"/>
      <c r="K9" s="300" t="s">
        <v>6</v>
      </c>
      <c r="L9" s="270">
        <v>2378</v>
      </c>
      <c r="M9" s="308"/>
      <c r="N9" s="300" t="s">
        <v>6</v>
      </c>
      <c r="O9" s="270">
        <v>81</v>
      </c>
      <c r="P9" s="300" t="s">
        <v>6</v>
      </c>
      <c r="Q9" s="270">
        <v>279</v>
      </c>
      <c r="R9" s="9"/>
      <c r="S9" s="9"/>
      <c r="T9" s="9"/>
    </row>
    <row r="10" spans="1:20" ht="18.75" customHeight="1" x14ac:dyDescent="0.2">
      <c r="A10" s="704" t="s">
        <v>7</v>
      </c>
      <c r="B10" s="705">
        <f>IFERROR(VLOOKUP($A10,年齢区分[#All],2,FALSE),0)</f>
        <v>2348</v>
      </c>
      <c r="C10" s="706">
        <f t="shared" si="0"/>
        <v>0.16581920903954803</v>
      </c>
      <c r="D10" s="172"/>
      <c r="E10" s="704" t="s">
        <v>7</v>
      </c>
      <c r="F10" s="705">
        <f>IFERROR(VLOOKUP($A10,年齢区分＿寛解[#All],2,FALSE),0)</f>
        <v>73</v>
      </c>
      <c r="G10" s="705">
        <f>IFERROR(VLOOKUP($A10,年齢区分＿院内寛解[#All],2,FALSE),0)</f>
        <v>251</v>
      </c>
      <c r="H10" s="707">
        <f t="shared" si="2"/>
        <v>324</v>
      </c>
      <c r="I10" s="706">
        <f t="shared" si="1"/>
        <v>0.17970049916805325</v>
      </c>
      <c r="J10" s="9"/>
      <c r="K10" s="300" t="s">
        <v>7</v>
      </c>
      <c r="L10" s="270">
        <v>2348</v>
      </c>
      <c r="M10" s="308"/>
      <c r="N10" s="300" t="s">
        <v>7</v>
      </c>
      <c r="O10" s="270">
        <v>73</v>
      </c>
      <c r="P10" s="300" t="s">
        <v>7</v>
      </c>
      <c r="Q10" s="270">
        <v>251</v>
      </c>
      <c r="R10" s="9"/>
      <c r="S10" s="9"/>
      <c r="T10" s="9"/>
    </row>
    <row r="11" spans="1:20" ht="18.75" customHeight="1" x14ac:dyDescent="0.2">
      <c r="A11" s="704" t="s">
        <v>8</v>
      </c>
      <c r="B11" s="705">
        <f>IFERROR(VLOOKUP($A11,年齢区分[#All],2,FALSE),0)</f>
        <v>3361</v>
      </c>
      <c r="C11" s="706">
        <f t="shared" si="0"/>
        <v>0.2373587570621469</v>
      </c>
      <c r="D11" s="172"/>
      <c r="E11" s="704" t="s">
        <v>8</v>
      </c>
      <c r="F11" s="705">
        <f>IFERROR(VLOOKUP($A11,年齢区分＿寛解[#All],2,FALSE),0)</f>
        <v>71</v>
      </c>
      <c r="G11" s="705">
        <f>IFERROR(VLOOKUP($A11,年齢区分＿院内寛解[#All],2,FALSE),0)</f>
        <v>279</v>
      </c>
      <c r="H11" s="707">
        <f t="shared" si="2"/>
        <v>350</v>
      </c>
      <c r="I11" s="706">
        <f t="shared" si="1"/>
        <v>0.19412090959511924</v>
      </c>
      <c r="J11" s="9"/>
      <c r="K11" s="300" t="s">
        <v>8</v>
      </c>
      <c r="L11" s="270">
        <v>3361</v>
      </c>
      <c r="M11" s="308"/>
      <c r="N11" s="300" t="s">
        <v>8</v>
      </c>
      <c r="O11" s="270">
        <v>71</v>
      </c>
      <c r="P11" s="300" t="s">
        <v>8</v>
      </c>
      <c r="Q11" s="270">
        <v>279</v>
      </c>
      <c r="R11" s="9"/>
      <c r="S11" s="9"/>
      <c r="T11" s="9"/>
    </row>
    <row r="12" spans="1:20" ht="18.75" customHeight="1" x14ac:dyDescent="0.2">
      <c r="A12" s="704" t="s">
        <v>9</v>
      </c>
      <c r="B12" s="705">
        <f>IFERROR(VLOOKUP($A12,年齢区分[#All],2,FALSE),0)</f>
        <v>3230</v>
      </c>
      <c r="C12" s="706">
        <f t="shared" si="0"/>
        <v>0.22810734463276836</v>
      </c>
      <c r="D12" s="172"/>
      <c r="E12" s="704" t="s">
        <v>9</v>
      </c>
      <c r="F12" s="705">
        <f>IFERROR(VLOOKUP($A12,年齢区分＿寛解[#All],2,FALSE),0)</f>
        <v>53</v>
      </c>
      <c r="G12" s="705">
        <f>IFERROR(VLOOKUP($A12,年齢区分＿院内寛解[#All],2,FALSE),0)</f>
        <v>218</v>
      </c>
      <c r="H12" s="707">
        <f t="shared" si="2"/>
        <v>271</v>
      </c>
      <c r="I12" s="706">
        <f t="shared" si="1"/>
        <v>0.15030504714364948</v>
      </c>
      <c r="J12" s="9"/>
      <c r="K12" s="300" t="s">
        <v>9</v>
      </c>
      <c r="L12" s="270">
        <v>3230</v>
      </c>
      <c r="M12" s="308"/>
      <c r="N12" s="300" t="s">
        <v>9</v>
      </c>
      <c r="O12" s="270">
        <v>53</v>
      </c>
      <c r="P12" s="300" t="s">
        <v>9</v>
      </c>
      <c r="Q12" s="270">
        <v>218</v>
      </c>
      <c r="R12" s="9"/>
      <c r="S12" s="9"/>
      <c r="T12" s="9"/>
    </row>
    <row r="13" spans="1:20" ht="18.75" customHeight="1" x14ac:dyDescent="0.2">
      <c r="A13" s="704" t="s">
        <v>10</v>
      </c>
      <c r="B13" s="705">
        <f>IFERROR(VLOOKUP($A13,年齢区分[#All],2,FALSE),0)</f>
        <v>770</v>
      </c>
      <c r="C13" s="706">
        <f t="shared" si="0"/>
        <v>5.4378531073446326E-2</v>
      </c>
      <c r="D13" s="172"/>
      <c r="E13" s="704" t="s">
        <v>10</v>
      </c>
      <c r="F13" s="705">
        <f>IFERROR(VLOOKUP($A13,年齢区分＿寛解[#All],2,FALSE),0)</f>
        <v>5</v>
      </c>
      <c r="G13" s="705">
        <f>IFERROR(VLOOKUP($A13,年齢区分＿院内寛解[#All],2,FALSE),0)</f>
        <v>40</v>
      </c>
      <c r="H13" s="707">
        <f t="shared" si="2"/>
        <v>45</v>
      </c>
      <c r="I13" s="706">
        <f t="shared" si="1"/>
        <v>2.4958402662229616E-2</v>
      </c>
      <c r="J13" s="9"/>
      <c r="K13" s="300" t="s">
        <v>10</v>
      </c>
      <c r="L13" s="270">
        <v>770</v>
      </c>
      <c r="M13" s="308"/>
      <c r="N13" s="300" t="s">
        <v>10</v>
      </c>
      <c r="O13" s="270">
        <v>5</v>
      </c>
      <c r="P13" s="300" t="s">
        <v>10</v>
      </c>
      <c r="Q13" s="270">
        <v>40</v>
      </c>
      <c r="R13" s="9"/>
      <c r="S13" s="9"/>
      <c r="T13" s="9"/>
    </row>
    <row r="14" spans="1:20" ht="18.75" customHeight="1" thickBot="1" x14ac:dyDescent="0.25">
      <c r="A14" s="223" t="s">
        <v>375</v>
      </c>
      <c r="B14" s="223">
        <v>1</v>
      </c>
      <c r="C14" s="706">
        <f t="shared" si="0"/>
        <v>7.0621468926553675E-5</v>
      </c>
      <c r="E14" s="223" t="s">
        <v>375</v>
      </c>
      <c r="F14" s="223">
        <v>0</v>
      </c>
      <c r="G14" s="223">
        <v>1</v>
      </c>
      <c r="H14" s="707">
        <f t="shared" si="2"/>
        <v>1</v>
      </c>
      <c r="I14" s="706">
        <f t="shared" si="1"/>
        <v>5.5463117027176932E-4</v>
      </c>
      <c r="J14" s="9"/>
      <c r="K14" s="888" t="s">
        <v>375</v>
      </c>
      <c r="L14" s="889">
        <v>1</v>
      </c>
      <c r="M14" s="308"/>
      <c r="N14" s="301"/>
      <c r="O14" s="302"/>
      <c r="P14" s="301"/>
      <c r="Q14" s="302"/>
      <c r="R14" s="9"/>
      <c r="S14" s="9"/>
      <c r="T14" s="9"/>
    </row>
    <row r="15" spans="1:20" ht="18.75" customHeight="1" thickTop="1" thickBot="1" x14ac:dyDescent="0.25">
      <c r="A15" s="708" t="s">
        <v>262</v>
      </c>
      <c r="B15" s="709">
        <f>SUM(B5:B14)</f>
        <v>14160</v>
      </c>
      <c r="C15" s="710">
        <f>SUM(C5:C13)</f>
        <v>0.99992937853107355</v>
      </c>
      <c r="D15" s="172"/>
      <c r="E15" s="708" t="s">
        <v>11</v>
      </c>
      <c r="F15" s="709">
        <f t="shared" ref="F15:G15" si="3">SUM(F5:F14)</f>
        <v>398</v>
      </c>
      <c r="G15" s="709">
        <f t="shared" si="3"/>
        <v>1405</v>
      </c>
      <c r="H15" s="709">
        <f>SUM(H5:H14)</f>
        <v>1803</v>
      </c>
      <c r="I15" s="710">
        <f>SUM(I5:I13)</f>
        <v>0.99944536882972812</v>
      </c>
      <c r="J15" s="9"/>
      <c r="K15" s="303" t="s">
        <v>89</v>
      </c>
      <c r="L15" s="551">
        <v>8493</v>
      </c>
      <c r="M15" s="309"/>
      <c r="N15" s="303" t="s">
        <v>89</v>
      </c>
      <c r="O15" s="349">
        <v>167</v>
      </c>
      <c r="P15" s="303" t="s">
        <v>89</v>
      </c>
      <c r="Q15" s="349">
        <v>665</v>
      </c>
      <c r="R15" s="9"/>
      <c r="S15" s="9"/>
      <c r="T15" s="9"/>
    </row>
    <row r="16" spans="1:20" ht="18.75" customHeight="1" thickTop="1" x14ac:dyDescent="0.2">
      <c r="A16" s="248" t="s">
        <v>90</v>
      </c>
      <c r="B16" s="711">
        <f>B15-B17-B18</f>
        <v>5666</v>
      </c>
      <c r="C16" s="712">
        <f>IFERROR(B16/B$15,"-")</f>
        <v>0.40014124293785308</v>
      </c>
      <c r="D16" s="173"/>
      <c r="E16" s="248" t="s">
        <v>90</v>
      </c>
      <c r="F16" s="711">
        <f t="shared" ref="F16:G16" si="4">F15-F17-F18</f>
        <v>231</v>
      </c>
      <c r="G16" s="711">
        <f t="shared" si="4"/>
        <v>739</v>
      </c>
      <c r="H16" s="707">
        <f>SUM(F16:G16)</f>
        <v>970</v>
      </c>
      <c r="I16" s="712">
        <f>IFERROR(H16/H$15,"-")</f>
        <v>0.53799223516361616</v>
      </c>
      <c r="J16" s="9"/>
      <c r="K16" s="9"/>
      <c r="L16" s="24"/>
      <c r="M16" s="24"/>
      <c r="N16" s="19"/>
      <c r="O16" s="9"/>
      <c r="P16" s="9"/>
      <c r="Q16" s="9"/>
      <c r="R16" s="9"/>
      <c r="S16" s="9"/>
      <c r="T16" s="9"/>
    </row>
    <row r="17" spans="1:20" x14ac:dyDescent="0.2">
      <c r="A17" s="248" t="s">
        <v>89</v>
      </c>
      <c r="B17" s="711">
        <f>L15</f>
        <v>8493</v>
      </c>
      <c r="C17" s="712">
        <f>IFERROR(B17/B$15,"-")</f>
        <v>0.59978813559322031</v>
      </c>
      <c r="D17" s="173"/>
      <c r="E17" s="248" t="s">
        <v>89</v>
      </c>
      <c r="F17" s="705">
        <f>O15</f>
        <v>167</v>
      </c>
      <c r="G17" s="705">
        <f>Q15</f>
        <v>665</v>
      </c>
      <c r="H17" s="705">
        <f>SUM(F17:G17)</f>
        <v>832</v>
      </c>
      <c r="I17" s="712">
        <f>IFERROR(H17/H$15,"-")</f>
        <v>0.46145313366611201</v>
      </c>
      <c r="J17" s="9"/>
      <c r="K17" s="15"/>
      <c r="L17" s="9"/>
      <c r="M17" s="9"/>
      <c r="N17" s="19"/>
      <c r="O17" s="9"/>
      <c r="P17" s="9"/>
      <c r="Q17" s="9"/>
      <c r="R17" s="9"/>
      <c r="S17" s="9"/>
      <c r="T17" s="9"/>
    </row>
    <row r="18" spans="1:20" x14ac:dyDescent="0.2">
      <c r="A18" s="223" t="s">
        <v>375</v>
      </c>
      <c r="B18" s="223">
        <v>1</v>
      </c>
      <c r="C18" s="712">
        <f>IFERROR(B18/B$15,"-")</f>
        <v>7.0621468926553675E-5</v>
      </c>
      <c r="E18" s="223" t="s">
        <v>375</v>
      </c>
      <c r="F18" s="223"/>
      <c r="G18" s="223">
        <v>1</v>
      </c>
      <c r="H18" s="705">
        <f>SUM(F18:G18)</f>
        <v>1</v>
      </c>
      <c r="I18" s="712">
        <f>IFERROR(H18/H$15,"-")</f>
        <v>5.5463117027176932E-4</v>
      </c>
      <c r="J18" s="9"/>
      <c r="K18" s="10"/>
      <c r="L18" s="11"/>
      <c r="M18" s="11"/>
      <c r="N18" s="25"/>
      <c r="O18" s="11"/>
      <c r="P18" s="11"/>
      <c r="Q18" s="11"/>
      <c r="R18" s="9"/>
      <c r="S18" s="9"/>
      <c r="T18" s="9"/>
    </row>
    <row r="19" spans="1:20" x14ac:dyDescent="0.2">
      <c r="J19" s="9"/>
      <c r="K19" s="26"/>
      <c r="L19" s="13"/>
      <c r="M19" s="14"/>
      <c r="N19" s="27"/>
      <c r="O19" s="13"/>
      <c r="P19" s="13"/>
      <c r="Q19" s="14"/>
      <c r="R19" s="12"/>
      <c r="S19" s="9"/>
      <c r="T19" s="9"/>
    </row>
    <row r="20" spans="1:20" x14ac:dyDescent="0.2">
      <c r="J20" s="9"/>
      <c r="K20" s="26"/>
      <c r="L20" s="13"/>
      <c r="M20" s="14"/>
      <c r="N20" s="26"/>
      <c r="O20" s="13"/>
      <c r="P20" s="13"/>
      <c r="Q20" s="14"/>
      <c r="R20" s="12"/>
      <c r="S20" s="9"/>
      <c r="T20" s="9"/>
    </row>
    <row r="21" spans="1:20" x14ac:dyDescent="0.2">
      <c r="J21" s="9"/>
      <c r="K21" s="15"/>
      <c r="L21" s="16"/>
      <c r="M21" s="17"/>
      <c r="N21" s="15"/>
      <c r="O21" s="16"/>
      <c r="P21" s="16"/>
      <c r="Q21" s="17"/>
      <c r="R21" s="9"/>
      <c r="S21" s="9"/>
      <c r="T21" s="9"/>
    </row>
    <row r="22" spans="1:20" x14ac:dyDescent="0.2">
      <c r="J22" s="9"/>
      <c r="K22" s="15"/>
      <c r="L22" s="16"/>
      <c r="M22" s="17"/>
      <c r="N22" s="15"/>
      <c r="O22" s="16"/>
      <c r="P22" s="16"/>
      <c r="Q22" s="17"/>
      <c r="R22" s="9"/>
      <c r="S22" s="9"/>
      <c r="T22" s="9"/>
    </row>
    <row r="23" spans="1:20" x14ac:dyDescent="0.2">
      <c r="J23" s="9"/>
      <c r="K23" s="15"/>
      <c r="L23" s="16"/>
      <c r="M23" s="17"/>
      <c r="N23" s="15"/>
      <c r="O23" s="16"/>
      <c r="P23" s="16"/>
      <c r="Q23" s="17"/>
      <c r="R23" s="9"/>
      <c r="S23" s="9"/>
      <c r="T23" s="9"/>
    </row>
    <row r="24" spans="1:20" x14ac:dyDescent="0.2">
      <c r="J24" s="9"/>
      <c r="K24" s="15"/>
      <c r="L24" s="16"/>
      <c r="M24" s="17"/>
      <c r="N24" s="15"/>
      <c r="O24" s="16"/>
      <c r="P24" s="16"/>
      <c r="Q24" s="17"/>
      <c r="R24" s="9"/>
      <c r="S24" s="9"/>
      <c r="T24" s="9"/>
    </row>
    <row r="25" spans="1:20" x14ac:dyDescent="0.2">
      <c r="J25" s="9"/>
      <c r="K25" s="15"/>
      <c r="L25" s="16"/>
      <c r="M25" s="17"/>
      <c r="N25" s="15"/>
      <c r="O25" s="16"/>
      <c r="P25" s="16"/>
      <c r="Q25" s="17"/>
      <c r="R25" s="9"/>
      <c r="S25" s="9"/>
      <c r="T25" s="9"/>
    </row>
    <row r="26" spans="1:20" x14ac:dyDescent="0.2">
      <c r="J26" s="9"/>
      <c r="K26" s="15"/>
      <c r="L26" s="16"/>
      <c r="M26" s="17"/>
      <c r="N26" s="15"/>
      <c r="O26" s="16"/>
      <c r="P26" s="16"/>
      <c r="Q26" s="17"/>
      <c r="R26" s="9"/>
      <c r="S26" s="9"/>
      <c r="T26" s="9"/>
    </row>
    <row r="27" spans="1:20" x14ac:dyDescent="0.2">
      <c r="J27" s="12"/>
      <c r="K27" s="26"/>
      <c r="L27" s="13"/>
      <c r="M27" s="14"/>
      <c r="N27" s="26"/>
      <c r="O27" s="13"/>
      <c r="P27" s="13"/>
      <c r="Q27" s="14"/>
      <c r="R27" s="12"/>
      <c r="S27" s="12"/>
      <c r="T27" s="12"/>
    </row>
    <row r="28" spans="1:20" x14ac:dyDescent="0.2">
      <c r="J28" s="12"/>
      <c r="K28" s="28"/>
      <c r="L28" s="29"/>
      <c r="M28" s="30"/>
      <c r="N28" s="28"/>
      <c r="O28" s="29"/>
      <c r="P28" s="29"/>
      <c r="Q28" s="30"/>
      <c r="R28" s="12"/>
      <c r="S28" s="12"/>
      <c r="T28" s="12"/>
    </row>
    <row r="29" spans="1:20" x14ac:dyDescent="0.2">
      <c r="J29" s="12"/>
      <c r="K29" s="12"/>
      <c r="L29" s="12"/>
      <c r="M29" s="12"/>
      <c r="N29" s="26"/>
      <c r="O29" s="12"/>
      <c r="P29" s="12"/>
      <c r="Q29" s="12"/>
      <c r="R29" s="12"/>
      <c r="S29" s="12"/>
      <c r="T29" s="12"/>
    </row>
    <row r="30" spans="1:20" x14ac:dyDescent="0.2">
      <c r="J30" s="12"/>
      <c r="K30" s="12"/>
      <c r="L30" s="12"/>
      <c r="M30" s="12"/>
      <c r="N30" s="10"/>
      <c r="O30" s="11"/>
      <c r="P30" s="11"/>
      <c r="Q30" s="11"/>
      <c r="R30" s="12"/>
      <c r="S30" s="12"/>
      <c r="T30" s="12"/>
    </row>
    <row r="31" spans="1:20" x14ac:dyDescent="0.2">
      <c r="J31" s="12"/>
      <c r="K31" s="12"/>
      <c r="L31" s="12"/>
      <c r="M31" s="12"/>
      <c r="N31" s="26"/>
      <c r="O31" s="13"/>
      <c r="P31" s="13"/>
      <c r="Q31" s="14"/>
      <c r="R31" s="12"/>
      <c r="S31" s="12"/>
      <c r="T31" s="12"/>
    </row>
    <row r="32" spans="1:20" x14ac:dyDescent="0.2">
      <c r="J32" s="12"/>
      <c r="K32" s="12"/>
      <c r="L32" s="12"/>
      <c r="M32" s="12"/>
      <c r="N32" s="26"/>
      <c r="O32" s="13"/>
      <c r="P32" s="13"/>
      <c r="Q32" s="14"/>
      <c r="R32" s="12"/>
      <c r="S32" s="12"/>
      <c r="T32" s="12"/>
    </row>
    <row r="33" spans="10:20" x14ac:dyDescent="0.2">
      <c r="J33" s="12"/>
      <c r="K33" s="12"/>
      <c r="L33" s="12"/>
      <c r="M33" s="12"/>
      <c r="N33" s="26"/>
      <c r="O33" s="13"/>
      <c r="P33" s="13"/>
      <c r="Q33" s="14"/>
      <c r="R33" s="12"/>
      <c r="S33" s="12"/>
      <c r="T33" s="12"/>
    </row>
    <row r="34" spans="10:20" x14ac:dyDescent="0.2">
      <c r="J34" s="12"/>
      <c r="K34" s="12"/>
      <c r="L34" s="12"/>
      <c r="M34" s="12"/>
      <c r="N34" s="26"/>
      <c r="O34" s="13"/>
      <c r="P34" s="13"/>
      <c r="Q34" s="14"/>
      <c r="R34" s="12"/>
      <c r="S34" s="12"/>
      <c r="T34" s="12"/>
    </row>
    <row r="35" spans="10:20" x14ac:dyDescent="0.2">
      <c r="J35" s="9"/>
      <c r="K35" s="9"/>
      <c r="L35" s="9"/>
      <c r="M35" s="9"/>
      <c r="N35" s="15"/>
      <c r="O35" s="16"/>
      <c r="P35" s="16"/>
      <c r="Q35" s="17"/>
      <c r="R35" s="9"/>
      <c r="S35" s="9"/>
      <c r="T35" s="9"/>
    </row>
    <row r="36" spans="10:20" x14ac:dyDescent="0.2">
      <c r="J36" s="9"/>
      <c r="K36" s="9"/>
      <c r="L36" s="9"/>
      <c r="M36" s="9"/>
      <c r="N36" s="15"/>
      <c r="O36" s="16"/>
      <c r="P36" s="16"/>
      <c r="Q36" s="17"/>
      <c r="R36" s="9"/>
      <c r="S36" s="9"/>
      <c r="T36" s="9"/>
    </row>
    <row r="37" spans="10:20" x14ac:dyDescent="0.2">
      <c r="J37" s="9"/>
      <c r="K37" s="9"/>
      <c r="L37" s="9"/>
      <c r="M37" s="9"/>
      <c r="N37" s="15"/>
      <c r="O37" s="16"/>
      <c r="P37" s="16"/>
      <c r="Q37" s="17"/>
      <c r="R37" s="9"/>
      <c r="S37" s="9"/>
      <c r="T37" s="9"/>
    </row>
    <row r="38" spans="10:20" x14ac:dyDescent="0.2">
      <c r="J38" s="9"/>
      <c r="K38" s="9"/>
      <c r="L38" s="9"/>
      <c r="M38" s="9"/>
      <c r="N38" s="15"/>
      <c r="O38" s="16"/>
      <c r="P38" s="16"/>
      <c r="Q38" s="17"/>
      <c r="R38" s="9"/>
      <c r="S38" s="9"/>
      <c r="T38" s="9"/>
    </row>
    <row r="39" spans="10:20" x14ac:dyDescent="0.2">
      <c r="J39" s="9"/>
      <c r="K39" s="9"/>
      <c r="L39" s="9"/>
      <c r="M39" s="9"/>
      <c r="N39" s="26"/>
      <c r="O39" s="13"/>
      <c r="P39" s="13"/>
      <c r="Q39" s="14"/>
      <c r="R39" s="12"/>
      <c r="S39" s="9"/>
      <c r="T39" s="9"/>
    </row>
    <row r="40" spans="10:20" x14ac:dyDescent="0.2">
      <c r="J40" s="9"/>
      <c r="K40" s="9"/>
      <c r="L40" s="9"/>
      <c r="M40" s="9"/>
      <c r="N40" s="28"/>
      <c r="O40" s="29"/>
      <c r="P40" s="29"/>
      <c r="Q40" s="30"/>
      <c r="R40" s="12"/>
      <c r="S40" s="9"/>
      <c r="T40" s="9"/>
    </row>
    <row r="41" spans="10:20" x14ac:dyDescent="0.2">
      <c r="J41" s="9"/>
      <c r="K41" s="9"/>
      <c r="L41" s="9"/>
      <c r="M41" s="9"/>
      <c r="N41" s="9"/>
      <c r="O41" s="9"/>
      <c r="P41" s="9"/>
      <c r="Q41" s="9"/>
      <c r="R41" s="9"/>
      <c r="S41" s="9"/>
      <c r="T41" s="9"/>
    </row>
    <row r="42" spans="10:20" x14ac:dyDescent="0.2">
      <c r="J42" s="9"/>
      <c r="K42" s="9"/>
      <c r="L42" s="9"/>
      <c r="M42" s="9"/>
      <c r="N42" s="9"/>
      <c r="O42" s="9"/>
      <c r="P42" s="9"/>
      <c r="Q42" s="9"/>
      <c r="R42" s="9"/>
      <c r="S42" s="9"/>
      <c r="T42" s="9"/>
    </row>
    <row r="43" spans="10:20" x14ac:dyDescent="0.2">
      <c r="J43" s="9"/>
      <c r="K43" s="9"/>
      <c r="L43" s="9"/>
      <c r="M43" s="9"/>
      <c r="N43" s="9"/>
      <c r="O43" s="9"/>
      <c r="P43" s="9"/>
      <c r="Q43" s="9"/>
      <c r="R43" s="9"/>
      <c r="S43" s="9"/>
      <c r="T43" s="9"/>
    </row>
    <row r="44" spans="10:20" x14ac:dyDescent="0.2">
      <c r="J44" s="9"/>
      <c r="K44" s="9"/>
      <c r="L44" s="9"/>
      <c r="M44" s="9"/>
      <c r="N44" s="9"/>
      <c r="O44" s="9"/>
      <c r="P44" s="9"/>
      <c r="Q44" s="9"/>
      <c r="R44" s="9"/>
      <c r="S44" s="9"/>
      <c r="T44" s="9"/>
    </row>
    <row r="45" spans="10:20" x14ac:dyDescent="0.2">
      <c r="J45" s="9"/>
      <c r="K45" s="9"/>
      <c r="L45" s="9"/>
      <c r="M45" s="9"/>
      <c r="N45" s="9"/>
      <c r="O45" s="9"/>
      <c r="P45" s="9"/>
      <c r="Q45" s="9"/>
      <c r="R45" s="9"/>
      <c r="S45" s="9"/>
      <c r="T45" s="9"/>
    </row>
    <row r="46" spans="10:20" x14ac:dyDescent="0.2">
      <c r="J46" s="9"/>
      <c r="K46" s="15"/>
      <c r="L46" s="31"/>
      <c r="M46" s="31"/>
      <c r="N46" s="31"/>
      <c r="O46" s="31"/>
      <c r="P46" s="31"/>
      <c r="Q46" s="31"/>
      <c r="R46" s="31"/>
      <c r="S46" s="31"/>
      <c r="T46" s="9"/>
    </row>
    <row r="47" spans="10:20" x14ac:dyDescent="0.2">
      <c r="J47" s="9"/>
      <c r="K47" s="15"/>
      <c r="L47" s="31"/>
      <c r="M47" s="31"/>
      <c r="N47" s="31"/>
      <c r="O47" s="31"/>
      <c r="P47" s="31"/>
      <c r="Q47" s="31"/>
      <c r="R47" s="31"/>
      <c r="S47" s="31"/>
      <c r="T47" s="9"/>
    </row>
    <row r="48" spans="10:20" x14ac:dyDescent="0.2">
      <c r="J48" s="9"/>
      <c r="K48" s="15"/>
      <c r="L48" s="31"/>
      <c r="M48" s="31"/>
      <c r="N48" s="31"/>
      <c r="O48" s="31"/>
      <c r="P48" s="31"/>
      <c r="Q48" s="31"/>
      <c r="R48" s="31"/>
      <c r="S48" s="31"/>
      <c r="T48" s="9"/>
    </row>
    <row r="49" spans="10:20" x14ac:dyDescent="0.2">
      <c r="J49" s="9"/>
      <c r="K49" s="9"/>
      <c r="L49" s="9"/>
      <c r="M49" s="9"/>
      <c r="N49" s="9"/>
      <c r="O49" s="9"/>
      <c r="P49" s="9"/>
      <c r="Q49" s="9"/>
      <c r="R49" s="9"/>
      <c r="S49" s="9"/>
      <c r="T49" s="9"/>
    </row>
  </sheetData>
  <phoneticPr fontId="2"/>
  <pageMargins left="0.70866141732283472" right="0.70866141732283472" top="0.74803149606299213" bottom="0.74803149606299213" header="0.31496062992125984" footer="0.31496062992125984"/>
  <pageSetup paperSize="11" scale="98" orientation="landscape" r:id="rId1"/>
  <drawing r:id="rId2"/>
  <mc:AlternateContent xmlns:mc="http://schemas.openxmlformats.org/markup-compatibility/2006">
    <mc:Choice Requires="v">
      <legacyDrawing r:id="rId3"/>
    </mc:Choice>
  </mc:AlternateContent>
  <controls>
    <control shapeId="17409" r:id="rId4" name="Button 1">
      <controlPr defaultSize="0" print="0" autoFill="0" autoPict="0" macro="[0]!データ削除_年齢区分">
        <anchor moveWithCells="1" sizeWithCells="1">
          <from>
            <xdr:col>17</xdr:col>
            <xdr:colOff>259080</xdr:colOff>
            <xdr:row>1</xdr:row>
            <xdr:rowOff>236220</xdr:rowOff>
          </from>
          <to>
            <xdr:col>18</xdr:col>
            <xdr:colOff>480060</xdr:colOff>
            <xdr:row>3</xdr:row>
            <xdr:rowOff>160020</xdr:rowOff>
          </to>
        </anchor>
      </controlPr>
    </control>
  </controls>
  <tableParts count="3">
    <tablePart r:id="rId5"/>
    <tablePart r:id="rId6"/>
    <tablePart r:id="rId7"/>
  </tableParts>
</worksheet>
</file>

<file path=xl/worksheets/sheet2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tabColor rgb="FFFF0000"/>
    <pageSetUpPr fitToPage="1"/>
  </sheetPr>
  <dimension ref="B1:AZ73"/>
  <sheetViews>
    <sheetView showGridLines="0" view="pageBreakPreview" zoomScale="80" zoomScaleNormal="100" zoomScaleSheetLayoutView="80" workbookViewId="0"/>
  </sheetViews>
  <sheetFormatPr defaultColWidth="9" defaultRowHeight="17.399999999999999" x14ac:dyDescent="0.2"/>
  <cols>
    <col min="1" max="1" width="3.33203125" style="1" customWidth="1"/>
    <col min="2" max="2" width="40" style="1" customWidth="1"/>
    <col min="3" max="3" width="9.33203125" style="1" customWidth="1"/>
    <col min="4" max="4" width="10.5546875" style="1" bestFit="1" customWidth="1"/>
    <col min="5" max="5" width="9.33203125" style="1" customWidth="1"/>
    <col min="6" max="6" width="10.5546875" style="1" bestFit="1" customWidth="1"/>
    <col min="7" max="7" width="9.33203125" style="1" customWidth="1"/>
    <col min="8" max="8" width="10.5546875" style="1" bestFit="1" customWidth="1"/>
    <col min="9" max="9" width="9.33203125" style="1" customWidth="1"/>
    <col min="10" max="10" width="10.5546875" style="1" bestFit="1" customWidth="1"/>
    <col min="11" max="11" width="9.109375" style="1" hidden="1" customWidth="1"/>
    <col min="12" max="12" width="45.44140625" style="1" hidden="1" customWidth="1"/>
    <col min="13" max="28" width="11.109375" style="1" hidden="1" customWidth="1"/>
    <col min="29" max="29" width="9.109375" style="1" hidden="1" customWidth="1"/>
    <col min="30" max="32" width="9" style="1" hidden="1" customWidth="1"/>
    <col min="33" max="34" width="9" style="1" customWidth="1"/>
    <col min="35" max="52" width="9" style="1" hidden="1" customWidth="1"/>
    <col min="53" max="16384" width="9" style="1"/>
  </cols>
  <sheetData>
    <row r="1" spans="2:51" ht="19.5" customHeight="1" x14ac:dyDescent="0.2">
      <c r="B1" s="2" t="s">
        <v>78</v>
      </c>
    </row>
    <row r="2" spans="2:51" ht="18.75" customHeight="1" thickBot="1" x14ac:dyDescent="0.25">
      <c r="B2" s="957" t="s">
        <v>240</v>
      </c>
      <c r="C2" s="977" t="s">
        <v>64</v>
      </c>
      <c r="D2" s="978"/>
      <c r="E2" s="978"/>
      <c r="F2" s="978"/>
      <c r="G2" s="978"/>
      <c r="H2" s="978"/>
      <c r="I2" s="978"/>
      <c r="J2" s="979"/>
      <c r="L2" s="52" t="s">
        <v>63</v>
      </c>
    </row>
    <row r="3" spans="2:51" ht="18.75" customHeight="1" thickTop="1" thickBot="1" x14ac:dyDescent="0.25">
      <c r="B3" s="976"/>
      <c r="C3" s="980" t="s">
        <v>69</v>
      </c>
      <c r="D3" s="981"/>
      <c r="E3" s="982" t="s">
        <v>270</v>
      </c>
      <c r="F3" s="983"/>
      <c r="G3" s="982" t="s">
        <v>271</v>
      </c>
      <c r="H3" s="983"/>
      <c r="I3" s="980" t="s">
        <v>72</v>
      </c>
      <c r="J3" s="981"/>
      <c r="L3" s="347" t="s">
        <v>372</v>
      </c>
      <c r="M3" s="55" t="s">
        <v>182</v>
      </c>
      <c r="N3" s="55" t="s">
        <v>183</v>
      </c>
      <c r="O3" s="55" t="s">
        <v>184</v>
      </c>
      <c r="P3" s="55" t="s">
        <v>185</v>
      </c>
      <c r="Q3" s="55" t="s">
        <v>186</v>
      </c>
      <c r="R3" s="55" t="s">
        <v>187</v>
      </c>
      <c r="S3" s="55" t="s">
        <v>188</v>
      </c>
      <c r="T3" s="55" t="s">
        <v>189</v>
      </c>
      <c r="U3" s="55" t="s">
        <v>190</v>
      </c>
      <c r="V3" s="55" t="s">
        <v>191</v>
      </c>
      <c r="W3" s="55" t="s">
        <v>192</v>
      </c>
      <c r="X3" s="55" t="s">
        <v>193</v>
      </c>
      <c r="Y3" s="55" t="s">
        <v>194</v>
      </c>
      <c r="Z3" s="55" t="s">
        <v>195</v>
      </c>
      <c r="AA3" s="55" t="s">
        <v>196</v>
      </c>
      <c r="AB3" s="55" t="s">
        <v>197</v>
      </c>
    </row>
    <row r="4" spans="2:51" ht="37.5" customHeight="1" thickTop="1" x14ac:dyDescent="0.2">
      <c r="B4" s="86" t="s">
        <v>231</v>
      </c>
      <c r="C4" s="859">
        <f>IFERROR(INDEX(退院予定有無×在院期間区分[#All],MATCH($AI5,退院予定有無×在院期間区分[[#All],[行ラベル]],0),MATCH($AJ$4,退院予定有無×在院期間区分[#Headers],0)),)+IFERROR(INDEX(退院予定有無×在院期間区分[#All],MATCH($AI5,退院予定有無×在院期間区分[[#All],[行ラベル]],0),MATCH($AK$4,退院予定有無×在院期間区分[#Headers],0)),0)+IFERROR(INDEX(退院予定有無×在院期間区分[#All],MATCH($AI5,退院予定有無×在院期間区分[[#All],[行ラベル]],0),MATCH($AL$4,退院予定有無×在院期間区分[#Headers],0)),0)+IFERROR(INDEX(退院予定有無×在院期間区分[#All],MATCH($AI5,退院予定有無×在院期間区分[[#All],[行ラベル]],0),MATCH($AM$4,退院予定有無×在院期間区分[#Headers],0)),0)</f>
        <v>781</v>
      </c>
      <c r="D4" s="152">
        <f>IFERROR(C4/C$7,"-")</f>
        <v>0.12214576165154832</v>
      </c>
      <c r="E4" s="151">
        <f>IFERROR(INDEX(退院予定有無×在院期間区分[#All],MATCH($AI5,退院予定有無×在院期間区分[[#All],[行ラベル]],0),MATCH($AN$4,退院予定有無×在院期間区分[#Headers],0)),0)+IFERROR(INDEX(退院予定有無×在院期間区分[#All],MATCH($AI5,退院予定有無×在院期間区分[[#All],[行ラベル]],0),MATCH($AO$4,退院予定有無×在院期間区分[#Headers],0)),0)+IFERROR(INDEX(退院予定有無×在院期間区分[#All],MATCH($AI5,退院予定有無×在院期間区分[[#All],[行ラベル]],0),MATCH($AP$4,退院予定有無×在院期間区分[#Headers],0)),0)+IFERROR(INDEX(退院予定有無×在院期間区分[#All],MATCH($AI5,退院予定有無×在院期間区分[[#All],[行ラベル]],0),MATCH($AQ$4,退院予定有無×在院期間区分[#Headers],0)),0)+IFERROR(INDEX(退院予定有無×在院期間区分[#All],MATCH($AI5,退院予定有無×在院期間区分[[#All],[行ラベル]],0),MATCH($AR$4,退院予定有無×在院期間区分[#Headers],0)),0)</f>
        <v>610</v>
      </c>
      <c r="F4" s="152">
        <f>IFERROR(E4/E$7,"-")</f>
        <v>0.15423514538558786</v>
      </c>
      <c r="G4" s="151">
        <f>IFERROR(INDEX(退院予定有無×在院期間区分[#All],MATCH($AI5,退院予定有無×在院期間区分[[#All],[行ラベル]],0),MATCH($AS$4,退院予定有無×在院期間区分[#Headers],0))+INDEX(退院予定有無×在院期間区分[#All],MATCH($AI5,退院予定有無×在院期間区分[[#All],[行ラベル]],0),MATCH($AT$4,退院予定有無×在院期間区分[#Headers],0)),0)+IFERROR(INDEX(退院予定有無×在院期間区分[#All],MATCH($AI5,退院予定有無×在院期間区分[[#All],[行ラベル]],0),MATCH($AU$4,退院予定有無×在院期間区分[#Headers],0)),0)+IFERROR(INDEX(退院予定有無×在院期間区分[#All],MATCH($AI5,退院予定有無×在院期間区分[[#All],[行ラベル]],0),MATCH($AV$4,退院予定有無×在院期間区分[#Headers],0)),0)+IFERROR(INDEX(退院予定有無×在院期間区分[#All],MATCH($AI5,退院予定有無×在院期間区分[[#All],[行ラベル]],0),MATCH($AW$4,退院予定有無×在院期間区分[#Headers],0)),0)</f>
        <v>288</v>
      </c>
      <c r="H4" s="152">
        <f>IFERROR(G4/G$7,"-")</f>
        <v>0.15946843853820597</v>
      </c>
      <c r="I4" s="151">
        <f>IFERROR(INDEX(退院予定有無×在院期間区分[#All],MATCH($AI5,退院予定有無×在院期間区分[[#All],[行ラベル]],0),MATCH($AX$4,退院予定有無×在院期間区分[#Headers],0)),0)+IFERROR(INDEX(退院予定有無×在院期間区分[#All],MATCH($AI5,退院予定有無×在院期間区分[[#All],[行ラベル]],0),MATCH($AY$4,退院予定有無×在院期間区分[#Headers],0)),0)</f>
        <v>303</v>
      </c>
      <c r="J4" s="153">
        <f>IFERROR(I4/I$7,"-")</f>
        <v>0.15112219451371572</v>
      </c>
      <c r="K4" s="38">
        <f>C4+E4+G4+I4</f>
        <v>1982</v>
      </c>
      <c r="L4" s="33">
        <v>98</v>
      </c>
      <c r="M4" s="58">
        <v>1080</v>
      </c>
      <c r="N4" s="58">
        <v>1227</v>
      </c>
      <c r="O4" s="58">
        <v>790</v>
      </c>
      <c r="P4" s="58">
        <v>1011</v>
      </c>
      <c r="Q4" s="58">
        <v>748</v>
      </c>
      <c r="R4" s="58">
        <v>531</v>
      </c>
      <c r="S4" s="58">
        <v>801</v>
      </c>
      <c r="T4" s="58">
        <v>622</v>
      </c>
      <c r="U4" s="58">
        <v>547</v>
      </c>
      <c r="V4" s="58">
        <v>418</v>
      </c>
      <c r="W4" s="58">
        <v>371</v>
      </c>
      <c r="X4" s="58">
        <v>275</v>
      </c>
      <c r="Y4" s="58">
        <v>202</v>
      </c>
      <c r="Z4" s="58">
        <v>216</v>
      </c>
      <c r="AA4" s="58">
        <v>1025</v>
      </c>
      <c r="AB4" s="58">
        <v>658</v>
      </c>
      <c r="AJ4" s="253" t="s">
        <v>182</v>
      </c>
      <c r="AK4" s="253" t="s">
        <v>183</v>
      </c>
      <c r="AL4" s="253" t="s">
        <v>184</v>
      </c>
      <c r="AM4" s="253" t="s">
        <v>185</v>
      </c>
      <c r="AN4" s="253" t="s">
        <v>186</v>
      </c>
      <c r="AO4" s="253" t="s">
        <v>187</v>
      </c>
      <c r="AP4" s="253" t="s">
        <v>188</v>
      </c>
      <c r="AQ4" s="253" t="s">
        <v>189</v>
      </c>
      <c r="AR4" s="253" t="s">
        <v>190</v>
      </c>
      <c r="AS4" s="253" t="s">
        <v>191</v>
      </c>
      <c r="AT4" s="253" t="s">
        <v>192</v>
      </c>
      <c r="AU4" s="253" t="s">
        <v>193</v>
      </c>
      <c r="AV4" s="253" t="s">
        <v>194</v>
      </c>
      <c r="AW4" s="253" t="s">
        <v>195</v>
      </c>
      <c r="AX4" s="253" t="s">
        <v>196</v>
      </c>
      <c r="AY4" s="253" t="s">
        <v>197</v>
      </c>
    </row>
    <row r="5" spans="2:51" ht="18.75" customHeight="1" x14ac:dyDescent="0.2">
      <c r="B5" s="87" t="s">
        <v>241</v>
      </c>
      <c r="C5" s="860">
        <f>IFERROR(INDEX(退院予定有無×在院期間区分[#All],MATCH($AI6,退院予定有無×在院期間区分[[#All],[行ラベル]],0),MATCH($AJ$4,退院予定有無×在院期間区分[#Headers],0)),)+IFERROR(INDEX(退院予定有無×在院期間区分[#All],MATCH($AI6,退院予定有無×在院期間区分[[#All],[行ラベル]],0),MATCH($AK$4,退院予定有無×在院期間区分[#Headers],0)),0)+IFERROR(INDEX(退院予定有無×在院期間区分[#All],MATCH($AI6,退院予定有無×在院期間区分[[#All],[行ラベル]],0),MATCH($AL$4,退院予定有無×在院期間区分[#Headers],0)),0)+IFERROR(INDEX(退院予定有無×在院期間区分[#All],MATCH($AI6,退院予定有無×在院期間区分[[#All],[行ラベル]],0),MATCH($AM$4,退院予定有無×在院期間区分[#Headers],0)),0)</f>
        <v>4108</v>
      </c>
      <c r="D5" s="155">
        <f>IFERROR(C5/C$7,"-")</f>
        <v>0.64247732248983425</v>
      </c>
      <c r="E5" s="154">
        <f>IFERROR(INDEX(退院予定有無×在院期間区分[#All],MATCH($AI6,退院予定有無×在院期間区分[[#All],[行ラベル]],0),MATCH($AN$4,退院予定有無×在院期間区分[#Headers],0)),0)+IFERROR(INDEX(退院予定有無×在院期間区分[#All],MATCH($AI6,退院予定有無×在院期間区分[[#All],[行ラベル]],0),MATCH($AO$4,退院予定有無×在院期間区分[#Headers],0)),0)+IFERROR(INDEX(退院予定有無×在院期間区分[#All],MATCH($AI6,退院予定有無×在院期間区分[[#All],[行ラベル]],0),MATCH($AP$4,退院予定有無×在院期間区分[#Headers],0)),0)+IFERROR(INDEX(退院予定有無×在院期間区分[#All],MATCH($AI6,退院予定有無×在院期間区分[[#All],[行ラベル]],0),MATCH($AQ$4,退院予定有無×在院期間区分[#Headers],0)),0)+IFERROR(INDEX(退院予定有無×在院期間区分[#All],MATCH($AI6,退院予定有無×在院期間区分[[#All],[行ラベル]],0),MATCH($AR$4,退院予定有無×在院期間区分[#Headers],0)),0)</f>
        <v>3249</v>
      </c>
      <c r="F5" s="155">
        <f>IFERROR(E5/E$7,"-")</f>
        <v>0.82149178255372945</v>
      </c>
      <c r="G5" s="154">
        <f>IFERROR(INDEX(退院予定有無×在院期間区分[#All],MATCH($AI6,退院予定有無×在院期間区分[[#All],[行ラベル]],0),MATCH($AS$4,退院予定有無×在院期間区分[#Headers],0))+INDEX(退院予定有無×在院期間区分[#All],MATCH($AI6,退院予定有無×在院期間区分[[#All],[行ラベル]],0),MATCH($AT$4,退院予定有無×在院期間区分[#Headers],0)),0)+IFERROR(INDEX(退院予定有無×在院期間区分[#All],MATCH($AI6,退院予定有無×在院期間区分[[#All],[行ラベル]],0),MATCH($AU$4,退院予定有無×在院期間区分[#Headers],0)),0)+IFERROR(INDEX(退院予定有無×在院期間区分[#All],MATCH($AI6,退院予定有無×在院期間区分[[#All],[行ラベル]],0),MATCH($AV$4,退院予定有無×在院期間区分[#Headers],0)),0)+IFERROR(INDEX(退院予定有無×在院期間区分[#All],MATCH($AI6,退院予定有無×在院期間区分[[#All],[行ラベル]],0),MATCH($AW$4,退院予定有無×在院期間区分[#Headers],0)),0)</f>
        <v>1482</v>
      </c>
      <c r="H5" s="171">
        <f>IFERROR(G5/G$7,"-")</f>
        <v>0.82059800664451832</v>
      </c>
      <c r="I5" s="154">
        <f>IFERROR(INDEX(退院予定有無×在院期間区分[#All],MATCH($AI6,退院予定有無×在院期間区分[[#All],[行ラベル]],0),MATCH($AX$4,退院予定有無×在院期間区分[#Headers],0)),0)+IFERROR(INDEX(退院予定有無×在院期間区分[#All],MATCH($AI6,退院予定有無×在院期間区分[[#All],[行ラベル]],0),MATCH($AY$4,退院予定有無×在院期間区分[#Headers],0)),0)</f>
        <v>1683</v>
      </c>
      <c r="J5" s="156">
        <f>IFERROR(I5/I$7,"-")</f>
        <v>0.83940149625935168</v>
      </c>
      <c r="K5" s="38">
        <f>C5+E5+G5+I5</f>
        <v>10522</v>
      </c>
      <c r="L5" s="33">
        <v>97</v>
      </c>
      <c r="M5" s="58">
        <v>142</v>
      </c>
      <c r="N5" s="58">
        <v>240</v>
      </c>
      <c r="O5" s="58">
        <v>188</v>
      </c>
      <c r="P5" s="58">
        <v>211</v>
      </c>
      <c r="Q5" s="58">
        <v>152</v>
      </c>
      <c r="R5" s="58">
        <v>105</v>
      </c>
      <c r="S5" s="58">
        <v>148</v>
      </c>
      <c r="T5" s="58">
        <v>110</v>
      </c>
      <c r="U5" s="58">
        <v>95</v>
      </c>
      <c r="V5" s="58">
        <v>86</v>
      </c>
      <c r="W5" s="58">
        <v>67</v>
      </c>
      <c r="X5" s="58">
        <v>53</v>
      </c>
      <c r="Y5" s="58">
        <v>48</v>
      </c>
      <c r="Z5" s="58">
        <v>34</v>
      </c>
      <c r="AA5" s="58">
        <v>199</v>
      </c>
      <c r="AB5" s="58">
        <v>104</v>
      </c>
      <c r="AI5" s="33">
        <v>97</v>
      </c>
      <c r="AJ5" s="55"/>
    </row>
    <row r="6" spans="2:51" ht="18.75" customHeight="1" x14ac:dyDescent="0.2">
      <c r="B6" s="88" t="s">
        <v>36</v>
      </c>
      <c r="C6" s="861">
        <f>IFERROR(INDEX(退院予定有無×在院期間区分[#All],MATCH($AI7,退院予定有無×在院期間区分[[#All],[行ラベル]],0),MATCH($AJ$4,退院予定有無×在院期間区分[#Headers],0)),)+IFERROR(INDEX(退院予定有無×在院期間区分[#All],MATCH($AI7,退院予定有無×在院期間区分[[#All],[行ラベル]],0),MATCH($AK$4,退院予定有無×在院期間区分[#Headers],0)),0)+IFERROR(INDEX(退院予定有無×在院期間区分[#All],MATCH($AI7,退院予定有無×在院期間区分[[#All],[行ラベル]],0),MATCH($AL$4,退院予定有無×在院期間区分[#Headers],0)),0)+IFERROR(INDEX(退院予定有無×在院期間区分[#All],MATCH($AI7,退院予定有無×在院期間区分[[#All],[行ラベル]],0),MATCH($AM$4,退院予定有無×在院期間区分[#Headers],0)),0)</f>
        <v>1505</v>
      </c>
      <c r="D6" s="158">
        <f>IFERROR(C6/C$7,"-")</f>
        <v>0.23537691585861745</v>
      </c>
      <c r="E6" s="177">
        <f>IFERROR(INDEX(退院予定有無×在院期間区分[#All],MATCH($AI7,退院予定有無×在院期間区分[[#All],[行ラベル]],0),MATCH($AN$4,退院予定有無×在院期間区分[#Headers],0)),0)+IFERROR(INDEX(退院予定有無×在院期間区分[#All],MATCH($AI7,退院予定有無×在院期間区分[[#All],[行ラベル]],0),MATCH($AO$4,退院予定有無×在院期間区分[#Headers],0)),0)+IFERROR(INDEX(退院予定有無×在院期間区分[#All],MATCH($AI7,退院予定有無×在院期間区分[[#All],[行ラベル]],0),MATCH($AP$4,退院予定有無×在院期間区分[#Headers],0)),0)+IFERROR(INDEX(退院予定有無×在院期間区分[#All],MATCH($AI7,退院予定有無×在院期間区分[[#All],[行ラベル]],0),MATCH($AQ$4,退院予定有無×在院期間区分[#Headers],0)),0)+IFERROR(INDEX(退院予定有無×在院期間区分[#All],MATCH($AI7,退院予定有無×在院期間区分[[#All],[行ラベル]],0),MATCH($AR$4,退院予定有無×在院期間区分[#Headers],0)),0)</f>
        <v>96</v>
      </c>
      <c r="F6" s="159">
        <f>IFERROR(E6/E$7,"-")</f>
        <v>2.4273072060682681E-2</v>
      </c>
      <c r="G6" s="177">
        <f>IFERROR(INDEX(退院予定有無×在院期間区分[#All],MATCH($AI7,退院予定有無×在院期間区分[[#All],[行ラベル]],0),MATCH($AS$4,退院予定有無×在院期間区分[#Headers],0))+INDEX(退院予定有無×在院期間区分[#All],MATCH($AI7,退院予定有無×在院期間区分[[#All],[行ラベル]],0),MATCH($AT$4,退院予定有無×在院期間区分[#Headers],0)),0)+IFERROR(INDEX(退院予定有無×在院期間区分[#All],MATCH($AI7,退院予定有無×在院期間区分[[#All],[行ラベル]],0),MATCH($AU$4,退院予定有無×在院期間区分[#Headers],0)),0)+IFERROR(INDEX(退院予定有無×在院期間区分[#All],MATCH($AI7,退院予定有無×在院期間区分[[#All],[行ラベル]],0),MATCH($AV$4,退院予定有無×在院期間区分[#Headers],0)),0)+IFERROR(INDEX(退院予定有無×在院期間区分[#All],MATCH($AI7,退院予定有無×在院期間区分[[#All],[行ラベル]],0),MATCH($AW$4,退院予定有無×在院期間区分[#Headers],0)),0)</f>
        <v>36</v>
      </c>
      <c r="H6" s="159">
        <f>IFERROR(G6/G$7,"-")</f>
        <v>1.9933554817275746E-2</v>
      </c>
      <c r="I6" s="177">
        <f>IFERROR(INDEX(退院予定有無×在院期間区分[#All],MATCH($AI7,退院予定有無×在院期間区分[[#All],[行ラベル]],0),MATCH($AX$4,退院予定有無×在院期間区分[#Headers],0)),0)+IFERROR(INDEX(退院予定有無×在院期間区分[#All],MATCH($AI7,退院予定有無×在院期間区分[[#All],[行ラベル]],0),MATCH($AY$4,退院予定有無×在院期間区分[#Headers],0)),0)</f>
        <v>19</v>
      </c>
      <c r="J6" s="159">
        <f>IFERROR(I6/I$7,"-")</f>
        <v>9.4763092269326676E-3</v>
      </c>
      <c r="K6" s="38">
        <f>C6+E6+G6+I6</f>
        <v>1656</v>
      </c>
      <c r="L6" s="33">
        <v>99</v>
      </c>
      <c r="M6" s="58">
        <v>549</v>
      </c>
      <c r="N6" s="58">
        <v>654</v>
      </c>
      <c r="O6" s="58">
        <v>181</v>
      </c>
      <c r="P6" s="58">
        <v>121</v>
      </c>
      <c r="Q6" s="58">
        <v>36</v>
      </c>
      <c r="R6" s="58">
        <v>12</v>
      </c>
      <c r="S6" s="58">
        <v>31</v>
      </c>
      <c r="T6" s="58">
        <v>9</v>
      </c>
      <c r="U6" s="58">
        <v>8</v>
      </c>
      <c r="V6" s="58">
        <v>15</v>
      </c>
      <c r="W6" s="58">
        <v>9</v>
      </c>
      <c r="X6" s="58">
        <v>6</v>
      </c>
      <c r="Y6" s="58">
        <v>2</v>
      </c>
      <c r="Z6" s="58">
        <v>4</v>
      </c>
      <c r="AA6" s="58">
        <v>16</v>
      </c>
      <c r="AB6" s="58">
        <v>3</v>
      </c>
      <c r="AI6" s="33">
        <v>98</v>
      </c>
      <c r="AJ6" s="55"/>
    </row>
    <row r="7" spans="2:51" ht="18.75" customHeight="1" x14ac:dyDescent="0.2">
      <c r="B7" s="89" t="s">
        <v>161</v>
      </c>
      <c r="C7" s="160">
        <f t="shared" ref="C7:J7" si="0">SUM(C4:C6)</f>
        <v>6394</v>
      </c>
      <c r="D7" s="161">
        <f t="shared" si="0"/>
        <v>1</v>
      </c>
      <c r="E7" s="162">
        <f t="shared" si="0"/>
        <v>3955</v>
      </c>
      <c r="F7" s="161">
        <f t="shared" si="0"/>
        <v>0.99999999999999989</v>
      </c>
      <c r="G7" s="862">
        <f t="shared" si="0"/>
        <v>1806</v>
      </c>
      <c r="H7" s="863">
        <f t="shared" si="0"/>
        <v>1</v>
      </c>
      <c r="I7" s="162">
        <f t="shared" si="0"/>
        <v>2005</v>
      </c>
      <c r="J7" s="161">
        <f t="shared" si="0"/>
        <v>1.0000000000000002</v>
      </c>
      <c r="K7" s="38">
        <f>C7+E7+G7+I7</f>
        <v>14160</v>
      </c>
      <c r="L7" s="33"/>
      <c r="M7" s="42"/>
      <c r="N7" s="42"/>
      <c r="O7" s="42"/>
      <c r="P7" s="42"/>
      <c r="Q7" s="42"/>
      <c r="R7" s="42"/>
      <c r="S7" s="42"/>
      <c r="T7" s="42"/>
      <c r="U7" s="42"/>
      <c r="V7" s="42"/>
      <c r="W7" s="42"/>
      <c r="X7" s="42"/>
      <c r="Y7" s="42"/>
      <c r="Z7" s="42"/>
      <c r="AA7" s="42"/>
      <c r="AB7" s="42"/>
      <c r="AI7" s="33">
        <v>99</v>
      </c>
      <c r="AJ7" s="55"/>
    </row>
    <row r="8" spans="2:51" ht="18.75" customHeight="1" thickBot="1" x14ac:dyDescent="0.25">
      <c r="B8" s="76"/>
      <c r="C8" s="77"/>
      <c r="D8" s="78"/>
      <c r="E8" s="79"/>
      <c r="F8" s="78"/>
      <c r="G8" s="79"/>
      <c r="H8" s="78"/>
      <c r="I8" s="79"/>
      <c r="J8" s="78"/>
      <c r="K8" s="38"/>
      <c r="L8" s="33"/>
      <c r="M8" s="42"/>
      <c r="N8" s="42"/>
      <c r="O8" s="42"/>
      <c r="P8" s="42"/>
      <c r="Q8" s="42"/>
      <c r="R8" s="42"/>
      <c r="S8" s="42"/>
      <c r="T8" s="42"/>
      <c r="U8" s="42"/>
      <c r="V8" s="42"/>
      <c r="W8" s="42"/>
      <c r="X8" s="42"/>
      <c r="Y8" s="42"/>
      <c r="Z8" s="42"/>
      <c r="AA8" s="42"/>
      <c r="AB8" s="42"/>
      <c r="AI8" s="33"/>
      <c r="AJ8" s="55"/>
    </row>
    <row r="9" spans="2:51" ht="18.75" customHeight="1" thickTop="1" thickBot="1" x14ac:dyDescent="0.25">
      <c r="B9" s="80" t="s">
        <v>242</v>
      </c>
      <c r="C9" s="970"/>
      <c r="D9" s="971"/>
      <c r="E9" s="971"/>
      <c r="F9" s="971"/>
      <c r="G9" s="971"/>
      <c r="H9" s="971"/>
      <c r="I9" s="971"/>
      <c r="J9" s="972"/>
      <c r="K9" s="38"/>
      <c r="L9" s="347" t="s">
        <v>372</v>
      </c>
      <c r="M9" s="55" t="s">
        <v>182</v>
      </c>
      <c r="N9" s="55" t="s">
        <v>183</v>
      </c>
      <c r="O9" s="55" t="s">
        <v>184</v>
      </c>
      <c r="P9" s="55" t="s">
        <v>185</v>
      </c>
      <c r="Q9" s="55" t="s">
        <v>186</v>
      </c>
      <c r="R9" s="55" t="s">
        <v>187</v>
      </c>
      <c r="S9" s="55" t="s">
        <v>188</v>
      </c>
      <c r="T9" s="55" t="s">
        <v>189</v>
      </c>
      <c r="U9" s="55" t="s">
        <v>190</v>
      </c>
      <c r="V9" s="55" t="s">
        <v>191</v>
      </c>
      <c r="W9" s="55" t="s">
        <v>192</v>
      </c>
      <c r="X9" s="55" t="s">
        <v>193</v>
      </c>
      <c r="Y9" s="55" t="s">
        <v>194</v>
      </c>
      <c r="Z9" s="55" t="s">
        <v>195</v>
      </c>
      <c r="AA9" s="55" t="s">
        <v>196</v>
      </c>
      <c r="AB9" s="55" t="s">
        <v>197</v>
      </c>
      <c r="AI9" s="33"/>
      <c r="AJ9" s="55"/>
    </row>
    <row r="10" spans="2:51" ht="18.75" customHeight="1" thickTop="1" x14ac:dyDescent="0.2">
      <c r="B10" s="90" t="s">
        <v>34</v>
      </c>
      <c r="C10" s="859">
        <f>IFERROR(INDEX(阻害要因有無×在院期間区分[#All],MATCH($AI11,阻害要因有無×在院期間区分[[#All],[行ラベル]],0),MATCH($AJ$4,阻害要因有無×在院期間区分[#Headers],0)),0)+IFERROR(INDEX(阻害要因有無×在院期間区分[#All],MATCH($AI11,阻害要因有無×在院期間区分[[#All],[行ラベル]],0),MATCH($AK$4,阻害要因有無×在院期間区分[#Headers],0)),0)+IFERROR(INDEX(阻害要因有無×在院期間区分[#All],MATCH($AI11,阻害要因有無×在院期間区分[[#All],[行ラベル]],0),MATCH($AL$4,阻害要因有無×在院期間区分[#Headers],0)),0)+IFERROR(INDEX(阻害要因有無×在院期間区分[#All],MATCH($AI11,阻害要因有無×在院期間区分[[#All],[行ラベル]],0),MATCH($AM$4,阻害要因有無×在院期間区分[#Headers],0)),0)</f>
        <v>599</v>
      </c>
      <c r="D10" s="153">
        <f>IFERROR(C10/C$4,"-")</f>
        <v>0.76696542893725994</v>
      </c>
      <c r="E10" s="151">
        <f>IFERROR(INDEX(阻害要因有無×在院期間区分[#All],MATCH($AI11,阻害要因有無×在院期間区分[[#All],[行ラベル]],0),MATCH($AN$4,阻害要因有無×在院期間区分[#Headers],0)),0)+IFERROR(INDEX(阻害要因有無×在院期間区分[#All],MATCH($AI11,阻害要因有無×在院期間区分[[#All],[行ラベル]],0),MATCH($AO$4,阻害要因有無×在院期間区分[#Headers],0)),0)+IFERROR(INDEX(阻害要因有無×在院期間区分[#All],MATCH($AI11,阻害要因有無×在院期間区分[[#All],[行ラベル]],0),MATCH($AP$4,阻害要因有無×在院期間区分[#Headers],0)),0)+IFERROR(INDEX(阻害要因有無×在院期間区分[#All],MATCH($AI11,阻害要因有無×在院期間区分[[#All],[行ラベル]],0),MATCH($AQ$4,阻害要因有無×在院期間区分[#Headers],0)),0)+IFERROR(INDEX(阻害要因有無×在院期間区分[#All],MATCH($AI11,阻害要因有無×在院期間区分[[#All],[行ラベル]],0),MATCH($AR$4,阻害要因有無×在院期間区分[#Headers],0)),0)</f>
        <v>581</v>
      </c>
      <c r="F10" s="153">
        <f>IFERROR(E10/E$4,"-")</f>
        <v>0.95245901639344266</v>
      </c>
      <c r="G10" s="151">
        <f>IFERROR(INDEX(阻害要因有無×在院期間区分[#All],MATCH($AI11,阻害要因有無×在院期間区分[[#All],[行ラベル]],0),MATCH($AS$4,阻害要因有無×在院期間区分[#Headers],0)),0)+IFERROR(INDEX(阻害要因有無×在院期間区分[#All],MATCH($AI11,阻害要因有無×在院期間区分[[#All],[行ラベル]],0),MATCH($AT$4,阻害要因有無×在院期間区分[#Headers],0)),0)+IFERROR(INDEX(阻害要因有無×在院期間区分[#All],MATCH($AI11,阻害要因有無×在院期間区分[[#All],[行ラベル]],0),MATCH($AU$4,阻害要因有無×在院期間区分[#Headers],0)),0)+IFERROR(INDEX(阻害要因有無×在院期間区分[#All],MATCH($AI11,阻害要因有無×在院期間区分[[#All],[行ラベル]],0),MATCH($AV$4,阻害要因有無×在院期間区分[#Headers],0)),0)+IFERROR(INDEX(阻害要因有無×在院期間区分[#All],MATCH($AI11,阻害要因有無×在院期間区分[[#All],[行ラベル]],0),MATCH($AW$4,阻害要因有無×在院期間区分[#Headers],0)),0)</f>
        <v>274</v>
      </c>
      <c r="H10" s="153">
        <f>IFERROR(G10/G$4,"-")</f>
        <v>0.95138888888888884</v>
      </c>
      <c r="I10" s="151">
        <f>IFERROR(INDEX(阻害要因有無×在院期間区分[#All],MATCH($AI11,阻害要因有無×在院期間区分[[#All],[行ラベル]],0),MATCH($AX$4,阻害要因有無×在院期間区分[#Headers],0)),0)+IFERROR(INDEX(阻害要因有無×在院期間区分[#All],MATCH($AI11,阻害要因有無×在院期間区分[[#All],[行ラベル]],0),MATCH($AY$4,阻害要因有無×在院期間区分[#Headers],0)),0)</f>
        <v>297</v>
      </c>
      <c r="J10" s="153">
        <f>IFERROR(I10/I$4,"-")</f>
        <v>0.98019801980198018</v>
      </c>
      <c r="K10" s="38">
        <f>C10+E10+G10+I10</f>
        <v>1751</v>
      </c>
      <c r="L10" s="33">
        <v>91</v>
      </c>
      <c r="M10" s="58">
        <v>94</v>
      </c>
      <c r="N10" s="58">
        <v>159</v>
      </c>
      <c r="O10" s="58">
        <v>157</v>
      </c>
      <c r="P10" s="58">
        <v>189</v>
      </c>
      <c r="Q10" s="58">
        <v>138</v>
      </c>
      <c r="R10" s="58">
        <v>101</v>
      </c>
      <c r="S10" s="58">
        <v>144</v>
      </c>
      <c r="T10" s="58">
        <v>105</v>
      </c>
      <c r="U10" s="58">
        <v>93</v>
      </c>
      <c r="V10" s="58">
        <v>84</v>
      </c>
      <c r="W10" s="58">
        <v>65</v>
      </c>
      <c r="X10" s="58">
        <v>51</v>
      </c>
      <c r="Y10" s="58">
        <v>43</v>
      </c>
      <c r="Z10" s="58">
        <v>31</v>
      </c>
      <c r="AA10" s="58">
        <v>196</v>
      </c>
      <c r="AB10" s="58">
        <v>101</v>
      </c>
      <c r="AI10" s="33"/>
      <c r="AJ10" s="55"/>
    </row>
    <row r="11" spans="2:51" ht="18.75" customHeight="1" x14ac:dyDescent="0.2">
      <c r="B11" s="91" t="s">
        <v>35</v>
      </c>
      <c r="C11" s="860">
        <f>IFERROR(INDEX(阻害要因有無×在院期間区分[#All],MATCH($AI12,阻害要因有無×在院期間区分[[#All],[行ラベル]],0),MATCH($AJ$4,阻害要因有無×在院期間区分[#Headers],0)),0)+IFERROR(INDEX(阻害要因有無×在院期間区分[#All],MATCH($AI12,阻害要因有無×在院期間区分[[#All],[行ラベル]],0),MATCH($AK$4,阻害要因有無×在院期間区分[#Headers],0)),0)+IFERROR(INDEX(阻害要因有無×在院期間区分[#All],MATCH($AI12,阻害要因有無×在院期間区分[[#All],[行ラベル]],0),MATCH($AL$4,阻害要因有無×在院期間区分[#Headers],0)),0)+IFERROR(INDEX(阻害要因有無×在院期間区分[#All],MATCH($AI12,阻害要因有無×在院期間区分[[#All],[行ラベル]],0),MATCH($AM$4,阻害要因有無×在院期間区分[#Headers],0)),0)</f>
        <v>182</v>
      </c>
      <c r="D11" s="155">
        <f>IFERROR(C11/C$4,"-")</f>
        <v>0.23303457106274009</v>
      </c>
      <c r="E11" s="180">
        <f>IFERROR(INDEX(阻害要因有無×在院期間区分[#All],MATCH($AI12,阻害要因有無×在院期間区分[[#All],[行ラベル]],0),MATCH($AN$4,阻害要因有無×在院期間区分[#Headers],0)),0)+IFERROR(INDEX(阻害要因有無×在院期間区分[#All],MATCH($AI12,阻害要因有無×在院期間区分[[#All],[行ラベル]],0),MATCH($AO$4,阻害要因有無×在院期間区分[#Headers],0)),0)+IFERROR(INDEX(阻害要因有無×在院期間区分[#All],MATCH($AI12,阻害要因有無×在院期間区分[[#All],[行ラベル]],0),MATCH($AP$4,阻害要因有無×在院期間区分[#Headers],0)),0)+IFERROR(INDEX(阻害要因有無×在院期間区分[#All],MATCH($AI12,阻害要因有無×在院期間区分[[#All],[行ラベル]],0),MATCH($AQ$4,阻害要因有無×在院期間区分[#Headers],0)),0)+IFERROR(INDEX(阻害要因有無×在院期間区分[#All],MATCH($AI12,阻害要因有無×在院期間区分[[#All],[行ラベル]],0),MATCH($AR$4,阻害要因有無×在院期間区分[#Headers],0)),0)</f>
        <v>29</v>
      </c>
      <c r="F11" s="158">
        <f>IFERROR(E11/E$4,"-")</f>
        <v>4.7540983606557376E-2</v>
      </c>
      <c r="G11" s="180">
        <f>IFERROR(INDEX(阻害要因有無×在院期間区分[#All],MATCH($AI12,阻害要因有無×在院期間区分[[#All],[行ラベル]],0),MATCH($AS$4,阻害要因有無×在院期間区分[#Headers],0)),0)+IFERROR(INDEX(阻害要因有無×在院期間区分[#All],MATCH($AI12,阻害要因有無×在院期間区分[[#All],[行ラベル]],0),MATCH($AT$4,阻害要因有無×在院期間区分[#Headers],0)),0)+IFERROR(INDEX(阻害要因有無×在院期間区分[#All],MATCH($AI12,阻害要因有無×在院期間区分[[#All],[行ラベル]],0),MATCH($AU$4,阻害要因有無×在院期間区分[#Headers],0)),0)+IFERROR(INDEX(阻害要因有無×在院期間区分[#All],MATCH($AI12,阻害要因有無×在院期間区分[[#All],[行ラベル]],0),MATCH($AV$4,阻害要因有無×在院期間区分[#Headers],0)),0)+IFERROR(INDEX(阻害要因有無×在院期間区分[#All],MATCH($AI12,阻害要因有無×在院期間区分[[#All],[行ラベル]],0),MATCH($AW$4,阻害要因有無×在院期間区分[#Headers],0)),0)</f>
        <v>14</v>
      </c>
      <c r="H11" s="158">
        <f>IFERROR(G11/G$4,"-")</f>
        <v>4.8611111111111112E-2</v>
      </c>
      <c r="I11" s="180">
        <f>IFERROR(INDEX(阻害要因有無×在院期間区分[#All],MATCH($AI12,阻害要因有無×在院期間区分[[#All],[行ラベル]],0),MATCH($AX$4,阻害要因有無×在院期間区分[#Headers],0)),0)+IFERROR(INDEX(阻害要因有無×在院期間区分[#All],MATCH($AI12,阻害要因有無×在院期間区分[[#All],[行ラベル]],0),MATCH($AY$4,阻害要因有無×在院期間区分[#Headers],0)),0)</f>
        <v>6</v>
      </c>
      <c r="J11" s="158">
        <f>IFERROR(I11/I$4,"-")</f>
        <v>1.9801980198019802E-2</v>
      </c>
      <c r="K11" s="38">
        <f>C11+E11+G11+I11</f>
        <v>231</v>
      </c>
      <c r="L11" s="33">
        <v>90</v>
      </c>
      <c r="M11" s="58">
        <v>48</v>
      </c>
      <c r="N11" s="58">
        <v>81</v>
      </c>
      <c r="O11" s="58">
        <v>31</v>
      </c>
      <c r="P11" s="58">
        <v>22</v>
      </c>
      <c r="Q11" s="58">
        <v>14</v>
      </c>
      <c r="R11" s="58">
        <v>4</v>
      </c>
      <c r="S11" s="58">
        <v>4</v>
      </c>
      <c r="T11" s="58">
        <v>5</v>
      </c>
      <c r="U11" s="58">
        <v>2</v>
      </c>
      <c r="V11" s="58">
        <v>2</v>
      </c>
      <c r="W11" s="58">
        <v>2</v>
      </c>
      <c r="X11" s="58">
        <v>2</v>
      </c>
      <c r="Y11" s="58">
        <v>5</v>
      </c>
      <c r="Z11" s="58">
        <v>3</v>
      </c>
      <c r="AA11" s="58">
        <v>3</v>
      </c>
      <c r="AB11" s="58">
        <v>3</v>
      </c>
      <c r="AI11" s="33">
        <v>91</v>
      </c>
      <c r="AJ11" s="55"/>
    </row>
    <row r="12" spans="2:51" ht="18.75" customHeight="1" thickBot="1" x14ac:dyDescent="0.25">
      <c r="B12" s="82" t="s">
        <v>264</v>
      </c>
      <c r="C12" s="970"/>
      <c r="D12" s="971"/>
      <c r="E12" s="971"/>
      <c r="F12" s="971"/>
      <c r="G12" s="971"/>
      <c r="H12" s="971"/>
      <c r="I12" s="971"/>
      <c r="J12" s="972"/>
      <c r="K12" s="38"/>
      <c r="L12" s="33"/>
      <c r="M12" s="58">
        <v>0</v>
      </c>
      <c r="N12" s="58">
        <v>0</v>
      </c>
      <c r="O12" s="58">
        <v>0</v>
      </c>
      <c r="P12" s="58">
        <v>0</v>
      </c>
      <c r="Q12" s="58">
        <v>0</v>
      </c>
      <c r="R12" s="58">
        <v>0</v>
      </c>
      <c r="S12" s="58">
        <v>0</v>
      </c>
      <c r="T12" s="58">
        <v>0</v>
      </c>
      <c r="U12" s="58">
        <v>0</v>
      </c>
      <c r="V12" s="58">
        <v>0</v>
      </c>
      <c r="W12" s="58">
        <v>0</v>
      </c>
      <c r="X12" s="58">
        <v>0</v>
      </c>
      <c r="Y12" s="58">
        <v>0</v>
      </c>
      <c r="Z12" s="58">
        <v>0</v>
      </c>
      <c r="AA12" s="58">
        <v>0</v>
      </c>
      <c r="AB12" s="58">
        <v>0</v>
      </c>
      <c r="AI12" s="33">
        <v>90</v>
      </c>
      <c r="AJ12" s="55"/>
    </row>
    <row r="13" spans="2:51" ht="18.75" customHeight="1" thickTop="1" thickBot="1" x14ac:dyDescent="0.25">
      <c r="B13" s="973" t="s">
        <v>274</v>
      </c>
      <c r="C13" s="974"/>
      <c r="D13" s="974"/>
      <c r="E13" s="974"/>
      <c r="F13" s="974"/>
      <c r="G13" s="974"/>
      <c r="H13" s="974"/>
      <c r="I13" s="974"/>
      <c r="J13" s="975"/>
      <c r="K13" s="38"/>
      <c r="L13" s="347" t="s">
        <v>651</v>
      </c>
      <c r="M13" s="55" t="s">
        <v>182</v>
      </c>
      <c r="N13" s="55" t="s">
        <v>183</v>
      </c>
      <c r="O13" s="55" t="s">
        <v>184</v>
      </c>
      <c r="P13" s="55" t="s">
        <v>185</v>
      </c>
      <c r="Q13" s="55" t="s">
        <v>186</v>
      </c>
      <c r="R13" s="55" t="s">
        <v>187</v>
      </c>
      <c r="S13" s="55" t="s">
        <v>188</v>
      </c>
      <c r="T13" s="55" t="s">
        <v>189</v>
      </c>
      <c r="U13" s="55" t="s">
        <v>190</v>
      </c>
      <c r="V13" s="55" t="s">
        <v>191</v>
      </c>
      <c r="W13" s="55" t="s">
        <v>192</v>
      </c>
      <c r="X13" s="55" t="s">
        <v>193</v>
      </c>
      <c r="Y13" s="55" t="s">
        <v>194</v>
      </c>
      <c r="Z13" s="55" t="s">
        <v>195</v>
      </c>
      <c r="AA13" s="55" t="s">
        <v>196</v>
      </c>
      <c r="AB13" s="55" t="s">
        <v>197</v>
      </c>
      <c r="AJ13" s="55"/>
    </row>
    <row r="14" spans="2:51" ht="37.5" customHeight="1" thickTop="1" x14ac:dyDescent="0.2">
      <c r="B14" s="402" t="s">
        <v>235</v>
      </c>
      <c r="C14" s="864">
        <f>IFERROR(INDEX(阻害要因×在院期間区分[#All],MATCH($AI15,阻害要因×在院期間区分[[#All],[値]],0),MATCH($AJ$4,阻害要因×在院期間区分[#Headers],0)),0)+IFERROR(INDEX(阻害要因×在院期間区分[#All],MATCH($AI15,阻害要因×在院期間区分[[#All],[値]],0),MATCH($AK$4,阻害要因×在院期間区分[#Headers],0)),0)+IFERROR(INDEX(阻害要因×在院期間区分[#All],MATCH($AI15,阻害要因×在院期間区分[[#All],[値]],0),MATCH($AL$4,阻害要因×在院期間区分[#Headers],0)),0)+IFERROR(INDEX(阻害要因×在院期間区分[#All],MATCH($AI15,阻害要因×在院期間区分[[#All],[値]],0),MATCH($AM$4,阻害要因×在院期間区分[#Headers],0)),0)</f>
        <v>215</v>
      </c>
      <c r="D14" s="188">
        <f t="shared" ref="D14:D30" si="1">IFERROR(C14/C$10,"-")</f>
        <v>0.35893155258764609</v>
      </c>
      <c r="E14" s="169">
        <f>IFERROR(INDEX(阻害要因×在院期間区分[#All],MATCH($AI15,阻害要因×在院期間区分[[#All],[値]],0),MATCH($AN$4,阻害要因×在院期間区分[#Headers],0)),0)+IFERROR(INDEX(阻害要因×在院期間区分[#All],MATCH($AI15,阻害要因×在院期間区分[[#All],[値]],0),MATCH($AO$4,阻害要因×在院期間区分[#Headers],0)),0)+IFERROR(INDEX(阻害要因×在院期間区分[#All],MATCH($AI15,阻害要因×在院期間区分[[#All],[値]],0),MATCH($AP$4,阻害要因×在院期間区分[#Headers],0)),0)+IFERROR(INDEX(阻害要因×在院期間区分[#All],MATCH($AI15,阻害要因×在院期間区分[[#All],[値]],0),MATCH($AQ$4,阻害要因×在院期間区分[#Headers],0)),0)+IFERROR(INDEX(阻害要因×在院期間区分[#All],MATCH($AI15,阻害要因×在院期間区分[[#All],[値]],0),MATCH($AR$4,阻害要因×在院期間区分[#Headers],0)),0)</f>
        <v>188</v>
      </c>
      <c r="F14" s="188">
        <f t="shared" ref="F14:F30" si="2">IFERROR(E14/E$10,"-")</f>
        <v>0.32358003442340794</v>
      </c>
      <c r="G14" s="169">
        <f>IFERROR(INDEX(阻害要因×在院期間区分[#All],MATCH($AI15,阻害要因×在院期間区分[[#All],[値]],0),MATCH($AS$4,阻害要因×在院期間区分[#Headers],0)),0)+IFERROR(INDEX(阻害要因×在院期間区分[#All],MATCH($AI15,阻害要因×在院期間区分[[#All],[値]],0),MATCH($AT$4,阻害要因×在院期間区分[#Headers],0)),0)+IFERROR(INDEX(阻害要因×在院期間区分[#All],MATCH($AI15,阻害要因×在院期間区分[[#All],[値]],0),MATCH($AU$4,阻害要因×在院期間区分[#Headers],0)),0)+IFERROR(INDEX(阻害要因×在院期間区分[#All],MATCH($AI15,阻害要因×在院期間区分[[#All],[値]],0),MATCH($AV$4,阻害要因×在院期間区分[#Headers],0)),0)+IFERROR(INDEX(阻害要因×在院期間区分[#All],MATCH($AI15,阻害要因×在院期間区分[[#All],[値]],0),MATCH($AW$4,阻害要因×在院期間区分[#Headers],0)),0)</f>
        <v>101</v>
      </c>
      <c r="H14" s="188">
        <f t="shared" ref="H14:H30" si="3">IFERROR(G14/G$10,"-")</f>
        <v>0.36861313868613138</v>
      </c>
      <c r="I14" s="169">
        <f>IFERROR(INDEX(阻害要因×在院期間区分[#All],MATCH($AI15,阻害要因×在院期間区分[[#All],[値]],0),MATCH($AX$4,阻害要因×在院期間区分[#Headers],0)),0)+IFERROR(INDEX(阻害要因×在院期間区分[#All],MATCH($AI15,阻害要因×在院期間区分[[#All],[値]],0),MATCH($AY$4,阻害要因×在院期間区分[#Headers],0)),0)</f>
        <v>104</v>
      </c>
      <c r="J14" s="188">
        <f t="shared" ref="J14:J30" si="4">IFERROR(I14/I$10,"-")</f>
        <v>0.35016835016835018</v>
      </c>
      <c r="K14" s="38">
        <f>C14+E14+G14+I14</f>
        <v>608</v>
      </c>
      <c r="L14" s="33" t="s">
        <v>309</v>
      </c>
      <c r="M14" s="61">
        <v>35</v>
      </c>
      <c r="N14" s="61">
        <v>55</v>
      </c>
      <c r="O14" s="61">
        <v>54</v>
      </c>
      <c r="P14" s="61">
        <v>71</v>
      </c>
      <c r="Q14" s="61">
        <v>49</v>
      </c>
      <c r="R14" s="61">
        <v>34</v>
      </c>
      <c r="S14" s="61">
        <v>45</v>
      </c>
      <c r="T14" s="61">
        <v>37</v>
      </c>
      <c r="U14" s="61">
        <v>23</v>
      </c>
      <c r="V14" s="61">
        <v>33</v>
      </c>
      <c r="W14" s="61">
        <v>19</v>
      </c>
      <c r="X14" s="61">
        <v>22</v>
      </c>
      <c r="Y14" s="61">
        <v>15</v>
      </c>
      <c r="Z14" s="61">
        <v>12</v>
      </c>
      <c r="AA14" s="61">
        <v>73</v>
      </c>
      <c r="AB14" s="61">
        <v>31</v>
      </c>
      <c r="AJ14" s="55"/>
    </row>
    <row r="15" spans="2:51" ht="18.75" customHeight="1" x14ac:dyDescent="0.2">
      <c r="B15" s="84" t="s">
        <v>66</v>
      </c>
      <c r="C15" s="865">
        <f>IFERROR(INDEX(阻害要因×在院期間区分[#All],MATCH($AI16,阻害要因×在院期間区分[[#All],[値]],0),MATCH($AJ$4,阻害要因×在院期間区分[#Headers],0)),0)+IFERROR(INDEX(阻害要因×在院期間区分[#All],MATCH($AI16,阻害要因×在院期間区分[[#All],[値]],0),MATCH($AK$4,阻害要因×在院期間区分[#Headers],0)),0)+IFERROR(INDEX(阻害要因×在院期間区分[#All],MATCH($AI16,阻害要因×在院期間区分[[#All],[値]],0),MATCH($AL$4,阻害要因×在院期間区分[#Headers],0)),0)+IFERROR(INDEX(阻害要因×在院期間区分[#All],MATCH($AI16,阻害要因×在院期間区分[[#All],[値]],0),MATCH($AM$4,阻害要因×在院期間区分[#Headers],0)),0)</f>
        <v>140</v>
      </c>
      <c r="D15" s="155">
        <f t="shared" si="1"/>
        <v>0.23372287145242071</v>
      </c>
      <c r="E15" s="178">
        <f>IFERROR(INDEX(阻害要因×在院期間区分[#All],MATCH($AI16,阻害要因×在院期間区分[[#All],[値]],0),MATCH($AN$4,阻害要因×在院期間区分[#Headers],0)),0)+IFERROR(INDEX(阻害要因×在院期間区分[#All],MATCH($AI16,阻害要因×在院期間区分[[#All],[値]],0),MATCH($AO$4,阻害要因×在院期間区分[#Headers],0)),0)+IFERROR(INDEX(阻害要因×在院期間区分[#All],MATCH($AI16,阻害要因×在院期間区分[[#All],[値]],0),MATCH($AP$4,阻害要因×在院期間区分[#Headers],0)),0)+IFERROR(INDEX(阻害要因×在院期間区分[#All],MATCH($AI16,阻害要因×在院期間区分[[#All],[値]],0),MATCH($AQ$4,阻害要因×在院期間区分[#Headers],0)),0)+IFERROR(INDEX(阻害要因×在院期間区分[#All],MATCH($AI16,阻害要因×在院期間区分[[#All],[値]],0),MATCH($AR$4,阻害要因×在院期間区分[#Headers],0)),0)</f>
        <v>151</v>
      </c>
      <c r="F15" s="155">
        <f t="shared" si="2"/>
        <v>0.25989672977624784</v>
      </c>
      <c r="G15" s="180">
        <f>IFERROR(INDEX(阻害要因×在院期間区分[#All],MATCH($AI16,阻害要因×在院期間区分[[#All],[値]],0),MATCH($AS$4,阻害要因×在院期間区分[#Headers],0)),0)+IFERROR(INDEX(阻害要因×在院期間区分[#All],MATCH($AI16,阻害要因×在院期間区分[[#All],[値]],0),MATCH($AT$4,阻害要因×在院期間区分[#Headers],0)),0)+IFERROR(INDEX(阻害要因×在院期間区分[#All],MATCH($AI16,阻害要因×在院期間区分[[#All],[値]],0),MATCH($AU$4,阻害要因×在院期間区分[#Headers],0)),0)+IFERROR(INDEX(阻害要因×在院期間区分[#All],MATCH($AI16,阻害要因×在院期間区分[[#All],[値]],0),MATCH($AV$4,阻害要因×在院期間区分[#Headers],0)),0)+IFERROR(INDEX(阻害要因×在院期間区分[#All],MATCH($AI16,阻害要因×在院期間区分[[#All],[値]],0),MATCH($AW$4,阻害要因×在院期間区分[#Headers],0)),0)</f>
        <v>86</v>
      </c>
      <c r="H15" s="155">
        <f t="shared" si="3"/>
        <v>0.31386861313868614</v>
      </c>
      <c r="I15" s="180">
        <f>IFERROR(INDEX(阻害要因×在院期間区分[#All],MATCH($AI16,阻害要因×在院期間区分[[#All],[値]],0),MATCH($AX$4,阻害要因×在院期間区分[#Headers],0)),0)+IFERROR(INDEX(阻害要因×在院期間区分[#All],MATCH($AI16,阻害要因×在院期間区分[[#All],[値]],0),MATCH($AY$4,阻害要因×在院期間区分[#Headers],0)),0)</f>
        <v>77</v>
      </c>
      <c r="J15" s="155">
        <f t="shared" si="4"/>
        <v>0.25925925925925924</v>
      </c>
      <c r="K15" s="38">
        <f t="shared" ref="K15:K29" si="5">SUM(C15,E15,G15,I15)</f>
        <v>454</v>
      </c>
      <c r="L15" s="55" t="s">
        <v>310</v>
      </c>
      <c r="M15" s="61">
        <v>23</v>
      </c>
      <c r="N15" s="61">
        <v>38</v>
      </c>
      <c r="O15" s="61">
        <v>35</v>
      </c>
      <c r="P15" s="61">
        <v>44</v>
      </c>
      <c r="Q15" s="61">
        <v>31</v>
      </c>
      <c r="R15" s="61">
        <v>25</v>
      </c>
      <c r="S15" s="61">
        <v>39</v>
      </c>
      <c r="T15" s="61">
        <v>30</v>
      </c>
      <c r="U15" s="61">
        <v>26</v>
      </c>
      <c r="V15" s="61">
        <v>32</v>
      </c>
      <c r="W15" s="61">
        <v>20</v>
      </c>
      <c r="X15" s="61">
        <v>17</v>
      </c>
      <c r="Y15" s="61">
        <v>13</v>
      </c>
      <c r="Z15" s="61">
        <v>4</v>
      </c>
      <c r="AA15" s="61">
        <v>47</v>
      </c>
      <c r="AB15" s="61">
        <v>30</v>
      </c>
      <c r="AI15" s="253" t="s">
        <v>309</v>
      </c>
      <c r="AJ15" s="55"/>
    </row>
    <row r="16" spans="2:51" ht="18.75" customHeight="1" x14ac:dyDescent="0.2">
      <c r="B16" s="84" t="s">
        <v>38</v>
      </c>
      <c r="C16" s="861">
        <f>IFERROR(INDEX(阻害要因×在院期間区分[#All],MATCH($AI17,阻害要因×在院期間区分[[#All],[値]],0),MATCH($AJ$4,阻害要因×在院期間区分[#Headers],0)),0)+IFERROR(INDEX(阻害要因×在院期間区分[#All],MATCH($AI17,阻害要因×在院期間区分[[#All],[値]],0),MATCH($AK$4,阻害要因×在院期間区分[#Headers],0)),0)+IFERROR(INDEX(阻害要因×在院期間区分[#All],MATCH($AI17,阻害要因×在院期間区分[[#All],[値]],0),MATCH($AL$4,阻害要因×在院期間区分[#Headers],0)),0)+IFERROR(INDEX(阻害要因×在院期間区分[#All],MATCH($AI17,阻害要因×在院期間区分[[#All],[値]],0),MATCH($AM$4,阻害要因×在院期間区分[#Headers],0)),0)</f>
        <v>22</v>
      </c>
      <c r="D16" s="155">
        <f t="shared" si="1"/>
        <v>3.6727879799666109E-2</v>
      </c>
      <c r="E16" s="154">
        <f>IFERROR(INDEX(阻害要因×在院期間区分[#All],MATCH($AI17,阻害要因×在院期間区分[[#All],[値]],0),MATCH($AN$4,阻害要因×在院期間区分[#Headers],0)),0)+IFERROR(INDEX(阻害要因×在院期間区分[#All],MATCH($AI17,阻害要因×在院期間区分[[#All],[値]],0),MATCH($AO$4,阻害要因×在院期間区分[#Headers],0)),0)+IFERROR(INDEX(阻害要因×在院期間区分[#All],MATCH($AI17,阻害要因×在院期間区分[[#All],[値]],0),MATCH($AP$4,阻害要因×在院期間区分[#Headers],0)),0)+IFERROR(INDEX(阻害要因×在院期間区分[#All],MATCH($AI17,阻害要因×在院期間区分[[#All],[値]],0),MATCH($AQ$4,阻害要因×在院期間区分[#Headers],0)),0)+IFERROR(INDEX(阻害要因×在院期間区分[#All],MATCH($AI17,阻害要因×在院期間区分[[#All],[値]],0),MATCH($AR$4,阻害要因×在院期間区分[#Headers],0)),0)</f>
        <v>22</v>
      </c>
      <c r="F16" s="155">
        <f t="shared" si="2"/>
        <v>3.7865748709122203E-2</v>
      </c>
      <c r="G16" s="154">
        <f>IFERROR(INDEX(阻害要因×在院期間区分[#All],MATCH($AI17,阻害要因×在院期間区分[[#All],[値]],0),MATCH($AS$4,阻害要因×在院期間区分[#Headers],0)),0)+IFERROR(INDEX(阻害要因×在院期間区分[#All],MATCH($AI17,阻害要因×在院期間区分[[#All],[値]],0),MATCH($AT$4,阻害要因×在院期間区分[#Headers],0)),0)+IFERROR(INDEX(阻害要因×在院期間区分[#All],MATCH($AI17,阻害要因×在院期間区分[[#All],[値]],0),MATCH($AU$4,阻害要因×在院期間区分[#Headers],0)),0)+IFERROR(INDEX(阻害要因×在院期間区分[#All],MATCH($AI17,阻害要因×在院期間区分[[#All],[値]],0),MATCH($AV$4,阻害要因×在院期間区分[#Headers],0)),0)+IFERROR(INDEX(阻害要因×在院期間区分[#All],MATCH($AI17,阻害要因×在院期間区分[[#All],[値]],0),MATCH($AW$4,阻害要因×在院期間区分[#Headers],0)),0)</f>
        <v>9</v>
      </c>
      <c r="H16" s="155">
        <f t="shared" si="3"/>
        <v>3.2846715328467155E-2</v>
      </c>
      <c r="I16" s="154">
        <f>IFERROR(INDEX(阻害要因×在院期間区分[#All],MATCH($AI17,阻害要因×在院期間区分[[#All],[値]],0),MATCH($AX$4,阻害要因×在院期間区分[#Headers],0)),0)+IFERROR(INDEX(阻害要因×在院期間区分[#All],MATCH($AI17,阻害要因×在院期間区分[[#All],[値]],0),MATCH($AY$4,阻害要因×在院期間区分[#Headers],0)),0)</f>
        <v>8</v>
      </c>
      <c r="J16" s="155">
        <f t="shared" si="4"/>
        <v>2.6936026936026935E-2</v>
      </c>
      <c r="K16" s="38">
        <f t="shared" si="5"/>
        <v>61</v>
      </c>
      <c r="L16" s="55" t="s">
        <v>166</v>
      </c>
      <c r="M16" s="61">
        <v>0</v>
      </c>
      <c r="N16" s="61">
        <v>8</v>
      </c>
      <c r="O16" s="61">
        <v>5</v>
      </c>
      <c r="P16" s="61">
        <v>9</v>
      </c>
      <c r="Q16" s="61">
        <v>5</v>
      </c>
      <c r="R16" s="61">
        <v>3</v>
      </c>
      <c r="S16" s="61">
        <v>8</v>
      </c>
      <c r="T16" s="61">
        <v>3</v>
      </c>
      <c r="U16" s="61">
        <v>3</v>
      </c>
      <c r="V16" s="61">
        <v>3</v>
      </c>
      <c r="W16" s="61">
        <v>1</v>
      </c>
      <c r="X16" s="61">
        <v>2</v>
      </c>
      <c r="Y16" s="61">
        <v>3</v>
      </c>
      <c r="Z16" s="61">
        <v>0</v>
      </c>
      <c r="AA16" s="61">
        <v>7</v>
      </c>
      <c r="AB16" s="61">
        <v>1</v>
      </c>
      <c r="AI16" s="253" t="s">
        <v>310</v>
      </c>
      <c r="AJ16" s="55"/>
    </row>
    <row r="17" spans="2:36" ht="18.75" customHeight="1" x14ac:dyDescent="0.2">
      <c r="B17" s="84" t="s">
        <v>39</v>
      </c>
      <c r="C17" s="860">
        <f>IFERROR(INDEX(阻害要因×在院期間区分[#All],MATCH($AI18,阻害要因×在院期間区分[[#All],[値]],0),MATCH($AJ$4,阻害要因×在院期間区分[#Headers],0)),0)+IFERROR(INDEX(阻害要因×在院期間区分[#All],MATCH($AI18,阻害要因×在院期間区分[[#All],[値]],0),MATCH($AK$4,阻害要因×在院期間区分[#Headers],0)),0)+IFERROR(INDEX(阻害要因×在院期間区分[#All],MATCH($AI18,阻害要因×在院期間区分[[#All],[値]],0),MATCH($AL$4,阻害要因×在院期間区分[#Headers],0)),0)+IFERROR(INDEX(阻害要因×在院期間区分[#All],MATCH($AI18,阻害要因×在院期間区分[[#All],[値]],0),MATCH($AM$4,阻害要因×在院期間区分[#Headers],0)),0)</f>
        <v>158</v>
      </c>
      <c r="D17" s="155">
        <f t="shared" si="1"/>
        <v>0.26377295492487479</v>
      </c>
      <c r="E17" s="154">
        <f>IFERROR(INDEX(阻害要因×在院期間区分[#All],MATCH($AI18,阻害要因×在院期間区分[[#All],[値]],0),MATCH($AN$4,阻害要因×在院期間区分[#Headers],0)),0)+IFERROR(INDEX(阻害要因×在院期間区分[#All],MATCH($AI18,阻害要因×在院期間区分[[#All],[値]],0),MATCH($AO$4,阻害要因×在院期間区分[#Headers],0)),0)+IFERROR(INDEX(阻害要因×在院期間区分[#All],MATCH($AI18,阻害要因×在院期間区分[[#All],[値]],0),MATCH($AP$4,阻害要因×在院期間区分[#Headers],0)),0)+IFERROR(INDEX(阻害要因×在院期間区分[#All],MATCH($AI18,阻害要因×在院期間区分[[#All],[値]],0),MATCH($AQ$4,阻害要因×在院期間区分[#Headers],0)),0)+IFERROR(INDEX(阻害要因×在院期間区分[#All],MATCH($AI18,阻害要因×在院期間区分[[#All],[値]],0),MATCH($AR$4,阻害要因×在院期間区分[#Headers],0)),0)</f>
        <v>226</v>
      </c>
      <c r="F17" s="155">
        <f t="shared" si="2"/>
        <v>0.3889845094664372</v>
      </c>
      <c r="G17" s="154">
        <f>IFERROR(INDEX(阻害要因×在院期間区分[#All],MATCH($AI18,阻害要因×在院期間区分[[#All],[値]],0),MATCH($AS$4,阻害要因×在院期間区分[#Headers],0)),0)+IFERROR(INDEX(阻害要因×在院期間区分[#All],MATCH($AI18,阻害要因×在院期間区分[[#All],[値]],0),MATCH($AT$4,阻害要因×在院期間区分[#Headers],0)),0)+IFERROR(INDEX(阻害要因×在院期間区分[#All],MATCH($AI18,阻害要因×在院期間区分[[#All],[値]],0),MATCH($AU$4,阻害要因×在院期間区分[#Headers],0)),0)+IFERROR(INDEX(阻害要因×在院期間区分[#All],MATCH($AI18,阻害要因×在院期間区分[[#All],[値]],0),MATCH($AV$4,阻害要因×在院期間区分[#Headers],0)),0)+IFERROR(INDEX(阻害要因×在院期間区分[#All],MATCH($AI18,阻害要因×在院期間区分[[#All],[値]],0),MATCH($AW$4,阻害要因×在院期間区分[#Headers],0)),0)</f>
        <v>143</v>
      </c>
      <c r="H17" s="155">
        <f t="shared" si="3"/>
        <v>0.52189781021897808</v>
      </c>
      <c r="I17" s="154">
        <f>IFERROR(INDEX(阻害要因×在院期間区分[#All],MATCH($AI18,阻害要因×在院期間区分[[#All],[値]],0),MATCH($AX$4,阻害要因×在院期間区分[#Headers],0)),0)+IFERROR(INDEX(阻害要因×在院期間区分[#All],MATCH($AI18,阻害要因×在院期間区分[[#All],[値]],0),MATCH($AY$4,阻害要因×在院期間区分[#Headers],0)),0)</f>
        <v>186</v>
      </c>
      <c r="J17" s="155">
        <f t="shared" si="4"/>
        <v>0.6262626262626263</v>
      </c>
      <c r="K17" s="38">
        <f t="shared" si="5"/>
        <v>713</v>
      </c>
      <c r="L17" s="55" t="s">
        <v>167</v>
      </c>
      <c r="M17" s="61">
        <v>24</v>
      </c>
      <c r="N17" s="61">
        <v>27</v>
      </c>
      <c r="O17" s="61">
        <v>44</v>
      </c>
      <c r="P17" s="61">
        <v>63</v>
      </c>
      <c r="Q17" s="61">
        <v>46</v>
      </c>
      <c r="R17" s="61">
        <v>34</v>
      </c>
      <c r="S17" s="61">
        <v>56</v>
      </c>
      <c r="T17" s="61">
        <v>48</v>
      </c>
      <c r="U17" s="61">
        <v>42</v>
      </c>
      <c r="V17" s="61">
        <v>46</v>
      </c>
      <c r="W17" s="61">
        <v>26</v>
      </c>
      <c r="X17" s="61">
        <v>30</v>
      </c>
      <c r="Y17" s="61">
        <v>23</v>
      </c>
      <c r="Z17" s="61">
        <v>18</v>
      </c>
      <c r="AA17" s="61">
        <v>122</v>
      </c>
      <c r="AB17" s="61">
        <v>64</v>
      </c>
      <c r="AI17" s="253" t="s">
        <v>166</v>
      </c>
      <c r="AJ17" s="55"/>
    </row>
    <row r="18" spans="2:36" ht="18.75" customHeight="1" x14ac:dyDescent="0.2">
      <c r="B18" s="84" t="s">
        <v>40</v>
      </c>
      <c r="C18" s="860">
        <f>IFERROR(INDEX(阻害要因×在院期間区分[#All],MATCH($AI19,阻害要因×在院期間区分[[#All],[値]],0),MATCH($AJ$4,阻害要因×在院期間区分[#Headers],0)),0)+IFERROR(INDEX(阻害要因×在院期間区分[#All],MATCH($AI19,阻害要因×在院期間区分[[#All],[値]],0),MATCH($AK$4,阻害要因×在院期間区分[#Headers],0)),0)+IFERROR(INDEX(阻害要因×在院期間区分[#All],MATCH($AI19,阻害要因×在院期間区分[[#All],[値]],0),MATCH($AL$4,阻害要因×在院期間区分[#Headers],0)),0)+IFERROR(INDEX(阻害要因×在院期間区分[#All],MATCH($AI19,阻害要因×在院期間区分[[#All],[値]],0),MATCH($AM$4,阻害要因×在院期間区分[#Headers],0)),0)</f>
        <v>239</v>
      </c>
      <c r="D18" s="155">
        <f t="shared" si="1"/>
        <v>0.39899833055091821</v>
      </c>
      <c r="E18" s="154">
        <f>IFERROR(INDEX(阻害要因×在院期間区分[#All],MATCH($AI19,阻害要因×在院期間区分[[#All],[値]],0),MATCH($AN$4,阻害要因×在院期間区分[#Headers],0)),0)+IFERROR(INDEX(阻害要因×在院期間区分[#All],MATCH($AI19,阻害要因×在院期間区分[[#All],[値]],0),MATCH($AO$4,阻害要因×在院期間区分[#Headers],0)),0)+IFERROR(INDEX(阻害要因×在院期間区分[#All],MATCH($AI19,阻害要因×在院期間区分[[#All],[値]],0),MATCH($AP$4,阻害要因×在院期間区分[#Headers],0)),0)+IFERROR(INDEX(阻害要因×在院期間区分[#All],MATCH($AI19,阻害要因×在院期間区分[[#All],[値]],0),MATCH($AQ$4,阻害要因×在院期間区分[#Headers],0)),0)+IFERROR(INDEX(阻害要因×在院期間区分[#All],MATCH($AI19,阻害要因×在院期間区分[[#All],[値]],0),MATCH($AR$4,阻害要因×在院期間区分[#Headers],0)),0)</f>
        <v>257</v>
      </c>
      <c r="F18" s="155">
        <f t="shared" si="2"/>
        <v>0.44234079173838209</v>
      </c>
      <c r="G18" s="154">
        <f>IFERROR(INDEX(阻害要因×在院期間区分[#All],MATCH($AI19,阻害要因×在院期間区分[[#All],[値]],0),MATCH($AS$4,阻害要因×在院期間区分[#Headers],0)),0)+IFERROR(INDEX(阻害要因×在院期間区分[#All],MATCH($AI19,阻害要因×在院期間区分[[#All],[値]],0),MATCH($AT$4,阻害要因×在院期間区分[#Headers],0)),0)+IFERROR(INDEX(阻害要因×在院期間区分[#All],MATCH($AI19,阻害要因×在院期間区分[[#All],[値]],0),MATCH($AU$4,阻害要因×在院期間区分[#Headers],0)),0)+IFERROR(INDEX(阻害要因×在院期間区分[#All],MATCH($AI19,阻害要因×在院期間区分[[#All],[値]],0),MATCH($AV$4,阻害要因×在院期間区分[#Headers],0)),0)+IFERROR(INDEX(阻害要因×在院期間区分[#All],MATCH($AI19,阻害要因×在院期間区分[[#All],[値]],0),MATCH($AW$4,阻害要因×在院期間区分[#Headers],0)),0)</f>
        <v>149</v>
      </c>
      <c r="H18" s="155">
        <f t="shared" si="3"/>
        <v>0.54379562043795615</v>
      </c>
      <c r="I18" s="154">
        <f>IFERROR(INDEX(阻害要因×在院期間区分[#All],MATCH($AI19,阻害要因×在院期間区分[[#All],[値]],0),MATCH($AX$4,阻害要因×在院期間区分[#Headers],0)),0)+IFERROR(INDEX(阻害要因×在院期間区分[#All],MATCH($AI19,阻害要因×在院期間区分[[#All],[値]],0),MATCH($AY$4,阻害要因×在院期間区分[#Headers],0)),0)</f>
        <v>170</v>
      </c>
      <c r="J18" s="155">
        <f t="shared" si="4"/>
        <v>0.57239057239057234</v>
      </c>
      <c r="K18" s="38">
        <f t="shared" si="5"/>
        <v>815</v>
      </c>
      <c r="L18" s="55" t="s">
        <v>168</v>
      </c>
      <c r="M18" s="61">
        <v>33</v>
      </c>
      <c r="N18" s="61">
        <v>54</v>
      </c>
      <c r="O18" s="61">
        <v>72</v>
      </c>
      <c r="P18" s="61">
        <v>80</v>
      </c>
      <c r="Q18" s="61">
        <v>65</v>
      </c>
      <c r="R18" s="61">
        <v>44</v>
      </c>
      <c r="S18" s="61">
        <v>63</v>
      </c>
      <c r="T18" s="61">
        <v>44</v>
      </c>
      <c r="U18" s="61">
        <v>41</v>
      </c>
      <c r="V18" s="61">
        <v>52</v>
      </c>
      <c r="W18" s="61">
        <v>27</v>
      </c>
      <c r="X18" s="61">
        <v>33</v>
      </c>
      <c r="Y18" s="61">
        <v>28</v>
      </c>
      <c r="Z18" s="61">
        <v>9</v>
      </c>
      <c r="AA18" s="61">
        <v>101</v>
      </c>
      <c r="AB18" s="61">
        <v>69</v>
      </c>
      <c r="AI18" s="253" t="s">
        <v>167</v>
      </c>
      <c r="AJ18" s="55"/>
    </row>
    <row r="19" spans="2:36" ht="18.75" customHeight="1" x14ac:dyDescent="0.2">
      <c r="B19" s="84" t="s">
        <v>41</v>
      </c>
      <c r="C19" s="866">
        <f>IFERROR(INDEX(阻害要因×在院期間区分[#All],MATCH($AI20,阻害要因×在院期間区分[[#All],[値]],0),MATCH($AJ$4,阻害要因×在院期間区分[#Headers],0)),0)+IFERROR(INDEX(阻害要因×在院期間区分[#All],MATCH($AI20,阻害要因×在院期間区分[[#All],[値]],0),MATCH($AK$4,阻害要因×在院期間区分[#Headers],0)),0)+IFERROR(INDEX(阻害要因×在院期間区分[#All],MATCH($AI20,阻害要因×在院期間区分[[#All],[値]],0),MATCH($AL$4,阻害要因×在院期間区分[#Headers],0)),0)+IFERROR(INDEX(阻害要因×在院期間区分[#All],MATCH($AI20,阻害要因×在院期間区分[[#All],[値]],0),MATCH($AM$4,阻害要因×在院期間区分[#Headers],0)),0)</f>
        <v>153</v>
      </c>
      <c r="D19" s="155">
        <f t="shared" si="1"/>
        <v>0.25542570951585974</v>
      </c>
      <c r="E19" s="180">
        <f>IFERROR(INDEX(阻害要因×在院期間区分[#All],MATCH($AI20,阻害要因×在院期間区分[[#All],[値]],0),MATCH($AN$4,阻害要因×在院期間区分[#Headers],0)),0)+IFERROR(INDEX(阻害要因×在院期間区分[#All],MATCH($AI20,阻害要因×在院期間区分[[#All],[値]],0),MATCH($AO$4,阻害要因×在院期間区分[#Headers],0)),0)+IFERROR(INDEX(阻害要因×在院期間区分[#All],MATCH($AI20,阻害要因×在院期間区分[[#All],[値]],0),MATCH($AP$4,阻害要因×在院期間区分[#Headers],0)),0)+IFERROR(INDEX(阻害要因×在院期間区分[#All],MATCH($AI20,阻害要因×在院期間区分[[#All],[値]],0),MATCH($AQ$4,阻害要因×在院期間区分[#Headers],0)),0)+IFERROR(INDEX(阻害要因×在院期間区分[#All],MATCH($AI20,阻害要因×在院期間区分[[#All],[値]],0),MATCH($AR$4,阻害要因×在院期間区分[#Headers],0)),0)</f>
        <v>161</v>
      </c>
      <c r="F19" s="155">
        <f t="shared" si="2"/>
        <v>0.27710843373493976</v>
      </c>
      <c r="G19" s="180">
        <f>IFERROR(INDEX(阻害要因×在院期間区分[#All],MATCH($AI20,阻害要因×在院期間区分[[#All],[値]],0),MATCH($AS$4,阻害要因×在院期間区分[#Headers],0)),0)+IFERROR(INDEX(阻害要因×在院期間区分[#All],MATCH($AI20,阻害要因×在院期間区分[[#All],[値]],0),MATCH($AT$4,阻害要因×在院期間区分[#Headers],0)),0)+IFERROR(INDEX(阻害要因×在院期間区分[#All],MATCH($AI20,阻害要因×在院期間区分[[#All],[値]],0),MATCH($AU$4,阻害要因×在院期間区分[#Headers],0)),0)+IFERROR(INDEX(阻害要因×在院期間区分[#All],MATCH($AI20,阻害要因×在院期間区分[[#All],[値]],0),MATCH($AV$4,阻害要因×在院期間区分[#Headers],0)),0)+IFERROR(INDEX(阻害要因×在院期間区分[#All],MATCH($AI20,阻害要因×在院期間区分[[#All],[値]],0),MATCH($AW$4,阻害要因×在院期間区分[#Headers],0)),0)</f>
        <v>95</v>
      </c>
      <c r="H19" s="155">
        <f t="shared" si="3"/>
        <v>0.34671532846715331</v>
      </c>
      <c r="I19" s="180">
        <f>IFERROR(INDEX(阻害要因×在院期間区分[#All],MATCH($AI20,阻害要因×在院期間区分[[#All],[値]],0),MATCH($AX$4,阻害要因×在院期間区分[#Headers],0)),0)+IFERROR(INDEX(阻害要因×在院期間区分[#All],MATCH($AI20,阻害要因×在院期間区分[[#All],[値]],0),MATCH($AY$4,阻害要因×在院期間区分[#Headers],0)),0)</f>
        <v>113</v>
      </c>
      <c r="J19" s="155">
        <f t="shared" si="4"/>
        <v>0.38047138047138046</v>
      </c>
      <c r="K19" s="38">
        <f t="shared" si="5"/>
        <v>522</v>
      </c>
      <c r="L19" s="55" t="s">
        <v>169</v>
      </c>
      <c r="M19" s="61">
        <v>25</v>
      </c>
      <c r="N19" s="61">
        <v>26</v>
      </c>
      <c r="O19" s="61">
        <v>44</v>
      </c>
      <c r="P19" s="61">
        <v>58</v>
      </c>
      <c r="Q19" s="61">
        <v>40</v>
      </c>
      <c r="R19" s="61">
        <v>27</v>
      </c>
      <c r="S19" s="61">
        <v>42</v>
      </c>
      <c r="T19" s="61">
        <v>25</v>
      </c>
      <c r="U19" s="61">
        <v>27</v>
      </c>
      <c r="V19" s="61">
        <v>24</v>
      </c>
      <c r="W19" s="61">
        <v>17</v>
      </c>
      <c r="X19" s="61">
        <v>22</v>
      </c>
      <c r="Y19" s="61">
        <v>17</v>
      </c>
      <c r="Z19" s="61">
        <v>15</v>
      </c>
      <c r="AA19" s="61">
        <v>76</v>
      </c>
      <c r="AB19" s="61">
        <v>37</v>
      </c>
      <c r="AI19" s="253" t="s">
        <v>168</v>
      </c>
      <c r="AJ19" s="55"/>
    </row>
    <row r="20" spans="2:36" ht="18.75" customHeight="1" x14ac:dyDescent="0.2">
      <c r="B20" s="84" t="s">
        <v>42</v>
      </c>
      <c r="C20" s="860">
        <f>IFERROR(INDEX(阻害要因×在院期間区分[#All],MATCH($AI21,阻害要因×在院期間区分[[#All],[値]],0),MATCH($AJ$4,阻害要因×在院期間区分[#Headers],0)),0)+IFERROR(INDEX(阻害要因×在院期間区分[#All],MATCH($AI21,阻害要因×在院期間区分[[#All],[値]],0),MATCH($AK$4,阻害要因×在院期間区分[#Headers],0)),0)+IFERROR(INDEX(阻害要因×在院期間区分[#All],MATCH($AI21,阻害要因×在院期間区分[[#All],[値]],0),MATCH($AL$4,阻害要因×在院期間区分[#Headers],0)),0)+IFERROR(INDEX(阻害要因×在院期間区分[#All],MATCH($AI21,阻害要因×在院期間区分[[#All],[値]],0),MATCH($AM$4,阻害要因×在院期間区分[#Headers],0)),0)</f>
        <v>46</v>
      </c>
      <c r="D20" s="155">
        <f t="shared" si="1"/>
        <v>7.6794657762938229E-2</v>
      </c>
      <c r="E20" s="154">
        <f>IFERROR(INDEX(阻害要因×在院期間区分[#All],MATCH($AI21,阻害要因×在院期間区分[[#All],[値]],0),MATCH($AN$4,阻害要因×在院期間区分[#Headers],0)),0)+IFERROR(INDEX(阻害要因×在院期間区分[#All],MATCH($AI21,阻害要因×在院期間区分[[#All],[値]],0),MATCH($AO$4,阻害要因×在院期間区分[#Headers],0)),0)+IFERROR(INDEX(阻害要因×在院期間区分[#All],MATCH($AI21,阻害要因×在院期間区分[[#All],[値]],0),MATCH($AP$4,阻害要因×在院期間区分[#Headers],0)),0)+IFERROR(INDEX(阻害要因×在院期間区分[#All],MATCH($AI21,阻害要因×在院期間区分[[#All],[値]],0),MATCH($AQ$4,阻害要因×在院期間区分[#Headers],0)),0)+IFERROR(INDEX(阻害要因×在院期間区分[#All],MATCH($AI21,阻害要因×在院期間区分[[#All],[値]],0),MATCH($AR$4,阻害要因×在院期間区分[#Headers],0)),0)</f>
        <v>37</v>
      </c>
      <c r="F20" s="155">
        <f t="shared" si="2"/>
        <v>6.3683304647160072E-2</v>
      </c>
      <c r="G20" s="154">
        <f>IFERROR(INDEX(阻害要因×在院期間区分[#All],MATCH($AI21,阻害要因×在院期間区分[[#All],[値]],0),MATCH($AS$4,阻害要因×在院期間区分[#Headers],0)),0)+IFERROR(INDEX(阻害要因×在院期間区分[#All],MATCH($AI21,阻害要因×在院期間区分[[#All],[値]],0),MATCH($AT$4,阻害要因×在院期間区分[#Headers],0)),0)+IFERROR(INDEX(阻害要因×在院期間区分[#All],MATCH($AI21,阻害要因×在院期間区分[[#All],[値]],0),MATCH($AU$4,阻害要因×在院期間区分[#Headers],0)),0)+IFERROR(INDEX(阻害要因×在院期間区分[#All],MATCH($AI21,阻害要因×在院期間区分[[#All],[値]],0),MATCH($AV$4,阻害要因×在院期間区分[#Headers],0)),0)+IFERROR(INDEX(阻害要因×在院期間区分[#All],MATCH($AI21,阻害要因×在院期間区分[[#All],[値]],0),MATCH($AW$4,阻害要因×在院期間区分[#Headers],0)),0)</f>
        <v>23</v>
      </c>
      <c r="H20" s="155">
        <f t="shared" si="3"/>
        <v>8.3941605839416053E-2</v>
      </c>
      <c r="I20" s="154">
        <f>IFERROR(INDEX(阻害要因×在院期間区分[#All],MATCH($AI21,阻害要因×在院期間区分[[#All],[値]],0),MATCH($AX$4,阻害要因×在院期間区分[#Headers],0)),0)+IFERROR(INDEX(阻害要因×在院期間区分[#All],MATCH($AI21,阻害要因×在院期間区分[[#All],[値]],0),MATCH($AY$4,阻害要因×在院期間区分[#Headers],0)),0)</f>
        <v>29</v>
      </c>
      <c r="J20" s="155">
        <f t="shared" si="4"/>
        <v>9.7643097643097643E-2</v>
      </c>
      <c r="K20" s="38">
        <f t="shared" si="5"/>
        <v>135</v>
      </c>
      <c r="L20" s="55" t="s">
        <v>170</v>
      </c>
      <c r="M20" s="61">
        <v>7</v>
      </c>
      <c r="N20" s="61">
        <v>12</v>
      </c>
      <c r="O20" s="61">
        <v>12</v>
      </c>
      <c r="P20" s="61">
        <v>15</v>
      </c>
      <c r="Q20" s="61">
        <v>4</v>
      </c>
      <c r="R20" s="61">
        <v>10</v>
      </c>
      <c r="S20" s="61">
        <v>10</v>
      </c>
      <c r="T20" s="61">
        <v>6</v>
      </c>
      <c r="U20" s="61">
        <v>7</v>
      </c>
      <c r="V20" s="61">
        <v>10</v>
      </c>
      <c r="W20" s="61">
        <v>6</v>
      </c>
      <c r="X20" s="61">
        <v>3</v>
      </c>
      <c r="Y20" s="61">
        <v>4</v>
      </c>
      <c r="Z20" s="61">
        <v>0</v>
      </c>
      <c r="AA20" s="61">
        <v>23</v>
      </c>
      <c r="AB20" s="61">
        <v>6</v>
      </c>
      <c r="AI20" s="253" t="s">
        <v>169</v>
      </c>
    </row>
    <row r="21" spans="2:36" ht="18.75" customHeight="1" x14ac:dyDescent="0.2">
      <c r="B21" s="84" t="s">
        <v>43</v>
      </c>
      <c r="C21" s="860">
        <f>IFERROR(INDEX(阻害要因×在院期間区分[#All],MATCH($AI22,阻害要因×在院期間区分[[#All],[値]],0),MATCH($AJ$4,阻害要因×在院期間区分[#Headers],0)),0)+IFERROR(INDEX(阻害要因×在院期間区分[#All],MATCH($AI22,阻害要因×在院期間区分[[#All],[値]],0),MATCH($AK$4,阻害要因×在院期間区分[#Headers],0)),0)+IFERROR(INDEX(阻害要因×在院期間区分[#All],MATCH($AI22,阻害要因×在院期間区分[[#All],[値]],0),MATCH($AL$4,阻害要因×在院期間区分[#Headers],0)),0)+IFERROR(INDEX(阻害要因×在院期間区分[#All],MATCH($AI22,阻害要因×在院期間区分[[#All],[値]],0),MATCH($AM$4,阻害要因×在院期間区分[#Headers],0)),0)</f>
        <v>178</v>
      </c>
      <c r="D21" s="155">
        <f t="shared" si="1"/>
        <v>0.29716193656093487</v>
      </c>
      <c r="E21" s="154">
        <f>IFERROR(INDEX(阻害要因×在院期間区分[#All],MATCH($AI22,阻害要因×在院期間区分[[#All],[値]],0),MATCH($AN$4,阻害要因×在院期間区分[#Headers],0)),0)+IFERROR(INDEX(阻害要因×在院期間区分[#All],MATCH($AI22,阻害要因×在院期間区分[[#All],[値]],0),MATCH($AO$4,阻害要因×在院期間区分[#Headers],0)),0)+IFERROR(INDEX(阻害要因×在院期間区分[#All],MATCH($AI22,阻害要因×在院期間区分[[#All],[値]],0),MATCH($AP$4,阻害要因×在院期間区分[#Headers],0)),0)+IFERROR(INDEX(阻害要因×在院期間区分[#All],MATCH($AI22,阻害要因×在院期間区分[[#All],[値]],0),MATCH($AQ$4,阻害要因×在院期間区分[#Headers],0)),0)+IFERROR(INDEX(阻害要因×在院期間区分[#All],MATCH($AI22,阻害要因×在院期間区分[[#All],[値]],0),MATCH($AR$4,阻害要因×在院期間区分[#Headers],0)),0)</f>
        <v>180</v>
      </c>
      <c r="F21" s="155">
        <f t="shared" si="2"/>
        <v>0.3098106712564544</v>
      </c>
      <c r="G21" s="154">
        <f>IFERROR(INDEX(阻害要因×在院期間区分[#All],MATCH($AI22,阻害要因×在院期間区分[[#All],[値]],0),MATCH($AS$4,阻害要因×在院期間区分[#Headers],0)),0)+IFERROR(INDEX(阻害要因×在院期間区分[#All],MATCH($AI22,阻害要因×在院期間区分[[#All],[値]],0),MATCH($AT$4,阻害要因×在院期間区分[#Headers],0)),0)+IFERROR(INDEX(阻害要因×在院期間区分[#All],MATCH($AI22,阻害要因×在院期間区分[[#All],[値]],0),MATCH($AU$4,阻害要因×在院期間区分[#Headers],0)),0)+IFERROR(INDEX(阻害要因×在院期間区分[#All],MATCH($AI22,阻害要因×在院期間区分[[#All],[値]],0),MATCH($AV$4,阻害要因×在院期間区分[#Headers],0)),0)+IFERROR(INDEX(阻害要因×在院期間区分[#All],MATCH($AI22,阻害要因×在院期間区分[[#All],[値]],0),MATCH($AW$4,阻害要因×在院期間区分[#Headers],0)),0)</f>
        <v>106</v>
      </c>
      <c r="H21" s="155">
        <f t="shared" si="3"/>
        <v>0.38686131386861317</v>
      </c>
      <c r="I21" s="154">
        <f>IFERROR(INDEX(阻害要因×在院期間区分[#All],MATCH($AI22,阻害要因×在院期間区分[[#All],[値]],0),MATCH($AX$4,阻害要因×在院期間区分[#Headers],0)),0)+IFERROR(INDEX(阻害要因×在院期間区分[#All],MATCH($AI22,阻害要因×在院期間区分[[#All],[値]],0),MATCH($AY$4,阻害要因×在院期間区分[#Headers],0)),0)</f>
        <v>111</v>
      </c>
      <c r="J21" s="155">
        <f t="shared" si="4"/>
        <v>0.37373737373737376</v>
      </c>
      <c r="K21" s="38">
        <f t="shared" si="5"/>
        <v>575</v>
      </c>
      <c r="L21" s="55" t="s">
        <v>171</v>
      </c>
      <c r="M21" s="61">
        <v>27</v>
      </c>
      <c r="N21" s="61">
        <v>37</v>
      </c>
      <c r="O21" s="61">
        <v>45</v>
      </c>
      <c r="P21" s="61">
        <v>69</v>
      </c>
      <c r="Q21" s="61">
        <v>45</v>
      </c>
      <c r="R21" s="61">
        <v>34</v>
      </c>
      <c r="S21" s="61">
        <v>43</v>
      </c>
      <c r="T21" s="61">
        <v>30</v>
      </c>
      <c r="U21" s="61">
        <v>28</v>
      </c>
      <c r="V21" s="61">
        <v>37</v>
      </c>
      <c r="W21" s="61">
        <v>21</v>
      </c>
      <c r="X21" s="61">
        <v>18</v>
      </c>
      <c r="Y21" s="61">
        <v>20</v>
      </c>
      <c r="Z21" s="61">
        <v>10</v>
      </c>
      <c r="AA21" s="61">
        <v>60</v>
      </c>
      <c r="AB21" s="61">
        <v>51</v>
      </c>
      <c r="AI21" s="253" t="s">
        <v>170</v>
      </c>
    </row>
    <row r="22" spans="2:36" ht="18.75" customHeight="1" x14ac:dyDescent="0.2">
      <c r="B22" s="84" t="s">
        <v>44</v>
      </c>
      <c r="C22" s="860">
        <f>IFERROR(INDEX(阻害要因×在院期間区分[#All],MATCH($AI23,阻害要因×在院期間区分[[#All],[値]],0),MATCH($AJ$4,阻害要因×在院期間区分[#Headers],0)),0)+IFERROR(INDEX(阻害要因×在院期間区分[#All],MATCH($AI23,阻害要因×在院期間区分[[#All],[値]],0),MATCH($AK$4,阻害要因×在院期間区分[#Headers],0)),0)+IFERROR(INDEX(阻害要因×在院期間区分[#All],MATCH($AI23,阻害要因×在院期間区分[[#All],[値]],0),MATCH($AL$4,阻害要因×在院期間区分[#Headers],0)),0)+IFERROR(INDEX(阻害要因×在院期間区分[#All],MATCH($AI23,阻害要因×在院期間区分[[#All],[値]],0),MATCH($AM$4,阻害要因×在院期間区分[#Headers],0)),0)</f>
        <v>115</v>
      </c>
      <c r="D22" s="155">
        <f t="shared" si="1"/>
        <v>0.19198664440734559</v>
      </c>
      <c r="E22" s="154">
        <f>IFERROR(INDEX(阻害要因×在院期間区分[#All],MATCH($AI23,阻害要因×在院期間区分[[#All],[値]],0),MATCH($AN$4,阻害要因×在院期間区分[#Headers],0)),0)+IFERROR(INDEX(阻害要因×在院期間区分[#All],MATCH($AI23,阻害要因×在院期間区分[[#All],[値]],0),MATCH($AO$4,阻害要因×在院期間区分[#Headers],0)),0)+IFERROR(INDEX(阻害要因×在院期間区分[#All],MATCH($AI23,阻害要因×在院期間区分[[#All],[値]],0),MATCH($AP$4,阻害要因×在院期間区分[#Headers],0)),0)+IFERROR(INDEX(阻害要因×在院期間区分[#All],MATCH($AI23,阻害要因×在院期間区分[[#All],[値]],0),MATCH($AQ$4,阻害要因×在院期間区分[#Headers],0)),0)+IFERROR(INDEX(阻害要因×在院期間区分[#All],MATCH($AI23,阻害要因×在院期間区分[[#All],[値]],0),MATCH($AR$4,阻害要因×在院期間区分[#Headers],0)),0)</f>
        <v>115</v>
      </c>
      <c r="F22" s="155">
        <f t="shared" si="2"/>
        <v>0.19793459552495696</v>
      </c>
      <c r="G22" s="154">
        <f>IFERROR(INDEX(阻害要因×在院期間区分[#All],MATCH($AI23,阻害要因×在院期間区分[[#All],[値]],0),MATCH($AS$4,阻害要因×在院期間区分[#Headers],0)),0)+IFERROR(INDEX(阻害要因×在院期間区分[#All],MATCH($AI23,阻害要因×在院期間区分[[#All],[値]],0),MATCH($AT$4,阻害要因×在院期間区分[#Headers],0)),0)+IFERROR(INDEX(阻害要因×在院期間区分[#All],MATCH($AI23,阻害要因×在院期間区分[[#All],[値]],0),MATCH($AU$4,阻害要因×在院期間区分[#Headers],0)),0)+IFERROR(INDEX(阻害要因×在院期間区分[#All],MATCH($AI23,阻害要因×在院期間区分[[#All],[値]],0),MATCH($AV$4,阻害要因×在院期間区分[#Headers],0)),0)+IFERROR(INDEX(阻害要因×在院期間区分[#All],MATCH($AI23,阻害要因×在院期間区分[[#All],[値]],0),MATCH($AW$4,阻害要因×在院期間区分[#Headers],0)),0)</f>
        <v>68</v>
      </c>
      <c r="H22" s="155">
        <f t="shared" si="3"/>
        <v>0.24817518248175183</v>
      </c>
      <c r="I22" s="154">
        <f>IFERROR(INDEX(阻害要因×在院期間区分[#All],MATCH($AI23,阻害要因×在院期間区分[[#All],[値]],0),MATCH($AX$4,阻害要因×在院期間区分[#Headers],0)),0)+IFERROR(INDEX(阻害要因×在院期間区分[#All],MATCH($AI23,阻害要因×在院期間区分[[#All],[値]],0),MATCH($AY$4,阻害要因×在院期間区分[#Headers],0)),0)</f>
        <v>99</v>
      </c>
      <c r="J22" s="155">
        <f t="shared" si="4"/>
        <v>0.33333333333333331</v>
      </c>
      <c r="K22" s="38">
        <f t="shared" si="5"/>
        <v>397</v>
      </c>
      <c r="L22" s="55" t="s">
        <v>172</v>
      </c>
      <c r="M22" s="61">
        <v>19</v>
      </c>
      <c r="N22" s="61">
        <v>27</v>
      </c>
      <c r="O22" s="61">
        <v>32</v>
      </c>
      <c r="P22" s="61">
        <v>37</v>
      </c>
      <c r="Q22" s="61">
        <v>21</v>
      </c>
      <c r="R22" s="61">
        <v>20</v>
      </c>
      <c r="S22" s="61">
        <v>31</v>
      </c>
      <c r="T22" s="61">
        <v>19</v>
      </c>
      <c r="U22" s="61">
        <v>24</v>
      </c>
      <c r="V22" s="61">
        <v>24</v>
      </c>
      <c r="W22" s="61">
        <v>13</v>
      </c>
      <c r="X22" s="61">
        <v>12</v>
      </c>
      <c r="Y22" s="61">
        <v>12</v>
      </c>
      <c r="Z22" s="61">
        <v>7</v>
      </c>
      <c r="AA22" s="61">
        <v>68</v>
      </c>
      <c r="AB22" s="61">
        <v>31</v>
      </c>
      <c r="AI22" s="253" t="s">
        <v>171</v>
      </c>
    </row>
    <row r="23" spans="2:36" ht="18.75" customHeight="1" x14ac:dyDescent="0.2">
      <c r="B23" s="84" t="s">
        <v>245</v>
      </c>
      <c r="C23" s="860">
        <f>IFERROR(INDEX(阻害要因×在院期間区分[#All],MATCH($AI24,阻害要因×在院期間区分[[#All],[値]],0),MATCH($AJ$4,阻害要因×在院期間区分[#Headers],0)),0)+IFERROR(INDEX(阻害要因×在院期間区分[#All],MATCH($AI24,阻害要因×在院期間区分[[#All],[値]],0),MATCH($AK$4,阻害要因×在院期間区分[#Headers],0)),0)+IFERROR(INDEX(阻害要因×在院期間区分[#All],MATCH($AI24,阻害要因×在院期間区分[[#All],[値]],0),MATCH($AL$4,阻害要因×在院期間区分[#Headers],0)),0)+IFERROR(INDEX(阻害要因×在院期間区分[#All],MATCH($AI24,阻害要因×在院期間区分[[#All],[値]],0),MATCH($AM$4,阻害要因×在院期間区分[#Headers],0)),0)</f>
        <v>73</v>
      </c>
      <c r="D23" s="155">
        <f t="shared" si="1"/>
        <v>0.12186978297161936</v>
      </c>
      <c r="E23" s="154">
        <f>IFERROR(INDEX(阻害要因×在院期間区分[#All],MATCH($AI24,阻害要因×在院期間区分[[#All],[値]],0),MATCH($AN$4,阻害要因×在院期間区分[#Headers],0)),0)+IFERROR(INDEX(阻害要因×在院期間区分[#All],MATCH($AI24,阻害要因×在院期間区分[[#All],[値]],0),MATCH($AO$4,阻害要因×在院期間区分[#Headers],0)),0)+IFERROR(INDEX(阻害要因×在院期間区分[#All],MATCH($AI24,阻害要因×在院期間区分[[#All],[値]],0),MATCH($AP$4,阻害要因×在院期間区分[#Headers],0)),0)+IFERROR(INDEX(阻害要因×在院期間区分[#All],MATCH($AI24,阻害要因×在院期間区分[[#All],[値]],0),MATCH($AQ$4,阻害要因×在院期間区分[#Headers],0)),0)+IFERROR(INDEX(阻害要因×在院期間区分[#All],MATCH($AI24,阻害要因×在院期間区分[[#All],[値]],0),MATCH($AR$4,阻害要因×在院期間区分[#Headers],0)),0)</f>
        <v>113</v>
      </c>
      <c r="F23" s="155">
        <f t="shared" si="2"/>
        <v>0.1944922547332186</v>
      </c>
      <c r="G23" s="154">
        <f>IFERROR(INDEX(阻害要因×在院期間区分[#All],MATCH($AI24,阻害要因×在院期間区分[[#All],[値]],0),MATCH($AS$4,阻害要因×在院期間区分[#Headers],0)),0)+IFERROR(INDEX(阻害要因×在院期間区分[#All],MATCH($AI24,阻害要因×在院期間区分[[#All],[値]],0),MATCH($AT$4,阻害要因×在院期間区分[#Headers],0)),0)+IFERROR(INDEX(阻害要因×在院期間区分[#All],MATCH($AI24,阻害要因×在院期間区分[[#All],[値]],0),MATCH($AU$4,阻害要因×在院期間区分[#Headers],0)),0)+IFERROR(INDEX(阻害要因×在院期間区分[#All],MATCH($AI24,阻害要因×在院期間区分[[#All],[値]],0),MATCH($AV$4,阻害要因×在院期間区分[#Headers],0)),0)+IFERROR(INDEX(阻害要因×在院期間区分[#All],MATCH($AI24,阻害要因×在院期間区分[[#All],[値]],0),MATCH($AW$4,阻害要因×在院期間区分[#Headers],0)),0)</f>
        <v>58</v>
      </c>
      <c r="H23" s="155">
        <f t="shared" si="3"/>
        <v>0.21167883211678831</v>
      </c>
      <c r="I23" s="154">
        <f>IFERROR(INDEX(阻害要因×在院期間区分[#All],MATCH($AI24,阻害要因×在院期間区分[[#All],[値]],0),MATCH($AX$4,阻害要因×在院期間区分[#Headers],0)),0)+IFERROR(INDEX(阻害要因×在院期間区分[#All],MATCH($AI24,阻害要因×在院期間区分[[#All],[値]],0),MATCH($AY$4,阻害要因×在院期間区分[#Headers],0)),0)</f>
        <v>58</v>
      </c>
      <c r="J23" s="155">
        <f t="shared" si="4"/>
        <v>0.19528619528619529</v>
      </c>
      <c r="K23" s="38">
        <f t="shared" si="5"/>
        <v>302</v>
      </c>
      <c r="L23" s="55" t="s">
        <v>173</v>
      </c>
      <c r="M23" s="61">
        <v>9</v>
      </c>
      <c r="N23" s="61">
        <v>14</v>
      </c>
      <c r="O23" s="61">
        <v>19</v>
      </c>
      <c r="P23" s="61">
        <v>31</v>
      </c>
      <c r="Q23" s="61">
        <v>19</v>
      </c>
      <c r="R23" s="61">
        <v>21</v>
      </c>
      <c r="S23" s="61">
        <v>33</v>
      </c>
      <c r="T23" s="61">
        <v>18</v>
      </c>
      <c r="U23" s="61">
        <v>22</v>
      </c>
      <c r="V23" s="61">
        <v>21</v>
      </c>
      <c r="W23" s="61">
        <v>15</v>
      </c>
      <c r="X23" s="61">
        <v>7</v>
      </c>
      <c r="Y23" s="61">
        <v>9</v>
      </c>
      <c r="Z23" s="61">
        <v>6</v>
      </c>
      <c r="AA23" s="61">
        <v>36</v>
      </c>
      <c r="AB23" s="61">
        <v>22</v>
      </c>
      <c r="AI23" s="253" t="s">
        <v>172</v>
      </c>
    </row>
    <row r="24" spans="2:36" ht="18.75" customHeight="1" x14ac:dyDescent="0.2">
      <c r="B24" s="84" t="s">
        <v>46</v>
      </c>
      <c r="C24" s="860">
        <f>IFERROR(INDEX(阻害要因×在院期間区分[#All],MATCH($AI25,阻害要因×在院期間区分[[#All],[値]],0),MATCH($AJ$4,阻害要因×在院期間区分[#Headers],0)),0)+IFERROR(INDEX(阻害要因×在院期間区分[#All],MATCH($AI25,阻害要因×在院期間区分[[#All],[値]],0),MATCH($AK$4,阻害要因×在院期間区分[#Headers],0)),0)+IFERROR(INDEX(阻害要因×在院期間区分[#All],MATCH($AI25,阻害要因×在院期間区分[[#All],[値]],0),MATCH($AL$4,阻害要因×在院期間区分[#Headers],0)),0)+IFERROR(INDEX(阻害要因×在院期間区分[#All],MATCH($AI25,阻害要因×在院期間区分[[#All],[値]],0),MATCH($AM$4,阻害要因×在院期間区分[#Headers],0)),0)</f>
        <v>257</v>
      </c>
      <c r="D24" s="155">
        <f t="shared" si="1"/>
        <v>0.42904841402337229</v>
      </c>
      <c r="E24" s="154">
        <f>IFERROR(INDEX(阻害要因×在院期間区分[#All],MATCH($AI25,阻害要因×在院期間区分[[#All],[値]],0),MATCH($AN$4,阻害要因×在院期間区分[#Headers],0)),0)+IFERROR(INDEX(阻害要因×在院期間区分[#All],MATCH($AI25,阻害要因×在院期間区分[[#All],[値]],0),MATCH($AO$4,阻害要因×在院期間区分[#Headers],0)),0)+IFERROR(INDEX(阻害要因×在院期間区分[#All],MATCH($AI25,阻害要因×在院期間区分[[#All],[値]],0),MATCH($AP$4,阻害要因×在院期間区分[#Headers],0)),0)+IFERROR(INDEX(阻害要因×在院期間区分[#All],MATCH($AI25,阻害要因×在院期間区分[[#All],[値]],0),MATCH($AQ$4,阻害要因×在院期間区分[#Headers],0)),0)+IFERROR(INDEX(阻害要因×在院期間区分[#All],MATCH($AI25,阻害要因×在院期間区分[[#All],[値]],0),MATCH($AR$4,阻害要因×在院期間区分[#Headers],0)),0)</f>
        <v>190</v>
      </c>
      <c r="F24" s="155">
        <f t="shared" si="2"/>
        <v>0.32702237521514632</v>
      </c>
      <c r="G24" s="154">
        <f>IFERROR(INDEX(阻害要因×在院期間区分[#All],MATCH($AI25,阻害要因×在院期間区分[[#All],[値]],0),MATCH($AS$4,阻害要因×在院期間区分[#Headers],0)),0)+IFERROR(INDEX(阻害要因×在院期間区分[#All],MATCH($AI25,阻害要因×在院期間区分[[#All],[値]],0),MATCH($AT$4,阻害要因×在院期間区分[#Headers],0)),0)+IFERROR(INDEX(阻害要因×在院期間区分[#All],MATCH($AI25,阻害要因×在院期間区分[[#All],[値]],0),MATCH($AU$4,阻害要因×在院期間区分[#Headers],0)),0)+IFERROR(INDEX(阻害要因×在院期間区分[#All],MATCH($AI25,阻害要因×在院期間区分[[#All],[値]],0),MATCH($AV$4,阻害要因×在院期間区分[#Headers],0)),0)+IFERROR(INDEX(阻害要因×在院期間区分[#All],MATCH($AI25,阻害要因×在院期間区分[[#All],[値]],0),MATCH($AW$4,阻害要因×在院期間区分[#Headers],0)),0)</f>
        <v>58</v>
      </c>
      <c r="H24" s="155">
        <f t="shared" si="3"/>
        <v>0.21167883211678831</v>
      </c>
      <c r="I24" s="154">
        <f>IFERROR(INDEX(阻害要因×在院期間区分[#All],MATCH($AI25,阻害要因×在院期間区分[[#All],[値]],0),MATCH($AX$4,阻害要因×在院期間区分[#Headers],0)),0)+IFERROR(INDEX(阻害要因×在院期間区分[#All],MATCH($AI25,阻害要因×在院期間区分[[#All],[値]],0),MATCH($AY$4,阻害要因×在院期間区分[#Headers],0)),0)</f>
        <v>74</v>
      </c>
      <c r="J24" s="155">
        <f t="shared" si="4"/>
        <v>0.24915824915824916</v>
      </c>
      <c r="K24" s="38">
        <f t="shared" si="5"/>
        <v>579</v>
      </c>
      <c r="L24" s="55" t="s">
        <v>174</v>
      </c>
      <c r="M24" s="61">
        <v>31</v>
      </c>
      <c r="N24" s="61">
        <v>72</v>
      </c>
      <c r="O24" s="61">
        <v>80</v>
      </c>
      <c r="P24" s="61">
        <v>74</v>
      </c>
      <c r="Q24" s="61">
        <v>55</v>
      </c>
      <c r="R24" s="61">
        <v>33</v>
      </c>
      <c r="S24" s="61">
        <v>50</v>
      </c>
      <c r="T24" s="61">
        <v>30</v>
      </c>
      <c r="U24" s="61">
        <v>22</v>
      </c>
      <c r="V24" s="61">
        <v>24</v>
      </c>
      <c r="W24" s="61">
        <v>10</v>
      </c>
      <c r="X24" s="61">
        <v>7</v>
      </c>
      <c r="Y24" s="61">
        <v>11</v>
      </c>
      <c r="Z24" s="61">
        <v>6</v>
      </c>
      <c r="AA24" s="61">
        <v>43</v>
      </c>
      <c r="AB24" s="61">
        <v>31</v>
      </c>
      <c r="AI24" s="253" t="s">
        <v>173</v>
      </c>
    </row>
    <row r="25" spans="2:36" ht="18.75" customHeight="1" x14ac:dyDescent="0.2">
      <c r="B25" s="84" t="s">
        <v>47</v>
      </c>
      <c r="C25" s="860">
        <f>IFERROR(INDEX(阻害要因×在院期間区分[#All],MATCH($AI26,阻害要因×在院期間区分[[#All],[値]],0),MATCH($AJ$4,阻害要因×在院期間区分[#Headers],0)),0)+IFERROR(INDEX(阻害要因×在院期間区分[#All],MATCH($AI26,阻害要因×在院期間区分[[#All],[値]],0),MATCH($AK$4,阻害要因×在院期間区分[#Headers],0)),0)+IFERROR(INDEX(阻害要因×在院期間区分[#All],MATCH($AI26,阻害要因×在院期間区分[[#All],[値]],0),MATCH($AL$4,阻害要因×在院期間区分[#Headers],0)),0)+IFERROR(INDEX(阻害要因×在院期間区分[#All],MATCH($AI26,阻害要因×在院期間区分[[#All],[値]],0),MATCH($AM$4,阻害要因×在院期間区分[#Headers],0)),0)</f>
        <v>48</v>
      </c>
      <c r="D25" s="155">
        <f t="shared" si="1"/>
        <v>8.0133555926544239E-2</v>
      </c>
      <c r="E25" s="154">
        <f>IFERROR(INDEX(阻害要因×在院期間区分[#All],MATCH($AI26,阻害要因×在院期間区分[[#All],[値]],0),MATCH($AN$4,阻害要因×在院期間区分[#Headers],0)),0)+IFERROR(INDEX(阻害要因×在院期間区分[#All],MATCH($AI26,阻害要因×在院期間区分[[#All],[値]],0),MATCH($AO$4,阻害要因×在院期間区分[#Headers],0)),0)+IFERROR(INDEX(阻害要因×在院期間区分[#All],MATCH($AI26,阻害要因×在院期間区分[[#All],[値]],0),MATCH($AP$4,阻害要因×在院期間区分[#Headers],0)),0)+IFERROR(INDEX(阻害要因×在院期間区分[#All],MATCH($AI26,阻害要因×在院期間区分[[#All],[値]],0),MATCH($AQ$4,阻害要因×在院期間区分[#Headers],0)),0)+IFERROR(INDEX(阻害要因×在院期間区分[#All],MATCH($AI26,阻害要因×在院期間区分[[#All],[値]],0),MATCH($AR$4,阻害要因×在院期間区分[#Headers],0)),0)</f>
        <v>45</v>
      </c>
      <c r="F25" s="155">
        <f t="shared" si="2"/>
        <v>7.7452667814113599E-2</v>
      </c>
      <c r="G25" s="154">
        <f>IFERROR(INDEX(阻害要因×在院期間区分[#All],MATCH($AI26,阻害要因×在院期間区分[[#All],[値]],0),MATCH($AS$4,阻害要因×在院期間区分[#Headers],0)),0)+IFERROR(INDEX(阻害要因×在院期間区分[#All],MATCH($AI26,阻害要因×在院期間区分[[#All],[値]],0),MATCH($AT$4,阻害要因×在院期間区分[#Headers],0)),0)+IFERROR(INDEX(阻害要因×在院期間区分[#All],MATCH($AI26,阻害要因×在院期間区分[[#All],[値]],0),MATCH($AU$4,阻害要因×在院期間区分[#Headers],0)),0)+IFERROR(INDEX(阻害要因×在院期間区分[#All],MATCH($AI26,阻害要因×在院期間区分[[#All],[値]],0),MATCH($AV$4,阻害要因×在院期間区分[#Headers],0)),0)+IFERROR(INDEX(阻害要因×在院期間区分[#All],MATCH($AI26,阻害要因×在院期間区分[[#All],[値]],0),MATCH($AW$4,阻害要因×在院期間区分[#Headers],0)),0)</f>
        <v>11</v>
      </c>
      <c r="H25" s="155">
        <f t="shared" si="3"/>
        <v>4.0145985401459854E-2</v>
      </c>
      <c r="I25" s="154">
        <f>IFERROR(INDEX(阻害要因×在院期間区分[#All],MATCH($AI26,阻害要因×在院期間区分[[#All],[値]],0),MATCH($AX$4,阻害要因×在院期間区分[#Headers],0)),0)+IFERROR(INDEX(阻害要因×在院期間区分[#All],MATCH($AI26,阻害要因×在院期間区分[[#All],[値]],0),MATCH($AY$4,阻害要因×在院期間区分[#Headers],0)),0)</f>
        <v>12</v>
      </c>
      <c r="J25" s="155">
        <f t="shared" si="4"/>
        <v>4.0404040404040407E-2</v>
      </c>
      <c r="K25" s="38">
        <f t="shared" si="5"/>
        <v>116</v>
      </c>
      <c r="L25" s="55" t="s">
        <v>175</v>
      </c>
      <c r="M25" s="61">
        <v>4</v>
      </c>
      <c r="N25" s="61">
        <v>11</v>
      </c>
      <c r="O25" s="61">
        <v>16</v>
      </c>
      <c r="P25" s="61">
        <v>17</v>
      </c>
      <c r="Q25" s="61">
        <v>6</v>
      </c>
      <c r="R25" s="61">
        <v>13</v>
      </c>
      <c r="S25" s="61">
        <v>15</v>
      </c>
      <c r="T25" s="61">
        <v>6</v>
      </c>
      <c r="U25" s="61">
        <v>5</v>
      </c>
      <c r="V25" s="61">
        <v>4</v>
      </c>
      <c r="W25" s="61">
        <v>3</v>
      </c>
      <c r="X25" s="61">
        <v>2</v>
      </c>
      <c r="Y25" s="61">
        <v>1</v>
      </c>
      <c r="Z25" s="61">
        <v>1</v>
      </c>
      <c r="AA25" s="61">
        <v>6</v>
      </c>
      <c r="AB25" s="61">
        <v>6</v>
      </c>
      <c r="AI25" s="253" t="s">
        <v>174</v>
      </c>
    </row>
    <row r="26" spans="2:36" ht="18.75" customHeight="1" x14ac:dyDescent="0.2">
      <c r="B26" s="84" t="s">
        <v>48</v>
      </c>
      <c r="C26" s="860">
        <f>IFERROR(INDEX(阻害要因×在院期間区分[#All],MATCH($AI27,阻害要因×在院期間区分[[#All],[値]],0),MATCH($AJ$4,阻害要因×在院期間区分[#Headers],0)),0)+IFERROR(INDEX(阻害要因×在院期間区分[#All],MATCH($AI27,阻害要因×在院期間区分[[#All],[値]],0),MATCH($AK$4,阻害要因×在院期間区分[#Headers],0)),0)+IFERROR(INDEX(阻害要因×在院期間区分[#All],MATCH($AI27,阻害要因×在院期間区分[[#All],[値]],0),MATCH($AL$4,阻害要因×在院期間区分[#Headers],0)),0)+IFERROR(INDEX(阻害要因×在院期間区分[#All],MATCH($AI27,阻害要因×在院期間区分[[#All],[値]],0),MATCH($AM$4,阻害要因×在院期間区分[#Headers],0)),0)</f>
        <v>34</v>
      </c>
      <c r="D26" s="155">
        <f t="shared" si="1"/>
        <v>5.6761268781302172E-2</v>
      </c>
      <c r="E26" s="154">
        <f>IFERROR(INDEX(阻害要因×在院期間区分[#All],MATCH($AI27,阻害要因×在院期間区分[[#All],[値]],0),MATCH($AN$4,阻害要因×在院期間区分[#Headers],0)),0)+IFERROR(INDEX(阻害要因×在院期間区分[#All],MATCH($AI27,阻害要因×在院期間区分[[#All],[値]],0),MATCH($AO$4,阻害要因×在院期間区分[#Headers],0)),0)+IFERROR(INDEX(阻害要因×在院期間区分[#All],MATCH($AI27,阻害要因×在院期間区分[[#All],[値]],0),MATCH($AP$4,阻害要因×在院期間区分[#Headers],0)),0)+IFERROR(INDEX(阻害要因×在院期間区分[#All],MATCH($AI27,阻害要因×在院期間区分[[#All],[値]],0),MATCH($AQ$4,阻害要因×在院期間区分[#Headers],0)),0)+IFERROR(INDEX(阻害要因×在院期間区分[#All],MATCH($AI27,阻害要因×在院期間区分[[#All],[値]],0),MATCH($AR$4,阻害要因×在院期間区分[#Headers],0)),0)</f>
        <v>19</v>
      </c>
      <c r="F26" s="155">
        <f t="shared" si="2"/>
        <v>3.2702237521514632E-2</v>
      </c>
      <c r="G26" s="154">
        <f>IFERROR(INDEX(阻害要因×在院期間区分[#All],MATCH($AI27,阻害要因×在院期間区分[[#All],[値]],0),MATCH($AS$4,阻害要因×在院期間区分[#Headers],0)),0)+IFERROR(INDEX(阻害要因×在院期間区分[#All],MATCH($AI27,阻害要因×在院期間区分[[#All],[値]],0),MATCH($AT$4,阻害要因×在院期間区分[#Headers],0)),0)+IFERROR(INDEX(阻害要因×在院期間区分[#All],MATCH($AI27,阻害要因×在院期間区分[[#All],[値]],0),MATCH($AU$4,阻害要因×在院期間区分[#Headers],0)),0)+IFERROR(INDEX(阻害要因×在院期間区分[#All],MATCH($AI27,阻害要因×在院期間区分[[#All],[値]],0),MATCH($AV$4,阻害要因×在院期間区分[#Headers],0)),0)+IFERROR(INDEX(阻害要因×在院期間区分[#All],MATCH($AI27,阻害要因×在院期間区分[[#All],[値]],0),MATCH($AW$4,阻害要因×在院期間区分[#Headers],0)),0)</f>
        <v>9</v>
      </c>
      <c r="H26" s="155">
        <f t="shared" si="3"/>
        <v>3.2846715328467155E-2</v>
      </c>
      <c r="I26" s="154">
        <f>IFERROR(INDEX(阻害要因×在院期間区分[#All],MATCH($AI27,阻害要因×在院期間区分[[#All],[値]],0),MATCH($AX$4,阻害要因×在院期間区分[#Headers],0)),0)+IFERROR(INDEX(阻害要因×在院期間区分[#All],MATCH($AI27,阻害要因×在院期間区分[[#All],[値]],0),MATCH($AY$4,阻害要因×在院期間区分[#Headers],0)),0)</f>
        <v>11</v>
      </c>
      <c r="J26" s="155">
        <f t="shared" si="4"/>
        <v>3.7037037037037035E-2</v>
      </c>
      <c r="K26" s="38">
        <f t="shared" si="5"/>
        <v>73</v>
      </c>
      <c r="L26" s="55" t="s">
        <v>176</v>
      </c>
      <c r="M26" s="61">
        <v>5</v>
      </c>
      <c r="N26" s="61">
        <v>8</v>
      </c>
      <c r="O26" s="61">
        <v>9</v>
      </c>
      <c r="P26" s="61">
        <v>12</v>
      </c>
      <c r="Q26" s="61">
        <v>1</v>
      </c>
      <c r="R26" s="61">
        <v>4</v>
      </c>
      <c r="S26" s="61">
        <v>5</v>
      </c>
      <c r="T26" s="61">
        <v>2</v>
      </c>
      <c r="U26" s="61">
        <v>7</v>
      </c>
      <c r="V26" s="61">
        <v>2</v>
      </c>
      <c r="W26" s="61">
        <v>0</v>
      </c>
      <c r="X26" s="61">
        <v>3</v>
      </c>
      <c r="Y26" s="61">
        <v>3</v>
      </c>
      <c r="Z26" s="61">
        <v>1</v>
      </c>
      <c r="AA26" s="61">
        <v>7</v>
      </c>
      <c r="AB26" s="61">
        <v>4</v>
      </c>
      <c r="AI26" s="253" t="s">
        <v>175</v>
      </c>
    </row>
    <row r="27" spans="2:36" ht="18.75" customHeight="1" x14ac:dyDescent="0.2">
      <c r="B27" s="84" t="s">
        <v>49</v>
      </c>
      <c r="C27" s="861">
        <f>IFERROR(INDEX(阻害要因×在院期間区分[#All],MATCH($AI28,阻害要因×在院期間区分[[#All],[値]],0),MATCH($AJ$4,阻害要因×在院期間区分[#Headers],0)),0)+IFERROR(INDEX(阻害要因×在院期間区分[#All],MATCH($AI28,阻害要因×在院期間区分[[#All],[値]],0),MATCH($AK$4,阻害要因×在院期間区分[#Headers],0)),0)+IFERROR(INDEX(阻害要因×在院期間区分[#All],MATCH($AI28,阻害要因×在院期間区分[[#All],[値]],0),MATCH($AL$4,阻害要因×在院期間区分[#Headers],0)),0)+IFERROR(INDEX(阻害要因×在院期間区分[#All],MATCH($AI28,阻害要因×在院期間区分[[#All],[値]],0),MATCH($AM$4,阻害要因×在院期間区分[#Headers],0)),0)</f>
        <v>9</v>
      </c>
      <c r="D27" s="155">
        <f t="shared" si="1"/>
        <v>1.5025041736227046E-2</v>
      </c>
      <c r="E27" s="177">
        <f>IFERROR(INDEX(阻害要因×在院期間区分[#All],MATCH($AI28,阻害要因×在院期間区分[[#All],[値]],0),MATCH($AN$4,阻害要因×在院期間区分[#Headers],0)),0)+IFERROR(INDEX(阻害要因×在院期間区分[#All],MATCH($AI28,阻害要因×在院期間区分[[#All],[値]],0),MATCH($AO$4,阻害要因×在院期間区分[#Headers],0)),0)+IFERROR(INDEX(阻害要因×在院期間区分[#All],MATCH($AI28,阻害要因×在院期間区分[[#All],[値]],0),MATCH($AP$4,阻害要因×在院期間区分[#Headers],0)),0)+IFERROR(INDEX(阻害要因×在院期間区分[#All],MATCH($AI28,阻害要因×在院期間区分[[#All],[値]],0),MATCH($AQ$4,阻害要因×在院期間区分[#Headers],0)),0)+IFERROR(INDEX(阻害要因×在院期間区分[#All],MATCH($AI28,阻害要因×在院期間区分[[#All],[値]],0),MATCH($AR$4,阻害要因×在院期間区分[#Headers],0)),0)</f>
        <v>4</v>
      </c>
      <c r="F27" s="155">
        <f t="shared" si="2"/>
        <v>6.8846815834767644E-3</v>
      </c>
      <c r="G27" s="177">
        <f>IFERROR(INDEX(阻害要因×在院期間区分[#All],MATCH($AI28,阻害要因×在院期間区分[[#All],[値]],0),MATCH($AS$4,阻害要因×在院期間区分[#Headers],0)),0)+IFERROR(INDEX(阻害要因×在院期間区分[#All],MATCH($AI28,阻害要因×在院期間区分[[#All],[値]],0),MATCH($AT$4,阻害要因×在院期間区分[#Headers],0)),0)+IFERROR(INDEX(阻害要因×在院期間区分[#All],MATCH($AI28,阻害要因×在院期間区分[[#All],[値]],0),MATCH($AU$4,阻害要因×在院期間区分[#Headers],0)),0)+IFERROR(INDEX(阻害要因×在院期間区分[#All],MATCH($AI28,阻害要因×在院期間区分[[#All],[値]],0),MATCH($AV$4,阻害要因×在院期間区分[#Headers],0)),0)+IFERROR(INDEX(阻害要因×在院期間区分[#All],MATCH($AI28,阻害要因×在院期間区分[[#All],[値]],0),MATCH($AW$4,阻害要因×在院期間区分[#Headers],0)),0)</f>
        <v>0</v>
      </c>
      <c r="H27" s="155">
        <f t="shared" si="3"/>
        <v>0</v>
      </c>
      <c r="I27" s="177">
        <f>IFERROR(INDEX(阻害要因×在院期間区分[#All],MATCH($AI28,阻害要因×在院期間区分[[#All],[値]],0),MATCH($AX$4,阻害要因×在院期間区分[#Headers],0)),0)+IFERROR(INDEX(阻害要因×在院期間区分[#All],MATCH($AI28,阻害要因×在院期間区分[[#All],[値]],0),MATCH($AY$4,阻害要因×在院期間区分[#Headers],0)),0)</f>
        <v>0</v>
      </c>
      <c r="J27" s="155">
        <f t="shared" si="4"/>
        <v>0</v>
      </c>
      <c r="K27" s="38">
        <f t="shared" si="5"/>
        <v>13</v>
      </c>
      <c r="L27" s="55" t="s">
        <v>177</v>
      </c>
      <c r="M27" s="61">
        <v>3</v>
      </c>
      <c r="N27" s="61">
        <v>1</v>
      </c>
      <c r="O27" s="61">
        <v>3</v>
      </c>
      <c r="P27" s="61">
        <v>2</v>
      </c>
      <c r="Q27" s="61">
        <v>0</v>
      </c>
      <c r="R27" s="61">
        <v>2</v>
      </c>
      <c r="S27" s="61">
        <v>0</v>
      </c>
      <c r="T27" s="61">
        <v>1</v>
      </c>
      <c r="U27" s="61">
        <v>1</v>
      </c>
      <c r="V27" s="61">
        <v>0</v>
      </c>
      <c r="W27" s="61">
        <v>0</v>
      </c>
      <c r="X27" s="61">
        <v>0</v>
      </c>
      <c r="Y27" s="61">
        <v>0</v>
      </c>
      <c r="Z27" s="61">
        <v>0</v>
      </c>
      <c r="AA27" s="61">
        <v>0</v>
      </c>
      <c r="AB27" s="61">
        <v>0</v>
      </c>
      <c r="AI27" s="253" t="s">
        <v>176</v>
      </c>
    </row>
    <row r="28" spans="2:36" ht="18.75" customHeight="1" x14ac:dyDescent="0.2">
      <c r="B28" s="84" t="s">
        <v>50</v>
      </c>
      <c r="C28" s="860">
        <f>IFERROR(INDEX(阻害要因×在院期間区分[#All],MATCH($AI29,阻害要因×在院期間区分[[#All],[値]],0),MATCH($AJ$4,阻害要因×在院期間区分[#Headers],0)),0)+IFERROR(INDEX(阻害要因×在院期間区分[#All],MATCH($AI29,阻害要因×在院期間区分[[#All],[値]],0),MATCH($AK$4,阻害要因×在院期間区分[#Headers],0)),0)+IFERROR(INDEX(阻害要因×在院期間区分[#All],MATCH($AI29,阻害要因×在院期間区分[[#All],[値]],0),MATCH($AL$4,阻害要因×在院期間区分[#Headers],0)),0)+IFERROR(INDEX(阻害要因×在院期間区分[#All],MATCH($AI29,阻害要因×在院期間区分[[#All],[値]],0),MATCH($AM$4,阻害要因×在院期間区分[#Headers],0)),0)</f>
        <v>51</v>
      </c>
      <c r="D28" s="155">
        <f t="shared" si="1"/>
        <v>8.5141903171953262E-2</v>
      </c>
      <c r="E28" s="154">
        <f>IFERROR(INDEX(阻害要因×在院期間区分[#All],MATCH($AI29,阻害要因×在院期間区分[[#All],[値]],0),MATCH($AN$4,阻害要因×在院期間区分[#Headers],0)),0)+IFERROR(INDEX(阻害要因×在院期間区分[#All],MATCH($AI29,阻害要因×在院期間区分[[#All],[値]],0),MATCH($AO$4,阻害要因×在院期間区分[#Headers],0)),0)+IFERROR(INDEX(阻害要因×在院期間区分[#All],MATCH($AI29,阻害要因×在院期間区分[[#All],[値]],0),MATCH($AP$4,阻害要因×在院期間区分[#Headers],0)),0)+IFERROR(INDEX(阻害要因×在院期間区分[#All],MATCH($AI29,阻害要因×在院期間区分[[#All],[値]],0),MATCH($AQ$4,阻害要因×在院期間区分[#Headers],0)),0)+IFERROR(INDEX(阻害要因×在院期間区分[#All],MATCH($AI29,阻害要因×在院期間区分[[#All],[値]],0),MATCH($AR$4,阻害要因×在院期間区分[#Headers],0)),0)</f>
        <v>61</v>
      </c>
      <c r="F28" s="155">
        <f t="shared" si="2"/>
        <v>0.10499139414802065</v>
      </c>
      <c r="G28" s="154">
        <f>IFERROR(INDEX(阻害要因×在院期間区分[#All],MATCH($AI29,阻害要因×在院期間区分[[#All],[値]],0),MATCH($AS$4,阻害要因×在院期間区分[#Headers],0)),0)+IFERROR(INDEX(阻害要因×在院期間区分[#All],MATCH($AI29,阻害要因×在院期間区分[[#All],[値]],0),MATCH($AT$4,阻害要因×在院期間区分[#Headers],0)),0)+IFERROR(INDEX(阻害要因×在院期間区分[#All],MATCH($AI29,阻害要因×在院期間区分[[#All],[値]],0),MATCH($AU$4,阻害要因×在院期間区分[#Headers],0)),0)+IFERROR(INDEX(阻害要因×在院期間区分[#All],MATCH($AI29,阻害要因×在院期間区分[[#All],[値]],0),MATCH($AV$4,阻害要因×在院期間区分[#Headers],0)),0)+IFERROR(INDEX(阻害要因×在院期間区分[#All],MATCH($AI29,阻害要因×在院期間区分[[#All],[値]],0),MATCH($AW$4,阻害要因×在院期間区分[#Headers],0)),0)</f>
        <v>25</v>
      </c>
      <c r="H28" s="155">
        <f t="shared" si="3"/>
        <v>9.1240875912408759E-2</v>
      </c>
      <c r="I28" s="154">
        <f>IFERROR(INDEX(阻害要因×在院期間区分[#All],MATCH($AI29,阻害要因×在院期間区分[[#All],[値]],0),MATCH($AX$4,阻害要因×在院期間区分[#Headers],0)),0)+IFERROR(INDEX(阻害要因×在院期間区分[#All],MATCH($AI29,阻害要因×在院期間区分[[#All],[値]],0),MATCH($AY$4,阻害要因×在院期間区分[#Headers],0)),0)</f>
        <v>23</v>
      </c>
      <c r="J28" s="155">
        <f t="shared" si="4"/>
        <v>7.7441077441077436E-2</v>
      </c>
      <c r="K28" s="38">
        <f t="shared" si="5"/>
        <v>160</v>
      </c>
      <c r="L28" s="55" t="s">
        <v>178</v>
      </c>
      <c r="M28" s="61">
        <v>4</v>
      </c>
      <c r="N28" s="61">
        <v>13</v>
      </c>
      <c r="O28" s="61">
        <v>17</v>
      </c>
      <c r="P28" s="61">
        <v>17</v>
      </c>
      <c r="Q28" s="61">
        <v>14</v>
      </c>
      <c r="R28" s="61">
        <v>11</v>
      </c>
      <c r="S28" s="61">
        <v>13</v>
      </c>
      <c r="T28" s="61">
        <v>11</v>
      </c>
      <c r="U28" s="61">
        <v>12</v>
      </c>
      <c r="V28" s="61">
        <v>5</v>
      </c>
      <c r="W28" s="61">
        <v>9</v>
      </c>
      <c r="X28" s="61">
        <v>2</v>
      </c>
      <c r="Y28" s="61">
        <v>4</v>
      </c>
      <c r="Z28" s="61">
        <v>5</v>
      </c>
      <c r="AA28" s="61">
        <v>19</v>
      </c>
      <c r="AB28" s="61">
        <v>4</v>
      </c>
      <c r="AI28" s="253" t="s">
        <v>177</v>
      </c>
    </row>
    <row r="29" spans="2:36" ht="18.75" customHeight="1" x14ac:dyDescent="0.2">
      <c r="B29" s="84" t="s">
        <v>51</v>
      </c>
      <c r="C29" s="860">
        <f>IFERROR(INDEX(阻害要因×在院期間区分[#All],MATCH($AI30,阻害要因×在院期間区分[[#All],[値]],0),MATCH($AJ$4,阻害要因×在院期間区分[#Headers],0)),0)+IFERROR(INDEX(阻害要因×在院期間区分[#All],MATCH($AI30,阻害要因×在院期間区分[[#All],[値]],0),MATCH($AK$4,阻害要因×在院期間区分[#Headers],0)),0)+IFERROR(INDEX(阻害要因×在院期間区分[#All],MATCH($AI30,阻害要因×在院期間区分[[#All],[値]],0),MATCH($AL$4,阻害要因×在院期間区分[#Headers],0)),0)+IFERROR(INDEX(阻害要因×在院期間区分[#All],MATCH($AI30,阻害要因×在院期間区分[[#All],[値]],0),MATCH($AM$4,阻害要因×在院期間区分[#Headers],0)),0)</f>
        <v>60</v>
      </c>
      <c r="D29" s="155">
        <f t="shared" si="1"/>
        <v>0.1001669449081803</v>
      </c>
      <c r="E29" s="154">
        <f>IFERROR(INDEX(阻害要因×在院期間区分[#All],MATCH($AI30,阻害要因×在院期間区分[[#All],[値]],0),MATCH($AN$4,阻害要因×在院期間区分[#Headers],0)),0)+IFERROR(INDEX(阻害要因×在院期間区分[#All],MATCH($AI30,阻害要因×在院期間区分[[#All],[値]],0),MATCH($AO$4,阻害要因×在院期間区分[#Headers],0)),0)+IFERROR(INDEX(阻害要因×在院期間区分[#All],MATCH($AI30,阻害要因×在院期間区分[[#All],[値]],0),MATCH($AP$4,阻害要因×在院期間区分[#Headers],0)),0)+IFERROR(INDEX(阻害要因×在院期間区分[#All],MATCH($AI30,阻害要因×在院期間区分[[#All],[値]],0),MATCH($AQ$4,阻害要因×在院期間区分[#Headers],0)),0)+IFERROR(INDEX(阻害要因×在院期間区分[#All],MATCH($AI30,阻害要因×在院期間区分[[#All],[値]],0),MATCH($AR$4,阻害要因×在院期間区分[#Headers],0)),0)</f>
        <v>43</v>
      </c>
      <c r="F29" s="155">
        <f t="shared" si="2"/>
        <v>7.4010327022375214E-2</v>
      </c>
      <c r="G29" s="154">
        <f>IFERROR(INDEX(阻害要因×在院期間区分[#All],MATCH($AI30,阻害要因×在院期間区分[[#All],[値]],0),MATCH($AS$4,阻害要因×在院期間区分[#Headers],0)),0)+IFERROR(INDEX(阻害要因×在院期間区分[#All],MATCH($AI30,阻害要因×在院期間区分[[#All],[値]],0),MATCH($AT$4,阻害要因×在院期間区分[#Headers],0)),0)+IFERROR(INDEX(阻害要因×在院期間区分[#All],MATCH($AI30,阻害要因×在院期間区分[[#All],[値]],0),MATCH($AU$4,阻害要因×在院期間区分[#Headers],0)),0)+IFERROR(INDEX(阻害要因×在院期間区分[#All],MATCH($AI30,阻害要因×在院期間区分[[#All],[値]],0),MATCH($AV$4,阻害要因×在院期間区分[#Headers],0)),0)+IFERROR(INDEX(阻害要因×在院期間区分[#All],MATCH($AI30,阻害要因×在院期間区分[[#All],[値]],0),MATCH($AW$4,阻害要因×在院期間区分[#Headers],0)),0)</f>
        <v>25</v>
      </c>
      <c r="H29" s="155">
        <f t="shared" si="3"/>
        <v>9.1240875912408759E-2</v>
      </c>
      <c r="I29" s="154">
        <f>IFERROR(INDEX(阻害要因×在院期間区分[#All],MATCH($AI30,阻害要因×在院期間区分[[#All],[値]],0),MATCH($AX$4,阻害要因×在院期間区分[#Headers],0)),0)+IFERROR(INDEX(阻害要因×在院期間区分[#All],MATCH($AI30,阻害要因×在院期間区分[[#All],[値]],0),MATCH($AY$4,阻害要因×在院期間区分[#Headers],0)),0)</f>
        <v>33</v>
      </c>
      <c r="J29" s="155">
        <f t="shared" si="4"/>
        <v>0.1111111111111111</v>
      </c>
      <c r="K29" s="38">
        <f t="shared" si="5"/>
        <v>161</v>
      </c>
      <c r="L29" s="55" t="s">
        <v>179</v>
      </c>
      <c r="M29" s="61">
        <v>8</v>
      </c>
      <c r="N29" s="61">
        <v>15</v>
      </c>
      <c r="O29" s="61">
        <v>15</v>
      </c>
      <c r="P29" s="61">
        <v>22</v>
      </c>
      <c r="Q29" s="61">
        <v>11</v>
      </c>
      <c r="R29" s="61">
        <v>8</v>
      </c>
      <c r="S29" s="61">
        <v>10</v>
      </c>
      <c r="T29" s="61">
        <v>4</v>
      </c>
      <c r="U29" s="61">
        <v>10</v>
      </c>
      <c r="V29" s="61">
        <v>7</v>
      </c>
      <c r="W29" s="61">
        <v>4</v>
      </c>
      <c r="X29" s="61">
        <v>5</v>
      </c>
      <c r="Y29" s="61">
        <v>5</v>
      </c>
      <c r="Z29" s="61">
        <v>4</v>
      </c>
      <c r="AA29" s="61">
        <v>20</v>
      </c>
      <c r="AB29" s="61">
        <v>13</v>
      </c>
      <c r="AI29" s="253" t="s">
        <v>178</v>
      </c>
    </row>
    <row r="30" spans="2:36" ht="18.75" customHeight="1" x14ac:dyDescent="0.2">
      <c r="B30" s="84" t="s">
        <v>247</v>
      </c>
      <c r="C30" s="860">
        <f>IFERROR(INDEX(阻害要因×在院期間区分[#All],MATCH($AI31,阻害要因×在院期間区分[[#All],[値]],0),MATCH($AJ$4,阻害要因×在院期間区分[#Headers],0)),0)+IFERROR(INDEX(阻害要因×在院期間区分[#All],MATCH($AI31,阻害要因×在院期間区分[[#All],[値]],0),MATCH($AK$4,阻害要因×在院期間区分[#Headers],0)),0)+IFERROR(INDEX(阻害要因×在院期間区分[#All],MATCH($AI31,阻害要因×在院期間区分[[#All],[値]],0),MATCH($AL$4,阻害要因×在院期間区分[#Headers],0)),0)+IFERROR(INDEX(阻害要因×在院期間区分[#All],MATCH($AI31,阻害要因×在院期間区分[[#All],[値]],0),MATCH($AM$4,阻害要因×在院期間区分[#Headers],0)),0)</f>
        <v>16</v>
      </c>
      <c r="D30" s="155">
        <f t="shared" si="1"/>
        <v>2.6711185308848081E-2</v>
      </c>
      <c r="E30" s="154">
        <f>IFERROR(INDEX(阻害要因×在院期間区分[#All],MATCH($AI31,阻害要因×在院期間区分[[#All],[値]],0),MATCH($AN$4,阻害要因×在院期間区分[#Headers],0)),0)+IFERROR(INDEX(阻害要因×在院期間区分[#All],MATCH($AI31,阻害要因×在院期間区分[[#All],[値]],0),MATCH($AO$4,阻害要因×在院期間区分[#Headers],0)),0)+IFERROR(INDEX(阻害要因×在院期間区分[#All],MATCH($AI31,阻害要因×在院期間区分[[#All],[値]],0),MATCH($AP$4,阻害要因×在院期間区分[#Headers],0)),0)+IFERROR(INDEX(阻害要因×在院期間区分[#All],MATCH($AI31,阻害要因×在院期間区分[[#All],[値]],0),MATCH($AQ$4,阻害要因×在院期間区分[#Headers],0)),0)+IFERROR(INDEX(阻害要因×在院期間区分[#All],MATCH($AI31,阻害要因×在院期間区分[[#All],[値]],0),MATCH($AR$4,阻害要因×在院期間区分[#Headers],0)),0)</f>
        <v>12</v>
      </c>
      <c r="F30" s="155">
        <f t="shared" si="2"/>
        <v>2.0654044750430294E-2</v>
      </c>
      <c r="G30" s="154">
        <f>IFERROR(INDEX(阻害要因×在院期間区分[#All],MATCH($AI31,阻害要因×在院期間区分[[#All],[値]],0),MATCH($AS$4,阻害要因×在院期間区分[#Headers],0)),0)+IFERROR(INDEX(阻害要因×在院期間区分[#All],MATCH($AI31,阻害要因×在院期間区分[[#All],[値]],0),MATCH($AT$4,阻害要因×在院期間区分[#Headers],0)),0)+IFERROR(INDEX(阻害要因×在院期間区分[#All],MATCH($AI31,阻害要因×在院期間区分[[#All],[値]],0),MATCH($AU$4,阻害要因×在院期間区分[#Headers],0)),0)+IFERROR(INDEX(阻害要因×在院期間区分[#All],MATCH($AI31,阻害要因×在院期間区分[[#All],[値]],0),MATCH($AV$4,阻害要因×在院期間区分[#Headers],0)),0)+IFERROR(INDEX(阻害要因×在院期間区分[#All],MATCH($AI31,阻害要因×在院期間区分[[#All],[値]],0),MATCH($AW$4,阻害要因×在院期間区分[#Headers],0)),0)</f>
        <v>2</v>
      </c>
      <c r="H30" s="155">
        <f t="shared" si="3"/>
        <v>7.2992700729927005E-3</v>
      </c>
      <c r="I30" s="154">
        <f>IFERROR(INDEX(阻害要因×在院期間区分[#All],MATCH($AI31,阻害要因×在院期間区分[[#All],[値]],0),MATCH($AX$4,阻害要因×在院期間区分[#Headers],0)),0)+IFERROR(INDEX(阻害要因×在院期間区分[#All],MATCH($AI31,阻害要因×在院期間区分[[#All],[値]],0),MATCH($AY$4,阻害要因×在院期間区分[#Headers],0)),0)</f>
        <v>4</v>
      </c>
      <c r="J30" s="155">
        <f t="shared" si="4"/>
        <v>1.3468013468013467E-2</v>
      </c>
      <c r="K30" s="38">
        <f>SUM(C30,E30,G30,I30)</f>
        <v>34</v>
      </c>
      <c r="L30" s="55" t="s">
        <v>180</v>
      </c>
      <c r="M30" s="61">
        <v>5</v>
      </c>
      <c r="N30" s="61">
        <v>5</v>
      </c>
      <c r="O30" s="61">
        <v>4</v>
      </c>
      <c r="P30" s="61">
        <v>2</v>
      </c>
      <c r="Q30" s="61">
        <v>2</v>
      </c>
      <c r="R30" s="61">
        <v>2</v>
      </c>
      <c r="S30" s="61">
        <v>4</v>
      </c>
      <c r="T30" s="61">
        <v>0</v>
      </c>
      <c r="U30" s="61">
        <v>4</v>
      </c>
      <c r="V30" s="61">
        <v>0</v>
      </c>
      <c r="W30" s="61">
        <v>0</v>
      </c>
      <c r="X30" s="61">
        <v>1</v>
      </c>
      <c r="Y30" s="61">
        <v>0</v>
      </c>
      <c r="Z30" s="61">
        <v>1</v>
      </c>
      <c r="AA30" s="61">
        <v>4</v>
      </c>
      <c r="AB30" s="61">
        <v>0</v>
      </c>
      <c r="AI30" s="253" t="s">
        <v>179</v>
      </c>
    </row>
    <row r="31" spans="2:36" s="396" customFormat="1" ht="18.75" customHeight="1" x14ac:dyDescent="0.2">
      <c r="B31" s="400" t="s">
        <v>380</v>
      </c>
      <c r="C31" s="860">
        <f>IFERROR(INDEX(阻害要因×在院期間区分[#All],MATCH($AI32,阻害要因×在院期間区分[[#All],[値]],0),MATCH($AJ$4,阻害要因×在院期間区分[#Headers],0)),0)+IFERROR(INDEX(阻害要因×在院期間区分[#All],MATCH($AI32,阻害要因×在院期間区分[[#All],[値]],0),MATCH($AK$4,阻害要因×在院期間区分[#Headers],0)),0)+IFERROR(INDEX(阻害要因×在院期間区分[#All],MATCH($AI32,阻害要因×在院期間区分[[#All],[値]],0),MATCH($AL$4,阻害要因×在院期間区分[#Headers],0)),0)+IFERROR(INDEX(阻害要因×在院期間区分[#All],MATCH($AI32,阻害要因×在院期間区分[[#All],[値]],0),MATCH($AM$4,阻害要因×在院期間区分[#Headers],0)),0)</f>
        <v>77</v>
      </c>
      <c r="D31" s="155">
        <f t="shared" ref="D31:D33" si="6">IFERROR(C31/C$10,"-")</f>
        <v>0.1285475792988314</v>
      </c>
      <c r="E31" s="154">
        <f>IFERROR(INDEX(阻害要因×在院期間区分[#All],MATCH($AI32,阻害要因×在院期間区分[[#All],[値]],0),MATCH($AN$4,阻害要因×在院期間区分[#Headers],0)),0)+IFERROR(INDEX(阻害要因×在院期間区分[#All],MATCH($AI32,阻害要因×在院期間区分[[#All],[値]],0),MATCH($AO$4,阻害要因×在院期間区分[#Headers],0)),0)+IFERROR(INDEX(阻害要因×在院期間区分[#All],MATCH($AI32,阻害要因×在院期間区分[[#All],[値]],0),MATCH($AP$4,阻害要因×在院期間区分[#Headers],0)),0)+IFERROR(INDEX(阻害要因×在院期間区分[#All],MATCH($AI32,阻害要因×在院期間区分[[#All],[値]],0),MATCH($AQ$4,阻害要因×在院期間区分[#Headers],0)),0)+IFERROR(INDEX(阻害要因×在院期間区分[#All],MATCH($AI32,阻害要因×在院期間区分[[#All],[値]],0),MATCH($AR$4,阻害要因×在院期間区分[#Headers],0)),0)</f>
        <v>91</v>
      </c>
      <c r="F31" s="155">
        <f t="shared" ref="F31:F33" si="7">IFERROR(E31/E$10,"-")</f>
        <v>0.15662650602409639</v>
      </c>
      <c r="G31" s="154">
        <f>IFERROR(INDEX(阻害要因×在院期間区分[#All],MATCH($AI32,阻害要因×在院期間区分[[#All],[値]],0),MATCH($AS$4,阻害要因×在院期間区分[#Headers],0)),0)+IFERROR(INDEX(阻害要因×在院期間区分[#All],MATCH($AI32,阻害要因×在院期間区分[[#All],[値]],0),MATCH($AT$4,阻害要因×在院期間区分[#Headers],0)),0)+IFERROR(INDEX(阻害要因×在院期間区分[#All],MATCH($AI32,阻害要因×在院期間区分[[#All],[値]],0),MATCH($AU$4,阻害要因×在院期間区分[#Headers],0)),0)+IFERROR(INDEX(阻害要因×在院期間区分[#All],MATCH($AI32,阻害要因×在院期間区分[[#All],[値]],0),MATCH($AV$4,阻害要因×在院期間区分[#Headers],0)),0)+IFERROR(INDEX(阻害要因×在院期間区分[#All],MATCH($AI32,阻害要因×在院期間区分[[#All],[値]],0),MATCH($AW$4,阻害要因×在院期間区分[#Headers],0)),0)</f>
        <v>35</v>
      </c>
      <c r="H31" s="155">
        <f t="shared" ref="H31:H33" si="8">IFERROR(G31/G$10,"-")</f>
        <v>0.12773722627737227</v>
      </c>
      <c r="I31" s="154">
        <f>IFERROR(INDEX(阻害要因×在院期間区分[#All],MATCH($AI32,阻害要因×在院期間区分[[#All],[値]],0),MATCH($AX$4,阻害要因×在院期間区分[#Headers],0)),0)+IFERROR(INDEX(阻害要因×在院期間区分[#All],MATCH($AI32,阻害要因×在院期間区分[[#All],[値]],0),MATCH($AY$4,阻害要因×在院期間区分[#Headers],0)),0)</f>
        <v>39</v>
      </c>
      <c r="J31" s="155">
        <f t="shared" ref="J31:J33" si="9">IFERROR(I31/I$10,"-")</f>
        <v>0.13131313131313133</v>
      </c>
      <c r="K31" s="38">
        <f t="shared" ref="K31:K33" si="10">SUM(C31,E31,G31,I31)</f>
        <v>242</v>
      </c>
      <c r="L31" s="55" t="s">
        <v>382</v>
      </c>
      <c r="M31" s="399">
        <v>11</v>
      </c>
      <c r="N31" s="61">
        <v>26</v>
      </c>
      <c r="O31" s="61">
        <v>14</v>
      </c>
      <c r="P31" s="61">
        <v>26</v>
      </c>
      <c r="Q31" s="61">
        <v>18</v>
      </c>
      <c r="R31" s="61">
        <v>18</v>
      </c>
      <c r="S31" s="61">
        <v>23</v>
      </c>
      <c r="T31" s="61">
        <v>16</v>
      </c>
      <c r="U31" s="61">
        <v>16</v>
      </c>
      <c r="V31" s="61">
        <v>11</v>
      </c>
      <c r="W31" s="61">
        <v>9</v>
      </c>
      <c r="X31" s="61">
        <v>7</v>
      </c>
      <c r="Y31" s="61">
        <v>4</v>
      </c>
      <c r="Z31" s="61">
        <v>4</v>
      </c>
      <c r="AA31" s="61">
        <v>27</v>
      </c>
      <c r="AB31" s="61">
        <v>12</v>
      </c>
      <c r="AI31" s="253" t="s">
        <v>180</v>
      </c>
    </row>
    <row r="32" spans="2:36" s="396" customFormat="1" ht="29.25" customHeight="1" x14ac:dyDescent="0.2">
      <c r="B32" s="401" t="s">
        <v>381</v>
      </c>
      <c r="C32" s="860">
        <f>IFERROR(INDEX(阻害要因×在院期間区分[#All],MATCH($AI33,阻害要因×在院期間区分[[#All],[値]],0),MATCH($AJ$4,阻害要因×在院期間区分[#Headers],0)),0)+IFERROR(INDEX(阻害要因×在院期間区分[#All],MATCH($AI33,阻害要因×在院期間区分[[#All],[値]],0),MATCH($AK$4,阻害要因×在院期間区分[#Headers],0)),0)+IFERROR(INDEX(阻害要因×在院期間区分[#All],MATCH($AI33,阻害要因×在院期間区分[[#All],[値]],0),MATCH($AL$4,阻害要因×在院期間区分[#Headers],0)),0)+IFERROR(INDEX(阻害要因×在院期間区分[#All],MATCH($AI33,阻害要因×在院期間区分[[#All],[値]],0),MATCH($AM$4,阻害要因×在院期間区分[#Headers],0)),0)</f>
        <v>43</v>
      </c>
      <c r="D32" s="155">
        <f t="shared" si="6"/>
        <v>7.178631051752922E-2</v>
      </c>
      <c r="E32" s="154">
        <f>IFERROR(INDEX(阻害要因×在院期間区分[#All],MATCH($AI33,阻害要因×在院期間区分[[#All],[値]],0),MATCH($AN$4,阻害要因×在院期間区分[#Headers],0)),0)+IFERROR(INDEX(阻害要因×在院期間区分[#All],MATCH($AI33,阻害要因×在院期間区分[[#All],[値]],0),MATCH($AO$4,阻害要因×在院期間区分[#Headers],0)),0)+IFERROR(INDEX(阻害要因×在院期間区分[#All],MATCH($AI33,阻害要因×在院期間区分[[#All],[値]],0),MATCH($AP$4,阻害要因×在院期間区分[#Headers],0)),0)+IFERROR(INDEX(阻害要因×在院期間区分[#All],MATCH($AI33,阻害要因×在院期間区分[[#All],[値]],0),MATCH($AQ$4,阻害要因×在院期間区分[#Headers],0)),0)+IFERROR(INDEX(阻害要因×在院期間区分[#All],MATCH($AI33,阻害要因×在院期間区分[[#All],[値]],0),MATCH($AR$4,阻害要因×在院期間区分[#Headers],0)),0)</f>
        <v>52</v>
      </c>
      <c r="F32" s="155">
        <f t="shared" si="7"/>
        <v>8.9500860585197933E-2</v>
      </c>
      <c r="G32" s="154">
        <f>IFERROR(INDEX(阻害要因×在院期間区分[#All],MATCH($AI33,阻害要因×在院期間区分[[#All],[値]],0),MATCH($AS$4,阻害要因×在院期間区分[#Headers],0)),0)+IFERROR(INDEX(阻害要因×在院期間区分[#All],MATCH($AI33,阻害要因×在院期間区分[[#All],[値]],0),MATCH($AT$4,阻害要因×在院期間区分[#Headers],0)),0)+IFERROR(INDEX(阻害要因×在院期間区分[#All],MATCH($AI33,阻害要因×在院期間区分[[#All],[値]],0),MATCH($AU$4,阻害要因×在院期間区分[#Headers],0)),0)+IFERROR(INDEX(阻害要因×在院期間区分[#All],MATCH($AI33,阻害要因×在院期間区分[[#All],[値]],0),MATCH($AV$4,阻害要因×在院期間区分[#Headers],0)),0)+IFERROR(INDEX(阻害要因×在院期間区分[#All],MATCH($AI33,阻害要因×在院期間区分[[#All],[値]],0),MATCH($AW$4,阻害要因×在院期間区分[#Headers],0)),0)</f>
        <v>14</v>
      </c>
      <c r="H32" s="155">
        <f t="shared" si="8"/>
        <v>5.1094890510948905E-2</v>
      </c>
      <c r="I32" s="154">
        <f>IFERROR(INDEX(阻害要因×在院期間区分[#All],MATCH($AI33,阻害要因×在院期間区分[[#All],[値]],0),MATCH($AX$4,阻害要因×在院期間区分[#Headers],0)),0)+IFERROR(INDEX(阻害要因×在院期間区分[#All],MATCH($AI33,阻害要因×在院期間区分[[#All],[値]],0),MATCH($AY$4,阻害要因×在院期間区分[#Headers],0)),0)</f>
        <v>17</v>
      </c>
      <c r="J32" s="155">
        <f t="shared" si="9"/>
        <v>5.7239057239057242E-2</v>
      </c>
      <c r="K32" s="38">
        <f t="shared" si="10"/>
        <v>126</v>
      </c>
      <c r="L32" s="55" t="s">
        <v>383</v>
      </c>
      <c r="M32" s="399">
        <v>4</v>
      </c>
      <c r="N32" s="61">
        <v>15</v>
      </c>
      <c r="O32" s="61">
        <v>9</v>
      </c>
      <c r="P32" s="61">
        <v>15</v>
      </c>
      <c r="Q32" s="61">
        <v>11</v>
      </c>
      <c r="R32" s="61">
        <v>10</v>
      </c>
      <c r="S32" s="61">
        <v>14</v>
      </c>
      <c r="T32" s="61">
        <v>8</v>
      </c>
      <c r="U32" s="61">
        <v>9</v>
      </c>
      <c r="V32" s="61">
        <v>3</v>
      </c>
      <c r="W32" s="61">
        <v>6</v>
      </c>
      <c r="X32" s="61">
        <v>2</v>
      </c>
      <c r="Y32" s="61">
        <v>1</v>
      </c>
      <c r="Z32" s="61">
        <v>2</v>
      </c>
      <c r="AA32" s="61">
        <v>12</v>
      </c>
      <c r="AB32" s="61">
        <v>5</v>
      </c>
      <c r="AI32" s="253" t="s">
        <v>382</v>
      </c>
    </row>
    <row r="33" spans="2:35" ht="18.75" customHeight="1" x14ac:dyDescent="0.2">
      <c r="B33" s="85" t="s">
        <v>53</v>
      </c>
      <c r="C33" s="867">
        <f>IFERROR(INDEX(阻害要因×在院期間区分[#All],MATCH($AI34,阻害要因×在院期間区分[[#All],[値]],0),MATCH($AJ$4,阻害要因×在院期間区分[#Headers],0)),0)+IFERROR(INDEX(阻害要因×在院期間区分[#All],MATCH($AI34,阻害要因×在院期間区分[[#All],[値]],0),MATCH($AK$4,阻害要因×在院期間区分[#Headers],0)),0)+IFERROR(INDEX(阻害要因×在院期間区分[#All],MATCH($AI34,阻害要因×在院期間区分[[#All],[値]],0),MATCH($AL$4,阻害要因×在院期間区分[#Headers],0)),0)+IFERROR(INDEX(阻害要因×在院期間区分[#All],MATCH($AI34,阻害要因×在院期間区分[[#All],[値]],0),MATCH($AM$4,阻害要因×在院期間区分[#Headers],0)),0)</f>
        <v>21</v>
      </c>
      <c r="D33" s="159">
        <f t="shared" si="6"/>
        <v>3.5058430717863104E-2</v>
      </c>
      <c r="E33" s="157">
        <f>IFERROR(INDEX(阻害要因×在院期間区分[#All],MATCH($AI34,阻害要因×在院期間区分[[#All],[値]],0),MATCH($AN$4,阻害要因×在院期間区分[#Headers],0)),0)+IFERROR(INDEX(阻害要因×在院期間区分[#All],MATCH($AI34,阻害要因×在院期間区分[[#All],[値]],0),MATCH($AO$4,阻害要因×在院期間区分[#Headers],0)),0)+IFERROR(INDEX(阻害要因×在院期間区分[#All],MATCH($AI34,阻害要因×在院期間区分[[#All],[値]],0),MATCH($AP$4,阻害要因×在院期間区分[#Headers],0)),0)+IFERROR(INDEX(阻害要因×在院期間区分[#All],MATCH($AI34,阻害要因×在院期間区分[[#All],[値]],0),MATCH($AQ$4,阻害要因×在院期間区分[#Headers],0)),0)+IFERROR(INDEX(阻害要因×在院期間区分[#All],MATCH($AI34,阻害要因×在院期間区分[[#All],[値]],0),MATCH($AR$4,阻害要因×在院期間区分[#Headers],0)),0)</f>
        <v>16</v>
      </c>
      <c r="F33" s="159">
        <f t="shared" si="7"/>
        <v>2.7538726333907058E-2</v>
      </c>
      <c r="G33" s="157">
        <f>IFERROR(INDEX(阻害要因×在院期間区分[#All],MATCH($AI34,阻害要因×在院期間区分[[#All],[値]],0),MATCH($AS$4,阻害要因×在院期間区分[#Headers],0)),0)+IFERROR(INDEX(阻害要因×在院期間区分[#All],MATCH($AI34,阻害要因×在院期間区分[[#All],[値]],0),MATCH($AT$4,阻害要因×在院期間区分[#Headers],0)),0)+IFERROR(INDEX(阻害要因×在院期間区分[#All],MATCH($AI34,阻害要因×在院期間区分[[#All],[値]],0),MATCH($AU$4,阻害要因×在院期間区分[#Headers],0)),0)+IFERROR(INDEX(阻害要因×在院期間区分[#All],MATCH($AI34,阻害要因×在院期間区分[[#All],[値]],0),MATCH($AV$4,阻害要因×在院期間区分[#Headers],0)),0)+IFERROR(INDEX(阻害要因×在院期間区分[#All],MATCH($AI34,阻害要因×在院期間区分[[#All],[値]],0),MATCH($AW$4,阻害要因×在院期間区分[#Headers],0)),0)</f>
        <v>9</v>
      </c>
      <c r="H33" s="159">
        <f t="shared" si="8"/>
        <v>3.2846715328467155E-2</v>
      </c>
      <c r="I33" s="157">
        <f>IFERROR(INDEX(阻害要因×在院期間区分[#All],MATCH($AI34,阻害要因×在院期間区分[[#All],[値]],0),MATCH($AX$4,阻害要因×在院期間区分[#Headers],0)),0)+IFERROR(INDEX(阻害要因×在院期間区分[#All],MATCH($AI34,阻害要因×在院期間区分[[#All],[値]],0),MATCH($AY$4,阻害要因×在院期間区分[#Headers],0)),0)</f>
        <v>5</v>
      </c>
      <c r="J33" s="159">
        <f t="shared" si="9"/>
        <v>1.6835016835016835E-2</v>
      </c>
      <c r="K33" s="38">
        <f t="shared" si="10"/>
        <v>51</v>
      </c>
      <c r="L33" s="55" t="s">
        <v>181</v>
      </c>
      <c r="M33" s="61">
        <v>2</v>
      </c>
      <c r="N33" s="61">
        <v>5</v>
      </c>
      <c r="O33" s="61">
        <v>6</v>
      </c>
      <c r="P33" s="61">
        <v>8</v>
      </c>
      <c r="Q33" s="61">
        <v>7</v>
      </c>
      <c r="R33" s="61">
        <v>3</v>
      </c>
      <c r="S33" s="61">
        <v>2</v>
      </c>
      <c r="T33" s="61">
        <v>2</v>
      </c>
      <c r="U33" s="61">
        <v>2</v>
      </c>
      <c r="V33" s="61">
        <v>1</v>
      </c>
      <c r="W33" s="61">
        <v>2</v>
      </c>
      <c r="X33" s="61">
        <v>1</v>
      </c>
      <c r="Y33" s="61">
        <v>3</v>
      </c>
      <c r="Z33" s="61">
        <v>2</v>
      </c>
      <c r="AA33" s="61">
        <v>4</v>
      </c>
      <c r="AB33" s="61">
        <v>1</v>
      </c>
      <c r="AI33" s="42" t="s">
        <v>383</v>
      </c>
    </row>
    <row r="34" spans="2:35" ht="18.75" customHeight="1" x14ac:dyDescent="0.2">
      <c r="D34" s="21"/>
      <c r="E34" s="38"/>
      <c r="J34" s="21"/>
      <c r="K34" s="38"/>
      <c r="AI34" s="253" t="s">
        <v>181</v>
      </c>
    </row>
    <row r="35" spans="2:35" ht="18.75" customHeight="1" x14ac:dyDescent="0.2">
      <c r="B35" s="2" t="s">
        <v>79</v>
      </c>
      <c r="E35" s="92"/>
      <c r="K35" s="38"/>
    </row>
    <row r="36" spans="2:35" ht="18.75" customHeight="1" thickBot="1" x14ac:dyDescent="0.25">
      <c r="B36" s="957" t="s">
        <v>240</v>
      </c>
      <c r="C36" s="977" t="s">
        <v>64</v>
      </c>
      <c r="D36" s="978"/>
      <c r="E36" s="978"/>
      <c r="F36" s="978"/>
      <c r="G36" s="978"/>
      <c r="H36" s="978"/>
      <c r="I36" s="978"/>
      <c r="J36" s="979"/>
      <c r="K36" s="38"/>
      <c r="L36" s="52" t="s">
        <v>63</v>
      </c>
    </row>
    <row r="37" spans="2:35" ht="18.75" customHeight="1" thickTop="1" thickBot="1" x14ac:dyDescent="0.25">
      <c r="B37" s="976"/>
      <c r="C37" s="980" t="s">
        <v>69</v>
      </c>
      <c r="D37" s="981"/>
      <c r="E37" s="982" t="s">
        <v>270</v>
      </c>
      <c r="F37" s="983"/>
      <c r="G37" s="982" t="s">
        <v>271</v>
      </c>
      <c r="H37" s="983"/>
      <c r="I37" s="980" t="s">
        <v>72</v>
      </c>
      <c r="J37" s="981"/>
      <c r="K37" s="38"/>
      <c r="L37" s="347" t="s">
        <v>372</v>
      </c>
      <c r="M37" s="55" t="s">
        <v>182</v>
      </c>
      <c r="N37" s="55" t="s">
        <v>183</v>
      </c>
      <c r="O37" s="55" t="s">
        <v>184</v>
      </c>
      <c r="P37" s="55" t="s">
        <v>185</v>
      </c>
      <c r="Q37" s="55" t="s">
        <v>186</v>
      </c>
      <c r="R37" s="55" t="s">
        <v>187</v>
      </c>
      <c r="S37" s="55" t="s">
        <v>188</v>
      </c>
      <c r="T37" s="55" t="s">
        <v>189</v>
      </c>
      <c r="U37" s="55" t="s">
        <v>190</v>
      </c>
      <c r="V37" s="55" t="s">
        <v>191</v>
      </c>
      <c r="W37" s="55" t="s">
        <v>192</v>
      </c>
      <c r="X37" s="55" t="s">
        <v>193</v>
      </c>
      <c r="Y37" s="55" t="s">
        <v>194</v>
      </c>
      <c r="Z37" s="55" t="s">
        <v>195</v>
      </c>
      <c r="AA37" s="55" t="s">
        <v>196</v>
      </c>
      <c r="AB37" s="55" t="s">
        <v>197</v>
      </c>
    </row>
    <row r="38" spans="2:35" ht="37.5" customHeight="1" thickTop="1" x14ac:dyDescent="0.2">
      <c r="B38" s="72" t="s">
        <v>231</v>
      </c>
      <c r="C38" s="151">
        <f>IFERROR(INDEX(退院予定有無×在院期間区分＿寛解・院内寛解[#All],MATCH($AI39,退院予定有無×在院期間区分＿寛解・院内寛解[[#All],[行ラベル]],0),MATCH($AJ$4,退院予定有無×在院期間区分＿寛解・院内寛解[#Headers],0)),0)+IFERROR(INDEX(退院予定有無×在院期間区分＿寛解・院内寛解[#All],MATCH($AI39,退院予定有無×在院期間区分＿寛解・院内寛解[[#All],[行ラベル]],0),MATCH($AK$4,退院予定有無×在院期間区分＿寛解・院内寛解[#Headers],0)),0)+IFERROR(INDEX(退院予定有無×在院期間区分＿寛解・院内寛解[#All],MATCH($AI39,退院予定有無×在院期間区分＿寛解・院内寛解[[#All],[行ラベル]],0),MATCH($AL$4,退院予定有無×在院期間区分＿寛解・院内寛解[#Headers],0)),0)+IFERROR(INDEX(退院予定有無×在院期間区分＿寛解・院内寛解[#All],MATCH($AI39,退院予定有無×在院期間区分＿寛解・院内寛解[[#All],[行ラベル]],0),MATCH($AM$4,退院予定有無×在院期間区分＿寛解・院内寛解[#Headers],0)),0)</f>
        <v>272</v>
      </c>
      <c r="D38" s="153">
        <f>IFERROR(C38/C$41,"-")</f>
        <v>0.22113821138211381</v>
      </c>
      <c r="E38" s="151">
        <f>IFERROR(INDEX(退院予定有無×在院期間区分＿寛解・院内寛解[#All],MATCH($AI39,退院予定有無×在院期間区分＿寛解・院内寛解[[#All],[行ラベル]],0),MATCH($AN$4,退院予定有無×在院期間区分＿寛解・院内寛解[#Headers],0)),0)+IFERROR(INDEX(退院予定有無×在院期間区分＿寛解・院内寛解[#All],MATCH($AI39,退院予定有無×在院期間区分＿寛解・院内寛解[[#All],[行ラベル]],0),MATCH($AO$4,退院予定有無×在院期間区分＿寛解・院内寛解[#Headers],0)),0)+IFERROR(INDEX(退院予定有無×在院期間区分＿寛解・院内寛解[#All],MATCH($AI39,退院予定有無×在院期間区分＿寛解・院内寛解[[#All],[行ラベル]],0),MATCH($AP$4,退院予定有無×在院期間区分＿寛解・院内寛解[#Headers],0)),0)+IFERROR(INDEX(退院予定有無×在院期間区分＿寛解・院内寛解[#All],MATCH($AI39,退院予定有無×在院期間区分＿寛解・院内寛解[[#All],[行ラベル]],0),MATCH($AQ$4,退院予定有無×在院期間区分＿寛解・院内寛解[#Headers],0)),0)+IFERROR(INDEX(退院予定有無×在院期間区分＿寛解・院内寛解[#All],MATCH($AI39,退院予定有無×在院期間区分＿寛解・院内寛解[[#All],[行ラベル]],0),MATCH($AR$4,退院予定有無×在院期間区分＿寛解・院内寛解[#Headers],0)),0)</f>
        <v>181</v>
      </c>
      <c r="F38" s="153">
        <f>IFERROR(E38/E$41,"-")</f>
        <v>0.5691823899371069</v>
      </c>
      <c r="G38" s="151">
        <f>IFERROR(INDEX(退院予定有無×在院期間区分＿寛解・院内寛解[#All],MATCH($AI39,退院予定有無×在院期間区分＿寛解・院内寛解[[#All],[行ラベル]],0),MATCH($AS$4,退院予定有無×在院期間区分＿寛解・院内寛解[#Headers],0)),0)+IFERROR(INDEX(退院予定有無×在院期間区分＿寛解・院内寛解[#All],MATCH($AI39,退院予定有無×在院期間区分＿寛解・院内寛解[[#All],[行ラベル]],0),MATCH($AT$4,退院予定有無×在院期間区分＿寛解・院内寛解[#Headers],0)),0)+IFERROR(INDEX(退院予定有無×在院期間区分＿寛解・院内寛解[#All],MATCH($AI39,退院予定有無×在院期間区分＿寛解・院内寛解[[#All],[行ラベル]],0),MATCH($AU$4,退院予定有無×在院期間区分＿寛解・院内寛解[#Headers],0)),0)+IFERROR(INDEX(退院予定有無×在院期間区分＿寛解・院内寛解[#All],MATCH($AI39,退院予定有無×在院期間区分＿寛解・院内寛解[[#All],[行ラベル]],0),MATCH($AV$4,退院予定有無×在院期間区分＿寛解・院内寛解[#Headers],0)),0)+IFERROR(INDEX(退院予定有無×在院期間区分＿寛解・院内寛解[#All],MATCH($AI39,退院予定有無×在院期間区分＿寛解・院内寛解[[#All],[行ラベル]],0),MATCH($AW$4,退院予定有無×在院期間区分＿寛解・院内寛解[#Headers],0)),0)</f>
        <v>88</v>
      </c>
      <c r="H38" s="153">
        <f>IFERROR(G38/G$41,"-")</f>
        <v>0.60689655172413792</v>
      </c>
      <c r="I38" s="151">
        <f>IFERROR(INDEX(退院予定有無×在院期間区分＿寛解・院内寛解[#All],MATCH($AI39,退院予定有無×在院期間区分＿寛解・院内寛解[[#All],[行ラベル]],0),MATCH($AX$4,退院予定有無×在院期間区分＿寛解・院内寛解[#Headers],0)),0)+IFERROR(INDEX(退院予定有無×在院期間区分＿寛解・院内寛解[#All],MATCH($AI39,退院予定有無×在院期間区分＿寛解・院内寛解[[#All],[行ラベル]],0),MATCH($AY$4,退院予定有無×在院期間区分＿寛解・院内寛解[#Headers],0)),0)</f>
        <v>75</v>
      </c>
      <c r="J38" s="153">
        <f>IFERROR(I38/I$41,"-")</f>
        <v>0.68181818181818177</v>
      </c>
      <c r="K38" s="38">
        <f>SUM(C38,E38,G38,I38)</f>
        <v>616</v>
      </c>
      <c r="L38" s="33">
        <v>98</v>
      </c>
      <c r="M38" s="58">
        <v>64</v>
      </c>
      <c r="N38" s="58">
        <v>81</v>
      </c>
      <c r="O38" s="58">
        <v>33</v>
      </c>
      <c r="P38" s="58">
        <v>35</v>
      </c>
      <c r="Q38" s="58">
        <v>30</v>
      </c>
      <c r="R38" s="58">
        <v>8</v>
      </c>
      <c r="S38" s="58">
        <v>17</v>
      </c>
      <c r="T38" s="58">
        <v>13</v>
      </c>
      <c r="U38" s="58">
        <v>28</v>
      </c>
      <c r="V38" s="58">
        <v>13</v>
      </c>
      <c r="W38" s="58">
        <v>12</v>
      </c>
      <c r="X38" s="58">
        <v>10</v>
      </c>
      <c r="Y38" s="58">
        <v>8</v>
      </c>
      <c r="Z38" s="58">
        <v>8</v>
      </c>
      <c r="AA38" s="58">
        <v>18</v>
      </c>
      <c r="AB38" s="58">
        <v>9</v>
      </c>
    </row>
    <row r="39" spans="2:35" ht="18.75" customHeight="1" x14ac:dyDescent="0.2">
      <c r="B39" s="73" t="s">
        <v>241</v>
      </c>
      <c r="C39" s="154">
        <f>IFERROR(INDEX(退院予定有無×在院期間区分＿寛解・院内寛解[#All],MATCH($AI40,退院予定有無×在院期間区分＿寛解・院内寛解[[#All],[行ラベル]],0),MATCH($AJ$4,退院予定有無×在院期間区分＿寛解・院内寛解[#Headers],0)),0)+IFERROR(INDEX(退院予定有無×在院期間区分＿寛解・院内寛解[#All],MATCH($AI40,退院予定有無×在院期間区分＿寛解・院内寛解[[#All],[行ラベル]],0),MATCH($AK$4,退院予定有無×在院期間区分＿寛解・院内寛解[#Headers],0)),0)+IFERROR(INDEX(退院予定有無×在院期間区分＿寛解・院内寛解[#All],MATCH($AI40,退院予定有無×在院期間区分＿寛解・院内寛解[[#All],[行ラベル]],0),MATCH($AL$4,退院予定有無×在院期間区分＿寛解・院内寛解[#Headers],0)),0)+IFERROR(INDEX(退院予定有無×在院期間区分＿寛解・院内寛解[#All],MATCH($AI40,退院予定有無×在院期間区分＿寛解・院内寛解[[#All],[行ラベル]],0),MATCH($AM$4,退院予定有無×在院期間区分＿寛解・院内寛解[#Headers],0)),0)</f>
        <v>213</v>
      </c>
      <c r="D39" s="155">
        <f>IFERROR(C39/C$41,"-")</f>
        <v>0.17317073170731706</v>
      </c>
      <c r="E39" s="154">
        <f>IFERROR(INDEX(退院予定有無×在院期間区分＿寛解・院内寛解[#All],MATCH($AI40,退院予定有無×在院期間区分＿寛解・院内寛解[[#All],[行ラベル]],0),MATCH($AN$4,退院予定有無×在院期間区分＿寛解・院内寛解[#Headers],0)),0)+IFERROR(INDEX(退院予定有無×在院期間区分＿寛解・院内寛解[#All],MATCH($AI40,退院予定有無×在院期間区分＿寛解・院内寛解[[#All],[行ラベル]],0),MATCH($AO$4,退院予定有無×在院期間区分＿寛解・院内寛解[#Headers],0)),0)+IFERROR(INDEX(退院予定有無×在院期間区分＿寛解・院内寛解[#All],MATCH($AI40,退院予定有無×在院期間区分＿寛解・院内寛解[[#All],[行ラベル]],0),MATCH($AP$4,退院予定有無×在院期間区分＿寛解・院内寛解[#Headers],0)),0)+IFERROR(INDEX(退院予定有無×在院期間区分＿寛解・院内寛解[#All],MATCH($AI40,退院予定有無×在院期間区分＿寛解・院内寛解[[#All],[行ラベル]],0),MATCH($AQ$4,退院予定有無×在院期間区分＿寛解・院内寛解[#Headers],0)),0)+IFERROR(INDEX(退院予定有無×在院期間区分＿寛解・院内寛解[#All],MATCH($AI40,退院予定有無×在院期間区分＿寛解・院内寛解[[#All],[行ラベル]],0),MATCH($AR$4,退院予定有無×在院期間区分＿寛解・院内寛解[#Headers],0)),0)</f>
        <v>96</v>
      </c>
      <c r="F39" s="155">
        <f>IFERROR(E39/E$41,"-")</f>
        <v>0.30188679245283018</v>
      </c>
      <c r="G39" s="154">
        <f>IFERROR(INDEX(退院予定有無×在院期間区分＿寛解・院内寛解[#All],MATCH($AI40,退院予定有無×在院期間区分＿寛解・院内寛解[[#All],[行ラベル]],0),MATCH($AS$4,退院予定有無×在院期間区分＿寛解・院内寛解[#Headers],0)),0)+IFERROR(INDEX(退院予定有無×在院期間区分＿寛解・院内寛解[#All],MATCH($AI40,退院予定有無×在院期間区分＿寛解・院内寛解[[#All],[行ラベル]],0),MATCH($AT$4,退院予定有無×在院期間区分＿寛解・院内寛解[#Headers],0)),0)+IFERROR(INDEX(退院予定有無×在院期間区分＿寛解・院内寛解[#All],MATCH($AI40,退院予定有無×在院期間区分＿寛解・院内寛解[[#All],[行ラベル]],0),MATCH($AU$4,退院予定有無×在院期間区分＿寛解・院内寛解[#Headers],0)),0)+IFERROR(INDEX(退院予定有無×在院期間区分＿寛解・院内寛解[#All],MATCH($AI40,退院予定有無×在院期間区分＿寛解・院内寛解[[#All],[行ラベル]],0),MATCH($AV$4,退院予定有無×在院期間区分＿寛解・院内寛解[#Headers],0)),0)+IFERROR(INDEX(退院予定有無×在院期間区分＿寛解・院内寛解[#All],MATCH($AI40,退院予定有無×在院期間区分＿寛解・院内寛解[[#All],[行ラベル]],0),MATCH($AW$4,退院予定有無×在院期間区分＿寛解・院内寛解[#Headers],0)),0)</f>
        <v>51</v>
      </c>
      <c r="H39" s="155">
        <f>IFERROR(G39/G$41,"-")</f>
        <v>0.35172413793103446</v>
      </c>
      <c r="I39" s="154">
        <f>IFERROR(INDEX(退院予定有無×在院期間区分＿寛解・院内寛解[#All],MATCH($AI40,退院予定有無×在院期間区分＿寛解・院内寛解[[#All],[行ラベル]],0),MATCH($AX$4,退院予定有無×在院期間区分＿寛解・院内寛解[#Headers],0)),0)+IFERROR(INDEX(退院予定有無×在院期間区分＿寛解・院内寛解[#All],MATCH($AI40,退院予定有無×在院期間区分＿寛解・院内寛解[[#All],[行ラベル]],0),MATCH($AY$4,退院予定有無×在院期間区分＿寛解・院内寛解[#Headers],0)),0)</f>
        <v>27</v>
      </c>
      <c r="J39" s="155">
        <f>IFERROR(I39/I$41,"-")</f>
        <v>0.24545454545454545</v>
      </c>
      <c r="K39" s="38">
        <f>SUM(C39,E39,G39,I39)</f>
        <v>387</v>
      </c>
      <c r="L39" s="33">
        <v>97</v>
      </c>
      <c r="M39" s="58">
        <v>49</v>
      </c>
      <c r="N39" s="58">
        <v>94</v>
      </c>
      <c r="O39" s="58">
        <v>65</v>
      </c>
      <c r="P39" s="58">
        <v>64</v>
      </c>
      <c r="Q39" s="58">
        <v>48</v>
      </c>
      <c r="R39" s="58">
        <v>32</v>
      </c>
      <c r="S39" s="58">
        <v>49</v>
      </c>
      <c r="T39" s="58">
        <v>30</v>
      </c>
      <c r="U39" s="58">
        <v>22</v>
      </c>
      <c r="V39" s="58">
        <v>26</v>
      </c>
      <c r="W39" s="58">
        <v>20</v>
      </c>
      <c r="X39" s="58">
        <v>18</v>
      </c>
      <c r="Y39" s="58">
        <v>13</v>
      </c>
      <c r="Z39" s="58">
        <v>11</v>
      </c>
      <c r="AA39" s="58">
        <v>55</v>
      </c>
      <c r="AB39" s="58">
        <v>20</v>
      </c>
      <c r="AI39" s="279">
        <v>97</v>
      </c>
    </row>
    <row r="40" spans="2:35" ht="18.75" customHeight="1" x14ac:dyDescent="0.2">
      <c r="B40" s="93" t="s">
        <v>36</v>
      </c>
      <c r="C40" s="868">
        <f>IFERROR(INDEX(退院予定有無×在院期間区分＿寛解・院内寛解[#All],MATCH($AI41,退院予定有無×在院期間区分＿寛解・院内寛解[[#All],[行ラベル]],0),MATCH($AJ$4,退院予定有無×在院期間区分＿寛解・院内寛解[#Headers],0)),0)+IFERROR(INDEX(退院予定有無×在院期間区分＿寛解・院内寛解[#All],MATCH($AI41,退院予定有無×在院期間区分＿寛解・院内寛解[[#All],[行ラベル]],0),MATCH($AK$4,退院予定有無×在院期間区分＿寛解・院内寛解[#Headers],0)),0)+IFERROR(INDEX(退院予定有無×在院期間区分＿寛解・院内寛解[#All],MATCH($AI41,退院予定有無×在院期間区分＿寛解・院内寛解[[#All],[行ラベル]],0),MATCH($AL$4,退院予定有無×在院期間区分＿寛解・院内寛解[#Headers],0)),0)+IFERROR(INDEX(退院予定有無×在院期間区分＿寛解・院内寛解[#All],MATCH($AI41,退院予定有無×在院期間区分＿寛解・院内寛解[[#All],[行ラベル]],0),MATCH($AM$4,退院予定有無×在院期間区分＿寛解・院内寛解[#Headers],0)),0)</f>
        <v>745</v>
      </c>
      <c r="D40" s="869">
        <f>IFERROR(C40/C$41,"-")</f>
        <v>0.60569105691056913</v>
      </c>
      <c r="E40" s="868">
        <f>IFERROR(INDEX(退院予定有無×在院期間区分＿寛解・院内寛解[#All],MATCH($AI41,退院予定有無×在院期間区分＿寛解・院内寛解[[#All],[行ラベル]],0),MATCH($AN$4,退院予定有無×在院期間区分＿寛解・院内寛解[#Headers],0)),0)+IFERROR(INDEX(退院予定有無×在院期間区分＿寛解・院内寛解[#All],MATCH($AI41,退院予定有無×在院期間区分＿寛解・院内寛解[[#All],[行ラベル]],0),MATCH($AO$4,退院予定有無×在院期間区分＿寛解・院内寛解[#Headers],0)),0)+IFERROR(INDEX(退院予定有無×在院期間区分＿寛解・院内寛解[#All],MATCH($AI41,退院予定有無×在院期間区分＿寛解・院内寛解[[#All],[行ラベル]],0),MATCH($AP$4,退院予定有無×在院期間区分＿寛解・院内寛解[#Headers],0)),0)+IFERROR(INDEX(退院予定有無×在院期間区分＿寛解・院内寛解[#All],MATCH($AI41,退院予定有無×在院期間区分＿寛解・院内寛解[[#All],[行ラベル]],0),MATCH($AQ$4,退院予定有無×在院期間区分＿寛解・院内寛解[#Headers],0)),0)+IFERROR(INDEX(退院予定有無×在院期間区分＿寛解・院内寛解[#All],MATCH($AI41,退院予定有無×在院期間区分＿寛解・院内寛解[[#All],[行ラベル]],0),MATCH($AR$4,退院予定有無×在院期間区分＿寛解・院内寛解[#Headers],0)),0)</f>
        <v>41</v>
      </c>
      <c r="F40" s="869">
        <f>IFERROR(E40/E$41,"-")</f>
        <v>0.12893081761006289</v>
      </c>
      <c r="G40" s="868">
        <f>IFERROR(INDEX(退院予定有無×在院期間区分＿寛解・院内寛解[#All],MATCH($AI41,退院予定有無×在院期間区分＿寛解・院内寛解[[#All],[行ラベル]],0),MATCH($AS$4,退院予定有無×在院期間区分＿寛解・院内寛解[#Headers],0)),0)+IFERROR(INDEX(退院予定有無×在院期間区分＿寛解・院内寛解[#All],MATCH($AI41,退院予定有無×在院期間区分＿寛解・院内寛解[[#All],[行ラベル]],0),MATCH($AT$4,退院予定有無×在院期間区分＿寛解・院内寛解[#Headers],0)),0)+IFERROR(INDEX(退院予定有無×在院期間区分＿寛解・院内寛解[#All],MATCH($AI41,退院予定有無×在院期間区分＿寛解・院内寛解[[#All],[行ラベル]],0),MATCH($AU$4,退院予定有無×在院期間区分＿寛解・院内寛解[#Headers],0)),0)+IFERROR(INDEX(退院予定有無×在院期間区分＿寛解・院内寛解[#All],MATCH($AI41,退院予定有無×在院期間区分＿寛解・院内寛解[[#All],[行ラベル]],0),MATCH($AV$4,退院予定有無×在院期間区分＿寛解・院内寛解[#Headers],0)),0)+IFERROR(INDEX(退院予定有無×在院期間区分＿寛解・院内寛解[#All],MATCH($AI41,退院予定有無×在院期間区分＿寛解・院内寛解[[#All],[行ラベル]],0),MATCH($AW$4,退院予定有無×在院期間区分＿寛解・院内寛解[#Headers],0)),0)</f>
        <v>6</v>
      </c>
      <c r="H40" s="869">
        <f>IFERROR(G40/G$41,"-")</f>
        <v>4.1379310344827586E-2</v>
      </c>
      <c r="I40" s="868">
        <f>IFERROR(INDEX(退院予定有無×在院期間区分＿寛解・院内寛解[#All],MATCH($AI41,退院予定有無×在院期間区分＿寛解・院内寛解[[#All],[行ラベル]],0),MATCH($AX$4,退院予定有無×在院期間区分＿寛解・院内寛解[#Headers],0)),0)+IFERROR(INDEX(退院予定有無×在院期間区分＿寛解・院内寛解[#All],MATCH($AI41,退院予定有無×在院期間区分＿寛解・院内寛解[[#All],[行ラベル]],0),MATCH($AY$4,退院予定有無×在院期間区分＿寛解・院内寛解[#Headers],0)),0)</f>
        <v>8</v>
      </c>
      <c r="J40" s="869">
        <f>IFERROR(I40/I$41,"-")</f>
        <v>7.2727272727272724E-2</v>
      </c>
      <c r="K40" s="38">
        <f>SUM(C40,E40,G40,I40)</f>
        <v>800</v>
      </c>
      <c r="L40" s="33">
        <v>99</v>
      </c>
      <c r="M40" s="58">
        <v>285</v>
      </c>
      <c r="N40" s="58">
        <v>324</v>
      </c>
      <c r="O40" s="58">
        <v>89</v>
      </c>
      <c r="P40" s="58">
        <v>47</v>
      </c>
      <c r="Q40" s="58">
        <v>19</v>
      </c>
      <c r="R40" s="58">
        <v>6</v>
      </c>
      <c r="S40" s="58">
        <v>10</v>
      </c>
      <c r="T40" s="58">
        <v>5</v>
      </c>
      <c r="U40" s="58">
        <v>1</v>
      </c>
      <c r="V40" s="58">
        <v>3</v>
      </c>
      <c r="W40" s="58">
        <v>0</v>
      </c>
      <c r="X40" s="58">
        <v>2</v>
      </c>
      <c r="Y40" s="58">
        <v>0</v>
      </c>
      <c r="Z40" s="58">
        <v>1</v>
      </c>
      <c r="AA40" s="58">
        <v>6</v>
      </c>
      <c r="AB40" s="58">
        <v>2</v>
      </c>
      <c r="AI40" s="280">
        <v>98</v>
      </c>
    </row>
    <row r="41" spans="2:35" ht="18.75" customHeight="1" x14ac:dyDescent="0.2">
      <c r="B41" s="75" t="s">
        <v>161</v>
      </c>
      <c r="C41" s="160">
        <f t="shared" ref="C41:J41" si="11">SUM(C38:C40)</f>
        <v>1230</v>
      </c>
      <c r="D41" s="161">
        <f t="shared" si="11"/>
        <v>1</v>
      </c>
      <c r="E41" s="162">
        <f t="shared" si="11"/>
        <v>318</v>
      </c>
      <c r="F41" s="161">
        <f t="shared" si="11"/>
        <v>0.99999999999999989</v>
      </c>
      <c r="G41" s="862">
        <f t="shared" si="11"/>
        <v>145</v>
      </c>
      <c r="H41" s="863">
        <f t="shared" si="11"/>
        <v>0.99999999999999989</v>
      </c>
      <c r="I41" s="862">
        <f t="shared" si="11"/>
        <v>110</v>
      </c>
      <c r="J41" s="863">
        <f t="shared" si="11"/>
        <v>1</v>
      </c>
      <c r="K41" s="38">
        <f>SUM(C41,E41,G41,I41)</f>
        <v>1803</v>
      </c>
      <c r="L41" s="33"/>
      <c r="M41" s="42"/>
      <c r="N41" s="42"/>
      <c r="O41" s="42"/>
      <c r="P41" s="42"/>
      <c r="Q41" s="42"/>
      <c r="R41" s="42"/>
      <c r="S41" s="42"/>
      <c r="T41" s="42"/>
      <c r="U41" s="42"/>
      <c r="V41" s="42"/>
      <c r="W41" s="42"/>
      <c r="X41" s="42"/>
      <c r="Y41" s="42"/>
      <c r="Z41" s="42"/>
      <c r="AA41" s="42"/>
      <c r="AB41" s="42"/>
      <c r="AI41" s="280">
        <v>99</v>
      </c>
    </row>
    <row r="42" spans="2:35" ht="18.75" customHeight="1" thickBot="1" x14ac:dyDescent="0.25">
      <c r="B42" s="76"/>
      <c r="C42" s="77"/>
      <c r="D42" s="78"/>
      <c r="E42" s="79"/>
      <c r="F42" s="78"/>
      <c r="G42" s="79"/>
      <c r="H42" s="78"/>
      <c r="I42" s="79"/>
      <c r="J42" s="78"/>
      <c r="K42" s="38"/>
      <c r="L42" s="33"/>
      <c r="M42" s="42"/>
      <c r="N42" s="42"/>
      <c r="O42" s="42"/>
      <c r="P42" s="42"/>
      <c r="Q42" s="42"/>
      <c r="R42" s="42"/>
      <c r="S42" s="42"/>
      <c r="T42" s="42"/>
      <c r="U42" s="42"/>
      <c r="V42" s="42"/>
      <c r="W42" s="42"/>
      <c r="X42" s="42"/>
      <c r="Y42" s="42"/>
      <c r="Z42" s="42"/>
      <c r="AA42" s="42"/>
      <c r="AB42" s="42"/>
      <c r="AI42" s="280"/>
    </row>
    <row r="43" spans="2:35" ht="18.75" customHeight="1" thickTop="1" thickBot="1" x14ac:dyDescent="0.25">
      <c r="B43" s="80" t="s">
        <v>242</v>
      </c>
      <c r="C43" s="970"/>
      <c r="D43" s="971"/>
      <c r="E43" s="971"/>
      <c r="F43" s="971"/>
      <c r="G43" s="971"/>
      <c r="H43" s="971"/>
      <c r="I43" s="971"/>
      <c r="J43" s="972"/>
      <c r="K43" s="38"/>
      <c r="L43" s="347" t="s">
        <v>372</v>
      </c>
      <c r="M43" s="55" t="s">
        <v>182</v>
      </c>
      <c r="N43" s="55" t="s">
        <v>183</v>
      </c>
      <c r="O43" s="55" t="s">
        <v>184</v>
      </c>
      <c r="P43" s="55" t="s">
        <v>185</v>
      </c>
      <c r="Q43" s="55" t="s">
        <v>186</v>
      </c>
      <c r="R43" s="55" t="s">
        <v>187</v>
      </c>
      <c r="S43" s="55" t="s">
        <v>188</v>
      </c>
      <c r="T43" s="55" t="s">
        <v>189</v>
      </c>
      <c r="U43" s="55" t="s">
        <v>190</v>
      </c>
      <c r="V43" s="55" t="s">
        <v>191</v>
      </c>
      <c r="W43" s="55" t="s">
        <v>192</v>
      </c>
      <c r="X43" s="55" t="s">
        <v>193</v>
      </c>
      <c r="Y43" s="55" t="s">
        <v>194</v>
      </c>
      <c r="Z43" s="55" t="s">
        <v>195</v>
      </c>
      <c r="AA43" s="55" t="s">
        <v>196</v>
      </c>
      <c r="AB43" s="55" t="s">
        <v>197</v>
      </c>
      <c r="AI43" s="280"/>
    </row>
    <row r="44" spans="2:35" ht="18.75" customHeight="1" thickTop="1" x14ac:dyDescent="0.2">
      <c r="B44" s="81" t="s">
        <v>34</v>
      </c>
      <c r="C44" s="151">
        <f>IFERROR(INDEX(阻害要因有無×在院期間区分＿寛解・院内寛解[#All],MATCH($AI45,阻害要因有無×在院期間区分＿寛解・院内寛解[[#All],[行ラベル]],0),MATCH($AJ$4,阻害要因有無×在院期間区分＿寛解・院内寛解[#Headers],0)),0)+IFERROR(INDEX(阻害要因有無×在院期間区分＿寛解・院内寛解[#All],MATCH($AI45,阻害要因有無×在院期間区分＿寛解・院内寛解[[#All],[行ラベル]],0),MATCH($AK$4,阻害要因有無×在院期間区分＿寛解・院内寛解[#Headers],0)),0)+IFERROR(INDEX(阻害要因有無×在院期間区分＿寛解・院内寛解[#All],MATCH($AI45,阻害要因有無×在院期間区分＿寛解・院内寛解[[#All],[行ラベル]],0),MATCH($AL$4,阻害要因有無×在院期間区分＿寛解・院内寛解[#Headers],0)),0)+IFERROR(INDEX(阻害要因有無×在院期間区分＿寛解・院内寛解[#All],MATCH($AI45,阻害要因有無×在院期間区分＿寛解・院内寛解[[#All],[行ラベル]],0),MATCH($AM$4,阻害要因有無×在院期間区分＿寛解・院内寛解[#Headers],0)),0)</f>
        <v>201</v>
      </c>
      <c r="D44" s="153">
        <f>IFERROR(C44/C$38,"-")</f>
        <v>0.73897058823529416</v>
      </c>
      <c r="E44" s="151">
        <f>IFERROR(INDEX(阻害要因有無×在院期間区分＿寛解・院内寛解[#All],MATCH($AI45,阻害要因有無×在院期間区分＿寛解・院内寛解[[#All],[行ラベル]],0),MATCH($AN$4,阻害要因有無×在院期間区分＿寛解・院内寛解[#Headers],0)),0)+IFERROR(INDEX(阻害要因有無×在院期間区分＿寛解・院内寛解[#All],MATCH($AI45,阻害要因有無×在院期間区分＿寛解・院内寛解[[#All],[行ラベル]],0),MATCH($AO$4,阻害要因有無×在院期間区分＿寛解・院内寛解[#Headers],0)),0)+IFERROR(INDEX(阻害要因有無×在院期間区分＿寛解・院内寛解[#All],MATCH($AI45,阻害要因有無×在院期間区分＿寛解・院内寛解[[#All],[行ラベル]],0),MATCH($AP$4,阻害要因有無×在院期間区分＿寛解・院内寛解[#Headers],0)),0)+IFERROR(INDEX(阻害要因有無×在院期間区分＿寛解・院内寛解[#All],MATCH($AI45,阻害要因有無×在院期間区分＿寛解・院内寛解[[#All],[行ラベル]],0),MATCH($AQ$4,阻害要因有無×在院期間区分＿寛解・院内寛解[#Headers],0)),0)+IFERROR(INDEX(阻害要因有無×在院期間区分＿寛解・院内寛解[#All],MATCH($AI45,阻害要因有無×在院期間区分＿寛解・院内寛解[[#All],[行ラベル]],0),MATCH($AR$4,阻害要因有無×在院期間区分＿寛解・院内寛解[#Headers],0)),0)</f>
        <v>175</v>
      </c>
      <c r="F44" s="153">
        <f>IFERROR(E44/E$38,"-")</f>
        <v>0.96685082872928174</v>
      </c>
      <c r="G44" s="151">
        <f>IFERROR(INDEX(阻害要因有無×在院期間区分＿寛解・院内寛解[#All],MATCH($AI45,阻害要因有無×在院期間区分＿寛解・院内寛解[[#All],[行ラベル]],0),MATCH($AS$4,阻害要因有無×在院期間区分＿寛解・院内寛解[#Headers],0)),0)+IFERROR(INDEX(阻害要因有無×在院期間区分＿寛解・院内寛解[#All],MATCH($AI45,阻害要因有無×在院期間区分＿寛解・院内寛解[[#All],[行ラベル]],0),MATCH($AT$4,阻害要因有無×在院期間区分＿寛解・院内寛解[#Headers],0)),0)+IFERROR(INDEX(阻害要因有無×在院期間区分＿寛解・院内寛解[#All],MATCH($AI45,阻害要因有無×在院期間区分＿寛解・院内寛解[[#All],[行ラベル]],0),MATCH($AU$4,阻害要因有無×在院期間区分＿寛解・院内寛解[#Headers],0)),0)+IFERROR(INDEX(阻害要因有無×在院期間区分＿寛解・院内寛解[#All],MATCH($AI45,阻害要因有無×在院期間区分＿寛解・院内寛解[[#All],[行ラベル]],0),MATCH($AV$4,阻害要因有無×在院期間区分＿寛解・院内寛解[#Headers],0)),0)+IFERROR(INDEX(阻害要因有無×在院期間区分＿寛解・院内寛解[#All],MATCH($AI45,阻害要因有無×在院期間区分＿寛解・院内寛解[[#All],[行ラベル]],0),MATCH($AW$4,阻害要因有無×在院期間区分＿寛解・院内寛解[#Headers],0)),0)</f>
        <v>86</v>
      </c>
      <c r="H44" s="153">
        <f>IFERROR(G44/G$38,"-")</f>
        <v>0.97727272727272729</v>
      </c>
      <c r="I44" s="151">
        <f>IFERROR(INDEX(阻害要因有無×在院期間区分＿寛解・院内寛解[#All],MATCH($AI45,阻害要因有無×在院期間区分＿寛解・院内寛解[[#All],[行ラベル]],0),MATCH($AX$4,阻害要因有無×在院期間区分＿寛解・院内寛解[#Headers],0)),0)+IFERROR(INDEX(阻害要因有無×在院期間区分＿寛解・院内寛解[#All],MATCH($AI45,阻害要因有無×在院期間区分＿寛解・院内寛解[[#All],[行ラベル]],0),MATCH($AY$4,阻害要因有無×在院期間区分＿寛解・院内寛解[#Headers],0)),0)</f>
        <v>75</v>
      </c>
      <c r="J44" s="153">
        <f>IFERROR(I44/I$38,"-")</f>
        <v>1</v>
      </c>
      <c r="K44" s="38">
        <f>SUM(C44,E44,G44,I44)</f>
        <v>537</v>
      </c>
      <c r="L44" s="33">
        <v>91</v>
      </c>
      <c r="M44" s="58">
        <v>35</v>
      </c>
      <c r="N44" s="58">
        <v>59</v>
      </c>
      <c r="O44" s="58">
        <v>54</v>
      </c>
      <c r="P44" s="58">
        <v>53</v>
      </c>
      <c r="Q44" s="58">
        <v>45</v>
      </c>
      <c r="R44" s="58">
        <v>31</v>
      </c>
      <c r="S44" s="58">
        <v>48</v>
      </c>
      <c r="T44" s="58">
        <v>29</v>
      </c>
      <c r="U44" s="58">
        <v>22</v>
      </c>
      <c r="V44" s="58">
        <v>24</v>
      </c>
      <c r="W44" s="58">
        <v>20</v>
      </c>
      <c r="X44" s="58">
        <v>18</v>
      </c>
      <c r="Y44" s="58">
        <v>13</v>
      </c>
      <c r="Z44" s="58">
        <v>11</v>
      </c>
      <c r="AA44" s="58">
        <v>55</v>
      </c>
      <c r="AB44" s="58">
        <v>20</v>
      </c>
      <c r="AI44" s="280"/>
    </row>
    <row r="45" spans="2:35" ht="18.75" customHeight="1" x14ac:dyDescent="0.2">
      <c r="B45" s="74" t="s">
        <v>35</v>
      </c>
      <c r="C45" s="154">
        <f>IFERROR(INDEX(阻害要因有無×在院期間区分＿寛解・院内寛解[#All],MATCH($AI46,阻害要因有無×在院期間区分＿寛解・院内寛解[[#All],[行ラベル]],0),MATCH($AJ$4,阻害要因有無×在院期間区分＿寛解・院内寛解[#Headers],0)),0)+IFERROR(INDEX(阻害要因有無×在院期間区分＿寛解・院内寛解[#All],MATCH($AI46,阻害要因有無×在院期間区分＿寛解・院内寛解[[#All],[行ラベル]],0),MATCH($AK$4,阻害要因有無×在院期間区分＿寛解・院内寛解[#Headers],0)),0)+IFERROR(INDEX(阻害要因有無×在院期間区分＿寛解・院内寛解[#All],MATCH($AI46,阻害要因有無×在院期間区分＿寛解・院内寛解[[#All],[行ラベル]],0),MATCH($AL$4,阻害要因有無×在院期間区分＿寛解・院内寛解[#Headers],0)),0)+IFERROR(INDEX(阻害要因有無×在院期間区分＿寛解・院内寛解[#All],MATCH($AI46,阻害要因有無×在院期間区分＿寛解・院内寛解[[#All],[行ラベル]],0),MATCH($AM$4,阻害要因有無×在院期間区分＿寛解・院内寛解[#Headers],0)),0)</f>
        <v>71</v>
      </c>
      <c r="D45" s="155">
        <f>IFERROR(C45/C$38,"-")</f>
        <v>0.2610294117647059</v>
      </c>
      <c r="E45" s="154">
        <f>IFERROR(INDEX(阻害要因有無×在院期間区分＿寛解・院内寛解[#All],MATCH($AI46,阻害要因有無×在院期間区分＿寛解・院内寛解[[#All],[行ラベル]],0),MATCH($AN$4,阻害要因有無×在院期間区分＿寛解・院内寛解[#Headers],0)),0)+IFERROR(INDEX(阻害要因有無×在院期間区分＿寛解・院内寛解[#All],MATCH($AI46,阻害要因有無×在院期間区分＿寛解・院内寛解[[#All],[行ラベル]],0),MATCH($AO$4,阻害要因有無×在院期間区分＿寛解・院内寛解[#Headers],0)),0)+IFERROR(INDEX(阻害要因有無×在院期間区分＿寛解・院内寛解[#All],MATCH($AI46,阻害要因有無×在院期間区分＿寛解・院内寛解[[#All],[行ラベル]],0),MATCH($AP$4,阻害要因有無×在院期間区分＿寛解・院内寛解[#Headers],0)),0)+IFERROR(INDEX(阻害要因有無×在院期間区分＿寛解・院内寛解[#All],MATCH($AI46,阻害要因有無×在院期間区分＿寛解・院内寛解[[#All],[行ラベル]],0),MATCH($AQ$4,阻害要因有無×在院期間区分＿寛解・院内寛解[#Headers],0)),0)+IFERROR(INDEX(阻害要因有無×在院期間区分＿寛解・院内寛解[#All],MATCH($AI46,阻害要因有無×在院期間区分＿寛解・院内寛解[[#All],[行ラベル]],0),MATCH($AR$4,阻害要因有無×在院期間区分＿寛解・院内寛解[#Headers],0)),0)</f>
        <v>6</v>
      </c>
      <c r="F45" s="155">
        <f>IFERROR(E45/E$38,"-")</f>
        <v>3.3149171270718231E-2</v>
      </c>
      <c r="G45" s="154">
        <f>IFERROR(INDEX(阻害要因有無×在院期間区分＿寛解・院内寛解[#All],MATCH($AI46,阻害要因有無×在院期間区分＿寛解・院内寛解[[#All],[行ラベル]],0),MATCH($AS$4,阻害要因有無×在院期間区分＿寛解・院内寛解[#Headers],0)),0)+IFERROR(INDEX(阻害要因有無×在院期間区分＿寛解・院内寛解[#All],MATCH($AI46,阻害要因有無×在院期間区分＿寛解・院内寛解[[#All],[行ラベル]],0),MATCH($AT$4,阻害要因有無×在院期間区分＿寛解・院内寛解[#Headers],0)),0)+IFERROR(INDEX(阻害要因有無×在院期間区分＿寛解・院内寛解[#All],MATCH($AI46,阻害要因有無×在院期間区分＿寛解・院内寛解[[#All],[行ラベル]],0),MATCH($AU$4,阻害要因有無×在院期間区分＿寛解・院内寛解[#Headers],0)),0)+IFERROR(INDEX(阻害要因有無×在院期間区分＿寛解・院内寛解[#All],MATCH($AI46,阻害要因有無×在院期間区分＿寛解・院内寛解[[#All],[行ラベル]],0),MATCH($AV$4,阻害要因有無×在院期間区分＿寛解・院内寛解[#Headers],0)),0)+IFERROR(INDEX(阻害要因有無×在院期間区分＿寛解・院内寛解[#All],MATCH($AI46,阻害要因有無×在院期間区分＿寛解・院内寛解[[#All],[行ラベル]],0),MATCH($AW$4,阻害要因有無×在院期間区分＿寛解・院内寛解[#Headers],0)),0)</f>
        <v>2</v>
      </c>
      <c r="H45" s="155">
        <f>IFERROR(G45/G$38,"-")</f>
        <v>2.2727272727272728E-2</v>
      </c>
      <c r="I45" s="154">
        <f>IFERROR(INDEX(阻害要因有無×在院期間区分＿寛解・院内寛解[#All],MATCH($AI46,阻害要因有無×在院期間区分＿寛解・院内寛解[[#All],[行ラベル]],0),MATCH($AX$4,阻害要因有無×在院期間区分＿寛解・院内寛解[#Headers],0)),0)+IFERROR(INDEX(阻害要因有無×在院期間区分＿寛解・院内寛解[#All],MATCH($AI46,阻害要因有無×在院期間区分＿寛解・院内寛解[[#All],[行ラベル]],0),MATCH($AY$4,阻害要因有無×在院期間区分＿寛解・院内寛解[#Headers],0)),0)</f>
        <v>0</v>
      </c>
      <c r="J45" s="155">
        <f>IFERROR(I45/I$38,"-")</f>
        <v>0</v>
      </c>
      <c r="K45" s="38">
        <f>SUM(C45,E45,G45,I45)</f>
        <v>79</v>
      </c>
      <c r="L45" s="33">
        <v>90</v>
      </c>
      <c r="M45" s="58">
        <v>14</v>
      </c>
      <c r="N45" s="58">
        <v>35</v>
      </c>
      <c r="O45" s="58">
        <v>11</v>
      </c>
      <c r="P45" s="58">
        <v>11</v>
      </c>
      <c r="Q45" s="58">
        <v>3</v>
      </c>
      <c r="R45" s="58">
        <v>1</v>
      </c>
      <c r="S45" s="58">
        <v>1</v>
      </c>
      <c r="T45" s="58">
        <v>1</v>
      </c>
      <c r="U45" s="58">
        <v>0</v>
      </c>
      <c r="V45" s="58">
        <v>2</v>
      </c>
      <c r="W45" s="58">
        <v>0</v>
      </c>
      <c r="X45" s="58">
        <v>0</v>
      </c>
      <c r="Y45" s="58">
        <v>0</v>
      </c>
      <c r="Z45" s="58">
        <v>0</v>
      </c>
      <c r="AA45" s="58">
        <v>0</v>
      </c>
      <c r="AB45" s="58">
        <v>0</v>
      </c>
      <c r="AI45" s="280">
        <v>91</v>
      </c>
    </row>
    <row r="46" spans="2:35" ht="18.75" customHeight="1" thickBot="1" x14ac:dyDescent="0.25">
      <c r="B46" s="82" t="s">
        <v>264</v>
      </c>
      <c r="C46" s="970"/>
      <c r="D46" s="971"/>
      <c r="E46" s="971"/>
      <c r="F46" s="971"/>
      <c r="G46" s="971"/>
      <c r="H46" s="971"/>
      <c r="I46" s="971"/>
      <c r="J46" s="972"/>
      <c r="K46" s="38"/>
      <c r="L46" s="33"/>
      <c r="M46" s="58">
        <v>0</v>
      </c>
      <c r="N46" s="58">
        <v>0</v>
      </c>
      <c r="O46" s="58">
        <v>0</v>
      </c>
      <c r="P46" s="58">
        <v>0</v>
      </c>
      <c r="Q46" s="58">
        <v>0</v>
      </c>
      <c r="R46" s="58">
        <v>0</v>
      </c>
      <c r="S46" s="58">
        <v>0</v>
      </c>
      <c r="T46" s="58">
        <v>0</v>
      </c>
      <c r="U46" s="58">
        <v>0</v>
      </c>
      <c r="V46" s="58">
        <v>0</v>
      </c>
      <c r="W46" s="58">
        <v>0</v>
      </c>
      <c r="X46" s="58">
        <v>0</v>
      </c>
      <c r="Y46" s="58">
        <v>0</v>
      </c>
      <c r="Z46" s="58">
        <v>0</v>
      </c>
      <c r="AA46" s="58">
        <v>0</v>
      </c>
      <c r="AB46" s="58">
        <v>0</v>
      </c>
      <c r="AI46" s="280">
        <v>90</v>
      </c>
    </row>
    <row r="47" spans="2:35" ht="19.5" customHeight="1" thickTop="1" thickBot="1" x14ac:dyDescent="0.25">
      <c r="B47" s="973" t="s">
        <v>274</v>
      </c>
      <c r="C47" s="974"/>
      <c r="D47" s="974"/>
      <c r="E47" s="974"/>
      <c r="F47" s="974"/>
      <c r="G47" s="974"/>
      <c r="H47" s="974"/>
      <c r="I47" s="974"/>
      <c r="J47" s="975"/>
      <c r="K47" s="38">
        <f>SUM(C48,E48,G48,I48)</f>
        <v>149</v>
      </c>
      <c r="L47" s="347" t="s">
        <v>651</v>
      </c>
      <c r="M47" s="55" t="s">
        <v>182</v>
      </c>
      <c r="N47" s="55" t="s">
        <v>183</v>
      </c>
      <c r="O47" s="55" t="s">
        <v>184</v>
      </c>
      <c r="P47" s="55" t="s">
        <v>185</v>
      </c>
      <c r="Q47" s="55" t="s">
        <v>186</v>
      </c>
      <c r="R47" s="55" t="s">
        <v>187</v>
      </c>
      <c r="S47" s="55" t="s">
        <v>188</v>
      </c>
      <c r="T47" s="55" t="s">
        <v>189</v>
      </c>
      <c r="U47" s="55" t="s">
        <v>190</v>
      </c>
      <c r="V47" s="55" t="s">
        <v>191</v>
      </c>
      <c r="W47" s="55" t="s">
        <v>192</v>
      </c>
      <c r="X47" s="55" t="s">
        <v>193</v>
      </c>
      <c r="Y47" s="55" t="s">
        <v>194</v>
      </c>
      <c r="Z47" s="55" t="s">
        <v>195</v>
      </c>
      <c r="AA47" s="55" t="s">
        <v>196</v>
      </c>
      <c r="AB47" s="55" t="s">
        <v>197</v>
      </c>
      <c r="AI47" s="280"/>
    </row>
    <row r="48" spans="2:35" ht="37.5" customHeight="1" thickTop="1" x14ac:dyDescent="0.2">
      <c r="B48" s="83" t="s">
        <v>235</v>
      </c>
      <c r="C48" s="169">
        <f>IFERROR(INDEX(阻害要因×在院期間区分＿寛解・院内寛解[#All],MATCH($AI49,阻害要因×在院期間区分＿寛解・院内寛解[[#All],[値]],0),MATCH($AJ$4,阻害要因×在院期間区分＿寛解・院内寛解[#Headers],0)),0)+IFERROR(INDEX(阻害要因×在院期間区分＿寛解・院内寛解[#All],MATCH($AI49,阻害要因×在院期間区分＿寛解・院内寛解[[#All],[値]],0),MATCH($AK$4,阻害要因×在院期間区分＿寛解・院内寛解[#Headers],0)),0)+IFERROR(INDEX(阻害要因×在院期間区分＿寛解・院内寛解[#All],MATCH($AI49,阻害要因×在院期間区分＿寛解・院内寛解[[#All],[値]],0),MATCH($AL$4,阻害要因×在院期間区分＿寛解・院内寛解[#Headers],0)),0)+IFERROR(INDEX(阻害要因×在院期間区分＿寛解・院内寛解[#All],MATCH($AI49,阻害要因×在院期間区分＿寛解・院内寛解[[#All],[値]],0),MATCH($AM$4,阻害要因×在院期間区分＿寛解・院内寛解[#Headers],0)),0)</f>
        <v>59</v>
      </c>
      <c r="D48" s="170">
        <f t="shared" ref="D48:D64" si="12">IFERROR(C48/C$44,"-")</f>
        <v>0.29353233830845771</v>
      </c>
      <c r="E48" s="169">
        <f>IFERROR(INDEX(阻害要因×在院期間区分＿寛解・院内寛解[#All],MATCH($AI49,阻害要因×在院期間区分＿寛解・院内寛解[[#All],[値]],0),MATCH($AN$4,阻害要因×在院期間区分＿寛解・院内寛解[#Headers],0)),0)+IFERROR(INDEX(阻害要因×在院期間区分＿寛解・院内寛解[#All],MATCH($AI49,阻害要因×在院期間区分＿寛解・院内寛解[[#All],[値]],0),MATCH($AO$4,阻害要因×在院期間区分＿寛解・院内寛解[#Headers],0)),0)+IFERROR(INDEX(阻害要因×在院期間区分＿寛解・院内寛解[#All],MATCH($AI49,阻害要因×在院期間区分＿寛解・院内寛解[[#All],[値]],0),MATCH($AP$4,阻害要因×在院期間区分＿寛解・院内寛解[#Headers],0)),0)+IFERROR(INDEX(阻害要因×在院期間区分＿寛解・院内寛解[#All],MATCH($AI49,阻害要因×在院期間区分＿寛解・院内寛解[[#All],[値]],0),MATCH($AQ$4,阻害要因×在院期間区分＿寛解・院内寛解[#Headers],0)),0)+IFERROR(INDEX(阻害要因×在院期間区分＿寛解・院内寛解[#All],MATCH($AI49,阻害要因×在院期間区分＿寛解・院内寛解[[#All],[値]],0),MATCH($AR$4,阻害要因×在院期間区分＿寛解・院内寛解[#Headers],0)),0)</f>
        <v>41</v>
      </c>
      <c r="F48" s="170">
        <f t="shared" ref="F48:F64" si="13">IFERROR(E48/E$44,"-")</f>
        <v>0.23428571428571429</v>
      </c>
      <c r="G48" s="169">
        <f>IFERROR(INDEX(阻害要因×在院期間区分＿寛解・院内寛解[#All],MATCH($AI49,阻害要因×在院期間区分＿寛解・院内寛解[[#All],[値]],0),MATCH($AS$4,阻害要因×在院期間区分＿寛解・院内寛解[#Headers],0)),0)+IFERROR(INDEX(阻害要因×在院期間区分＿寛解・院内寛解[#All],MATCH($AI49,阻害要因×在院期間区分＿寛解・院内寛解[[#All],[値]],0),MATCH($AT$4,阻害要因×在院期間区分＿寛解・院内寛解[#Headers],0)),0)+IFERROR(INDEX(阻害要因×在院期間区分＿寛解・院内寛解[#All],MATCH($AI49,阻害要因×在院期間区分＿寛解・院内寛解[[#All],[値]],0),MATCH($AU$4,阻害要因×在院期間区分＿寛解・院内寛解[#Headers],0)),0)+IFERROR(INDEX(阻害要因×在院期間区分＿寛解・院内寛解[#All],MATCH($AI49,阻害要因×在院期間区分＿寛解・院内寛解[[#All],[値]],0),MATCH($AV$4,阻害要因×在院期間区分＿寛解・院内寛解[#Headers],0)),0)+IFERROR(INDEX(阻害要因×在院期間区分＿寛解・院内寛解[#All],MATCH($AI49,阻害要因×在院期間区分＿寛解・院内寛解[[#All],[値]],0),MATCH($AW$4,阻害要因×在院期間区分＿寛解・院内寛解[#Headers],0)),0)</f>
        <v>24</v>
      </c>
      <c r="H48" s="170">
        <f t="shared" ref="H48:H64" si="14">IFERROR(G48/G$44,"-")</f>
        <v>0.27906976744186046</v>
      </c>
      <c r="I48" s="169">
        <f>IFERROR(INDEX(阻害要因×在院期間区分＿寛解・院内寛解[#All],MATCH($AI49,阻害要因×在院期間区分＿寛解・院内寛解[[#All],[値]],0),MATCH($AX$4,阻害要因×在院期間区分＿寛解・院内寛解[#Headers],0)),0)+IFERROR(INDEX(阻害要因×在院期間区分＿寛解・院内寛解[#All],MATCH($AI49,阻害要因×在院期間区分＿寛解・院内寛解[[#All],[値]],0),MATCH($AY$4,阻害要因×在院期間区分＿寛解・院内寛解[#Headers],0)),0)</f>
        <v>25</v>
      </c>
      <c r="J48" s="170">
        <f t="shared" ref="J48:J64" si="15">IFERROR(I48/I$44,"-")</f>
        <v>0.33333333333333331</v>
      </c>
      <c r="K48" s="38">
        <f>SUM(C48,E48,G48,I48)</f>
        <v>149</v>
      </c>
      <c r="L48" s="33" t="s">
        <v>309</v>
      </c>
      <c r="M48" s="61">
        <v>12</v>
      </c>
      <c r="N48" s="61">
        <v>16</v>
      </c>
      <c r="O48" s="61">
        <v>13</v>
      </c>
      <c r="P48" s="61">
        <v>18</v>
      </c>
      <c r="Q48" s="61">
        <v>10</v>
      </c>
      <c r="R48" s="61">
        <v>7</v>
      </c>
      <c r="S48" s="61">
        <v>12</v>
      </c>
      <c r="T48" s="61">
        <v>8</v>
      </c>
      <c r="U48" s="61">
        <v>4</v>
      </c>
      <c r="V48" s="61">
        <v>7</v>
      </c>
      <c r="W48" s="61">
        <v>3</v>
      </c>
      <c r="X48" s="61">
        <v>8</v>
      </c>
      <c r="Y48" s="61">
        <v>3</v>
      </c>
      <c r="Z48" s="61">
        <v>3</v>
      </c>
      <c r="AA48" s="61">
        <v>17</v>
      </c>
      <c r="AB48" s="61">
        <v>8</v>
      </c>
      <c r="AI48" s="280"/>
    </row>
    <row r="49" spans="2:35" ht="18.75" customHeight="1" x14ac:dyDescent="0.2">
      <c r="B49" s="84" t="s">
        <v>66</v>
      </c>
      <c r="C49" s="154">
        <f>IFERROR(INDEX(阻害要因×在院期間区分＿寛解・院内寛解[#All],MATCH($AI50,阻害要因×在院期間区分＿寛解・院内寛解[[#All],[値]],0),MATCH($AJ$4,阻害要因×在院期間区分＿寛解・院内寛解[#Headers],0)),0)+IFERROR(INDEX(阻害要因×在院期間区分＿寛解・院内寛解[#All],MATCH($AI50,阻害要因×在院期間区分＿寛解・院内寛解[[#All],[値]],0),MATCH($AK$4,阻害要因×在院期間区分＿寛解・院内寛解[#Headers],0)),0)+IFERROR(INDEX(阻害要因×在院期間区分＿寛解・院内寛解[#All],MATCH($AI50,阻害要因×在院期間区分＿寛解・院内寛解[[#All],[値]],0),MATCH($AL$4,阻害要因×在院期間区分＿寛解・院内寛解[#Headers],0)),0)+IFERROR(INDEX(阻害要因×在院期間区分＿寛解・院内寛解[#All],MATCH($AI50,阻害要因×在院期間区分＿寛解・院内寛解[[#All],[値]],0),MATCH($AM$4,阻害要因×在院期間区分＿寛解・院内寛解[#Headers],0)),0)</f>
        <v>26</v>
      </c>
      <c r="D49" s="171">
        <f t="shared" si="12"/>
        <v>0.12935323383084577</v>
      </c>
      <c r="E49" s="154">
        <f>IFERROR(INDEX(阻害要因×在院期間区分＿寛解・院内寛解[#All],MATCH($AI50,阻害要因×在院期間区分＿寛解・院内寛解[[#All],[値]],0),MATCH($AN$4,阻害要因×在院期間区分＿寛解・院内寛解[#Headers],0)),0)+IFERROR(INDEX(阻害要因×在院期間区分＿寛解・院内寛解[#All],MATCH($AI50,阻害要因×在院期間区分＿寛解・院内寛解[[#All],[値]],0),MATCH($AO$4,阻害要因×在院期間区分＿寛解・院内寛解[#Headers],0)),0)+IFERROR(INDEX(阻害要因×在院期間区分＿寛解・院内寛解[#All],MATCH($AI50,阻害要因×在院期間区分＿寛解・院内寛解[[#All],[値]],0),MATCH($AP$4,阻害要因×在院期間区分＿寛解・院内寛解[#Headers],0)),0)+IFERROR(INDEX(阻害要因×在院期間区分＿寛解・院内寛解[#All],MATCH($AI50,阻害要因×在院期間区分＿寛解・院内寛解[[#All],[値]],0),MATCH($AQ$4,阻害要因×在院期間区分＿寛解・院内寛解[#Headers],0)),0)+IFERROR(INDEX(阻害要因×在院期間区分＿寛解・院内寛解[#All],MATCH($AI50,阻害要因×在院期間区分＿寛解・院内寛解[[#All],[値]],0),MATCH($AR$4,阻害要因×在院期間区分＿寛解・院内寛解[#Headers],0)),0)</f>
        <v>27</v>
      </c>
      <c r="F49" s="171">
        <f t="shared" si="13"/>
        <v>0.15428571428571428</v>
      </c>
      <c r="G49" s="154">
        <f>IFERROR(INDEX(阻害要因×在院期間区分＿寛解・院内寛解[#All],MATCH($AI50,阻害要因×在院期間区分＿寛解・院内寛解[[#All],[値]],0),MATCH($AS$4,阻害要因×在院期間区分＿寛解・院内寛解[#Headers],0)),0)+IFERROR(INDEX(阻害要因×在院期間区分＿寛解・院内寛解[#All],MATCH($AI50,阻害要因×在院期間区分＿寛解・院内寛解[[#All],[値]],0),MATCH($AT$4,阻害要因×在院期間区分＿寛解・院内寛解[#Headers],0)),0)+IFERROR(INDEX(阻害要因×在院期間区分＿寛解・院内寛解[#All],MATCH($AI50,阻害要因×在院期間区分＿寛解・院内寛解[[#All],[値]],0),MATCH($AU$4,阻害要因×在院期間区分＿寛解・院内寛解[#Headers],0)),0)+IFERROR(INDEX(阻害要因×在院期間区分＿寛解・院内寛解[#All],MATCH($AI50,阻害要因×在院期間区分＿寛解・院内寛解[[#All],[値]],0),MATCH($AV$4,阻害要因×在院期間区分＿寛解・院内寛解[#Headers],0)),0)+IFERROR(INDEX(阻害要因×在院期間区分＿寛解・院内寛解[#All],MATCH($AI50,阻害要因×在院期間区分＿寛解・院内寛解[[#All],[値]],0),MATCH($AW$4,阻害要因×在院期間区分＿寛解・院内寛解[#Headers],0)),0)</f>
        <v>16</v>
      </c>
      <c r="H49" s="171">
        <f t="shared" si="14"/>
        <v>0.18604651162790697</v>
      </c>
      <c r="I49" s="154">
        <f>IFERROR(INDEX(阻害要因×在院期間区分＿寛解・院内寛解[#All],MATCH($AI50,阻害要因×在院期間区分＿寛解・院内寛解[[#All],[値]],0),MATCH($AX$4,阻害要因×在院期間区分＿寛解・院内寛解[#Headers],0)),0)+IFERROR(INDEX(阻害要因×在院期間区分＿寛解・院内寛解[#All],MATCH($AI50,阻害要因×在院期間区分＿寛解・院内寛解[[#All],[値]],0),MATCH($AY$4,阻害要因×在院期間区分＿寛解・院内寛解[#Headers],0)),0)</f>
        <v>11</v>
      </c>
      <c r="J49" s="171">
        <f t="shared" si="15"/>
        <v>0.14666666666666667</v>
      </c>
      <c r="K49" s="38">
        <f t="shared" ref="K49:K67" si="16">SUM(C49,E49,G49,I49)</f>
        <v>80</v>
      </c>
      <c r="L49" s="55" t="s">
        <v>310</v>
      </c>
      <c r="M49" s="61">
        <v>2</v>
      </c>
      <c r="N49" s="61">
        <v>9</v>
      </c>
      <c r="O49" s="61">
        <v>10</v>
      </c>
      <c r="P49" s="61">
        <v>5</v>
      </c>
      <c r="Q49" s="61">
        <v>7</v>
      </c>
      <c r="R49" s="61">
        <v>4</v>
      </c>
      <c r="S49" s="61">
        <v>7</v>
      </c>
      <c r="T49" s="61">
        <v>6</v>
      </c>
      <c r="U49" s="61">
        <v>3</v>
      </c>
      <c r="V49" s="61">
        <v>4</v>
      </c>
      <c r="W49" s="61">
        <v>5</v>
      </c>
      <c r="X49" s="61">
        <v>5</v>
      </c>
      <c r="Y49" s="61">
        <v>2</v>
      </c>
      <c r="Z49" s="61">
        <v>0</v>
      </c>
      <c r="AA49" s="61">
        <v>7</v>
      </c>
      <c r="AB49" s="61">
        <v>4</v>
      </c>
      <c r="AI49" s="280" t="s">
        <v>309</v>
      </c>
    </row>
    <row r="50" spans="2:35" ht="18.75" customHeight="1" x14ac:dyDescent="0.2">
      <c r="B50" s="84" t="s">
        <v>38</v>
      </c>
      <c r="C50" s="865">
        <f>IFERROR(INDEX(阻害要因×在院期間区分＿寛解・院内寛解[#All],MATCH($AI51,阻害要因×在院期間区分＿寛解・院内寛解[[#All],[値]],0),MATCH($AJ$4,阻害要因×在院期間区分＿寛解・院内寛解[#Headers],0)),0)+IFERROR(INDEX(阻害要因×在院期間区分＿寛解・院内寛解[#All],MATCH($AI51,阻害要因×在院期間区分＿寛解・院内寛解[[#All],[値]],0),MATCH($AK$4,阻害要因×在院期間区分＿寛解・院内寛解[#Headers],0)),0)+IFERROR(INDEX(阻害要因×在院期間区分＿寛解・院内寛解[#All],MATCH($AI51,阻害要因×在院期間区分＿寛解・院内寛解[[#All],[値]],0),MATCH($AL$4,阻害要因×在院期間区分＿寛解・院内寛解[#Headers],0)),0)+IFERROR(INDEX(阻害要因×在院期間区分＿寛解・院内寛解[#All],MATCH($AI51,阻害要因×在院期間区分＿寛解・院内寛解[[#All],[値]],0),MATCH($AM$4,阻害要因×在院期間区分＿寛解・院内寛解[#Headers],0)),0)</f>
        <v>4</v>
      </c>
      <c r="D50" s="171">
        <f t="shared" si="12"/>
        <v>1.9900497512437811E-2</v>
      </c>
      <c r="E50" s="178">
        <f>IFERROR(INDEX(阻害要因×在院期間区分＿寛解・院内寛解[#All],MATCH($AI51,阻害要因×在院期間区分＿寛解・院内寛解[[#All],[値]],0),MATCH($AN$4,阻害要因×在院期間区分＿寛解・院内寛解[#Headers],0)),0)+IFERROR(INDEX(阻害要因×在院期間区分＿寛解・院内寛解[#All],MATCH($AI51,阻害要因×在院期間区分＿寛解・院内寛解[[#All],[値]],0),MATCH($AO$4,阻害要因×在院期間区分＿寛解・院内寛解[#Headers],0)),0)+IFERROR(INDEX(阻害要因×在院期間区分＿寛解・院内寛解[#All],MATCH($AI51,阻害要因×在院期間区分＿寛解・院内寛解[[#All],[値]],0),MATCH($AP$4,阻害要因×在院期間区分＿寛解・院内寛解[#Headers],0)),0)+IFERROR(INDEX(阻害要因×在院期間区分＿寛解・院内寛解[#All],MATCH($AI51,阻害要因×在院期間区分＿寛解・院内寛解[[#All],[値]],0),MATCH($AQ$4,阻害要因×在院期間区分＿寛解・院内寛解[#Headers],0)),0)+IFERROR(INDEX(阻害要因×在院期間区分＿寛解・院内寛解[#All],MATCH($AI51,阻害要因×在院期間区分＿寛解・院内寛解[[#All],[値]],0),MATCH($AR$4,阻害要因×在院期間区分＿寛解・院内寛解[#Headers],0)),0)</f>
        <v>5</v>
      </c>
      <c r="F50" s="171">
        <f t="shared" si="13"/>
        <v>2.8571428571428571E-2</v>
      </c>
      <c r="G50" s="178">
        <f>IFERROR(INDEX(阻害要因×在院期間区分＿寛解・院内寛解[#All],MATCH($AI51,阻害要因×在院期間区分＿寛解・院内寛解[[#All],[値]],0),MATCH($AS$4,阻害要因×在院期間区分＿寛解・院内寛解[#Headers],0)),0)+IFERROR(INDEX(阻害要因×在院期間区分＿寛解・院内寛解[#All],MATCH($AI51,阻害要因×在院期間区分＿寛解・院内寛解[[#All],[値]],0),MATCH($AT$4,阻害要因×在院期間区分＿寛解・院内寛解[#Headers],0)),0)+IFERROR(INDEX(阻害要因×在院期間区分＿寛解・院内寛解[#All],MATCH($AI51,阻害要因×在院期間区分＿寛解・院内寛解[[#All],[値]],0),MATCH($AU$4,阻害要因×在院期間区分＿寛解・院内寛解[#Headers],0)),0)+IFERROR(INDEX(阻害要因×在院期間区分＿寛解・院内寛解[#All],MATCH($AI51,阻害要因×在院期間区分＿寛解・院内寛解[[#All],[値]],0),MATCH($AV$4,阻害要因×在院期間区分＿寛解・院内寛解[#Headers],0)),0)+IFERROR(INDEX(阻害要因×在院期間区分＿寛解・院内寛解[#All],MATCH($AI51,阻害要因×在院期間区分＿寛解・院内寛解[[#All],[値]],0),MATCH($AW$4,阻害要因×在院期間区分＿寛解・院内寛解[#Headers],0)),0)</f>
        <v>0</v>
      </c>
      <c r="H50" s="171">
        <f t="shared" si="14"/>
        <v>0</v>
      </c>
      <c r="I50" s="178">
        <f>IFERROR(INDEX(阻害要因×在院期間区分＿寛解・院内寛解[#All],MATCH($AI51,阻害要因×在院期間区分＿寛解・院内寛解[[#All],[値]],0),MATCH($AX$4,阻害要因×在院期間区分＿寛解・院内寛解[#Headers],0)),0)+IFERROR(INDEX(阻害要因×在院期間区分＿寛解・院内寛解[#All],MATCH($AI51,阻害要因×在院期間区分＿寛解・院内寛解[[#All],[値]],0),MATCH($AY$4,阻害要因×在院期間区分＿寛解・院内寛解[#Headers],0)),0)</f>
        <v>1</v>
      </c>
      <c r="J50" s="171">
        <f t="shared" si="15"/>
        <v>1.3333333333333334E-2</v>
      </c>
      <c r="K50" s="38">
        <f t="shared" si="16"/>
        <v>10</v>
      </c>
      <c r="L50" s="55" t="s">
        <v>166</v>
      </c>
      <c r="M50" s="61">
        <v>0</v>
      </c>
      <c r="N50" s="61">
        <v>0</v>
      </c>
      <c r="O50" s="61">
        <v>3</v>
      </c>
      <c r="P50" s="61">
        <v>1</v>
      </c>
      <c r="Q50" s="61">
        <v>0</v>
      </c>
      <c r="R50" s="61">
        <v>1</v>
      </c>
      <c r="S50" s="61">
        <v>4</v>
      </c>
      <c r="T50" s="61">
        <v>0</v>
      </c>
      <c r="U50" s="61">
        <v>0</v>
      </c>
      <c r="V50" s="61">
        <v>0</v>
      </c>
      <c r="W50" s="61">
        <v>0</v>
      </c>
      <c r="X50" s="61">
        <v>0</v>
      </c>
      <c r="Y50" s="61">
        <v>0</v>
      </c>
      <c r="Z50" s="61">
        <v>0</v>
      </c>
      <c r="AA50" s="61">
        <v>1</v>
      </c>
      <c r="AB50" s="61">
        <v>0</v>
      </c>
      <c r="AI50" s="280" t="s">
        <v>310</v>
      </c>
    </row>
    <row r="51" spans="2:35" ht="18.75" customHeight="1" x14ac:dyDescent="0.2">
      <c r="B51" s="84" t="s">
        <v>39</v>
      </c>
      <c r="C51" s="860">
        <f>IFERROR(INDEX(阻害要因×在院期間区分＿寛解・院内寛解[#All],MATCH($AI52,阻害要因×在院期間区分＿寛解・院内寛解[[#All],[値]],0),MATCH($AJ$4,阻害要因×在院期間区分＿寛解・院内寛解[#Headers],0)),0)+IFERROR(INDEX(阻害要因×在院期間区分＿寛解・院内寛解[#All],MATCH($AI52,阻害要因×在院期間区分＿寛解・院内寛解[[#All],[値]],0),MATCH($AK$4,阻害要因×在院期間区分＿寛解・院内寛解[#Headers],0)),0)+IFERROR(INDEX(阻害要因×在院期間区分＿寛解・院内寛解[#All],MATCH($AI52,阻害要因×在院期間区分＿寛解・院内寛解[[#All],[値]],0),MATCH($AL$4,阻害要因×在院期間区分＿寛解・院内寛解[#Headers],0)),0)+IFERROR(INDEX(阻害要因×在院期間区分＿寛解・院内寛解[#All],MATCH($AI52,阻害要因×在院期間区分＿寛解・院内寛解[[#All],[値]],0),MATCH($AM$4,阻害要因×在院期間区分＿寛解・院内寛解[#Headers],0)),0)</f>
        <v>39</v>
      </c>
      <c r="D51" s="171">
        <f t="shared" si="12"/>
        <v>0.19402985074626866</v>
      </c>
      <c r="E51" s="154">
        <f>IFERROR(INDEX(阻害要因×在院期間区分＿寛解・院内寛解[#All],MATCH($AI52,阻害要因×在院期間区分＿寛解・院内寛解[[#All],[値]],0),MATCH($AN$4,阻害要因×在院期間区分＿寛解・院内寛解[#Headers],0)),0)+IFERROR(INDEX(阻害要因×在院期間区分＿寛解・院内寛解[#All],MATCH($AI52,阻害要因×在院期間区分＿寛解・院内寛解[[#All],[値]],0),MATCH($AO$4,阻害要因×在院期間区分＿寛解・院内寛解[#Headers],0)),0)+IFERROR(INDEX(阻害要因×在院期間区分＿寛解・院内寛解[#All],MATCH($AI52,阻害要因×在院期間区分＿寛解・院内寛解[[#All],[値]],0),MATCH($AP$4,阻害要因×在院期間区分＿寛解・院内寛解[#Headers],0)),0)+IFERROR(INDEX(阻害要因×在院期間区分＿寛解・院内寛解[#All],MATCH($AI52,阻害要因×在院期間区分＿寛解・院内寛解[[#All],[値]],0),MATCH($AQ$4,阻害要因×在院期間区分＿寛解・院内寛解[#Headers],0)),0)+IFERROR(INDEX(阻害要因×在院期間区分＿寛解・院内寛解[#All],MATCH($AI52,阻害要因×在院期間区分＿寛解・院内寛解[[#All],[値]],0),MATCH($AR$4,阻害要因×在院期間区分＿寛解・院内寛解[#Headers],0)),0)</f>
        <v>75</v>
      </c>
      <c r="F51" s="171">
        <f t="shared" si="13"/>
        <v>0.42857142857142855</v>
      </c>
      <c r="G51" s="154">
        <f>IFERROR(INDEX(阻害要因×在院期間区分＿寛解・院内寛解[#All],MATCH($AI52,阻害要因×在院期間区分＿寛解・院内寛解[[#All],[値]],0),MATCH($AS$4,阻害要因×在院期間区分＿寛解・院内寛解[#Headers],0)),0)+IFERROR(INDEX(阻害要因×在院期間区分＿寛解・院内寛解[#All],MATCH($AI52,阻害要因×在院期間区分＿寛解・院内寛解[[#All],[値]],0),MATCH($AT$4,阻害要因×在院期間区分＿寛解・院内寛解[#Headers],0)),0)+IFERROR(INDEX(阻害要因×在院期間区分＿寛解・院内寛解[#All],MATCH($AI52,阻害要因×在院期間区分＿寛解・院内寛解[[#All],[値]],0),MATCH($AU$4,阻害要因×在院期間区分＿寛解・院内寛解[#Headers],0)),0)+IFERROR(INDEX(阻害要因×在院期間区分＿寛解・院内寛解[#All],MATCH($AI52,阻害要因×在院期間区分＿寛解・院内寛解[[#All],[値]],0),MATCH($AV$4,阻害要因×在院期間区分＿寛解・院内寛解[#Headers],0)),0)+IFERROR(INDEX(阻害要因×在院期間区分＿寛解・院内寛解[#All],MATCH($AI52,阻害要因×在院期間区分＿寛解・院内寛解[[#All],[値]],0),MATCH($AW$4,阻害要因×在院期間区分＿寛解・院内寛解[#Headers],0)),0)</f>
        <v>44</v>
      </c>
      <c r="H51" s="171">
        <f t="shared" si="14"/>
        <v>0.51162790697674421</v>
      </c>
      <c r="I51" s="154">
        <f>IFERROR(INDEX(阻害要因×在院期間区分＿寛解・院内寛解[#All],MATCH($AI52,阻害要因×在院期間区分＿寛解・院内寛解[[#All],[値]],0),MATCH($AX$4,阻害要因×在院期間区分＿寛解・院内寛解[#Headers],0)),0)+IFERROR(INDEX(阻害要因×在院期間区分＿寛解・院内寛解[#All],MATCH($AI52,阻害要因×在院期間区分＿寛解・院内寛解[[#All],[値]],0),MATCH($AY$4,阻害要因×在院期間区分＿寛解・院内寛解[#Headers],0)),0)</f>
        <v>42</v>
      </c>
      <c r="J51" s="171">
        <f t="shared" si="15"/>
        <v>0.56000000000000005</v>
      </c>
      <c r="K51" s="38">
        <f t="shared" si="16"/>
        <v>200</v>
      </c>
      <c r="L51" s="55" t="s">
        <v>167</v>
      </c>
      <c r="M51" s="61">
        <v>6</v>
      </c>
      <c r="N51" s="61">
        <v>7</v>
      </c>
      <c r="O51" s="61">
        <v>13</v>
      </c>
      <c r="P51" s="61">
        <v>13</v>
      </c>
      <c r="Q51" s="61">
        <v>15</v>
      </c>
      <c r="R51" s="61">
        <v>10</v>
      </c>
      <c r="S51" s="61">
        <v>22</v>
      </c>
      <c r="T51" s="61">
        <v>15</v>
      </c>
      <c r="U51" s="61">
        <v>13</v>
      </c>
      <c r="V51" s="61">
        <v>13</v>
      </c>
      <c r="W51" s="61">
        <v>7</v>
      </c>
      <c r="X51" s="61">
        <v>12</v>
      </c>
      <c r="Y51" s="61">
        <v>6</v>
      </c>
      <c r="Z51" s="61">
        <v>6</v>
      </c>
      <c r="AA51" s="61">
        <v>31</v>
      </c>
      <c r="AB51" s="61">
        <v>11</v>
      </c>
      <c r="AI51" s="280" t="s">
        <v>166</v>
      </c>
    </row>
    <row r="52" spans="2:35" ht="18.75" customHeight="1" x14ac:dyDescent="0.2">
      <c r="B52" s="84" t="s">
        <v>40</v>
      </c>
      <c r="C52" s="870">
        <f>IFERROR(INDEX(阻害要因×在院期間区分＿寛解・院内寛解[#All],MATCH($AI53,阻害要因×在院期間区分＿寛解・院内寛解[[#All],[値]],0),MATCH($AJ$4,阻害要因×在院期間区分＿寛解・院内寛解[#Headers],0)),0)+IFERROR(INDEX(阻害要因×在院期間区分＿寛解・院内寛解[#All],MATCH($AI53,阻害要因×在院期間区分＿寛解・院内寛解[[#All],[値]],0),MATCH($AK$4,阻害要因×在院期間区分＿寛解・院内寛解[#Headers],0)),0)+IFERROR(INDEX(阻害要因×在院期間区分＿寛解・院内寛解[#All],MATCH($AI53,阻害要因×在院期間区分＿寛解・院内寛解[[#All],[値]],0),MATCH($AL$4,阻害要因×在院期間区分＿寛解・院内寛解[#Headers],0)),0)+IFERROR(INDEX(阻害要因×在院期間区分＿寛解・院内寛解[#All],MATCH($AI53,阻害要因×在院期間区分＿寛解・院内寛解[[#All],[値]],0),MATCH($AM$4,阻害要因×在院期間区分＿寛解・院内寛解[#Headers],0)),0)</f>
        <v>46</v>
      </c>
      <c r="D52" s="171">
        <f t="shared" si="12"/>
        <v>0.22885572139303484</v>
      </c>
      <c r="E52" s="154">
        <f>IFERROR(INDEX(阻害要因×在院期間区分＿寛解・院内寛解[#All],MATCH($AI53,阻害要因×在院期間区分＿寛解・院内寛解[[#All],[値]],0),MATCH($AN$4,阻害要因×在院期間区分＿寛解・院内寛解[#Headers],0)),0)+IFERROR(INDEX(阻害要因×在院期間区分＿寛解・院内寛解[#All],MATCH($AI53,阻害要因×在院期間区分＿寛解・院内寛解[[#All],[値]],0),MATCH($AO$4,阻害要因×在院期間区分＿寛解・院内寛解[#Headers],0)),0)+IFERROR(INDEX(阻害要因×在院期間区分＿寛解・院内寛解[#All],MATCH($AI53,阻害要因×在院期間区分＿寛解・院内寛解[[#All],[値]],0),MATCH($AP$4,阻害要因×在院期間区分＿寛解・院内寛解[#Headers],0)),0)+IFERROR(INDEX(阻害要因×在院期間区分＿寛解・院内寛解[#All],MATCH($AI53,阻害要因×在院期間区分＿寛解・院内寛解[[#All],[値]],0),MATCH($AQ$4,阻害要因×在院期間区分＿寛解・院内寛解[#Headers],0)),0)+IFERROR(INDEX(阻害要因×在院期間区分＿寛解・院内寛解[#All],MATCH($AI53,阻害要因×在院期間区分＿寛解・院内寛解[[#All],[値]],0),MATCH($AR$4,阻害要因×在院期間区分＿寛解・院内寛解[#Headers],0)),0)</f>
        <v>42</v>
      </c>
      <c r="F52" s="171">
        <f t="shared" si="13"/>
        <v>0.24</v>
      </c>
      <c r="G52" s="154">
        <f>IFERROR(INDEX(阻害要因×在院期間区分＿寛解・院内寛解[#All],MATCH($AI53,阻害要因×在院期間区分＿寛解・院内寛解[[#All],[値]],0),MATCH($AS$4,阻害要因×在院期間区分＿寛解・院内寛解[#Headers],0)),0)+IFERROR(INDEX(阻害要因×在院期間区分＿寛解・院内寛解[#All],MATCH($AI53,阻害要因×在院期間区分＿寛解・院内寛解[[#All],[値]],0),MATCH($AT$4,阻害要因×在院期間区分＿寛解・院内寛解[#Headers],0)),0)+IFERROR(INDEX(阻害要因×在院期間区分＿寛解・院内寛解[#All],MATCH($AI53,阻害要因×在院期間区分＿寛解・院内寛解[[#All],[値]],0),MATCH($AU$4,阻害要因×在院期間区分＿寛解・院内寛解[#Headers],0)),0)+IFERROR(INDEX(阻害要因×在院期間区分＿寛解・院内寛解[#All],MATCH($AI53,阻害要因×在院期間区分＿寛解・院内寛解[[#All],[値]],0),MATCH($AV$4,阻害要因×在院期間区分＿寛解・院内寛解[#Headers],0)),0)+IFERROR(INDEX(阻害要因×在院期間区分＿寛解・院内寛解[#All],MATCH($AI53,阻害要因×在院期間区分＿寛解・院内寛解[[#All],[値]],0),MATCH($AW$4,阻害要因×在院期間区分＿寛解・院内寛解[#Headers],0)),0)</f>
        <v>37</v>
      </c>
      <c r="H52" s="171">
        <f t="shared" si="14"/>
        <v>0.43023255813953487</v>
      </c>
      <c r="I52" s="154">
        <f>IFERROR(INDEX(阻害要因×在院期間区分＿寛解・院内寛解[#All],MATCH($AI53,阻害要因×在院期間区分＿寛解・院内寛解[[#All],[値]],0),MATCH($AX$4,阻害要因×在院期間区分＿寛解・院内寛解[#Headers],0)),0)+IFERROR(INDEX(阻害要因×在院期間区分＿寛解・院内寛解[#All],MATCH($AI53,阻害要因×在院期間区分＿寛解・院内寛解[[#All],[値]],0),MATCH($AY$4,阻害要因×在院期間区分＿寛解・院内寛解[#Headers],0)),0)</f>
        <v>26</v>
      </c>
      <c r="J52" s="171">
        <f t="shared" si="15"/>
        <v>0.34666666666666668</v>
      </c>
      <c r="K52" s="38">
        <f t="shared" si="16"/>
        <v>151</v>
      </c>
      <c r="L52" s="55" t="s">
        <v>168</v>
      </c>
      <c r="M52" s="61">
        <v>6</v>
      </c>
      <c r="N52" s="61">
        <v>13</v>
      </c>
      <c r="O52" s="61">
        <v>17</v>
      </c>
      <c r="P52" s="61">
        <v>10</v>
      </c>
      <c r="Q52" s="61">
        <v>13</v>
      </c>
      <c r="R52" s="61">
        <v>7</v>
      </c>
      <c r="S52" s="61">
        <v>11</v>
      </c>
      <c r="T52" s="61">
        <v>7</v>
      </c>
      <c r="U52" s="61">
        <v>4</v>
      </c>
      <c r="V52" s="61">
        <v>10</v>
      </c>
      <c r="W52" s="61">
        <v>7</v>
      </c>
      <c r="X52" s="61">
        <v>10</v>
      </c>
      <c r="Y52" s="61">
        <v>7</v>
      </c>
      <c r="Z52" s="61">
        <v>3</v>
      </c>
      <c r="AA52" s="61">
        <v>20</v>
      </c>
      <c r="AB52" s="61">
        <v>6</v>
      </c>
      <c r="AI52" s="280" t="s">
        <v>167</v>
      </c>
    </row>
    <row r="53" spans="2:35" ht="18.75" customHeight="1" x14ac:dyDescent="0.2">
      <c r="B53" s="84" t="s">
        <v>41</v>
      </c>
      <c r="C53" s="871">
        <f>IFERROR(INDEX(阻害要因×在院期間区分＿寛解・院内寛解[#All],MATCH($AI54,阻害要因×在院期間区分＿寛解・院内寛解[[#All],[値]],0),MATCH($AJ$4,阻害要因×在院期間区分＿寛解・院内寛解[#Headers],0)),0)+IFERROR(INDEX(阻害要因×在院期間区分＿寛解・院内寛解[#All],MATCH($AI54,阻害要因×在院期間区分＿寛解・院内寛解[[#All],[値]],0),MATCH($AK$4,阻害要因×在院期間区分＿寛解・院内寛解[#Headers],0)),0)+IFERROR(INDEX(阻害要因×在院期間区分＿寛解・院内寛解[#All],MATCH($AI54,阻害要因×在院期間区分＿寛解・院内寛解[[#All],[値]],0),MATCH($AL$4,阻害要因×在院期間区分＿寛解・院内寛解[#Headers],0)),0)+IFERROR(INDEX(阻害要因×在院期間区分＿寛解・院内寛解[#All],MATCH($AI54,阻害要因×在院期間区分＿寛解・院内寛解[[#All],[値]],0),MATCH($AM$4,阻害要因×在院期間区分＿寛解・院内寛解[#Headers],0)),0)</f>
        <v>41</v>
      </c>
      <c r="D53" s="171">
        <f t="shared" si="12"/>
        <v>0.20398009950248755</v>
      </c>
      <c r="E53" s="154">
        <f>IFERROR(INDEX(阻害要因×在院期間区分＿寛解・院内寛解[#All],MATCH($AI54,阻害要因×在院期間区分＿寛解・院内寛解[[#All],[値]],0),MATCH($AN$4,阻害要因×在院期間区分＿寛解・院内寛解[#Headers],0)),0)+IFERROR(INDEX(阻害要因×在院期間区分＿寛解・院内寛解[#All],MATCH($AI54,阻害要因×在院期間区分＿寛解・院内寛解[[#All],[値]],0),MATCH($AO$4,阻害要因×在院期間区分＿寛解・院内寛解[#Headers],0)),0)+IFERROR(INDEX(阻害要因×在院期間区分＿寛解・院内寛解[#All],MATCH($AI54,阻害要因×在院期間区分＿寛解・院内寛解[[#All],[値]],0),MATCH($AP$4,阻害要因×在院期間区分＿寛解・院内寛解[#Headers],0)),0)+IFERROR(INDEX(阻害要因×在院期間区分＿寛解・院内寛解[#All],MATCH($AI54,阻害要因×在院期間区分＿寛解・院内寛解[[#All],[値]],0),MATCH($AQ$4,阻害要因×在院期間区分＿寛解・院内寛解[#Headers],0)),0)+IFERROR(INDEX(阻害要因×在院期間区分＿寛解・院内寛解[#All],MATCH($AI54,阻害要因×在院期間区分＿寛解・院内寛解[[#All],[値]],0),MATCH($AR$4,阻害要因×在院期間区分＿寛解・院内寛解[#Headers],0)),0)</f>
        <v>42</v>
      </c>
      <c r="F53" s="171">
        <f t="shared" si="13"/>
        <v>0.24</v>
      </c>
      <c r="G53" s="154">
        <f>IFERROR(INDEX(阻害要因×在院期間区分＿寛解・院内寛解[#All],MATCH($AI54,阻害要因×在院期間区分＿寛解・院内寛解[[#All],[値]],0),MATCH($AS$4,阻害要因×在院期間区分＿寛解・院内寛解[#Headers],0)),0)+IFERROR(INDEX(阻害要因×在院期間区分＿寛解・院内寛解[#All],MATCH($AI54,阻害要因×在院期間区分＿寛解・院内寛解[[#All],[値]],0),MATCH($AT$4,阻害要因×在院期間区分＿寛解・院内寛解[#Headers],0)),0)+IFERROR(INDEX(阻害要因×在院期間区分＿寛解・院内寛解[#All],MATCH($AI54,阻害要因×在院期間区分＿寛解・院内寛解[[#All],[値]],0),MATCH($AU$4,阻害要因×在院期間区分＿寛解・院内寛解[#Headers],0)),0)+IFERROR(INDEX(阻害要因×在院期間区分＿寛解・院内寛解[#All],MATCH($AI54,阻害要因×在院期間区分＿寛解・院内寛解[[#All],[値]],0),MATCH($AV$4,阻害要因×在院期間区分＿寛解・院内寛解[#Headers],0)),0)+IFERROR(INDEX(阻害要因×在院期間区分＿寛解・院内寛解[#All],MATCH($AI54,阻害要因×在院期間区分＿寛解・院内寛解[[#All],[値]],0),MATCH($AW$4,阻害要因×在院期間区分＿寛解・院内寛解[#Headers],0)),0)</f>
        <v>22</v>
      </c>
      <c r="H53" s="171">
        <f t="shared" si="14"/>
        <v>0.2558139534883721</v>
      </c>
      <c r="I53" s="154">
        <f>IFERROR(INDEX(阻害要因×在院期間区分＿寛解・院内寛解[#All],MATCH($AI54,阻害要因×在院期間区分＿寛解・院内寛解[[#All],[値]],0),MATCH($AX$4,阻害要因×在院期間区分＿寛解・院内寛解[#Headers],0)),0)+IFERROR(INDEX(阻害要因×在院期間区分＿寛解・院内寛解[#All],MATCH($AI54,阻害要因×在院期間区分＿寛解・院内寛解[[#All],[値]],0),MATCH($AY$4,阻害要因×在院期間区分＿寛解・院内寛解[#Headers],0)),0)</f>
        <v>23</v>
      </c>
      <c r="J53" s="171">
        <f t="shared" si="15"/>
        <v>0.30666666666666664</v>
      </c>
      <c r="K53" s="38">
        <f t="shared" si="16"/>
        <v>128</v>
      </c>
      <c r="L53" s="55" t="s">
        <v>169</v>
      </c>
      <c r="M53" s="61">
        <v>7</v>
      </c>
      <c r="N53" s="61">
        <v>9</v>
      </c>
      <c r="O53" s="61">
        <v>14</v>
      </c>
      <c r="P53" s="61">
        <v>11</v>
      </c>
      <c r="Q53" s="61">
        <v>13</v>
      </c>
      <c r="R53" s="61">
        <v>6</v>
      </c>
      <c r="S53" s="61">
        <v>10</v>
      </c>
      <c r="T53" s="61">
        <v>5</v>
      </c>
      <c r="U53" s="61">
        <v>8</v>
      </c>
      <c r="V53" s="61">
        <v>3</v>
      </c>
      <c r="W53" s="61">
        <v>4</v>
      </c>
      <c r="X53" s="61">
        <v>5</v>
      </c>
      <c r="Y53" s="61">
        <v>5</v>
      </c>
      <c r="Z53" s="61">
        <v>5</v>
      </c>
      <c r="AA53" s="61">
        <v>15</v>
      </c>
      <c r="AB53" s="61">
        <v>8</v>
      </c>
      <c r="AI53" s="280" t="s">
        <v>168</v>
      </c>
    </row>
    <row r="54" spans="2:35" ht="18.75" customHeight="1" x14ac:dyDescent="0.2">
      <c r="B54" s="84" t="s">
        <v>42</v>
      </c>
      <c r="C54" s="860">
        <f>IFERROR(INDEX(阻害要因×在院期間区分＿寛解・院内寛解[#All],MATCH($AI55,阻害要因×在院期間区分＿寛解・院内寛解[[#All],[値]],0),MATCH($AJ$4,阻害要因×在院期間区分＿寛解・院内寛解[#Headers],0)),0)+IFERROR(INDEX(阻害要因×在院期間区分＿寛解・院内寛解[#All],MATCH($AI55,阻害要因×在院期間区分＿寛解・院内寛解[[#All],[値]],0),MATCH($AK$4,阻害要因×在院期間区分＿寛解・院内寛解[#Headers],0)),0)+IFERROR(INDEX(阻害要因×在院期間区分＿寛解・院内寛解[#All],MATCH($AI55,阻害要因×在院期間区分＿寛解・院内寛解[[#All],[値]],0),MATCH($AL$4,阻害要因×在院期間区分＿寛解・院内寛解[#Headers],0)),0)+IFERROR(INDEX(阻害要因×在院期間区分＿寛解・院内寛解[#All],MATCH($AI55,阻害要因×在院期間区分＿寛解・院内寛解[[#All],[値]],0),MATCH($AM$4,阻害要因×在院期間区分＿寛解・院内寛解[#Headers],0)),0)</f>
        <v>7</v>
      </c>
      <c r="D54" s="171">
        <f t="shared" si="12"/>
        <v>3.482587064676617E-2</v>
      </c>
      <c r="E54" s="180">
        <f>IFERROR(INDEX(阻害要因×在院期間区分＿寛解・院内寛解[#All],MATCH($AI55,阻害要因×在院期間区分＿寛解・院内寛解[[#All],[値]],0),MATCH($AN$4,阻害要因×在院期間区分＿寛解・院内寛解[#Headers],0)),0)+IFERROR(INDEX(阻害要因×在院期間区分＿寛解・院内寛解[#All],MATCH($AI55,阻害要因×在院期間区分＿寛解・院内寛解[[#All],[値]],0),MATCH($AO$4,阻害要因×在院期間区分＿寛解・院内寛解[#Headers],0)),0)+IFERROR(INDEX(阻害要因×在院期間区分＿寛解・院内寛解[#All],MATCH($AI55,阻害要因×在院期間区分＿寛解・院内寛解[[#All],[値]],0),MATCH($AP$4,阻害要因×在院期間区分＿寛解・院内寛解[#Headers],0)),0)+IFERROR(INDEX(阻害要因×在院期間区分＿寛解・院内寛解[#All],MATCH($AI55,阻害要因×在院期間区分＿寛解・院内寛解[[#All],[値]],0),MATCH($AQ$4,阻害要因×在院期間区分＿寛解・院内寛解[#Headers],0)),0)+IFERROR(INDEX(阻害要因×在院期間区分＿寛解・院内寛解[#All],MATCH($AI55,阻害要因×在院期間区分＿寛解・院内寛解[[#All],[値]],0),MATCH($AR$4,阻害要因×在院期間区分＿寛解・院内寛解[#Headers],0)),0)</f>
        <v>2</v>
      </c>
      <c r="F54" s="171">
        <f t="shared" si="13"/>
        <v>1.1428571428571429E-2</v>
      </c>
      <c r="G54" s="180">
        <f>IFERROR(INDEX(阻害要因×在院期間区分＿寛解・院内寛解[#All],MATCH($AI55,阻害要因×在院期間区分＿寛解・院内寛解[[#All],[値]],0),MATCH($AS$4,阻害要因×在院期間区分＿寛解・院内寛解[#Headers],0)),0)+IFERROR(INDEX(阻害要因×在院期間区分＿寛解・院内寛解[#All],MATCH($AI55,阻害要因×在院期間区分＿寛解・院内寛解[[#All],[値]],0),MATCH($AT$4,阻害要因×在院期間区分＿寛解・院内寛解[#Headers],0)),0)+IFERROR(INDEX(阻害要因×在院期間区分＿寛解・院内寛解[#All],MATCH($AI55,阻害要因×在院期間区分＿寛解・院内寛解[[#All],[値]],0),MATCH($AU$4,阻害要因×在院期間区分＿寛解・院内寛解[#Headers],0)),0)+IFERROR(INDEX(阻害要因×在院期間区分＿寛解・院内寛解[#All],MATCH($AI55,阻害要因×在院期間区分＿寛解・院内寛解[[#All],[値]],0),MATCH($AV$4,阻害要因×在院期間区分＿寛解・院内寛解[#Headers],0)),0)+IFERROR(INDEX(阻害要因×在院期間区分＿寛解・院内寛解[#All],MATCH($AI55,阻害要因×在院期間区分＿寛解・院内寛解[[#All],[値]],0),MATCH($AW$4,阻害要因×在院期間区分＿寛解・院内寛解[#Headers],0)),0)</f>
        <v>3</v>
      </c>
      <c r="H54" s="171">
        <f t="shared" si="14"/>
        <v>3.4883720930232558E-2</v>
      </c>
      <c r="I54" s="180">
        <f>IFERROR(INDEX(阻害要因×在院期間区分＿寛解・院内寛解[#All],MATCH($AI55,阻害要因×在院期間区分＿寛解・院内寛解[[#All],[値]],0),MATCH($AX$4,阻害要因×在院期間区分＿寛解・院内寛解[#Headers],0)),0)+IFERROR(INDEX(阻害要因×在院期間区分＿寛解・院内寛解[#All],MATCH($AI55,阻害要因×在院期間区分＿寛解・院内寛解[[#All],[値]],0),MATCH($AY$4,阻害要因×在院期間区分＿寛解・院内寛解[#Headers],0)),0)</f>
        <v>4</v>
      </c>
      <c r="J54" s="171">
        <f t="shared" si="15"/>
        <v>5.3333333333333337E-2</v>
      </c>
      <c r="K54" s="38">
        <f t="shared" si="16"/>
        <v>16</v>
      </c>
      <c r="L54" s="55" t="s">
        <v>170</v>
      </c>
      <c r="M54" s="61">
        <v>1</v>
      </c>
      <c r="N54" s="61">
        <v>3</v>
      </c>
      <c r="O54" s="61">
        <v>1</v>
      </c>
      <c r="P54" s="61">
        <v>2</v>
      </c>
      <c r="Q54" s="61">
        <v>0</v>
      </c>
      <c r="R54" s="61">
        <v>1</v>
      </c>
      <c r="S54" s="61">
        <v>1</v>
      </c>
      <c r="T54" s="61">
        <v>0</v>
      </c>
      <c r="U54" s="61">
        <v>0</v>
      </c>
      <c r="V54" s="61">
        <v>1</v>
      </c>
      <c r="W54" s="61">
        <v>0</v>
      </c>
      <c r="X54" s="61">
        <v>1</v>
      </c>
      <c r="Y54" s="61">
        <v>1</v>
      </c>
      <c r="Z54" s="61">
        <v>0</v>
      </c>
      <c r="AA54" s="61">
        <v>3</v>
      </c>
      <c r="AB54" s="61">
        <v>1</v>
      </c>
      <c r="AI54" s="280" t="s">
        <v>169</v>
      </c>
    </row>
    <row r="55" spans="2:35" ht="18.75" customHeight="1" x14ac:dyDescent="0.2">
      <c r="B55" s="84" t="s">
        <v>43</v>
      </c>
      <c r="C55" s="865">
        <f>IFERROR(INDEX(阻害要因×在院期間区分＿寛解・院内寛解[#All],MATCH($AI56,阻害要因×在院期間区分＿寛解・院内寛解[[#All],[値]],0),MATCH($AJ$4,阻害要因×在院期間区分＿寛解・院内寛解[#Headers],0)),0)+IFERROR(INDEX(阻害要因×在院期間区分＿寛解・院内寛解[#All],MATCH($AI56,阻害要因×在院期間区分＿寛解・院内寛解[[#All],[値]],0),MATCH($AK$4,阻害要因×在院期間区分＿寛解・院内寛解[#Headers],0)),0)+IFERROR(INDEX(阻害要因×在院期間区分＿寛解・院内寛解[#All],MATCH($AI56,阻害要因×在院期間区分＿寛解・院内寛解[[#All],[値]],0),MATCH($AL$4,阻害要因×在院期間区分＿寛解・院内寛解[#Headers],0)),0)+IFERROR(INDEX(阻害要因×在院期間区分＿寛解・院内寛解[#All],MATCH($AI56,阻害要因×在院期間区分＿寛解・院内寛解[[#All],[値]],0),MATCH($AM$4,阻害要因×在院期間区分＿寛解・院内寛解[#Headers],0)),0)</f>
        <v>37</v>
      </c>
      <c r="D55" s="171">
        <f t="shared" si="12"/>
        <v>0.18407960199004975</v>
      </c>
      <c r="E55" s="178">
        <f>IFERROR(INDEX(阻害要因×在院期間区分＿寛解・院内寛解[#All],MATCH($AI56,阻害要因×在院期間区分＿寛解・院内寛解[[#All],[値]],0),MATCH($AN$4,阻害要因×在院期間区分＿寛解・院内寛解[#Headers],0)),0)+IFERROR(INDEX(阻害要因×在院期間区分＿寛解・院内寛解[#All],MATCH($AI56,阻害要因×在院期間区分＿寛解・院内寛解[[#All],[値]],0),MATCH($AO$4,阻害要因×在院期間区分＿寛解・院内寛解[#Headers],0)),0)+IFERROR(INDEX(阻害要因×在院期間区分＿寛解・院内寛解[#All],MATCH($AI56,阻害要因×在院期間区分＿寛解・院内寛解[[#All],[値]],0),MATCH($AP$4,阻害要因×在院期間区分＿寛解・院内寛解[#Headers],0)),0)+IFERROR(INDEX(阻害要因×在院期間区分＿寛解・院内寛解[#All],MATCH($AI56,阻害要因×在院期間区分＿寛解・院内寛解[[#All],[値]],0),MATCH($AQ$4,阻害要因×在院期間区分＿寛解・院内寛解[#Headers],0)),0)+IFERROR(INDEX(阻害要因×在院期間区分＿寛解・院内寛解[#All],MATCH($AI56,阻害要因×在院期間区分＿寛解・院内寛解[[#All],[値]],0),MATCH($AR$4,阻害要因×在院期間区分＿寛解・院内寛解[#Headers],0)),0)</f>
        <v>40</v>
      </c>
      <c r="F55" s="171">
        <f t="shared" si="13"/>
        <v>0.22857142857142856</v>
      </c>
      <c r="G55" s="178">
        <f>IFERROR(INDEX(阻害要因×在院期間区分＿寛解・院内寛解[#All],MATCH($AI56,阻害要因×在院期間区分＿寛解・院内寛解[[#All],[値]],0),MATCH($AS$4,阻害要因×在院期間区分＿寛解・院内寛解[#Headers],0)),0)+IFERROR(INDEX(阻害要因×在院期間区分＿寛解・院内寛解[#All],MATCH($AI56,阻害要因×在院期間区分＿寛解・院内寛解[[#All],[値]],0),MATCH($AT$4,阻害要因×在院期間区分＿寛解・院内寛解[#Headers],0)),0)+IFERROR(INDEX(阻害要因×在院期間区分＿寛解・院内寛解[#All],MATCH($AI56,阻害要因×在院期間区分＿寛解・院内寛解[[#All],[値]],0),MATCH($AU$4,阻害要因×在院期間区分＿寛解・院内寛解[#Headers],0)),0)+IFERROR(INDEX(阻害要因×在院期間区分＿寛解・院内寛解[#All],MATCH($AI56,阻害要因×在院期間区分＿寛解・院内寛解[[#All],[値]],0),MATCH($AV$4,阻害要因×在院期間区分＿寛解・院内寛解[#Headers],0)),0)+IFERROR(INDEX(阻害要因×在院期間区分＿寛解・院内寛解[#All],MATCH($AI56,阻害要因×在院期間区分＿寛解・院内寛解[[#All],[値]],0),MATCH($AW$4,阻害要因×在院期間区分＿寛解・院内寛解[#Headers],0)),0)</f>
        <v>27</v>
      </c>
      <c r="H55" s="171">
        <f t="shared" si="14"/>
        <v>0.31395348837209303</v>
      </c>
      <c r="I55" s="178">
        <f>IFERROR(INDEX(阻害要因×在院期間区分＿寛解・院内寛解[#All],MATCH($AI56,阻害要因×在院期間区分＿寛解・院内寛解[[#All],[値]],0),MATCH($AX$4,阻害要因×在院期間区分＿寛解・院内寛解[#Headers],0)),0)+IFERROR(INDEX(阻害要因×在院期間区分＿寛解・院内寛解[#All],MATCH($AI56,阻害要因×在院期間区分＿寛解・院内寛解[[#All],[値]],0),MATCH($AY$4,阻害要因×在院期間区分＿寛解・院内寛解[#Headers],0)),0)</f>
        <v>24</v>
      </c>
      <c r="J55" s="171">
        <f t="shared" si="15"/>
        <v>0.32</v>
      </c>
      <c r="K55" s="38">
        <f t="shared" si="16"/>
        <v>128</v>
      </c>
      <c r="L55" s="55" t="s">
        <v>171</v>
      </c>
      <c r="M55" s="61">
        <v>4</v>
      </c>
      <c r="N55" s="61">
        <v>7</v>
      </c>
      <c r="O55" s="61">
        <v>13</v>
      </c>
      <c r="P55" s="61">
        <v>13</v>
      </c>
      <c r="Q55" s="61">
        <v>11</v>
      </c>
      <c r="R55" s="61">
        <v>6</v>
      </c>
      <c r="S55" s="61">
        <v>9</v>
      </c>
      <c r="T55" s="61">
        <v>8</v>
      </c>
      <c r="U55" s="61">
        <v>6</v>
      </c>
      <c r="V55" s="61">
        <v>5</v>
      </c>
      <c r="W55" s="61">
        <v>4</v>
      </c>
      <c r="X55" s="61">
        <v>7</v>
      </c>
      <c r="Y55" s="61">
        <v>7</v>
      </c>
      <c r="Z55" s="61">
        <v>4</v>
      </c>
      <c r="AA55" s="61">
        <v>14</v>
      </c>
      <c r="AB55" s="61">
        <v>10</v>
      </c>
      <c r="AI55" s="280" t="s">
        <v>170</v>
      </c>
    </row>
    <row r="56" spans="2:35" ht="18.75" customHeight="1" x14ac:dyDescent="0.2">
      <c r="B56" s="84" t="s">
        <v>44</v>
      </c>
      <c r="C56" s="861">
        <f>IFERROR(INDEX(阻害要因×在院期間区分＿寛解・院内寛解[#All],MATCH($AI57,阻害要因×在院期間区分＿寛解・院内寛解[[#All],[値]],0),MATCH($AJ$4,阻害要因×在院期間区分＿寛解・院内寛解[#Headers],0)),0)+IFERROR(INDEX(阻害要因×在院期間区分＿寛解・院内寛解[#All],MATCH($AI57,阻害要因×在院期間区分＿寛解・院内寛解[[#All],[値]],0),MATCH($AK$4,阻害要因×在院期間区分＿寛解・院内寛解[#Headers],0)),0)+IFERROR(INDEX(阻害要因×在院期間区分＿寛解・院内寛解[#All],MATCH($AI57,阻害要因×在院期間区分＿寛解・院内寛解[[#All],[値]],0),MATCH($AL$4,阻害要因×在院期間区分＿寛解・院内寛解[#Headers],0)),0)+IFERROR(INDEX(阻害要因×在院期間区分＿寛解・院内寛解[#All],MATCH($AI57,阻害要因×在院期間区分＿寛解・院内寛解[[#All],[値]],0),MATCH($AM$4,阻害要因×在院期間区分＿寛解・院内寛解[#Headers],0)),0)</f>
        <v>36</v>
      </c>
      <c r="D56" s="171">
        <f t="shared" si="12"/>
        <v>0.17910447761194029</v>
      </c>
      <c r="E56" s="177">
        <f>IFERROR(INDEX(阻害要因×在院期間区分＿寛解・院内寛解[#All],MATCH($AI57,阻害要因×在院期間区分＿寛解・院内寛解[[#All],[値]],0),MATCH($AN$4,阻害要因×在院期間区分＿寛解・院内寛解[#Headers],0)),0)+IFERROR(INDEX(阻害要因×在院期間区分＿寛解・院内寛解[#All],MATCH($AI57,阻害要因×在院期間区分＿寛解・院内寛解[[#All],[値]],0),MATCH($AO$4,阻害要因×在院期間区分＿寛解・院内寛解[#Headers],0)),0)+IFERROR(INDEX(阻害要因×在院期間区分＿寛解・院内寛解[#All],MATCH($AI57,阻害要因×在院期間区分＿寛解・院内寛解[[#All],[値]],0),MATCH($AP$4,阻害要因×在院期間区分＿寛解・院内寛解[#Headers],0)),0)+IFERROR(INDEX(阻害要因×在院期間区分＿寛解・院内寛解[#All],MATCH($AI57,阻害要因×在院期間区分＿寛解・院内寛解[[#All],[値]],0),MATCH($AQ$4,阻害要因×在院期間区分＿寛解・院内寛解[#Headers],0)),0)+IFERROR(INDEX(阻害要因×在院期間区分＿寛解・院内寛解[#All],MATCH($AI57,阻害要因×在院期間区分＿寛解・院内寛解[[#All],[値]],0),MATCH($AR$4,阻害要因×在院期間区分＿寛解・院内寛解[#Headers],0)),0)</f>
        <v>31</v>
      </c>
      <c r="F56" s="171">
        <f t="shared" si="13"/>
        <v>0.17714285714285713</v>
      </c>
      <c r="G56" s="177">
        <f>IFERROR(INDEX(阻害要因×在院期間区分＿寛解・院内寛解[#All],MATCH($AI57,阻害要因×在院期間区分＿寛解・院内寛解[[#All],[値]],0),MATCH($AS$4,阻害要因×在院期間区分＿寛解・院内寛解[#Headers],0)),0)+IFERROR(INDEX(阻害要因×在院期間区分＿寛解・院内寛解[#All],MATCH($AI57,阻害要因×在院期間区分＿寛解・院内寛解[[#All],[値]],0),MATCH($AT$4,阻害要因×在院期間区分＿寛解・院内寛解[#Headers],0)),0)+IFERROR(INDEX(阻害要因×在院期間区分＿寛解・院内寛解[#All],MATCH($AI57,阻害要因×在院期間区分＿寛解・院内寛解[[#All],[値]],0),MATCH($AU$4,阻害要因×在院期間区分＿寛解・院内寛解[#Headers],0)),0)+IFERROR(INDEX(阻害要因×在院期間区分＿寛解・院内寛解[#All],MATCH($AI57,阻害要因×在院期間区分＿寛解・院内寛解[[#All],[値]],0),MATCH($AV$4,阻害要因×在院期間区分＿寛解・院内寛解[#Headers],0)),0)+IFERROR(INDEX(阻害要因×在院期間区分＿寛解・院内寛解[#All],MATCH($AI57,阻害要因×在院期間区分＿寛解・院内寛解[[#All],[値]],0),MATCH($AW$4,阻害要因×在院期間区分＿寛解・院内寛解[#Headers],0)),0)</f>
        <v>16</v>
      </c>
      <c r="H56" s="171">
        <f t="shared" si="14"/>
        <v>0.18604651162790697</v>
      </c>
      <c r="I56" s="177">
        <f>IFERROR(INDEX(阻害要因×在院期間区分＿寛解・院内寛解[#All],MATCH($AI57,阻害要因×在院期間区分＿寛解・院内寛解[[#All],[値]],0),MATCH($AX$4,阻害要因×在院期間区分＿寛解・院内寛解[#Headers],0)),0)+IFERROR(INDEX(阻害要因×在院期間区分＿寛解・院内寛解[#All],MATCH($AI57,阻害要因×在院期間区分＿寛解・院内寛解[[#All],[値]],0),MATCH($AY$4,阻害要因×在院期間区分＿寛解・院内寛解[#Headers],0)),0)</f>
        <v>18</v>
      </c>
      <c r="J56" s="171">
        <f t="shared" si="15"/>
        <v>0.24</v>
      </c>
      <c r="K56" s="38">
        <f t="shared" si="16"/>
        <v>101</v>
      </c>
      <c r="L56" s="55" t="s">
        <v>172</v>
      </c>
      <c r="M56" s="61">
        <v>5</v>
      </c>
      <c r="N56" s="61">
        <v>11</v>
      </c>
      <c r="O56" s="61">
        <v>11</v>
      </c>
      <c r="P56" s="61">
        <v>9</v>
      </c>
      <c r="Q56" s="61">
        <v>8</v>
      </c>
      <c r="R56" s="61">
        <v>8</v>
      </c>
      <c r="S56" s="61">
        <v>8</v>
      </c>
      <c r="T56" s="61">
        <v>6</v>
      </c>
      <c r="U56" s="61">
        <v>1</v>
      </c>
      <c r="V56" s="61">
        <v>6</v>
      </c>
      <c r="W56" s="61">
        <v>4</v>
      </c>
      <c r="X56" s="61">
        <v>1</v>
      </c>
      <c r="Y56" s="61">
        <v>3</v>
      </c>
      <c r="Z56" s="61">
        <v>2</v>
      </c>
      <c r="AA56" s="61">
        <v>13</v>
      </c>
      <c r="AB56" s="61">
        <v>5</v>
      </c>
      <c r="AI56" s="280" t="s">
        <v>171</v>
      </c>
    </row>
    <row r="57" spans="2:35" ht="18.75" customHeight="1" x14ac:dyDescent="0.2">
      <c r="B57" s="84" t="s">
        <v>246</v>
      </c>
      <c r="C57" s="860">
        <f>IFERROR(INDEX(阻害要因×在院期間区分＿寛解・院内寛解[#All],MATCH($AI58,阻害要因×在院期間区分＿寛解・院内寛解[[#All],[値]],0),MATCH($AJ$4,阻害要因×在院期間区分＿寛解・院内寛解[#Headers],0)),0)+IFERROR(INDEX(阻害要因×在院期間区分＿寛解・院内寛解[#All],MATCH($AI58,阻害要因×在院期間区分＿寛解・院内寛解[[#All],[値]],0),MATCH($AK$4,阻害要因×在院期間区分＿寛解・院内寛解[#Headers],0)),0)+IFERROR(INDEX(阻害要因×在院期間区分＿寛解・院内寛解[#All],MATCH($AI58,阻害要因×在院期間区分＿寛解・院内寛解[[#All],[値]],0),MATCH($AL$4,阻害要因×在院期間区分＿寛解・院内寛解[#Headers],0)),0)+IFERROR(INDEX(阻害要因×在院期間区分＿寛解・院内寛解[#All],MATCH($AI58,阻害要因×在院期間区分＿寛解・院内寛解[[#All],[値]],0),MATCH($AM$4,阻害要因×在院期間区分＿寛解・院内寛解[#Headers],0)),0)</f>
        <v>19</v>
      </c>
      <c r="D57" s="171">
        <f t="shared" si="12"/>
        <v>9.4527363184079602E-2</v>
      </c>
      <c r="E57" s="154">
        <f>IFERROR(INDEX(阻害要因×在院期間区分＿寛解・院内寛解[#All],MATCH($AI58,阻害要因×在院期間区分＿寛解・院内寛解[[#All],[値]],0),MATCH($AN$4,阻害要因×在院期間区分＿寛解・院内寛解[#Headers],0)),0)+IFERROR(INDEX(阻害要因×在院期間区分＿寛解・院内寛解[#All],MATCH($AI58,阻害要因×在院期間区分＿寛解・院内寛解[[#All],[値]],0),MATCH($AO$4,阻害要因×在院期間区分＿寛解・院内寛解[#Headers],0)),0)+IFERROR(INDEX(阻害要因×在院期間区分＿寛解・院内寛解[#All],MATCH($AI58,阻害要因×在院期間区分＿寛解・院内寛解[[#All],[値]],0),MATCH($AP$4,阻害要因×在院期間区分＿寛解・院内寛解[#Headers],0)),0)+IFERROR(INDEX(阻害要因×在院期間区分＿寛解・院内寛解[#All],MATCH($AI58,阻害要因×在院期間区分＿寛解・院内寛解[[#All],[値]],0),MATCH($AQ$4,阻害要因×在院期間区分＿寛解・院内寛解[#Headers],0)),0)+IFERROR(INDEX(阻害要因×在院期間区分＿寛解・院内寛解[#All],MATCH($AI58,阻害要因×在院期間区分＿寛解・院内寛解[[#All],[値]],0),MATCH($AR$4,阻害要因×在院期間区分＿寛解・院内寛解[#Headers],0)),0)</f>
        <v>29</v>
      </c>
      <c r="F57" s="171">
        <f t="shared" si="13"/>
        <v>0.1657142857142857</v>
      </c>
      <c r="G57" s="154">
        <f>IFERROR(INDEX(阻害要因×在院期間区分＿寛解・院内寛解[#All],MATCH($AI58,阻害要因×在院期間区分＿寛解・院内寛解[[#All],[値]],0),MATCH($AS$4,阻害要因×在院期間区分＿寛解・院内寛解[#Headers],0)),0)+IFERROR(INDEX(阻害要因×在院期間区分＿寛解・院内寛解[#All],MATCH($AI58,阻害要因×在院期間区分＿寛解・院内寛解[[#All],[値]],0),MATCH($AT$4,阻害要因×在院期間区分＿寛解・院内寛解[#Headers],0)),0)+IFERROR(INDEX(阻害要因×在院期間区分＿寛解・院内寛解[#All],MATCH($AI58,阻害要因×在院期間区分＿寛解・院内寛解[[#All],[値]],0),MATCH($AU$4,阻害要因×在院期間区分＿寛解・院内寛解[#Headers],0)),0)+IFERROR(INDEX(阻害要因×在院期間区分＿寛解・院内寛解[#All],MATCH($AI58,阻害要因×在院期間区分＿寛解・院内寛解[[#All],[値]],0),MATCH($AV$4,阻害要因×在院期間区分＿寛解・院内寛解[#Headers],0)),0)+IFERROR(INDEX(阻害要因×在院期間区分＿寛解・院内寛解[#All],MATCH($AI58,阻害要因×在院期間区分＿寛解・院内寛解[[#All],[値]],0),MATCH($AW$4,阻害要因×在院期間区分＿寛解・院内寛解[#Headers],0)),0)</f>
        <v>21</v>
      </c>
      <c r="H57" s="171">
        <f t="shared" si="14"/>
        <v>0.2441860465116279</v>
      </c>
      <c r="I57" s="154">
        <f>IFERROR(INDEX(阻害要因×在院期間区分＿寛解・院内寛解[#All],MATCH($AI58,阻害要因×在院期間区分＿寛解・院内寛解[[#All],[値]],0),MATCH($AX$4,阻害要因×在院期間区分＿寛解・院内寛解[#Headers],0)),0)+IFERROR(INDEX(阻害要因×在院期間区分＿寛解・院内寛解[#All],MATCH($AI58,阻害要因×在院期間区分＿寛解・院内寛解[[#All],[値]],0),MATCH($AY$4,阻害要因×在院期間区分＿寛解・院内寛解[#Headers],0)),0)</f>
        <v>18</v>
      </c>
      <c r="J57" s="171">
        <f t="shared" si="15"/>
        <v>0.24</v>
      </c>
      <c r="K57" s="38">
        <f t="shared" si="16"/>
        <v>87</v>
      </c>
      <c r="L57" s="55" t="s">
        <v>173</v>
      </c>
      <c r="M57" s="61">
        <v>0</v>
      </c>
      <c r="N57" s="61">
        <v>4</v>
      </c>
      <c r="O57" s="61">
        <v>6</v>
      </c>
      <c r="P57" s="61">
        <v>9</v>
      </c>
      <c r="Q57" s="61">
        <v>7</v>
      </c>
      <c r="R57" s="61">
        <v>5</v>
      </c>
      <c r="S57" s="61">
        <v>10</v>
      </c>
      <c r="T57" s="61">
        <v>5</v>
      </c>
      <c r="U57" s="61">
        <v>2</v>
      </c>
      <c r="V57" s="61">
        <v>6</v>
      </c>
      <c r="W57" s="61">
        <v>5</v>
      </c>
      <c r="X57" s="61">
        <v>3</v>
      </c>
      <c r="Y57" s="61">
        <v>3</v>
      </c>
      <c r="Z57" s="61">
        <v>4</v>
      </c>
      <c r="AA57" s="61">
        <v>11</v>
      </c>
      <c r="AB57" s="61">
        <v>7</v>
      </c>
      <c r="AI57" s="280" t="s">
        <v>172</v>
      </c>
    </row>
    <row r="58" spans="2:35" ht="18.75" customHeight="1" x14ac:dyDescent="0.2">
      <c r="B58" s="84" t="s">
        <v>46</v>
      </c>
      <c r="C58" s="860">
        <f>IFERROR(INDEX(阻害要因×在院期間区分＿寛解・院内寛解[#All],MATCH($AI59,阻害要因×在院期間区分＿寛解・院内寛解[[#All],[値]],0),MATCH($AJ$4,阻害要因×在院期間区分＿寛解・院内寛解[#Headers],0)),0)+IFERROR(INDEX(阻害要因×在院期間区分＿寛解・院内寛解[#All],MATCH($AI59,阻害要因×在院期間区分＿寛解・院内寛解[[#All],[値]],0),MATCH($AK$4,阻害要因×在院期間区分＿寛解・院内寛解[#Headers],0)),0)+IFERROR(INDEX(阻害要因×在院期間区分＿寛解・院内寛解[#All],MATCH($AI59,阻害要因×在院期間区分＿寛解・院内寛解[[#All],[値]],0),MATCH($AL$4,阻害要因×在院期間区分＿寛解・院内寛解[#Headers],0)),0)+IFERROR(INDEX(阻害要因×在院期間区分＿寛解・院内寛解[#All],MATCH($AI59,阻害要因×在院期間区分＿寛解・院内寛解[[#All],[値]],0),MATCH($AM$4,阻害要因×在院期間区分＿寛解・院内寛解[#Headers],0)),0)</f>
        <v>94</v>
      </c>
      <c r="D58" s="171">
        <f t="shared" si="12"/>
        <v>0.46766169154228854</v>
      </c>
      <c r="E58" s="154">
        <f>IFERROR(INDEX(阻害要因×在院期間区分＿寛解・院内寛解[#All],MATCH($AI59,阻害要因×在院期間区分＿寛解・院内寛解[[#All],[値]],0),MATCH($AN$4,阻害要因×在院期間区分＿寛解・院内寛解[#Headers],0)),0)+IFERROR(INDEX(阻害要因×在院期間区分＿寛解・院内寛解[#All],MATCH($AI59,阻害要因×在院期間区分＿寛解・院内寛解[[#All],[値]],0),MATCH($AO$4,阻害要因×在院期間区分＿寛解・院内寛解[#Headers],0)),0)+IFERROR(INDEX(阻害要因×在院期間区分＿寛解・院内寛解[#All],MATCH($AI59,阻害要因×在院期間区分＿寛解・院内寛解[[#All],[値]],0),MATCH($AP$4,阻害要因×在院期間区分＿寛解・院内寛解[#Headers],0)),0)+IFERROR(INDEX(阻害要因×在院期間区分＿寛解・院内寛解[#All],MATCH($AI59,阻害要因×在院期間区分＿寛解・院内寛解[[#All],[値]],0),MATCH($AQ$4,阻害要因×在院期間区分＿寛解・院内寛解[#Headers],0)),0)+IFERROR(INDEX(阻害要因×在院期間区分＿寛解・院内寛解[#All],MATCH($AI59,阻害要因×在院期間区分＿寛解・院内寛解[[#All],[値]],0),MATCH($AR$4,阻害要因×在院期間区分＿寛解・院内寛解[#Headers],0)),0)</f>
        <v>57</v>
      </c>
      <c r="F58" s="171">
        <f t="shared" si="13"/>
        <v>0.32571428571428573</v>
      </c>
      <c r="G58" s="154">
        <f>IFERROR(INDEX(阻害要因×在院期間区分＿寛解・院内寛解[#All],MATCH($AI59,阻害要因×在院期間区分＿寛解・院内寛解[[#All],[値]],0),MATCH($AS$4,阻害要因×在院期間区分＿寛解・院内寛解[#Headers],0)),0)+IFERROR(INDEX(阻害要因×在院期間区分＿寛解・院内寛解[#All],MATCH($AI59,阻害要因×在院期間区分＿寛解・院内寛解[[#All],[値]],0),MATCH($AT$4,阻害要因×在院期間区分＿寛解・院内寛解[#Headers],0)),0)+IFERROR(INDEX(阻害要因×在院期間区分＿寛解・院内寛解[#All],MATCH($AI59,阻害要因×在院期間区分＿寛解・院内寛解[[#All],[値]],0),MATCH($AU$4,阻害要因×在院期間区分＿寛解・院内寛解[#Headers],0)),0)+IFERROR(INDEX(阻害要因×在院期間区分＿寛解・院内寛解[#All],MATCH($AI59,阻害要因×在院期間区分＿寛解・院内寛解[[#All],[値]],0),MATCH($AV$4,阻害要因×在院期間区分＿寛解・院内寛解[#Headers],0)),0)+IFERROR(INDEX(阻害要因×在院期間区分＿寛解・院内寛解[#All],MATCH($AI59,阻害要因×在院期間区分＿寛解・院内寛解[[#All],[値]],0),MATCH($AW$4,阻害要因×在院期間区分＿寛解・院内寛解[#Headers],0)),0)</f>
        <v>14</v>
      </c>
      <c r="H58" s="171">
        <f t="shared" si="14"/>
        <v>0.16279069767441862</v>
      </c>
      <c r="I58" s="154">
        <f>IFERROR(INDEX(阻害要因×在院期間区分＿寛解・院内寛解[#All],MATCH($AI59,阻害要因×在院期間区分＿寛解・院内寛解[[#All],[値]],0),MATCH($AX$4,阻害要因×在院期間区分＿寛解・院内寛解[#Headers],0)),0)+IFERROR(INDEX(阻害要因×在院期間区分＿寛解・院内寛解[#All],MATCH($AI59,阻害要因×在院期間区分＿寛解・院内寛解[[#All],[値]],0),MATCH($AY$4,阻害要因×在院期間区分＿寛解・院内寛解[#Headers],0)),0)</f>
        <v>17</v>
      </c>
      <c r="J58" s="171">
        <f t="shared" si="15"/>
        <v>0.22666666666666666</v>
      </c>
      <c r="K58" s="38">
        <f t="shared" si="16"/>
        <v>182</v>
      </c>
      <c r="L58" s="55" t="s">
        <v>174</v>
      </c>
      <c r="M58" s="61">
        <v>10</v>
      </c>
      <c r="N58" s="61">
        <v>29</v>
      </c>
      <c r="O58" s="61">
        <v>32</v>
      </c>
      <c r="P58" s="61">
        <v>23</v>
      </c>
      <c r="Q58" s="61">
        <v>20</v>
      </c>
      <c r="R58" s="61">
        <v>9</v>
      </c>
      <c r="S58" s="61">
        <v>14</v>
      </c>
      <c r="T58" s="61">
        <v>8</v>
      </c>
      <c r="U58" s="61">
        <v>6</v>
      </c>
      <c r="V58" s="61">
        <v>6</v>
      </c>
      <c r="W58" s="61">
        <v>1</v>
      </c>
      <c r="X58" s="61">
        <v>2</v>
      </c>
      <c r="Y58" s="61">
        <v>4</v>
      </c>
      <c r="Z58" s="61">
        <v>1</v>
      </c>
      <c r="AA58" s="61">
        <v>12</v>
      </c>
      <c r="AB58" s="61">
        <v>5</v>
      </c>
      <c r="AI58" s="280" t="s">
        <v>173</v>
      </c>
    </row>
    <row r="59" spans="2:35" ht="18.75" customHeight="1" x14ac:dyDescent="0.2">
      <c r="B59" s="84" t="s">
        <v>47</v>
      </c>
      <c r="C59" s="865">
        <f>IFERROR(INDEX(阻害要因×在院期間区分＿寛解・院内寛解[#All],MATCH($AI60,阻害要因×在院期間区分＿寛解・院内寛解[[#All],[値]],0),MATCH($AJ$4,阻害要因×在院期間区分＿寛解・院内寛解[#Headers],0)),0)+IFERROR(INDEX(阻害要因×在院期間区分＿寛解・院内寛解[#All],MATCH($AI60,阻害要因×在院期間区分＿寛解・院内寛解[[#All],[値]],0),MATCH($AK$4,阻害要因×在院期間区分＿寛解・院内寛解[#Headers],0)),0)+IFERROR(INDEX(阻害要因×在院期間区分＿寛解・院内寛解[#All],MATCH($AI60,阻害要因×在院期間区分＿寛解・院内寛解[[#All],[値]],0),MATCH($AL$4,阻害要因×在院期間区分＿寛解・院内寛解[#Headers],0)),0)+IFERROR(INDEX(阻害要因×在院期間区分＿寛解・院内寛解[#All],MATCH($AI60,阻害要因×在院期間区分＿寛解・院内寛解[[#All],[値]],0),MATCH($AM$4,阻害要因×在院期間区分＿寛解・院内寛解[#Headers],0)),0)</f>
        <v>16</v>
      </c>
      <c r="D59" s="171">
        <f t="shared" si="12"/>
        <v>7.9601990049751242E-2</v>
      </c>
      <c r="E59" s="178">
        <f>IFERROR(INDEX(阻害要因×在院期間区分＿寛解・院内寛解[#All],MATCH($AI60,阻害要因×在院期間区分＿寛解・院内寛解[[#All],[値]],0),MATCH($AN$4,阻害要因×在院期間区分＿寛解・院内寛解[#Headers],0)),0)+IFERROR(INDEX(阻害要因×在院期間区分＿寛解・院内寛解[#All],MATCH($AI60,阻害要因×在院期間区分＿寛解・院内寛解[[#All],[値]],0),MATCH($AO$4,阻害要因×在院期間区分＿寛解・院内寛解[#Headers],0)),0)+IFERROR(INDEX(阻害要因×在院期間区分＿寛解・院内寛解[#All],MATCH($AI60,阻害要因×在院期間区分＿寛解・院内寛解[[#All],[値]],0),MATCH($AP$4,阻害要因×在院期間区分＿寛解・院内寛解[#Headers],0)),0)+IFERROR(INDEX(阻害要因×在院期間区分＿寛解・院内寛解[#All],MATCH($AI60,阻害要因×在院期間区分＿寛解・院内寛解[[#All],[値]],0),MATCH($AQ$4,阻害要因×在院期間区分＿寛解・院内寛解[#Headers],0)),0)+IFERROR(INDEX(阻害要因×在院期間区分＿寛解・院内寛解[#All],MATCH($AI60,阻害要因×在院期間区分＿寛解・院内寛解[[#All],[値]],0),MATCH($AR$4,阻害要因×在院期間区分＿寛解・院内寛解[#Headers],0)),0)</f>
        <v>13</v>
      </c>
      <c r="F59" s="171">
        <f t="shared" si="13"/>
        <v>7.4285714285714288E-2</v>
      </c>
      <c r="G59" s="178">
        <f>IFERROR(INDEX(阻害要因×在院期間区分＿寛解・院内寛解[#All],MATCH($AI60,阻害要因×在院期間区分＿寛解・院内寛解[[#All],[値]],0),MATCH($AS$4,阻害要因×在院期間区分＿寛解・院内寛解[#Headers],0)),0)+IFERROR(INDEX(阻害要因×在院期間区分＿寛解・院内寛解[#All],MATCH($AI60,阻害要因×在院期間区分＿寛解・院内寛解[[#All],[値]],0),MATCH($AT$4,阻害要因×在院期間区分＿寛解・院内寛解[#Headers],0)),0)+IFERROR(INDEX(阻害要因×在院期間区分＿寛解・院内寛解[#All],MATCH($AI60,阻害要因×在院期間区分＿寛解・院内寛解[[#All],[値]],0),MATCH($AU$4,阻害要因×在院期間区分＿寛解・院内寛解[#Headers],0)),0)+IFERROR(INDEX(阻害要因×在院期間区分＿寛解・院内寛解[#All],MATCH($AI60,阻害要因×在院期間区分＿寛解・院内寛解[[#All],[値]],0),MATCH($AV$4,阻害要因×在院期間区分＿寛解・院内寛解[#Headers],0)),0)+IFERROR(INDEX(阻害要因×在院期間区分＿寛解・院内寛解[#All],MATCH($AI60,阻害要因×在院期間区分＿寛解・院内寛解[[#All],[値]],0),MATCH($AW$4,阻害要因×在院期間区分＿寛解・院内寛解[#Headers],0)),0)</f>
        <v>3</v>
      </c>
      <c r="H59" s="171">
        <f t="shared" si="14"/>
        <v>3.4883720930232558E-2</v>
      </c>
      <c r="I59" s="178">
        <f>IFERROR(INDEX(阻害要因×在院期間区分＿寛解・院内寛解[#All],MATCH($AI60,阻害要因×在院期間区分＿寛解・院内寛解[[#All],[値]],0),MATCH($AX$4,阻害要因×在院期間区分＿寛解・院内寛解[#Headers],0)),0)+IFERROR(INDEX(阻害要因×在院期間区分＿寛解・院内寛解[#All],MATCH($AI60,阻害要因×在院期間区分＿寛解・院内寛解[[#All],[値]],0),MATCH($AY$4,阻害要因×在院期間区分＿寛解・院内寛解[#Headers],0)),0)</f>
        <v>3</v>
      </c>
      <c r="J59" s="171">
        <f t="shared" si="15"/>
        <v>0.04</v>
      </c>
      <c r="K59" s="38">
        <f t="shared" si="16"/>
        <v>35</v>
      </c>
      <c r="L59" s="55" t="s">
        <v>175</v>
      </c>
      <c r="M59" s="61">
        <v>0</v>
      </c>
      <c r="N59" s="61">
        <v>6</v>
      </c>
      <c r="O59" s="61">
        <v>3</v>
      </c>
      <c r="P59" s="61">
        <v>7</v>
      </c>
      <c r="Q59" s="61">
        <v>2</v>
      </c>
      <c r="R59" s="61">
        <v>3</v>
      </c>
      <c r="S59" s="61">
        <v>6</v>
      </c>
      <c r="T59" s="61">
        <v>1</v>
      </c>
      <c r="U59" s="61">
        <v>1</v>
      </c>
      <c r="V59" s="61">
        <v>0</v>
      </c>
      <c r="W59" s="61">
        <v>0</v>
      </c>
      <c r="X59" s="61">
        <v>1</v>
      </c>
      <c r="Y59" s="61">
        <v>1</v>
      </c>
      <c r="Z59" s="61">
        <v>1</v>
      </c>
      <c r="AA59" s="61">
        <v>2</v>
      </c>
      <c r="AB59" s="61">
        <v>1</v>
      </c>
      <c r="AI59" s="280" t="s">
        <v>174</v>
      </c>
    </row>
    <row r="60" spans="2:35" ht="18.75" customHeight="1" x14ac:dyDescent="0.2">
      <c r="B60" s="84" t="s">
        <v>48</v>
      </c>
      <c r="C60" s="860">
        <f>IFERROR(INDEX(阻害要因×在院期間区分＿寛解・院内寛解[#All],MATCH($AI61,阻害要因×在院期間区分＿寛解・院内寛解[[#All],[値]],0),MATCH($AJ$4,阻害要因×在院期間区分＿寛解・院内寛解[#Headers],0)),0)+IFERROR(INDEX(阻害要因×在院期間区分＿寛解・院内寛解[#All],MATCH($AI61,阻害要因×在院期間区分＿寛解・院内寛解[[#All],[値]],0),MATCH($AK$4,阻害要因×在院期間区分＿寛解・院内寛解[#Headers],0)),0)+IFERROR(INDEX(阻害要因×在院期間区分＿寛解・院内寛解[#All],MATCH($AI61,阻害要因×在院期間区分＿寛解・院内寛解[[#All],[値]],0),MATCH($AL$4,阻害要因×在院期間区分＿寛解・院内寛解[#Headers],0)),0)+IFERROR(INDEX(阻害要因×在院期間区分＿寛解・院内寛解[#All],MATCH($AI61,阻害要因×在院期間区分＿寛解・院内寛解[[#All],[値]],0),MATCH($AM$4,阻害要因×在院期間区分＿寛解・院内寛解[#Headers],0)),0)</f>
        <v>10</v>
      </c>
      <c r="D60" s="171">
        <f t="shared" si="12"/>
        <v>4.975124378109453E-2</v>
      </c>
      <c r="E60" s="154">
        <f>IFERROR(INDEX(阻害要因×在院期間区分＿寛解・院内寛解[#All],MATCH($AI61,阻害要因×在院期間区分＿寛解・院内寛解[[#All],[値]],0),MATCH($AN$4,阻害要因×在院期間区分＿寛解・院内寛解[#Headers],0)),0)+IFERROR(INDEX(阻害要因×在院期間区分＿寛解・院内寛解[#All],MATCH($AI61,阻害要因×在院期間区分＿寛解・院内寛解[[#All],[値]],0),MATCH($AO$4,阻害要因×在院期間区分＿寛解・院内寛解[#Headers],0)),0)+IFERROR(INDEX(阻害要因×在院期間区分＿寛解・院内寛解[#All],MATCH($AI61,阻害要因×在院期間区分＿寛解・院内寛解[[#All],[値]],0),MATCH($AP$4,阻害要因×在院期間区分＿寛解・院内寛解[#Headers],0)),0)+IFERROR(INDEX(阻害要因×在院期間区分＿寛解・院内寛解[#All],MATCH($AI61,阻害要因×在院期間区分＿寛解・院内寛解[[#All],[値]],0),MATCH($AQ$4,阻害要因×在院期間区分＿寛解・院内寛解[#Headers],0)),0)+IFERROR(INDEX(阻害要因×在院期間区分＿寛解・院内寛解[#All],MATCH($AI61,阻害要因×在院期間区分＿寛解・院内寛解[[#All],[値]],0),MATCH($AR$4,阻害要因×在院期間区分＿寛解・院内寛解[#Headers],0)),0)</f>
        <v>2</v>
      </c>
      <c r="F60" s="171">
        <f t="shared" si="13"/>
        <v>1.1428571428571429E-2</v>
      </c>
      <c r="G60" s="154">
        <f>IFERROR(INDEX(阻害要因×在院期間区分＿寛解・院内寛解[#All],MATCH($AI61,阻害要因×在院期間区分＿寛解・院内寛解[[#All],[値]],0),MATCH($AS$4,阻害要因×在院期間区分＿寛解・院内寛解[#Headers],0)),0)+IFERROR(INDEX(阻害要因×在院期間区分＿寛解・院内寛解[#All],MATCH($AI61,阻害要因×在院期間区分＿寛解・院内寛解[[#All],[値]],0),MATCH($AT$4,阻害要因×在院期間区分＿寛解・院内寛解[#Headers],0)),0)+IFERROR(INDEX(阻害要因×在院期間区分＿寛解・院内寛解[#All],MATCH($AI61,阻害要因×在院期間区分＿寛解・院内寛解[[#All],[値]],0),MATCH($AU$4,阻害要因×在院期間区分＿寛解・院内寛解[#Headers],0)),0)+IFERROR(INDEX(阻害要因×在院期間区分＿寛解・院内寛解[#All],MATCH($AI61,阻害要因×在院期間区分＿寛解・院内寛解[[#All],[値]],0),MATCH($AV$4,阻害要因×在院期間区分＿寛解・院内寛解[#Headers],0)),0)+IFERROR(INDEX(阻害要因×在院期間区分＿寛解・院内寛解[#All],MATCH($AI61,阻害要因×在院期間区分＿寛解・院内寛解[[#All],[値]],0),MATCH($AW$4,阻害要因×在院期間区分＿寛解・院内寛解[#Headers],0)),0)</f>
        <v>2</v>
      </c>
      <c r="H60" s="171">
        <f t="shared" si="14"/>
        <v>2.3255813953488372E-2</v>
      </c>
      <c r="I60" s="154">
        <f>IFERROR(INDEX(阻害要因×在院期間区分＿寛解・院内寛解[#All],MATCH($AI61,阻害要因×在院期間区分＿寛解・院内寛解[[#All],[値]],0),MATCH($AX$4,阻害要因×在院期間区分＿寛解・院内寛解[#Headers],0)),0)+IFERROR(INDEX(阻害要因×在院期間区分＿寛解・院内寛解[#All],MATCH($AI61,阻害要因×在院期間区分＿寛解・院内寛解[[#All],[値]],0),MATCH($AY$4,阻害要因×在院期間区分＿寛解・院内寛解[#Headers],0)),0)</f>
        <v>1</v>
      </c>
      <c r="J60" s="171">
        <f t="shared" si="15"/>
        <v>1.3333333333333334E-2</v>
      </c>
      <c r="K60" s="38">
        <f t="shared" si="16"/>
        <v>15</v>
      </c>
      <c r="L60" s="55" t="s">
        <v>176</v>
      </c>
      <c r="M60" s="61">
        <v>2</v>
      </c>
      <c r="N60" s="61">
        <v>3</v>
      </c>
      <c r="O60" s="61">
        <v>3</v>
      </c>
      <c r="P60" s="61">
        <v>2</v>
      </c>
      <c r="Q60" s="61">
        <v>0</v>
      </c>
      <c r="R60" s="61">
        <v>1</v>
      </c>
      <c r="S60" s="61">
        <v>1</v>
      </c>
      <c r="T60" s="61">
        <v>0</v>
      </c>
      <c r="U60" s="61">
        <v>0</v>
      </c>
      <c r="V60" s="61">
        <v>0</v>
      </c>
      <c r="W60" s="61">
        <v>0</v>
      </c>
      <c r="X60" s="61">
        <v>1</v>
      </c>
      <c r="Y60" s="61">
        <v>0</v>
      </c>
      <c r="Z60" s="61">
        <v>1</v>
      </c>
      <c r="AA60" s="61">
        <v>1</v>
      </c>
      <c r="AB60" s="61">
        <v>0</v>
      </c>
      <c r="AI60" s="280" t="s">
        <v>175</v>
      </c>
    </row>
    <row r="61" spans="2:35" ht="18.75" customHeight="1" x14ac:dyDescent="0.2">
      <c r="B61" s="84" t="s">
        <v>49</v>
      </c>
      <c r="C61" s="865">
        <f>IFERROR(INDEX(阻害要因×在院期間区分＿寛解・院内寛解[#All],MATCH($AI62,阻害要因×在院期間区分＿寛解・院内寛解[[#All],[値]],0),MATCH($AJ$4,阻害要因×在院期間区分＿寛解・院内寛解[#Headers],0)),0)+IFERROR(INDEX(阻害要因×在院期間区分＿寛解・院内寛解[#All],MATCH($AI62,阻害要因×在院期間区分＿寛解・院内寛解[[#All],[値]],0),MATCH($AK$4,阻害要因×在院期間区分＿寛解・院内寛解[#Headers],0)),0)+IFERROR(INDEX(阻害要因×在院期間区分＿寛解・院内寛解[#All],MATCH($AI62,阻害要因×在院期間区分＿寛解・院内寛解[[#All],[値]],0),MATCH($AL$4,阻害要因×在院期間区分＿寛解・院内寛解[#Headers],0)),0)+IFERROR(INDEX(阻害要因×在院期間区分＿寛解・院内寛解[#All],MATCH($AI62,阻害要因×在院期間区分＿寛解・院内寛解[[#All],[値]],0),MATCH($AM$4,阻害要因×在院期間区分＿寛解・院内寛解[#Headers],0)),0)</f>
        <v>0</v>
      </c>
      <c r="D61" s="171">
        <f t="shared" si="12"/>
        <v>0</v>
      </c>
      <c r="E61" s="154">
        <f>IFERROR(INDEX(阻害要因×在院期間区分＿寛解・院内寛解[#All],MATCH($AI62,阻害要因×在院期間区分＿寛解・院内寛解[[#All],[値]],0),MATCH($AN$4,阻害要因×在院期間区分＿寛解・院内寛解[#Headers],0)),0)+IFERROR(INDEX(阻害要因×在院期間区分＿寛解・院内寛解[#All],MATCH($AI62,阻害要因×在院期間区分＿寛解・院内寛解[[#All],[値]],0),MATCH($AO$4,阻害要因×在院期間区分＿寛解・院内寛解[#Headers],0)),0)+IFERROR(INDEX(阻害要因×在院期間区分＿寛解・院内寛解[#All],MATCH($AI62,阻害要因×在院期間区分＿寛解・院内寛解[[#All],[値]],0),MATCH($AP$4,阻害要因×在院期間区分＿寛解・院内寛解[#Headers],0)),0)+IFERROR(INDEX(阻害要因×在院期間区分＿寛解・院内寛解[#All],MATCH($AI62,阻害要因×在院期間区分＿寛解・院内寛解[[#All],[値]],0),MATCH($AQ$4,阻害要因×在院期間区分＿寛解・院内寛解[#Headers],0)),0)+IFERROR(INDEX(阻害要因×在院期間区分＿寛解・院内寛解[#All],MATCH($AI62,阻害要因×在院期間区分＿寛解・院内寛解[[#All],[値]],0),MATCH($AR$4,阻害要因×在院期間区分＿寛解・院内寛解[#Headers],0)),0)</f>
        <v>0</v>
      </c>
      <c r="F61" s="171">
        <f t="shared" si="13"/>
        <v>0</v>
      </c>
      <c r="G61" s="154">
        <f>IFERROR(INDEX(阻害要因×在院期間区分＿寛解・院内寛解[#All],MATCH($AI62,阻害要因×在院期間区分＿寛解・院内寛解[[#All],[値]],0),MATCH($AS$4,阻害要因×在院期間区分＿寛解・院内寛解[#Headers],0)),0)+IFERROR(INDEX(阻害要因×在院期間区分＿寛解・院内寛解[#All],MATCH($AI62,阻害要因×在院期間区分＿寛解・院内寛解[[#All],[値]],0),MATCH($AT$4,阻害要因×在院期間区分＿寛解・院内寛解[#Headers],0)),0)+IFERROR(INDEX(阻害要因×在院期間区分＿寛解・院内寛解[#All],MATCH($AI62,阻害要因×在院期間区分＿寛解・院内寛解[[#All],[値]],0),MATCH($AU$4,阻害要因×在院期間区分＿寛解・院内寛解[#Headers],0)),0)+IFERROR(INDEX(阻害要因×在院期間区分＿寛解・院内寛解[#All],MATCH($AI62,阻害要因×在院期間区分＿寛解・院内寛解[[#All],[値]],0),MATCH($AV$4,阻害要因×在院期間区分＿寛解・院内寛解[#Headers],0)),0)+IFERROR(INDEX(阻害要因×在院期間区分＿寛解・院内寛解[#All],MATCH($AI62,阻害要因×在院期間区分＿寛解・院内寛解[[#All],[値]],0),MATCH($AW$4,阻害要因×在院期間区分＿寛解・院内寛解[#Headers],0)),0)</f>
        <v>0</v>
      </c>
      <c r="H61" s="171">
        <f t="shared" si="14"/>
        <v>0</v>
      </c>
      <c r="I61" s="154">
        <f>IFERROR(INDEX(阻害要因×在院期間区分＿寛解・院内寛解[#All],MATCH($AI62,阻害要因×在院期間区分＿寛解・院内寛解[[#All],[値]],0),MATCH($AX$4,阻害要因×在院期間区分＿寛解・院内寛解[#Headers],0)),0)+IFERROR(INDEX(阻害要因×在院期間区分＿寛解・院内寛解[#All],MATCH($AI62,阻害要因×在院期間区分＿寛解・院内寛解[[#All],[値]],0),MATCH($AY$4,阻害要因×在院期間区分＿寛解・院内寛解[#Headers],0)),0)</f>
        <v>0</v>
      </c>
      <c r="J61" s="171">
        <f t="shared" si="15"/>
        <v>0</v>
      </c>
      <c r="K61" s="38">
        <f t="shared" si="16"/>
        <v>0</v>
      </c>
      <c r="L61" s="55" t="s">
        <v>177</v>
      </c>
      <c r="M61" s="61">
        <v>0</v>
      </c>
      <c r="N61" s="61">
        <v>0</v>
      </c>
      <c r="O61" s="61">
        <v>0</v>
      </c>
      <c r="P61" s="61">
        <v>0</v>
      </c>
      <c r="Q61" s="61">
        <v>0</v>
      </c>
      <c r="R61" s="61">
        <v>0</v>
      </c>
      <c r="S61" s="61">
        <v>0</v>
      </c>
      <c r="T61" s="61">
        <v>0</v>
      </c>
      <c r="U61" s="61">
        <v>0</v>
      </c>
      <c r="V61" s="61">
        <v>0</v>
      </c>
      <c r="W61" s="61">
        <v>0</v>
      </c>
      <c r="X61" s="61">
        <v>0</v>
      </c>
      <c r="Y61" s="61">
        <v>0</v>
      </c>
      <c r="Z61" s="61">
        <v>0</v>
      </c>
      <c r="AA61" s="61">
        <v>0</v>
      </c>
      <c r="AB61" s="61">
        <v>0</v>
      </c>
      <c r="AI61" s="280" t="s">
        <v>176</v>
      </c>
    </row>
    <row r="62" spans="2:35" ht="18.75" customHeight="1" x14ac:dyDescent="0.2">
      <c r="B62" s="84" t="s">
        <v>50</v>
      </c>
      <c r="C62" s="861">
        <f>IFERROR(INDEX(阻害要因×在院期間区分＿寛解・院内寛解[#All],MATCH($AI63,阻害要因×在院期間区分＿寛解・院内寛解[[#All],[値]],0),MATCH($AJ$4,阻害要因×在院期間区分＿寛解・院内寛解[#Headers],0)),0)+IFERROR(INDEX(阻害要因×在院期間区分＿寛解・院内寛解[#All],MATCH($AI63,阻害要因×在院期間区分＿寛解・院内寛解[[#All],[値]],0),MATCH($AK$4,阻害要因×在院期間区分＿寛解・院内寛解[#Headers],0)),0)+IFERROR(INDEX(阻害要因×在院期間区分＿寛解・院内寛解[#All],MATCH($AI63,阻害要因×在院期間区分＿寛解・院内寛解[[#All],[値]],0),MATCH($AL$4,阻害要因×在院期間区分＿寛解・院内寛解[#Headers],0)),0)+IFERROR(INDEX(阻害要因×在院期間区分＿寛解・院内寛解[#All],MATCH($AI63,阻害要因×在院期間区分＿寛解・院内寛解[[#All],[値]],0),MATCH($AM$4,阻害要因×在院期間区分＿寛解・院内寛解[#Headers],0)),0)</f>
        <v>12</v>
      </c>
      <c r="D62" s="171">
        <f t="shared" si="12"/>
        <v>5.9701492537313432E-2</v>
      </c>
      <c r="E62" s="178">
        <f>IFERROR(INDEX(阻害要因×在院期間区分＿寛解・院内寛解[#All],MATCH($AI63,阻害要因×在院期間区分＿寛解・院内寛解[[#All],[値]],0),MATCH($AN$4,阻害要因×在院期間区分＿寛解・院内寛解[#Headers],0)),0)+IFERROR(INDEX(阻害要因×在院期間区分＿寛解・院内寛解[#All],MATCH($AI63,阻害要因×在院期間区分＿寛解・院内寛解[[#All],[値]],0),MATCH($AO$4,阻害要因×在院期間区分＿寛解・院内寛解[#Headers],0)),0)+IFERROR(INDEX(阻害要因×在院期間区分＿寛解・院内寛解[#All],MATCH($AI63,阻害要因×在院期間区分＿寛解・院内寛解[[#All],[値]],0),MATCH($AP$4,阻害要因×在院期間区分＿寛解・院内寛解[#Headers],0)),0)+IFERROR(INDEX(阻害要因×在院期間区分＿寛解・院内寛解[#All],MATCH($AI63,阻害要因×在院期間区分＿寛解・院内寛解[[#All],[値]],0),MATCH($AQ$4,阻害要因×在院期間区分＿寛解・院内寛解[#Headers],0)),0)+IFERROR(INDEX(阻害要因×在院期間区分＿寛解・院内寛解[#All],MATCH($AI63,阻害要因×在院期間区分＿寛解・院内寛解[[#All],[値]],0),MATCH($AR$4,阻害要因×在院期間区分＿寛解・院内寛解[#Headers],0)),0)</f>
        <v>15</v>
      </c>
      <c r="F62" s="171">
        <f t="shared" si="13"/>
        <v>8.5714285714285715E-2</v>
      </c>
      <c r="G62" s="178">
        <f>IFERROR(INDEX(阻害要因×在院期間区分＿寛解・院内寛解[#All],MATCH($AI63,阻害要因×在院期間区分＿寛解・院内寛解[[#All],[値]],0),MATCH($AS$4,阻害要因×在院期間区分＿寛解・院内寛解[#Headers],0)),0)+IFERROR(INDEX(阻害要因×在院期間区分＿寛解・院内寛解[#All],MATCH($AI63,阻害要因×在院期間区分＿寛解・院内寛解[[#All],[値]],0),MATCH($AT$4,阻害要因×在院期間区分＿寛解・院内寛解[#Headers],0)),0)+IFERROR(INDEX(阻害要因×在院期間区分＿寛解・院内寛解[#All],MATCH($AI63,阻害要因×在院期間区分＿寛解・院内寛解[[#All],[値]],0),MATCH($AU$4,阻害要因×在院期間区分＿寛解・院内寛解[#Headers],0)),0)+IFERROR(INDEX(阻害要因×在院期間区分＿寛解・院内寛解[#All],MATCH($AI63,阻害要因×在院期間区分＿寛解・院内寛解[[#All],[値]],0),MATCH($AV$4,阻害要因×在院期間区分＿寛解・院内寛解[#Headers],0)),0)+IFERROR(INDEX(阻害要因×在院期間区分＿寛解・院内寛解[#All],MATCH($AI63,阻害要因×在院期間区分＿寛解・院内寛解[[#All],[値]],0),MATCH($AW$4,阻害要因×在院期間区分＿寛解・院内寛解[#Headers],0)),0)</f>
        <v>8</v>
      </c>
      <c r="H62" s="171">
        <f t="shared" si="14"/>
        <v>9.3023255813953487E-2</v>
      </c>
      <c r="I62" s="178">
        <f>IFERROR(INDEX(阻害要因×在院期間区分＿寛解・院内寛解[#All],MATCH($AI63,阻害要因×在院期間区分＿寛解・院内寛解[[#All],[値]],0),MATCH($AX$4,阻害要因×在院期間区分＿寛解・院内寛解[#Headers],0)),0)+IFERROR(INDEX(阻害要因×在院期間区分＿寛解・院内寛解[#All],MATCH($AI63,阻害要因×在院期間区分＿寛解・院内寛解[[#All],[値]],0),MATCH($AY$4,阻害要因×在院期間区分＿寛解・院内寛解[#Headers],0)),0)</f>
        <v>8</v>
      </c>
      <c r="J62" s="171">
        <f t="shared" si="15"/>
        <v>0.10666666666666667</v>
      </c>
      <c r="K62" s="38">
        <f t="shared" si="16"/>
        <v>43</v>
      </c>
      <c r="L62" s="55" t="s">
        <v>178</v>
      </c>
      <c r="M62" s="61">
        <v>0</v>
      </c>
      <c r="N62" s="61">
        <v>4</v>
      </c>
      <c r="O62" s="61">
        <v>4</v>
      </c>
      <c r="P62" s="61">
        <v>4</v>
      </c>
      <c r="Q62" s="61">
        <v>4</v>
      </c>
      <c r="R62" s="61">
        <v>2</v>
      </c>
      <c r="S62" s="61">
        <v>3</v>
      </c>
      <c r="T62" s="61">
        <v>3</v>
      </c>
      <c r="U62" s="61">
        <v>3</v>
      </c>
      <c r="V62" s="61">
        <v>2</v>
      </c>
      <c r="W62" s="61">
        <v>4</v>
      </c>
      <c r="X62" s="61">
        <v>0</v>
      </c>
      <c r="Y62" s="61">
        <v>0</v>
      </c>
      <c r="Z62" s="61">
        <v>2</v>
      </c>
      <c r="AA62" s="61">
        <v>6</v>
      </c>
      <c r="AB62" s="61">
        <v>2</v>
      </c>
      <c r="AI62" s="280" t="s">
        <v>177</v>
      </c>
    </row>
    <row r="63" spans="2:35" ht="18.75" customHeight="1" x14ac:dyDescent="0.2">
      <c r="B63" s="84" t="s">
        <v>51</v>
      </c>
      <c r="C63" s="860">
        <f>IFERROR(INDEX(阻害要因×在院期間区分＿寛解・院内寛解[#All],MATCH($AI64,阻害要因×在院期間区分＿寛解・院内寛解[[#All],[値]],0),MATCH($AJ$4,阻害要因×在院期間区分＿寛解・院内寛解[#Headers],0)),0)+IFERROR(INDEX(阻害要因×在院期間区分＿寛解・院内寛解[#All],MATCH($AI64,阻害要因×在院期間区分＿寛解・院内寛解[[#All],[値]],0),MATCH($AK$4,阻害要因×在院期間区分＿寛解・院内寛解[#Headers],0)),0)+IFERROR(INDEX(阻害要因×在院期間区分＿寛解・院内寛解[#All],MATCH($AI64,阻害要因×在院期間区分＿寛解・院内寛解[[#All],[値]],0),MATCH($AL$4,阻害要因×在院期間区分＿寛解・院内寛解[#Headers],0)),0)+IFERROR(INDEX(阻害要因×在院期間区分＿寛解・院内寛解[#All],MATCH($AI64,阻害要因×在院期間区分＿寛解・院内寛解[[#All],[値]],0),MATCH($AM$4,阻害要因×在院期間区分＿寛解・院内寛解[#Headers],0)),0)</f>
        <v>13</v>
      </c>
      <c r="D63" s="171">
        <f t="shared" si="12"/>
        <v>6.4676616915422883E-2</v>
      </c>
      <c r="E63" s="154">
        <f>IFERROR(INDEX(阻害要因×在院期間区分＿寛解・院内寛解[#All],MATCH($AI64,阻害要因×在院期間区分＿寛解・院内寛解[[#All],[値]],0),MATCH($AN$4,阻害要因×在院期間区分＿寛解・院内寛解[#Headers],0)),0)+IFERROR(INDEX(阻害要因×在院期間区分＿寛解・院内寛解[#All],MATCH($AI64,阻害要因×在院期間区分＿寛解・院内寛解[[#All],[値]],0),MATCH($AO$4,阻害要因×在院期間区分＿寛解・院内寛解[#Headers],0)),0)+IFERROR(INDEX(阻害要因×在院期間区分＿寛解・院内寛解[#All],MATCH($AI64,阻害要因×在院期間区分＿寛解・院内寛解[[#All],[値]],0),MATCH($AP$4,阻害要因×在院期間区分＿寛解・院内寛解[#Headers],0)),0)+IFERROR(INDEX(阻害要因×在院期間区分＿寛解・院内寛解[#All],MATCH($AI64,阻害要因×在院期間区分＿寛解・院内寛解[[#All],[値]],0),MATCH($AQ$4,阻害要因×在院期間区分＿寛解・院内寛解[#Headers],0)),0)+IFERROR(INDEX(阻害要因×在院期間区分＿寛解・院内寛解[#All],MATCH($AI64,阻害要因×在院期間区分＿寛解・院内寛解[[#All],[値]],0),MATCH($AR$4,阻害要因×在院期間区分＿寛解・院内寛解[#Headers],0)),0)</f>
        <v>16</v>
      </c>
      <c r="F63" s="171">
        <f t="shared" si="13"/>
        <v>9.1428571428571428E-2</v>
      </c>
      <c r="G63" s="154">
        <f>IFERROR(INDEX(阻害要因×在院期間区分＿寛解・院内寛解[#All],MATCH($AI64,阻害要因×在院期間区分＿寛解・院内寛解[[#All],[値]],0),MATCH($AS$4,阻害要因×在院期間区分＿寛解・院内寛解[#Headers],0)),0)+IFERROR(INDEX(阻害要因×在院期間区分＿寛解・院内寛解[#All],MATCH($AI64,阻害要因×在院期間区分＿寛解・院内寛解[[#All],[値]],0),MATCH($AT$4,阻害要因×在院期間区分＿寛解・院内寛解[#Headers],0)),0)+IFERROR(INDEX(阻害要因×在院期間区分＿寛解・院内寛解[#All],MATCH($AI64,阻害要因×在院期間区分＿寛解・院内寛解[[#All],[値]],0),MATCH($AU$4,阻害要因×在院期間区分＿寛解・院内寛解[#Headers],0)),0)+IFERROR(INDEX(阻害要因×在院期間区分＿寛解・院内寛解[#All],MATCH($AI64,阻害要因×在院期間区分＿寛解・院内寛解[[#All],[値]],0),MATCH($AV$4,阻害要因×在院期間区分＿寛解・院内寛解[#Headers],0)),0)+IFERROR(INDEX(阻害要因×在院期間区分＿寛解・院内寛解[#All],MATCH($AI64,阻害要因×在院期間区分＿寛解・院内寛解[[#All],[値]],0),MATCH($AW$4,阻害要因×在院期間区分＿寛解・院内寛解[#Headers],0)),0)</f>
        <v>10</v>
      </c>
      <c r="H63" s="171">
        <f t="shared" si="14"/>
        <v>0.11627906976744186</v>
      </c>
      <c r="I63" s="154">
        <f>IFERROR(INDEX(阻害要因×在院期間区分＿寛解・院内寛解[#All],MATCH($AI64,阻害要因×在院期間区分＿寛解・院内寛解[[#All],[値]],0),MATCH($AX$4,阻害要因×在院期間区分＿寛解・院内寛解[#Headers],0)),0)+IFERROR(INDEX(阻害要因×在院期間区分＿寛解・院内寛解[#All],MATCH($AI64,阻害要因×在院期間区分＿寛解・院内寛解[[#All],[値]],0),MATCH($AY$4,阻害要因×在院期間区分＿寛解・院内寛解[#Headers],0)),0)</f>
        <v>6</v>
      </c>
      <c r="J63" s="171">
        <f t="shared" si="15"/>
        <v>0.08</v>
      </c>
      <c r="K63" s="38">
        <f t="shared" si="16"/>
        <v>45</v>
      </c>
      <c r="L63" s="55" t="s">
        <v>179</v>
      </c>
      <c r="M63" s="61">
        <v>2</v>
      </c>
      <c r="N63" s="61">
        <v>5</v>
      </c>
      <c r="O63" s="61">
        <v>4</v>
      </c>
      <c r="P63" s="61">
        <v>2</v>
      </c>
      <c r="Q63" s="61">
        <v>3</v>
      </c>
      <c r="R63" s="61">
        <v>3</v>
      </c>
      <c r="S63" s="61">
        <v>4</v>
      </c>
      <c r="T63" s="61">
        <v>3</v>
      </c>
      <c r="U63" s="61">
        <v>3</v>
      </c>
      <c r="V63" s="61">
        <v>3</v>
      </c>
      <c r="W63" s="61">
        <v>3</v>
      </c>
      <c r="X63" s="61">
        <v>1</v>
      </c>
      <c r="Y63" s="61">
        <v>0</v>
      </c>
      <c r="Z63" s="61">
        <v>3</v>
      </c>
      <c r="AA63" s="61">
        <v>4</v>
      </c>
      <c r="AB63" s="61">
        <v>2</v>
      </c>
      <c r="AI63" s="280" t="s">
        <v>178</v>
      </c>
    </row>
    <row r="64" spans="2:35" ht="18.75" customHeight="1" x14ac:dyDescent="0.2">
      <c r="B64" s="84" t="s">
        <v>247</v>
      </c>
      <c r="C64" s="860">
        <f>IFERROR(INDEX(阻害要因×在院期間区分＿寛解・院内寛解[#All],MATCH($AI65,阻害要因×在院期間区分＿寛解・院内寛解[[#All],[値]],0),MATCH($AJ$4,阻害要因×在院期間区分＿寛解・院内寛解[#Headers],0)),0)+IFERROR(INDEX(阻害要因×在院期間区分＿寛解・院内寛解[#All],MATCH($AI65,阻害要因×在院期間区分＿寛解・院内寛解[[#All],[値]],0),MATCH($AK$4,阻害要因×在院期間区分＿寛解・院内寛解[#Headers],0)),0)+IFERROR(INDEX(阻害要因×在院期間区分＿寛解・院内寛解[#All],MATCH($AI65,阻害要因×在院期間区分＿寛解・院内寛解[[#All],[値]],0),MATCH($AL$4,阻害要因×在院期間区分＿寛解・院内寛解[#Headers],0)),0)+IFERROR(INDEX(阻害要因×在院期間区分＿寛解・院内寛解[#All],MATCH($AI65,阻害要因×在院期間区分＿寛解・院内寛解[[#All],[値]],0),MATCH($AM$4,阻害要因×在院期間区分＿寛解・院内寛解[#Headers],0)),0)</f>
        <v>8</v>
      </c>
      <c r="D64" s="171">
        <f t="shared" si="12"/>
        <v>3.9800995024875621E-2</v>
      </c>
      <c r="E64" s="154">
        <f>IFERROR(INDEX(阻害要因×在院期間区分＿寛解・院内寛解[#All],MATCH($AI65,阻害要因×在院期間区分＿寛解・院内寛解[[#All],[値]],0),MATCH($AN$4,阻害要因×在院期間区分＿寛解・院内寛解[#Headers],0)),0)+IFERROR(INDEX(阻害要因×在院期間区分＿寛解・院内寛解[#All],MATCH($AI65,阻害要因×在院期間区分＿寛解・院内寛解[[#All],[値]],0),MATCH($AO$4,阻害要因×在院期間区分＿寛解・院内寛解[#Headers],0)),0)+IFERROR(INDEX(阻害要因×在院期間区分＿寛解・院内寛解[#All],MATCH($AI65,阻害要因×在院期間区分＿寛解・院内寛解[[#All],[値]],0),MATCH($AP$4,阻害要因×在院期間区分＿寛解・院内寛解[#Headers],0)),0)+IFERROR(INDEX(阻害要因×在院期間区分＿寛解・院内寛解[#All],MATCH($AI65,阻害要因×在院期間区分＿寛解・院内寛解[[#All],[値]],0),MATCH($AQ$4,阻害要因×在院期間区分＿寛解・院内寛解[#Headers],0)),0)+IFERROR(INDEX(阻害要因×在院期間区分＿寛解・院内寛解[#All],MATCH($AI65,阻害要因×在院期間区分＿寛解・院内寛解[[#All],[値]],0),MATCH($AR$4,阻害要因×在院期間区分＿寛解・院内寛解[#Headers],0)),0)</f>
        <v>6</v>
      </c>
      <c r="F64" s="171">
        <f t="shared" si="13"/>
        <v>3.4285714285714287E-2</v>
      </c>
      <c r="G64" s="154">
        <f>IFERROR(INDEX(阻害要因×在院期間区分＿寛解・院内寛解[#All],MATCH($AI65,阻害要因×在院期間区分＿寛解・院内寛解[[#All],[値]],0),MATCH($AS$4,阻害要因×在院期間区分＿寛解・院内寛解[#Headers],0)),0)+IFERROR(INDEX(阻害要因×在院期間区分＿寛解・院内寛解[#All],MATCH($AI65,阻害要因×在院期間区分＿寛解・院内寛解[[#All],[値]],0),MATCH($AT$4,阻害要因×在院期間区分＿寛解・院内寛解[#Headers],0)),0)+IFERROR(INDEX(阻害要因×在院期間区分＿寛解・院内寛解[#All],MATCH($AI65,阻害要因×在院期間区分＿寛解・院内寛解[[#All],[値]],0),MATCH($AU$4,阻害要因×在院期間区分＿寛解・院内寛解[#Headers],0)),0)+IFERROR(INDEX(阻害要因×在院期間区分＿寛解・院内寛解[#All],MATCH($AI65,阻害要因×在院期間区分＿寛解・院内寛解[[#All],[値]],0),MATCH($AV$4,阻害要因×在院期間区分＿寛解・院内寛解[#Headers],0)),0)+IFERROR(INDEX(阻害要因×在院期間区分＿寛解・院内寛解[#All],MATCH($AI65,阻害要因×在院期間区分＿寛解・院内寛解[[#All],[値]],0),MATCH($AW$4,阻害要因×在院期間区分＿寛解・院内寛解[#Headers],0)),0)</f>
        <v>2</v>
      </c>
      <c r="H64" s="171">
        <f t="shared" si="14"/>
        <v>2.3255813953488372E-2</v>
      </c>
      <c r="I64" s="154">
        <f>IFERROR(INDEX(阻害要因×在院期間区分＿寛解・院内寛解[#All],MATCH($AI65,阻害要因×在院期間区分＿寛解・院内寛解[[#All],[値]],0),MATCH($AX$4,阻害要因×在院期間区分＿寛解・院内寛解[#Headers],0)),0)+IFERROR(INDEX(阻害要因×在院期間区分＿寛解・院内寛解[#All],MATCH($AI65,阻害要因×在院期間区分＿寛解・院内寛解[[#All],[値]],0),MATCH($AY$4,阻害要因×在院期間区分＿寛解・院内寛解[#Headers],0)),0)</f>
        <v>1</v>
      </c>
      <c r="J64" s="171">
        <f t="shared" si="15"/>
        <v>1.3333333333333334E-2</v>
      </c>
      <c r="K64" s="38">
        <f t="shared" si="16"/>
        <v>17</v>
      </c>
      <c r="L64" s="55" t="s">
        <v>180</v>
      </c>
      <c r="M64" s="61">
        <v>2</v>
      </c>
      <c r="N64" s="61">
        <v>4</v>
      </c>
      <c r="O64" s="61">
        <v>2</v>
      </c>
      <c r="P64" s="61">
        <v>0</v>
      </c>
      <c r="Q64" s="61">
        <v>2</v>
      </c>
      <c r="R64" s="61">
        <v>0</v>
      </c>
      <c r="S64" s="61">
        <v>2</v>
      </c>
      <c r="T64" s="61">
        <v>0</v>
      </c>
      <c r="U64" s="61">
        <v>2</v>
      </c>
      <c r="V64" s="61">
        <v>0</v>
      </c>
      <c r="W64" s="61">
        <v>0</v>
      </c>
      <c r="X64" s="61">
        <v>1</v>
      </c>
      <c r="Y64" s="61">
        <v>0</v>
      </c>
      <c r="Z64" s="61">
        <v>1</v>
      </c>
      <c r="AA64" s="61">
        <v>1</v>
      </c>
      <c r="AB64" s="61">
        <v>0</v>
      </c>
      <c r="AI64" s="280" t="s">
        <v>179</v>
      </c>
    </row>
    <row r="65" spans="2:35" s="396" customFormat="1" ht="18.75" customHeight="1" x14ac:dyDescent="0.2">
      <c r="B65" s="400" t="s">
        <v>380</v>
      </c>
      <c r="C65" s="860">
        <f>IFERROR(INDEX(阻害要因×在院期間区分＿寛解・院内寛解[#All],MATCH($AI66,阻害要因×在院期間区分＿寛解・院内寛解[[#All],[値]],0),MATCH($AJ$4,阻害要因×在院期間区分＿寛解・院内寛解[#Headers],0)),0)+IFERROR(INDEX(阻害要因×在院期間区分＿寛解・院内寛解[#All],MATCH($AI66,阻害要因×在院期間区分＿寛解・院内寛解[[#All],[値]],0),MATCH($AK$4,阻害要因×在院期間区分＿寛解・院内寛解[#Headers],0)),0)+IFERROR(INDEX(阻害要因×在院期間区分＿寛解・院内寛解[#All],MATCH($AI66,阻害要因×在院期間区分＿寛解・院内寛解[[#All],[値]],0),MATCH($AL$4,阻害要因×在院期間区分＿寛解・院内寛解[#Headers],0)),0)+IFERROR(INDEX(阻害要因×在院期間区分＿寛解・院内寛解[#All],MATCH($AI66,阻害要因×在院期間区分＿寛解・院内寛解[[#All],[値]],0),MATCH($AM$4,阻害要因×在院期間区分＿寛解・院内寛解[#Headers],0)),0)</f>
        <v>20</v>
      </c>
      <c r="D65" s="171">
        <f t="shared" ref="D65:D67" si="17">IFERROR(C65/C$44,"-")</f>
        <v>9.950248756218906E-2</v>
      </c>
      <c r="E65" s="154">
        <f>IFERROR(INDEX(阻害要因×在院期間区分＿寛解・院内寛解[#All],MATCH($AI66,阻害要因×在院期間区分＿寛解・院内寛解[[#All],[値]],0),MATCH($AN$4,阻害要因×在院期間区分＿寛解・院内寛解[#Headers],0)),0)+IFERROR(INDEX(阻害要因×在院期間区分＿寛解・院内寛解[#All],MATCH($AI66,阻害要因×在院期間区分＿寛解・院内寛解[[#All],[値]],0),MATCH($AO$4,阻害要因×在院期間区分＿寛解・院内寛解[#Headers],0)),0)+IFERROR(INDEX(阻害要因×在院期間区分＿寛解・院内寛解[#All],MATCH($AI66,阻害要因×在院期間区分＿寛解・院内寛解[[#All],[値]],0),MATCH($AP$4,阻害要因×在院期間区分＿寛解・院内寛解[#Headers],0)),0)+IFERROR(INDEX(阻害要因×在院期間区分＿寛解・院内寛解[#All],MATCH($AI66,阻害要因×在院期間区分＿寛解・院内寛解[[#All],[値]],0),MATCH($AQ$4,阻害要因×在院期間区分＿寛解・院内寛解[#Headers],0)),0)+IFERROR(INDEX(阻害要因×在院期間区分＿寛解・院内寛解[#All],MATCH($AI66,阻害要因×在院期間区分＿寛解・院内寛解[[#All],[値]],0),MATCH($AR$4,阻害要因×在院期間区分＿寛解・院内寛解[#Headers],0)),0)</f>
        <v>21</v>
      </c>
      <c r="F65" s="171">
        <f t="shared" ref="F65:F67" si="18">IFERROR(E65/E$44,"-")</f>
        <v>0.12</v>
      </c>
      <c r="G65" s="154">
        <f>IFERROR(INDEX(阻害要因×在院期間区分＿寛解・院内寛解[#All],MATCH($AI66,阻害要因×在院期間区分＿寛解・院内寛解[[#All],[値]],0),MATCH($AS$4,阻害要因×在院期間区分＿寛解・院内寛解[#Headers],0)),0)+IFERROR(INDEX(阻害要因×在院期間区分＿寛解・院内寛解[#All],MATCH($AI66,阻害要因×在院期間区分＿寛解・院内寛解[[#All],[値]],0),MATCH($AT$4,阻害要因×在院期間区分＿寛解・院内寛解[#Headers],0)),0)+IFERROR(INDEX(阻害要因×在院期間区分＿寛解・院内寛解[#All],MATCH($AI66,阻害要因×在院期間区分＿寛解・院内寛解[[#All],[値]],0),MATCH($AU$4,阻害要因×在院期間区分＿寛解・院内寛解[#Headers],0)),0)+IFERROR(INDEX(阻害要因×在院期間区分＿寛解・院内寛解[#All],MATCH($AI66,阻害要因×在院期間区分＿寛解・院内寛解[[#All],[値]],0),MATCH($AV$4,阻害要因×在院期間区分＿寛解・院内寛解[#Headers],0)),0)+IFERROR(INDEX(阻害要因×在院期間区分＿寛解・院内寛解[#All],MATCH($AI66,阻害要因×在院期間区分＿寛解・院内寛解[[#All],[値]],0),MATCH($AW$4,阻害要因×在院期間区分＿寛解・院内寛解[#Headers],0)),0)</f>
        <v>5</v>
      </c>
      <c r="H65" s="171">
        <f t="shared" ref="H65:H67" si="19">IFERROR(G65/G$44,"-")</f>
        <v>5.8139534883720929E-2</v>
      </c>
      <c r="I65" s="154">
        <f>IFERROR(INDEX(阻害要因×在院期間区分＿寛解・院内寛解[#All],MATCH($AI66,阻害要因×在院期間区分＿寛解・院内寛解[[#All],[値]],0),MATCH($AX$4,阻害要因×在院期間区分＿寛解・院内寛解[#Headers],0)),0)+IFERROR(INDEX(阻害要因×在院期間区分＿寛解・院内寛解[#All],MATCH($AI66,阻害要因×在院期間区分＿寛解・院内寛解[[#All],[値]],0),MATCH($AY$4,阻害要因×在院期間区分＿寛解・院内寛解[#Headers],0)),0)</f>
        <v>5</v>
      </c>
      <c r="J65" s="171">
        <f t="shared" ref="J65:J67" si="20">IFERROR(I65/I$44,"-")</f>
        <v>6.6666666666666666E-2</v>
      </c>
      <c r="K65" s="38">
        <f t="shared" si="16"/>
        <v>51</v>
      </c>
      <c r="L65" s="55" t="s">
        <v>382</v>
      </c>
      <c r="M65" s="399">
        <v>4</v>
      </c>
      <c r="N65" s="61">
        <v>7</v>
      </c>
      <c r="O65" s="61">
        <v>2</v>
      </c>
      <c r="P65" s="61">
        <v>7</v>
      </c>
      <c r="Q65" s="61">
        <v>5</v>
      </c>
      <c r="R65" s="61">
        <v>3</v>
      </c>
      <c r="S65" s="61">
        <v>6</v>
      </c>
      <c r="T65" s="61">
        <v>4</v>
      </c>
      <c r="U65" s="61">
        <v>3</v>
      </c>
      <c r="V65" s="61">
        <v>2</v>
      </c>
      <c r="W65" s="61">
        <v>0</v>
      </c>
      <c r="X65" s="61">
        <v>1</v>
      </c>
      <c r="Y65" s="61">
        <v>1</v>
      </c>
      <c r="Z65" s="61">
        <v>1</v>
      </c>
      <c r="AA65" s="61">
        <v>5</v>
      </c>
      <c r="AB65" s="61">
        <v>0</v>
      </c>
      <c r="AI65" s="280" t="s">
        <v>180</v>
      </c>
    </row>
    <row r="66" spans="2:35" s="396" customFormat="1" ht="38.25" customHeight="1" x14ac:dyDescent="0.2">
      <c r="B66" s="401" t="s">
        <v>381</v>
      </c>
      <c r="C66" s="860">
        <f>IFERROR(INDEX(阻害要因×在院期間区分＿寛解・院内寛解[#All],MATCH($AI67,阻害要因×在院期間区分＿寛解・院内寛解[[#All],[値]],0),MATCH($AJ$4,阻害要因×在院期間区分＿寛解・院内寛解[#Headers],0)),0)+IFERROR(INDEX(阻害要因×在院期間区分＿寛解・院内寛解[#All],MATCH($AI67,阻害要因×在院期間区分＿寛解・院内寛解[[#All],[値]],0),MATCH($AK$4,阻害要因×在院期間区分＿寛解・院内寛解[#Headers],0)),0)+IFERROR(INDEX(阻害要因×在院期間区分＿寛解・院内寛解[#All],MATCH($AI67,阻害要因×在院期間区分＿寛解・院内寛解[[#All],[値]],0),MATCH($AL$4,阻害要因×在院期間区分＿寛解・院内寛解[#Headers],0)),0)+IFERROR(INDEX(阻害要因×在院期間区分＿寛解・院内寛解[#All],MATCH($AI67,阻害要因×在院期間区分＿寛解・院内寛解[[#All],[値]],0),MATCH($AM$4,阻害要因×在院期間区分＿寛解・院内寛解[#Headers],0)),0)</f>
        <v>5</v>
      </c>
      <c r="D66" s="171">
        <f t="shared" si="17"/>
        <v>2.4875621890547265E-2</v>
      </c>
      <c r="E66" s="154">
        <f>IFERROR(INDEX(阻害要因×在院期間区分＿寛解・院内寛解[#All],MATCH($AI67,阻害要因×在院期間区分＿寛解・院内寛解[[#All],[値]],0),MATCH($AN$4,阻害要因×在院期間区分＿寛解・院内寛解[#Headers],0)),0)+IFERROR(INDEX(阻害要因×在院期間区分＿寛解・院内寛解[#All],MATCH($AI67,阻害要因×在院期間区分＿寛解・院内寛解[[#All],[値]],0),MATCH($AO$4,阻害要因×在院期間区分＿寛解・院内寛解[#Headers],0)),0)+IFERROR(INDEX(阻害要因×在院期間区分＿寛解・院内寛解[#All],MATCH($AI67,阻害要因×在院期間区分＿寛解・院内寛解[[#All],[値]],0),MATCH($AP$4,阻害要因×在院期間区分＿寛解・院内寛解[#Headers],0)),0)+IFERROR(INDEX(阻害要因×在院期間区分＿寛解・院内寛解[#All],MATCH($AI67,阻害要因×在院期間区分＿寛解・院内寛解[[#All],[値]],0),MATCH($AQ$4,阻害要因×在院期間区分＿寛解・院内寛解[#Headers],0)),0)+IFERROR(INDEX(阻害要因×在院期間区分＿寛解・院内寛解[#All],MATCH($AI67,阻害要因×在院期間区分＿寛解・院内寛解[[#All],[値]],0),MATCH($AR$4,阻害要因×在院期間区分＿寛解・院内寛解[#Headers],0)),0)</f>
        <v>9</v>
      </c>
      <c r="F66" s="171">
        <f t="shared" si="18"/>
        <v>5.1428571428571428E-2</v>
      </c>
      <c r="G66" s="154">
        <f>IFERROR(INDEX(阻害要因×在院期間区分＿寛解・院内寛解[#All],MATCH($AI67,阻害要因×在院期間区分＿寛解・院内寛解[[#All],[値]],0),MATCH($AS$4,阻害要因×在院期間区分＿寛解・院内寛解[#Headers],0)),0)+IFERROR(INDEX(阻害要因×在院期間区分＿寛解・院内寛解[#All],MATCH($AI67,阻害要因×在院期間区分＿寛解・院内寛解[[#All],[値]],0),MATCH($AT$4,阻害要因×在院期間区分＿寛解・院内寛解[#Headers],0)),0)+IFERROR(INDEX(阻害要因×在院期間区分＿寛解・院内寛解[#All],MATCH($AI67,阻害要因×在院期間区分＿寛解・院内寛解[[#All],[値]],0),MATCH($AU$4,阻害要因×在院期間区分＿寛解・院内寛解[#Headers],0)),0)+IFERROR(INDEX(阻害要因×在院期間区分＿寛解・院内寛解[#All],MATCH($AI67,阻害要因×在院期間区分＿寛解・院内寛解[[#All],[値]],0),MATCH($AV$4,阻害要因×在院期間区分＿寛解・院内寛解[#Headers],0)),0)+IFERROR(INDEX(阻害要因×在院期間区分＿寛解・院内寛解[#All],MATCH($AI67,阻害要因×在院期間区分＿寛解・院内寛解[[#All],[値]],0),MATCH($AW$4,阻害要因×在院期間区分＿寛解・院内寛解[#Headers],0)),0)</f>
        <v>1</v>
      </c>
      <c r="H66" s="171">
        <f t="shared" si="19"/>
        <v>1.1627906976744186E-2</v>
      </c>
      <c r="I66" s="154">
        <f>IFERROR(INDEX(阻害要因×在院期間区分＿寛解・院内寛解[#All],MATCH($AI67,阻害要因×在院期間区分＿寛解・院内寛解[[#All],[値]],0),MATCH($AX$4,阻害要因×在院期間区分＿寛解・院内寛解[#Headers],0)),0)+IFERROR(INDEX(阻害要因×在院期間区分＿寛解・院内寛解[#All],MATCH($AI67,阻害要因×在院期間区分＿寛解・院内寛解[[#All],[値]],0),MATCH($AY$4,阻害要因×在院期間区分＿寛解・院内寛解[#Headers],0)),0)</f>
        <v>1</v>
      </c>
      <c r="J66" s="171">
        <f t="shared" si="20"/>
        <v>1.3333333333333334E-2</v>
      </c>
      <c r="K66" s="38">
        <f t="shared" si="16"/>
        <v>16</v>
      </c>
      <c r="L66" s="55" t="s">
        <v>383</v>
      </c>
      <c r="M66" s="399">
        <v>0</v>
      </c>
      <c r="N66" s="61">
        <v>3</v>
      </c>
      <c r="O66" s="61">
        <v>1</v>
      </c>
      <c r="P66" s="61">
        <v>1</v>
      </c>
      <c r="Q66" s="61">
        <v>3</v>
      </c>
      <c r="R66" s="61">
        <v>2</v>
      </c>
      <c r="S66" s="61">
        <v>0</v>
      </c>
      <c r="T66" s="61">
        <v>2</v>
      </c>
      <c r="U66" s="61">
        <v>2</v>
      </c>
      <c r="V66" s="61">
        <v>0</v>
      </c>
      <c r="W66" s="61">
        <v>0</v>
      </c>
      <c r="X66" s="61">
        <v>0</v>
      </c>
      <c r="Y66" s="61">
        <v>0</v>
      </c>
      <c r="Z66" s="61">
        <v>1</v>
      </c>
      <c r="AA66" s="61">
        <v>1</v>
      </c>
      <c r="AB66" s="61">
        <v>0</v>
      </c>
      <c r="AI66" s="280" t="s">
        <v>382</v>
      </c>
    </row>
    <row r="67" spans="2:35" x14ac:dyDescent="0.2">
      <c r="B67" s="85" t="s">
        <v>53</v>
      </c>
      <c r="C67" s="867">
        <f>IFERROR(INDEX(阻害要因×在院期間区分＿寛解・院内寛解[#All],MATCH($AI68,阻害要因×在院期間区分＿寛解・院内寛解[[#All],[値]],0),MATCH($AJ$4,阻害要因×在院期間区分＿寛解・院内寛解[#Headers],0)),0)+IFERROR(INDEX(阻害要因×在院期間区分＿寛解・院内寛解[#All],MATCH($AI68,阻害要因×在院期間区分＿寛解・院内寛解[[#All],[値]],0),MATCH($AK$4,阻害要因×在院期間区分＿寛解・院内寛解[#Headers],0)),0)+IFERROR(INDEX(阻害要因×在院期間区分＿寛解・院内寛解[#All],MATCH($AI68,阻害要因×在院期間区分＿寛解・院内寛解[[#All],[値]],0),MATCH($AL$4,阻害要因×在院期間区分＿寛解・院内寛解[#Headers],0)),0)+IFERROR(INDEX(阻害要因×在院期間区分＿寛解・院内寛解[#All],MATCH($AI68,阻害要因×在院期間区分＿寛解・院内寛解[[#All],[値]],0),MATCH($AM$4,阻害要因×在院期間区分＿寛解・院内寛解[#Headers],0)),0)</f>
        <v>9</v>
      </c>
      <c r="D67" s="159">
        <f t="shared" si="17"/>
        <v>4.4776119402985072E-2</v>
      </c>
      <c r="E67" s="157">
        <f>IFERROR(INDEX(阻害要因×在院期間区分＿寛解・院内寛解[#All],MATCH($AI68,阻害要因×在院期間区分＿寛解・院内寛解[[#All],[値]],0),MATCH($AN$4,阻害要因×在院期間区分＿寛解・院内寛解[#Headers],0)),0)+IFERROR(INDEX(阻害要因×在院期間区分＿寛解・院内寛解[#All],MATCH($AI68,阻害要因×在院期間区分＿寛解・院内寛解[[#All],[値]],0),MATCH($AO$4,阻害要因×在院期間区分＿寛解・院内寛解[#Headers],0)),0)+IFERROR(INDEX(阻害要因×在院期間区分＿寛解・院内寛解[#All],MATCH($AI68,阻害要因×在院期間区分＿寛解・院内寛解[[#All],[値]],0),MATCH($AP$4,阻害要因×在院期間区分＿寛解・院内寛解[#Headers],0)),0)+IFERROR(INDEX(阻害要因×在院期間区分＿寛解・院内寛解[#All],MATCH($AI68,阻害要因×在院期間区分＿寛解・院内寛解[[#All],[値]],0),MATCH($AQ$4,阻害要因×在院期間区分＿寛解・院内寛解[#Headers],0)),0)+IFERROR(INDEX(阻害要因×在院期間区分＿寛解・院内寛解[#All],MATCH($AI68,阻害要因×在院期間区分＿寛解・院内寛解[[#All],[値]],0),MATCH($AR$4,阻害要因×在院期間区分＿寛解・院内寛解[#Headers],0)),0)</f>
        <v>4</v>
      </c>
      <c r="F67" s="159">
        <f t="shared" si="18"/>
        <v>2.2857142857142857E-2</v>
      </c>
      <c r="G67" s="157">
        <f>IFERROR(INDEX(阻害要因×在院期間区分＿寛解・院内寛解[#All],MATCH($AI68,阻害要因×在院期間区分＿寛解・院内寛解[[#All],[値]],0),MATCH($AS$4,阻害要因×在院期間区分＿寛解・院内寛解[#Headers],0)),0)+IFERROR(INDEX(阻害要因×在院期間区分＿寛解・院内寛解[#All],MATCH($AI68,阻害要因×在院期間区分＿寛解・院内寛解[[#All],[値]],0),MATCH($AT$4,阻害要因×在院期間区分＿寛解・院内寛解[#Headers],0)),0)+IFERROR(INDEX(阻害要因×在院期間区分＿寛解・院内寛解[#All],MATCH($AI68,阻害要因×在院期間区分＿寛解・院内寛解[[#All],[値]],0),MATCH($AU$4,阻害要因×在院期間区分＿寛解・院内寛解[#Headers],0)),0)+IFERROR(INDEX(阻害要因×在院期間区分＿寛解・院内寛解[#All],MATCH($AI68,阻害要因×在院期間区分＿寛解・院内寛解[[#All],[値]],0),MATCH($AV$4,阻害要因×在院期間区分＿寛解・院内寛解[#Headers],0)),0)+IFERROR(INDEX(阻害要因×在院期間区分＿寛解・院内寛解[#All],MATCH($AI68,阻害要因×在院期間区分＿寛解・院内寛解[[#All],[値]],0),MATCH($AW$4,阻害要因×在院期間区分＿寛解・院内寛解[#Headers],0)),0)</f>
        <v>3</v>
      </c>
      <c r="H67" s="159">
        <f t="shared" si="19"/>
        <v>3.4883720930232558E-2</v>
      </c>
      <c r="I67" s="157">
        <f>IFERROR(INDEX(阻害要因×在院期間区分＿寛解・院内寛解[#All],MATCH($AI68,阻害要因×在院期間区分＿寛解・院内寛解[[#All],[値]],0),MATCH($AX$4,阻害要因×在院期間区分＿寛解・院内寛解[#Headers],0)),0)+IFERROR(INDEX(阻害要因×在院期間区分＿寛解・院内寛解[#All],MATCH($AI68,阻害要因×在院期間区分＿寛解・院内寛解[[#All],[値]],0),MATCH($AY$4,阻害要因×在院期間区分＿寛解・院内寛解[#Headers],0)),0)</f>
        <v>1</v>
      </c>
      <c r="J67" s="159">
        <f t="shared" si="20"/>
        <v>1.3333333333333334E-2</v>
      </c>
      <c r="K67" s="38">
        <f t="shared" si="16"/>
        <v>17</v>
      </c>
      <c r="L67" s="55" t="s">
        <v>181</v>
      </c>
      <c r="M67" s="61">
        <v>2</v>
      </c>
      <c r="N67" s="61">
        <v>2</v>
      </c>
      <c r="O67" s="61">
        <v>2</v>
      </c>
      <c r="P67" s="61">
        <v>3</v>
      </c>
      <c r="Q67" s="61">
        <v>2</v>
      </c>
      <c r="R67" s="61">
        <v>1</v>
      </c>
      <c r="S67" s="61">
        <v>0</v>
      </c>
      <c r="T67" s="61">
        <v>1</v>
      </c>
      <c r="U67" s="61">
        <v>0</v>
      </c>
      <c r="V67" s="61">
        <v>0</v>
      </c>
      <c r="W67" s="61">
        <v>1</v>
      </c>
      <c r="X67" s="61">
        <v>0</v>
      </c>
      <c r="Y67" s="61">
        <v>1</v>
      </c>
      <c r="Z67" s="61">
        <v>1</v>
      </c>
      <c r="AA67" s="61">
        <v>1</v>
      </c>
      <c r="AB67" s="61">
        <v>0</v>
      </c>
      <c r="AI67" s="42" t="s">
        <v>383</v>
      </c>
    </row>
    <row r="68" spans="2:35" x14ac:dyDescent="0.2">
      <c r="C68" s="21"/>
      <c r="D68" s="21"/>
      <c r="E68" s="21"/>
      <c r="F68" s="62"/>
      <c r="I68" s="21"/>
      <c r="J68" s="66"/>
      <c r="L68" s="53"/>
      <c r="AI68" s="280" t="s">
        <v>181</v>
      </c>
    </row>
    <row r="69" spans="2:35" x14ac:dyDescent="0.2">
      <c r="F69" s="62"/>
      <c r="J69" s="62"/>
      <c r="L69" s="53"/>
    </row>
    <row r="70" spans="2:35" x14ac:dyDescent="0.2">
      <c r="F70" s="62"/>
      <c r="J70" s="62"/>
      <c r="L70" s="53"/>
    </row>
    <row r="71" spans="2:35" x14ac:dyDescent="0.2">
      <c r="F71" s="62"/>
      <c r="J71" s="62"/>
    </row>
    <row r="72" spans="2:35" x14ac:dyDescent="0.2">
      <c r="F72" s="62"/>
      <c r="J72" s="62"/>
    </row>
    <row r="73" spans="2:35" x14ac:dyDescent="0.2">
      <c r="F73" s="62"/>
      <c r="J73" s="62"/>
    </row>
  </sheetData>
  <mergeCells count="18">
    <mergeCell ref="B2:B3"/>
    <mergeCell ref="C2:J2"/>
    <mergeCell ref="C3:D3"/>
    <mergeCell ref="E3:F3"/>
    <mergeCell ref="B36:B37"/>
    <mergeCell ref="G3:H3"/>
    <mergeCell ref="I3:J3"/>
    <mergeCell ref="G37:H37"/>
    <mergeCell ref="I37:J37"/>
    <mergeCell ref="C36:J36"/>
    <mergeCell ref="C37:D37"/>
    <mergeCell ref="E37:F37"/>
    <mergeCell ref="C9:J9"/>
    <mergeCell ref="C12:J12"/>
    <mergeCell ref="B13:J13"/>
    <mergeCell ref="B47:J47"/>
    <mergeCell ref="C46:J46"/>
    <mergeCell ref="C43:J43"/>
  </mergeCells>
  <phoneticPr fontId="2"/>
  <printOptions horizontalCentered="1"/>
  <pageMargins left="0.70866141732283472" right="0.70866141732283472" top="0.74803149606299213" bottom="0.74803149606299213" header="0.31496062992125984" footer="0.31496062992125984"/>
  <pageSetup paperSize="9" scale="58" orientation="portrait" r:id="rId1"/>
  <drawing r:id="rId2"/>
  <mc:AlternateContent xmlns:mc="http://schemas.openxmlformats.org/markup-compatibility/2006">
    <mc:Choice Requires="v">
      <legacyDrawing r:id="rId3"/>
    </mc:Choice>
  </mc:AlternateContent>
  <controls>
    <control shapeId="35842" r:id="rId4" name="Button 2">
      <controlPr defaultSize="0" print="0" autoFill="0" autoPict="0" macro="[0]!データ削除_退院阻害要因在院期間区分">
        <anchor moveWithCells="1" sizeWithCells="1">
          <from>
            <xdr:col>28</xdr:col>
            <xdr:colOff>411480</xdr:colOff>
            <xdr:row>3</xdr:row>
            <xdr:rowOff>60960</xdr:rowOff>
          </from>
          <to>
            <xdr:col>31</xdr:col>
            <xdr:colOff>144780</xdr:colOff>
            <xdr:row>4</xdr:row>
            <xdr:rowOff>60960</xdr:rowOff>
          </to>
        </anchor>
      </controlPr>
    </control>
  </controls>
  <tableParts count="6">
    <tablePart r:id="rId5"/>
    <tablePart r:id="rId6"/>
    <tablePart r:id="rId7"/>
    <tablePart r:id="rId8"/>
    <tablePart r:id="rId9"/>
    <tablePart r:id="rId10"/>
  </tableParts>
</worksheet>
</file>

<file path=xl/worksheets/sheet2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rgb="FFFF0000"/>
  </sheetPr>
  <dimension ref="B1:AZ71"/>
  <sheetViews>
    <sheetView showGridLines="0" view="pageBreakPreview" zoomScale="90" zoomScaleNormal="100" zoomScaleSheetLayoutView="90" workbookViewId="0"/>
  </sheetViews>
  <sheetFormatPr defaultColWidth="9" defaultRowHeight="17.399999999999999" x14ac:dyDescent="0.2"/>
  <cols>
    <col min="1" max="1" width="3" style="1" customWidth="1"/>
    <col min="2" max="2" width="38.77734375" style="1" customWidth="1"/>
    <col min="3" max="3" width="9.33203125" style="1" customWidth="1"/>
    <col min="4" max="4" width="10.77734375" style="1" bestFit="1" customWidth="1"/>
    <col min="5" max="5" width="9.33203125" style="1" customWidth="1"/>
    <col min="6" max="6" width="10.77734375" style="1" bestFit="1" customWidth="1"/>
    <col min="7" max="7" width="9.33203125" style="1" customWidth="1"/>
    <col min="8" max="8" width="10.77734375" style="1" bestFit="1" customWidth="1"/>
    <col min="9" max="9" width="9.33203125" style="1" customWidth="1"/>
    <col min="10" max="10" width="10.77734375" style="1" bestFit="1" customWidth="1"/>
    <col min="11" max="11" width="10" style="1" hidden="1" customWidth="1"/>
    <col min="12" max="12" width="22.109375" style="1" hidden="1" customWidth="1"/>
    <col min="13" max="29" width="11.33203125" style="1" hidden="1" customWidth="1"/>
    <col min="30" max="32" width="9.88671875" style="1" hidden="1" customWidth="1"/>
    <col min="33" max="52" width="9" style="1" hidden="1" customWidth="1"/>
    <col min="53" max="54" width="0" style="1" hidden="1" customWidth="1"/>
    <col min="55" max="16384" width="9" style="1"/>
  </cols>
  <sheetData>
    <row r="1" spans="2:52" ht="19.5" customHeight="1" x14ac:dyDescent="0.2">
      <c r="B1" s="2" t="s">
        <v>80</v>
      </c>
    </row>
    <row r="2" spans="2:52" ht="18.75" customHeight="1" x14ac:dyDescent="0.2">
      <c r="B2" s="957" t="s">
        <v>240</v>
      </c>
      <c r="C2" s="977" t="s">
        <v>81</v>
      </c>
      <c r="D2" s="978"/>
      <c r="E2" s="978"/>
      <c r="F2" s="978"/>
      <c r="G2" s="978"/>
      <c r="H2" s="978"/>
      <c r="I2" s="978"/>
      <c r="J2" s="979"/>
      <c r="L2" s="55" t="s">
        <v>63</v>
      </c>
    </row>
    <row r="3" spans="2:52" ht="18.75" customHeight="1" thickBot="1" x14ac:dyDescent="0.25">
      <c r="B3" s="958"/>
      <c r="C3" s="977" t="s">
        <v>268</v>
      </c>
      <c r="D3" s="978"/>
      <c r="E3" s="978"/>
      <c r="F3" s="979"/>
      <c r="G3" s="989" t="s">
        <v>73</v>
      </c>
      <c r="H3" s="990"/>
      <c r="I3" s="989" t="s">
        <v>76</v>
      </c>
      <c r="J3" s="990"/>
    </row>
    <row r="4" spans="2:52" ht="56.25" customHeight="1" thickTop="1" thickBot="1" x14ac:dyDescent="0.25">
      <c r="B4" s="976"/>
      <c r="C4" s="987" t="s">
        <v>198</v>
      </c>
      <c r="D4" s="988"/>
      <c r="E4" s="987" t="s">
        <v>199</v>
      </c>
      <c r="F4" s="988"/>
      <c r="G4" s="991"/>
      <c r="H4" s="992"/>
      <c r="I4" s="991"/>
      <c r="J4" s="992"/>
      <c r="L4" s="347" t="s">
        <v>372</v>
      </c>
      <c r="M4" s="71" t="s">
        <v>295</v>
      </c>
      <c r="N4" s="71" t="s">
        <v>284</v>
      </c>
      <c r="O4" s="71" t="s">
        <v>285</v>
      </c>
      <c r="P4" s="71" t="s">
        <v>286</v>
      </c>
      <c r="Q4" s="71" t="s">
        <v>200</v>
      </c>
      <c r="R4" s="71" t="s">
        <v>201</v>
      </c>
      <c r="S4" s="71" t="s">
        <v>287</v>
      </c>
      <c r="T4" s="71" t="s">
        <v>288</v>
      </c>
      <c r="U4" s="71" t="s">
        <v>289</v>
      </c>
      <c r="V4" s="71" t="s">
        <v>290</v>
      </c>
      <c r="W4" s="71" t="s">
        <v>291</v>
      </c>
      <c r="X4" s="71" t="s">
        <v>296</v>
      </c>
      <c r="Y4" s="71" t="s">
        <v>292</v>
      </c>
      <c r="Z4" s="71" t="s">
        <v>293</v>
      </c>
      <c r="AA4" s="71" t="s">
        <v>297</v>
      </c>
      <c r="AB4" s="71" t="s">
        <v>18</v>
      </c>
      <c r="AC4" s="71" t="s">
        <v>294</v>
      </c>
      <c r="AD4" s="71" t="s">
        <v>616</v>
      </c>
      <c r="AJ4" s="71" t="s">
        <v>295</v>
      </c>
      <c r="AK4" s="71" t="s">
        <v>284</v>
      </c>
      <c r="AL4" s="71" t="s">
        <v>285</v>
      </c>
      <c r="AM4" s="71" t="s">
        <v>286</v>
      </c>
      <c r="AN4" s="71" t="s">
        <v>200</v>
      </c>
      <c r="AO4" s="71" t="s">
        <v>201</v>
      </c>
      <c r="AP4" s="71" t="s">
        <v>287</v>
      </c>
      <c r="AQ4" s="71" t="s">
        <v>288</v>
      </c>
      <c r="AR4" s="71" t="s">
        <v>289</v>
      </c>
      <c r="AS4" s="71" t="s">
        <v>290</v>
      </c>
      <c r="AT4" s="71" t="s">
        <v>291</v>
      </c>
      <c r="AU4" s="71" t="s">
        <v>296</v>
      </c>
      <c r="AV4" s="71" t="s">
        <v>292</v>
      </c>
      <c r="AW4" s="71" t="s">
        <v>293</v>
      </c>
      <c r="AX4" s="71" t="s">
        <v>297</v>
      </c>
      <c r="AY4" s="71" t="s">
        <v>294</v>
      </c>
      <c r="AZ4" s="71" t="s">
        <v>18</v>
      </c>
    </row>
    <row r="5" spans="2:52" ht="37.5" customHeight="1" thickTop="1" x14ac:dyDescent="0.2">
      <c r="B5" s="72" t="s">
        <v>231</v>
      </c>
      <c r="C5" s="151">
        <f>IFERROR(INDEX(退院予定有無×疾患名[#All],MATCH($AI5,退院予定有無×疾患名[[#All],[行ラベル]],0),MATCH($AJ$4,退院予定有無×疾患名[#Headers],0)),0)+IFERROR(INDEX(退院予定有無×疾患名[#All],MATCH($AI5,退院予定有無×疾患名[[#All],[行ラベル]],0),MATCH($AK$4,退院予定有無×疾患名[#Headers],0)),0)</f>
        <v>291</v>
      </c>
      <c r="D5" s="153">
        <f>IFERROR(C5/C$8,"-")</f>
        <v>0.12278481012658228</v>
      </c>
      <c r="E5" s="151">
        <f>IFERROR(INDEX(退院予定有無×疾患名[#All],MATCH($AI5,退院予定有無×疾患名[[#All],[行ラベル]],0),MATCH($AL$4,退院予定有無×疾患名[#Headers],0)),0)</f>
        <v>216</v>
      </c>
      <c r="F5" s="153">
        <f>IFERROR(E5/E$8,"-")</f>
        <v>0.12788632326820604</v>
      </c>
      <c r="G5" s="151">
        <f>IFERROR(INDEX(退院予定有無×疾患名[#All],MATCH($AI5,退院予定有無×疾患名[[#All],[行ラベル]],0),MATCH($AP$4,退院予定有無×疾患名[#Headers],0)),0)</f>
        <v>1001</v>
      </c>
      <c r="H5" s="153">
        <f>IFERROR(G5/G$8,"-")</f>
        <v>0.14871490120338732</v>
      </c>
      <c r="I5" s="151">
        <f>IFERROR(INDEX(退院予定有無×疾患名[#All],MATCH($AI5,退院予定有無×疾患名[[#All],[行ラベル]],0),MATCH($AQ$4,退院予定有無×疾患名[#Headers],0)),0)+IFERROR(INDEX(退院予定有無×疾患名[#All],MATCH($AI5,退院予定有無×疾患名[[#All],[行ラベル]],0),MATCH($AR$4,退院予定有無×疾患名[#Headers],0)),0)</f>
        <v>242</v>
      </c>
      <c r="J5" s="153">
        <f>IFERROR(I5/I$8,"-")</f>
        <v>0.14819350887936314</v>
      </c>
      <c r="K5" s="38">
        <f>C5+E5+G5+I5</f>
        <v>1750</v>
      </c>
      <c r="L5" s="33">
        <v>98</v>
      </c>
      <c r="M5" s="58">
        <v>1666</v>
      </c>
      <c r="N5" s="58">
        <v>230</v>
      </c>
      <c r="O5" s="61">
        <v>1313</v>
      </c>
      <c r="P5" s="58">
        <v>363</v>
      </c>
      <c r="Q5" s="58">
        <v>37</v>
      </c>
      <c r="R5" s="58">
        <v>47</v>
      </c>
      <c r="S5" s="58">
        <v>5159</v>
      </c>
      <c r="T5" s="58">
        <v>455</v>
      </c>
      <c r="U5" s="58">
        <v>585</v>
      </c>
      <c r="V5" s="58">
        <v>166</v>
      </c>
      <c r="W5" s="58">
        <v>45</v>
      </c>
      <c r="X5" s="58">
        <v>16</v>
      </c>
      <c r="Y5" s="58">
        <v>221</v>
      </c>
      <c r="Z5" s="58">
        <v>96</v>
      </c>
      <c r="AA5" s="58">
        <v>28</v>
      </c>
      <c r="AB5" s="58">
        <v>64</v>
      </c>
      <c r="AC5" s="58">
        <v>0</v>
      </c>
      <c r="AD5" s="552">
        <v>0</v>
      </c>
      <c r="AI5" s="281">
        <v>97</v>
      </c>
    </row>
    <row r="6" spans="2:52" ht="18.75" customHeight="1" x14ac:dyDescent="0.2">
      <c r="B6" s="73" t="s">
        <v>241</v>
      </c>
      <c r="C6" s="154">
        <f>IFERROR(INDEX(退院予定有無×疾患名[#All],MATCH($AI6,退院予定有無×疾患名[[#All],[行ラベル]],0),MATCH($AJ$4,退院予定有無×疾患名[#Headers],0)),0)+IFERROR(INDEX(退院予定有無×疾患名[#All],MATCH($AI6,退院予定有無×疾患名[[#All],[行ラベル]],0),MATCH($AK$4,退院予定有無×疾患名[#Headers],0)),0)</f>
        <v>1896</v>
      </c>
      <c r="D6" s="155">
        <f>IFERROR(C6/C$8,"-")</f>
        <v>0.8</v>
      </c>
      <c r="E6" s="154">
        <f>IFERROR(INDEX(退院予定有無×疾患名[#All],MATCH($AI6,退院予定有無×疾患名[[#All],[行ラベル]],0),MATCH($AL$4,退院予定有無×疾患名[#Headers],0)),0)</f>
        <v>1313</v>
      </c>
      <c r="F6" s="155">
        <f>IFERROR(E6/E$8,"-")</f>
        <v>0.77738306690349324</v>
      </c>
      <c r="G6" s="154">
        <f>IFERROR(INDEX(退院予定有無×疾患名[#All],MATCH($AI6,退院予定有無×疾患名[[#All],[行ラベル]],0),MATCH($AP$4,退院予定有無×疾患名[#Headers],0)),0)</f>
        <v>5159</v>
      </c>
      <c r="H6" s="155">
        <f>IFERROR(G6/G$8,"-")</f>
        <v>0.76645372158668845</v>
      </c>
      <c r="I6" s="154">
        <f>IFERROR(INDEX(退院予定有無×疾患名[#All],MATCH($AI6,退院予定有無×疾患名[[#All],[行ラベル]],0),MATCH($AQ$4,退院予定有無×疾患名[#Headers],0)),0)+IFERROR(INDEX(退院予定有無×疾患名[#All],MATCH($AI6,退院予定有無×疾患名[[#All],[行ラベル]],0),MATCH($AR$4,退院予定有無×疾患名[#Headers],0)),0)</f>
        <v>1040</v>
      </c>
      <c r="J6" s="155">
        <f>IFERROR(I6/I$8,"-")</f>
        <v>0.63686466625842009</v>
      </c>
      <c r="K6" s="38">
        <f>C6+E6+G6+I6</f>
        <v>9408</v>
      </c>
      <c r="L6" s="33">
        <v>97</v>
      </c>
      <c r="M6" s="58">
        <v>253</v>
      </c>
      <c r="N6" s="58">
        <v>38</v>
      </c>
      <c r="O6" s="61">
        <v>216</v>
      </c>
      <c r="P6" s="58">
        <v>100</v>
      </c>
      <c r="Q6" s="58">
        <v>10</v>
      </c>
      <c r="R6" s="58">
        <v>6</v>
      </c>
      <c r="S6" s="58">
        <v>1001</v>
      </c>
      <c r="T6" s="58">
        <v>88</v>
      </c>
      <c r="U6" s="58">
        <v>154</v>
      </c>
      <c r="V6" s="58">
        <v>29</v>
      </c>
      <c r="W6" s="58">
        <v>3</v>
      </c>
      <c r="X6" s="58">
        <v>9</v>
      </c>
      <c r="Y6" s="58">
        <v>34</v>
      </c>
      <c r="Z6" s="58">
        <v>17</v>
      </c>
      <c r="AA6" s="58">
        <v>5</v>
      </c>
      <c r="AB6" s="58">
        <v>13</v>
      </c>
      <c r="AC6" s="58">
        <v>0</v>
      </c>
      <c r="AD6" s="58">
        <v>0</v>
      </c>
      <c r="AI6" s="281">
        <v>98</v>
      </c>
    </row>
    <row r="7" spans="2:52" ht="18.75" customHeight="1" x14ac:dyDescent="0.2">
      <c r="B7" s="74" t="s">
        <v>36</v>
      </c>
      <c r="C7" s="154">
        <f>IFERROR(INDEX(退院予定有無×疾患名[#All],MATCH($AI7,退院予定有無×疾患名[[#All],[行ラベル]],0),MATCH($AJ$4,退院予定有無×疾患名[#Headers],0)),0)+IFERROR(INDEX(退院予定有無×疾患名[#All],MATCH($AI7,退院予定有無×疾患名[[#All],[行ラベル]],0),MATCH($AK$4,退院予定有無×疾患名[#Headers],0)),0)</f>
        <v>183</v>
      </c>
      <c r="D7" s="155">
        <f>IFERROR(C7/C$8,"-")</f>
        <v>7.7215189873417717E-2</v>
      </c>
      <c r="E7" s="154">
        <f>IFERROR(INDEX(退院予定有無×疾患名[#All],MATCH($AI7,退院予定有無×疾患名[[#All],[行ラベル]],0),MATCH($AL$4,退院予定有無×疾患名[#Headers],0)),0)</f>
        <v>160</v>
      </c>
      <c r="F7" s="158">
        <f>IFERROR(E7/E$8,"-")</f>
        <v>9.4730609828300769E-2</v>
      </c>
      <c r="G7" s="180">
        <f>IFERROR(INDEX(退院予定有無×疾患名[#All],MATCH($AI7,退院予定有無×疾患名[[#All],[行ラベル]],0),MATCH($AP$4,退院予定有無×疾患名[#Headers],0)),0)</f>
        <v>571</v>
      </c>
      <c r="H7" s="158">
        <f>IFERROR(G7/G$8,"-")</f>
        <v>8.483137720992423E-2</v>
      </c>
      <c r="I7" s="180">
        <f>IFERROR(INDEX(退院予定有無×疾患名[#All],MATCH($AI7,退院予定有無×疾患名[[#All],[行ラベル]],0),MATCH($AQ$4,退院予定有無×疾患名[#Headers],0)),0)+IFERROR(INDEX(退院予定有無×疾患名[#All],MATCH($AI7,退院予定有無×疾患名[[#All],[行ラベル]],0),MATCH($AR$4,退院予定有無×疾患名[#Headers],0)),0)</f>
        <v>351</v>
      </c>
      <c r="J7" s="158">
        <f>IFERROR(I7/I$8,"-")</f>
        <v>0.21494182486221677</v>
      </c>
      <c r="K7" s="38">
        <f>C7+E7+G7+I7</f>
        <v>1265</v>
      </c>
      <c r="L7" s="33">
        <v>99</v>
      </c>
      <c r="M7" s="58">
        <v>167</v>
      </c>
      <c r="N7" s="58">
        <v>16</v>
      </c>
      <c r="O7" s="61">
        <v>160</v>
      </c>
      <c r="P7" s="58">
        <v>171</v>
      </c>
      <c r="Q7" s="58">
        <v>10</v>
      </c>
      <c r="R7" s="58">
        <v>11</v>
      </c>
      <c r="S7" s="58">
        <v>571</v>
      </c>
      <c r="T7" s="58">
        <v>139</v>
      </c>
      <c r="U7" s="58">
        <v>212</v>
      </c>
      <c r="V7" s="58">
        <v>68</v>
      </c>
      <c r="W7" s="58">
        <v>10</v>
      </c>
      <c r="X7" s="58">
        <v>13</v>
      </c>
      <c r="Y7" s="58">
        <v>50</v>
      </c>
      <c r="Z7" s="58">
        <v>40</v>
      </c>
      <c r="AA7" s="58">
        <v>10</v>
      </c>
      <c r="AB7" s="58">
        <v>5</v>
      </c>
      <c r="AC7" s="58">
        <v>0</v>
      </c>
      <c r="AD7" s="553">
        <v>0</v>
      </c>
      <c r="AI7" s="281">
        <v>99</v>
      </c>
    </row>
    <row r="8" spans="2:52" ht="18.75" customHeight="1" x14ac:dyDescent="0.2">
      <c r="B8" s="75" t="s">
        <v>161</v>
      </c>
      <c r="C8" s="160">
        <f t="shared" ref="C8:J8" si="0">SUM(C5:C7)</f>
        <v>2370</v>
      </c>
      <c r="D8" s="161">
        <f t="shared" si="0"/>
        <v>1</v>
      </c>
      <c r="E8" s="162">
        <f t="shared" si="0"/>
        <v>1689</v>
      </c>
      <c r="F8" s="161">
        <f t="shared" si="0"/>
        <v>1</v>
      </c>
      <c r="G8" s="162">
        <f t="shared" si="0"/>
        <v>6731</v>
      </c>
      <c r="H8" s="161">
        <f t="shared" si="0"/>
        <v>1</v>
      </c>
      <c r="I8" s="162">
        <f t="shared" si="0"/>
        <v>1633</v>
      </c>
      <c r="J8" s="161">
        <f t="shared" si="0"/>
        <v>1</v>
      </c>
      <c r="K8" s="38">
        <f>C8+E8+G8+I8</f>
        <v>12423</v>
      </c>
      <c r="L8" s="33"/>
      <c r="M8" s="42"/>
      <c r="N8" s="42"/>
      <c r="O8" s="42"/>
      <c r="P8" s="42"/>
      <c r="Q8" s="42"/>
      <c r="R8" s="42"/>
      <c r="S8" s="42"/>
      <c r="T8" s="42"/>
      <c r="U8" s="42"/>
      <c r="V8" s="42"/>
      <c r="W8" s="42"/>
      <c r="X8" s="42"/>
      <c r="Y8" s="42"/>
      <c r="Z8" s="42"/>
      <c r="AA8" s="42"/>
      <c r="AB8" s="42"/>
      <c r="AI8" s="281"/>
    </row>
    <row r="9" spans="2:52" ht="18.75" customHeight="1" thickBot="1" x14ac:dyDescent="0.25">
      <c r="B9" s="76"/>
      <c r="C9" s="77"/>
      <c r="D9" s="78"/>
      <c r="E9" s="79"/>
      <c r="F9" s="78"/>
      <c r="G9" s="79"/>
      <c r="H9" s="78"/>
      <c r="I9" s="79"/>
      <c r="J9" s="78"/>
      <c r="K9" s="38"/>
      <c r="L9" s="33"/>
      <c r="M9" s="42"/>
      <c r="N9" s="42"/>
      <c r="O9" s="42"/>
      <c r="P9" s="42"/>
      <c r="Q9" s="42"/>
      <c r="R9" s="42"/>
      <c r="S9" s="42"/>
      <c r="T9" s="42"/>
      <c r="U9" s="42"/>
      <c r="V9" s="42"/>
      <c r="W9" s="42"/>
      <c r="X9" s="42"/>
      <c r="Y9" s="42"/>
      <c r="Z9" s="42"/>
      <c r="AA9" s="42"/>
      <c r="AB9" s="42"/>
      <c r="AI9" s="281"/>
    </row>
    <row r="10" spans="2:52" s="282" customFormat="1" ht="18.75" customHeight="1" thickTop="1" thickBot="1" x14ac:dyDescent="0.25">
      <c r="B10" s="330" t="s">
        <v>242</v>
      </c>
      <c r="C10" s="984"/>
      <c r="D10" s="985"/>
      <c r="E10" s="985"/>
      <c r="F10" s="985"/>
      <c r="G10" s="985"/>
      <c r="H10" s="985"/>
      <c r="I10" s="985"/>
      <c r="J10" s="986"/>
      <c r="K10" s="283"/>
      <c r="L10" s="347" t="s">
        <v>372</v>
      </c>
      <c r="M10" s="71" t="s">
        <v>295</v>
      </c>
      <c r="N10" s="71" t="s">
        <v>284</v>
      </c>
      <c r="O10" s="71" t="s">
        <v>285</v>
      </c>
      <c r="P10" s="71" t="s">
        <v>286</v>
      </c>
      <c r="Q10" s="71" t="s">
        <v>287</v>
      </c>
      <c r="R10" s="71" t="s">
        <v>288</v>
      </c>
      <c r="S10" s="71" t="s">
        <v>289</v>
      </c>
      <c r="T10" s="71" t="s">
        <v>290</v>
      </c>
      <c r="U10" s="71" t="s">
        <v>291</v>
      </c>
      <c r="V10" s="71" t="s">
        <v>296</v>
      </c>
      <c r="W10" s="71" t="s">
        <v>292</v>
      </c>
      <c r="X10" s="71" t="s">
        <v>293</v>
      </c>
      <c r="Y10" s="71" t="s">
        <v>297</v>
      </c>
      <c r="Z10" s="71" t="s">
        <v>200</v>
      </c>
      <c r="AA10" s="71" t="s">
        <v>18</v>
      </c>
      <c r="AB10" s="71" t="s">
        <v>294</v>
      </c>
      <c r="AC10" s="71" t="s">
        <v>201</v>
      </c>
      <c r="AD10" s="71" t="s">
        <v>616</v>
      </c>
      <c r="AI10" s="284"/>
    </row>
    <row r="11" spans="2:52" ht="18.75" customHeight="1" thickTop="1" x14ac:dyDescent="0.2">
      <c r="B11" s="81" t="s">
        <v>34</v>
      </c>
      <c r="C11" s="151">
        <f>IFERROR(INDEX(阻害要因有無×疾患名[#All],MATCH($AI11,阻害要因有無×疾患名[[#All],[行ラベル]],0),MATCH($AJ$4,阻害要因有無×疾患名[#Headers],0)),0)+IFERROR(INDEX(阻害要因有無×疾患名[#All],MATCH($AI11,阻害要因有無×疾患名[[#All],[行ラベル]],0),MATCH($AK$4,阻害要因有無×疾患名[#Headers],0)),0)</f>
        <v>254</v>
      </c>
      <c r="D11" s="153">
        <f>IFERROR(C11/C$5,"-")</f>
        <v>0.87285223367697595</v>
      </c>
      <c r="E11" s="151">
        <f>IFERROR(INDEX(阻害要因有無×疾患名[#All],MATCH($AI11,阻害要因有無×疾患名[[#All],[行ラベル]],0),MATCH($AL$4,阻害要因有無×疾患名[#Headers],0)),0)</f>
        <v>182</v>
      </c>
      <c r="F11" s="153">
        <f>IFERROR(E11/E$5,"-")</f>
        <v>0.84259259259259256</v>
      </c>
      <c r="G11" s="151">
        <f>IFERROR(INDEX(阻害要因有無×疾患名[#All],MATCH($AI11,阻害要因有無×疾患名[[#All],[行ラベル]],0),MATCH($AP$4,阻害要因有無×疾患名[#Headers],0)),0)</f>
        <v>923</v>
      </c>
      <c r="H11" s="153">
        <f>IFERROR(G11/G$5,"-")</f>
        <v>0.92207792207792205</v>
      </c>
      <c r="I11" s="151">
        <f>IFERROR(INDEX(阻害要因有無×疾患名[#All],MATCH($AI11,阻害要因有無×疾患名[[#All],[行ラベル]],0),MATCH($AQ$4,阻害要因有無×疾患名[#Headers],0)),0)+IFERROR(INDEX(阻害要因有無×疾患名[#All],MATCH($AI11,阻害要因有無×疾患名[[#All],[行ラベル]],0),MATCH($AR$4,阻害要因有無×疾患名[#Headers],0)),0)</f>
        <v>190</v>
      </c>
      <c r="J11" s="153">
        <f>IFERROR(I11/I$5,"-")</f>
        <v>0.78512396694214881</v>
      </c>
      <c r="K11" s="38">
        <f>C11+E11+G11+I11</f>
        <v>1549</v>
      </c>
      <c r="L11" s="33">
        <v>91</v>
      </c>
      <c r="M11" s="58">
        <v>225</v>
      </c>
      <c r="N11" s="58">
        <v>29</v>
      </c>
      <c r="O11" s="61">
        <v>182</v>
      </c>
      <c r="P11" s="58">
        <v>91</v>
      </c>
      <c r="Q11" s="58">
        <v>923</v>
      </c>
      <c r="R11" s="58">
        <v>70</v>
      </c>
      <c r="S11" s="58">
        <v>120</v>
      </c>
      <c r="T11" s="58">
        <v>25</v>
      </c>
      <c r="U11" s="58">
        <v>2</v>
      </c>
      <c r="V11" s="58">
        <v>8</v>
      </c>
      <c r="W11" s="58">
        <v>31</v>
      </c>
      <c r="X11" s="58">
        <v>12</v>
      </c>
      <c r="Y11" s="58">
        <v>4</v>
      </c>
      <c r="Z11" s="58">
        <v>6</v>
      </c>
      <c r="AA11" s="58">
        <v>11</v>
      </c>
      <c r="AB11" s="58">
        <v>6</v>
      </c>
      <c r="AC11" s="58">
        <v>6</v>
      </c>
      <c r="AD11" s="552">
        <v>0</v>
      </c>
      <c r="AI11" s="281">
        <v>91</v>
      </c>
    </row>
    <row r="12" spans="2:52" ht="18.75" customHeight="1" x14ac:dyDescent="0.2">
      <c r="B12" s="74" t="s">
        <v>35</v>
      </c>
      <c r="C12" s="154">
        <f>IFERROR(INDEX(阻害要因有無×疾患名[#All],MATCH($AI12,阻害要因有無×疾患名[[#All],[行ラベル]],0),MATCH($AJ$4,阻害要因有無×疾患名[#Headers],0)),0)+IFERROR(INDEX(阻害要因有無×疾患名[#All],MATCH($AI12,阻害要因有無×疾患名[[#All],[行ラベル]],0),MATCH($AK$4,阻害要因有無×疾患名[#Headers],0)),0)</f>
        <v>37</v>
      </c>
      <c r="D12" s="155">
        <f>IFERROR(C12/C$5,"-")</f>
        <v>0.12714776632302405</v>
      </c>
      <c r="E12" s="154">
        <f>IFERROR(INDEX(阻害要因有無×疾患名[#All],MATCH($AI12,阻害要因有無×疾患名[[#All],[行ラベル]],0),MATCH($AL$4,阻害要因有無×疾患名[#Headers],0)),0)</f>
        <v>34</v>
      </c>
      <c r="F12" s="155">
        <f>IFERROR(E12/E$5,"-")</f>
        <v>0.15740740740740741</v>
      </c>
      <c r="G12" s="154">
        <f>IFERROR(INDEX(阻害要因有無×疾患名[#All],MATCH($AI12,阻害要因有無×疾患名[[#All],[行ラベル]],0),MATCH($AP$4,阻害要因有無×疾患名[#Headers],0)),0)</f>
        <v>78</v>
      </c>
      <c r="H12" s="155">
        <f>IFERROR(G12/G$5,"-")</f>
        <v>7.792207792207792E-2</v>
      </c>
      <c r="I12" s="154">
        <f>IFERROR(INDEX(阻害要因有無×疾患名[#All],MATCH($AI12,阻害要因有無×疾患名[[#All],[行ラベル]],0),MATCH($AQ$4,阻害要因有無×疾患名[#Headers],0)),0)+IFERROR(INDEX(阻害要因有無×疾患名[#All],MATCH($AI12,阻害要因有無×疾患名[[#All],[行ラベル]],0),MATCH($AR$4,阻害要因有無×疾患名[#Headers],0)),0)</f>
        <v>52</v>
      </c>
      <c r="J12" s="155">
        <f>IFERROR(I12/I$5,"-")</f>
        <v>0.21487603305785125</v>
      </c>
      <c r="K12" s="38">
        <f>C12+E12+G12+I12</f>
        <v>201</v>
      </c>
      <c r="L12" s="33">
        <v>90</v>
      </c>
      <c r="M12" s="58">
        <v>28</v>
      </c>
      <c r="N12" s="58">
        <v>9</v>
      </c>
      <c r="O12" s="61">
        <v>34</v>
      </c>
      <c r="P12" s="58">
        <v>9</v>
      </c>
      <c r="Q12" s="58">
        <v>78</v>
      </c>
      <c r="R12" s="58">
        <v>18</v>
      </c>
      <c r="S12" s="58">
        <v>34</v>
      </c>
      <c r="T12" s="58">
        <v>4</v>
      </c>
      <c r="U12" s="58">
        <v>1</v>
      </c>
      <c r="V12" s="58">
        <v>1</v>
      </c>
      <c r="W12" s="58">
        <v>3</v>
      </c>
      <c r="X12" s="58">
        <v>5</v>
      </c>
      <c r="Y12" s="58">
        <v>1</v>
      </c>
      <c r="Z12" s="58">
        <v>4</v>
      </c>
      <c r="AA12" s="58">
        <v>2</v>
      </c>
      <c r="AB12" s="58">
        <v>0</v>
      </c>
      <c r="AC12" s="58">
        <v>0</v>
      </c>
      <c r="AD12" s="553">
        <v>0</v>
      </c>
      <c r="AI12" s="281">
        <v>90</v>
      </c>
    </row>
    <row r="13" spans="2:52" ht="19.5" customHeight="1" thickBot="1" x14ac:dyDescent="0.25">
      <c r="B13" s="82" t="s">
        <v>264</v>
      </c>
      <c r="C13" s="970"/>
      <c r="D13" s="971"/>
      <c r="E13" s="971"/>
      <c r="F13" s="971"/>
      <c r="G13" s="971"/>
      <c r="H13" s="971"/>
      <c r="I13" s="971"/>
      <c r="J13" s="972"/>
      <c r="K13" s="38"/>
    </row>
    <row r="14" spans="2:52" ht="19.5" customHeight="1" thickTop="1" thickBot="1" x14ac:dyDescent="0.25">
      <c r="B14" s="973" t="s">
        <v>274</v>
      </c>
      <c r="C14" s="974"/>
      <c r="D14" s="974"/>
      <c r="E14" s="974"/>
      <c r="F14" s="974"/>
      <c r="G14" s="974"/>
      <c r="H14" s="974"/>
      <c r="I14" s="974"/>
      <c r="J14" s="975"/>
      <c r="K14" s="38"/>
      <c r="L14" s="347" t="s">
        <v>651</v>
      </c>
      <c r="M14" s="71" t="s">
        <v>384</v>
      </c>
      <c r="N14" s="71" t="s">
        <v>287</v>
      </c>
      <c r="O14" s="71" t="s">
        <v>288</v>
      </c>
      <c r="P14" s="71" t="s">
        <v>285</v>
      </c>
      <c r="Q14" s="71" t="s">
        <v>289</v>
      </c>
      <c r="R14" s="71" t="s">
        <v>292</v>
      </c>
      <c r="S14" s="71" t="s">
        <v>284</v>
      </c>
      <c r="T14" s="71" t="s">
        <v>295</v>
      </c>
      <c r="U14" s="71" t="s">
        <v>293</v>
      </c>
      <c r="V14" s="71" t="s">
        <v>18</v>
      </c>
      <c r="W14" s="71" t="s">
        <v>200</v>
      </c>
      <c r="X14" s="71" t="s">
        <v>286</v>
      </c>
      <c r="Y14" s="71" t="s">
        <v>290</v>
      </c>
      <c r="Z14" s="71" t="s">
        <v>294</v>
      </c>
      <c r="AA14" s="71" t="s">
        <v>201</v>
      </c>
      <c r="AB14" s="71" t="s">
        <v>296</v>
      </c>
      <c r="AC14" s="71" t="s">
        <v>297</v>
      </c>
      <c r="AD14" s="53" t="s">
        <v>291</v>
      </c>
    </row>
    <row r="15" spans="2:52" ht="37.5" customHeight="1" thickTop="1" x14ac:dyDescent="0.2">
      <c r="B15" s="83" t="s">
        <v>235</v>
      </c>
      <c r="C15" s="175">
        <f>IFERROR(INDEX(阻害要因×疾患名[#All],MATCH($AI15,阻害要因×疾患名[[#All],[値]],0),MATCH($AJ$4,阻害要因×疾患名[#Headers],0)),0)+IFERROR(INDEX(阻害要因×疾患名[#All],MATCH($AI15,阻害要因×疾患名[[#All],[値]],0),MATCH($AK$4,阻害要因×疾患名[#Headers],0)),0)</f>
        <v>77</v>
      </c>
      <c r="D15" s="170">
        <f t="shared" ref="D15:D31" si="1">IFERROR(C15/C$11,"-")</f>
        <v>0.30314960629921262</v>
      </c>
      <c r="E15" s="169">
        <f>IFERROR(INDEX(阻害要因×疾患名[#All],MATCH($AI15,阻害要因×疾患名[[#All],[値]],0),MATCH($AL$4,阻害要因×疾患名[#Headers],0)),0)</f>
        <v>57</v>
      </c>
      <c r="F15" s="170">
        <f t="shared" ref="F15:F31" si="2">IFERROR(E15/E$11,"-")</f>
        <v>0.31318681318681318</v>
      </c>
      <c r="G15" s="169">
        <f>IFERROR(INDEX(阻害要因×疾患名[#All],MATCH($AI15,阻害要因×疾患名[[#All],[値]],0),MATCH($AP$4,阻害要因×疾患名[#Headers],0)),0)</f>
        <v>333</v>
      </c>
      <c r="H15" s="170">
        <f t="shared" ref="H15:H31" si="3">IFERROR(G15/G$11,"-")</f>
        <v>0.36078006500541709</v>
      </c>
      <c r="I15" s="169">
        <f>IFERROR(INDEX(阻害要因×疾患名[#All],MATCH($AI15,阻害要因×疾患名[[#All],[値]],0),MATCH($AQ$4,阻害要因×疾患名[#Headers],0)),0)+IFERROR(INDEX(阻害要因×疾患名[#All],MATCH($AI15,阻害要因×疾患名[[#All],[値]],0),MATCH($AR$4,阻害要因×疾患名[#Headers],0)),0)</f>
        <v>77</v>
      </c>
      <c r="J15" s="170">
        <f t="shared" ref="J15:J31" si="4">IFERROR(I15/I$11,"-")</f>
        <v>0.40526315789473683</v>
      </c>
      <c r="K15" s="38">
        <f>C15+E15+G15+I15</f>
        <v>544</v>
      </c>
      <c r="L15" s="33" t="s">
        <v>309</v>
      </c>
      <c r="M15" s="58"/>
      <c r="N15" s="61">
        <v>333</v>
      </c>
      <c r="O15" s="61">
        <v>35</v>
      </c>
      <c r="P15" s="58">
        <v>57</v>
      </c>
      <c r="Q15" s="58">
        <v>42</v>
      </c>
      <c r="R15" s="58">
        <v>10</v>
      </c>
      <c r="S15" s="58">
        <v>9</v>
      </c>
      <c r="T15" s="58">
        <v>68</v>
      </c>
      <c r="U15" s="58">
        <v>6</v>
      </c>
      <c r="V15" s="58">
        <v>3</v>
      </c>
      <c r="W15" s="58">
        <v>3</v>
      </c>
      <c r="X15" s="58">
        <v>23</v>
      </c>
      <c r="Y15" s="58">
        <v>14</v>
      </c>
      <c r="Z15" s="58">
        <v>1</v>
      </c>
      <c r="AA15" s="58">
        <v>1</v>
      </c>
      <c r="AB15" s="58">
        <v>2</v>
      </c>
      <c r="AC15" s="58">
        <v>0</v>
      </c>
      <c r="AD15" s="552">
        <v>1</v>
      </c>
      <c r="AI15" s="55" t="s">
        <v>309</v>
      </c>
    </row>
    <row r="16" spans="2:52" ht="18.75" customHeight="1" x14ac:dyDescent="0.2">
      <c r="B16" s="84" t="s">
        <v>66</v>
      </c>
      <c r="C16" s="177">
        <f>IFERROR(INDEX(阻害要因×疾患名[#All],MATCH($AI16,阻害要因×疾患名[[#All],[値]],0),MATCH($AJ$4,阻害要因×疾患名[#Headers],0)),0)+IFERROR(INDEX(阻害要因×疾患名[#All],MATCH($AI16,阻害要因×疾患名[[#All],[値]],0),MATCH($AK$4,阻害要因×疾患名[#Headers],0)),0)</f>
        <v>75</v>
      </c>
      <c r="D16" s="171">
        <f t="shared" si="1"/>
        <v>0.29527559055118108</v>
      </c>
      <c r="E16" s="178">
        <f>IFERROR(INDEX(阻害要因×疾患名[#All],MATCH($AI16,阻害要因×疾患名[[#All],[値]],0),MATCH($AL$4,阻害要因×疾患名[#Headers],0)),0)</f>
        <v>36</v>
      </c>
      <c r="F16" s="171">
        <f t="shared" si="2"/>
        <v>0.19780219780219779</v>
      </c>
      <c r="G16" s="154">
        <f>IFERROR(INDEX(阻害要因×疾患名[#All],MATCH($AI16,阻害要因×疾患名[[#All],[値]],0),MATCH($AP$4,阻害要因×疾患名[#Headers],0)),0)</f>
        <v>260</v>
      </c>
      <c r="H16" s="171">
        <f t="shared" si="3"/>
        <v>0.28169014084507044</v>
      </c>
      <c r="I16" s="154">
        <f>IFERROR(INDEX(阻害要因×疾患名[#All],MATCH($AI16,阻害要因×疾患名[[#All],[値]],0),MATCH($AQ$4,阻害要因×疾患名[#Headers],0)),0)+IFERROR(INDEX(阻害要因×疾患名[#All],MATCH($AI16,阻害要因×疾患名[[#All],[値]],0),MATCH($AR$4,阻害要因×疾患名[#Headers],0)),0)</f>
        <v>36</v>
      </c>
      <c r="J16" s="171">
        <f t="shared" si="4"/>
        <v>0.18947368421052632</v>
      </c>
      <c r="K16" s="38">
        <f t="shared" ref="K16:K34" si="5">C16+E16+G16+I16</f>
        <v>407</v>
      </c>
      <c r="L16" s="55" t="s">
        <v>310</v>
      </c>
      <c r="M16" s="61"/>
      <c r="N16" s="61">
        <v>260</v>
      </c>
      <c r="O16" s="61">
        <v>13</v>
      </c>
      <c r="P16" s="58">
        <v>36</v>
      </c>
      <c r="Q16" s="58">
        <v>23</v>
      </c>
      <c r="R16" s="58">
        <v>4</v>
      </c>
      <c r="S16" s="58">
        <v>9</v>
      </c>
      <c r="T16" s="58">
        <v>66</v>
      </c>
      <c r="U16" s="58">
        <v>1</v>
      </c>
      <c r="V16" s="58">
        <v>2</v>
      </c>
      <c r="W16" s="58">
        <v>1</v>
      </c>
      <c r="X16" s="58">
        <v>32</v>
      </c>
      <c r="Y16" s="58">
        <v>4</v>
      </c>
      <c r="Z16" s="58">
        <v>0</v>
      </c>
      <c r="AA16" s="58">
        <v>3</v>
      </c>
      <c r="AB16" s="58">
        <v>0</v>
      </c>
      <c r="AC16" s="58">
        <v>0</v>
      </c>
      <c r="AD16" s="58">
        <v>0</v>
      </c>
      <c r="AI16" s="55" t="s">
        <v>310</v>
      </c>
    </row>
    <row r="17" spans="2:35" ht="18.75" customHeight="1" x14ac:dyDescent="0.2">
      <c r="B17" s="84" t="s">
        <v>38</v>
      </c>
      <c r="C17" s="177">
        <f>IFERROR(INDEX(阻害要因×疾患名[#All],MATCH($AI17,阻害要因×疾患名[[#All],[値]],0),MATCH($AJ$4,阻害要因×疾患名[#Headers],0)),0)+IFERROR(INDEX(阻害要因×疾患名[#All],MATCH($AI17,阻害要因×疾患名[[#All],[値]],0),MATCH($AK$4,阻害要因×疾患名[#Headers],0)),0)</f>
        <v>2</v>
      </c>
      <c r="D17" s="171">
        <f t="shared" si="1"/>
        <v>7.874015748031496E-3</v>
      </c>
      <c r="E17" s="154">
        <f>IFERROR(INDEX(阻害要因×疾患名[#All],MATCH($AI17,阻害要因×疾患名[[#All],[値]],0),MATCH($AL$4,阻害要因×疾患名[#Headers],0)),0)</f>
        <v>5</v>
      </c>
      <c r="F17" s="171">
        <f t="shared" si="2"/>
        <v>2.7472527472527472E-2</v>
      </c>
      <c r="G17" s="154">
        <f>IFERROR(INDEX(阻害要因×疾患名[#All],MATCH($AI17,阻害要因×疾患名[[#All],[値]],0),MATCH($AP$4,阻害要因×疾患名[#Headers],0)),0)</f>
        <v>34</v>
      </c>
      <c r="H17" s="171">
        <f t="shared" si="3"/>
        <v>3.6836403033586131E-2</v>
      </c>
      <c r="I17" s="154">
        <f>IFERROR(INDEX(阻害要因×疾患名[#All],MATCH($AI17,阻害要因×疾患名[[#All],[値]],0),MATCH($AQ$4,阻害要因×疾患名[#Headers],0)),0)+IFERROR(INDEX(阻害要因×疾患名[#All],MATCH($AI17,阻害要因×疾患名[[#All],[値]],0),MATCH($AR$4,阻害要因×疾患名[#Headers],0)),0)</f>
        <v>4</v>
      </c>
      <c r="J17" s="171">
        <f t="shared" si="4"/>
        <v>2.1052631578947368E-2</v>
      </c>
      <c r="K17" s="38">
        <f t="shared" si="5"/>
        <v>45</v>
      </c>
      <c r="L17" s="55" t="s">
        <v>166</v>
      </c>
      <c r="M17" s="61"/>
      <c r="N17" s="61">
        <v>34</v>
      </c>
      <c r="O17" s="61">
        <v>3</v>
      </c>
      <c r="P17" s="58">
        <v>5</v>
      </c>
      <c r="Q17" s="58">
        <v>1</v>
      </c>
      <c r="R17" s="58">
        <v>7</v>
      </c>
      <c r="S17" s="58">
        <v>0</v>
      </c>
      <c r="T17" s="58">
        <v>2</v>
      </c>
      <c r="U17" s="58">
        <v>1</v>
      </c>
      <c r="V17" s="58">
        <v>0</v>
      </c>
      <c r="W17" s="58">
        <v>0</v>
      </c>
      <c r="X17" s="58">
        <v>4</v>
      </c>
      <c r="Y17" s="58">
        <v>0</v>
      </c>
      <c r="Z17" s="58">
        <v>0</v>
      </c>
      <c r="AA17" s="58">
        <v>2</v>
      </c>
      <c r="AB17" s="58">
        <v>1</v>
      </c>
      <c r="AC17" s="58">
        <v>1</v>
      </c>
      <c r="AD17" s="58">
        <v>0</v>
      </c>
      <c r="AI17" s="55" t="s">
        <v>166</v>
      </c>
    </row>
    <row r="18" spans="2:35" ht="18.75" customHeight="1" x14ac:dyDescent="0.2">
      <c r="B18" s="84" t="s">
        <v>39</v>
      </c>
      <c r="C18" s="154">
        <f>IFERROR(INDEX(阻害要因×疾患名[#All],MATCH($AI18,阻害要因×疾患名[[#All],[値]],0),MATCH($AJ$4,阻害要因×疾患名[#Headers],0)),0)+IFERROR(INDEX(阻害要因×疾患名[#All],MATCH($AI18,阻害要因×疾患名[[#All],[値]],0),MATCH($AK$4,阻害要因×疾患名[#Headers],0)),0)</f>
        <v>77</v>
      </c>
      <c r="D18" s="155">
        <f t="shared" si="1"/>
        <v>0.30314960629921262</v>
      </c>
      <c r="E18" s="154">
        <f>IFERROR(INDEX(阻害要因×疾患名[#All],MATCH($AI18,阻害要因×疾患名[[#All],[値]],0),MATCH($AL$4,阻害要因×疾患名[#Headers],0)),0)</f>
        <v>46</v>
      </c>
      <c r="F18" s="155">
        <f t="shared" si="2"/>
        <v>0.25274725274725274</v>
      </c>
      <c r="G18" s="154">
        <f>IFERROR(INDEX(阻害要因×疾患名[#All],MATCH($AI18,阻害要因×疾患名[[#All],[値]],0),MATCH($AP$4,阻害要因×疾患名[#Headers],0)),0)</f>
        <v>417</v>
      </c>
      <c r="H18" s="155">
        <f t="shared" si="3"/>
        <v>0.45178764897074758</v>
      </c>
      <c r="I18" s="154">
        <f>IFERROR(INDEX(阻害要因×疾患名[#All],MATCH($AI18,阻害要因×疾患名[[#All],[値]],0),MATCH($AQ$4,阻害要因×疾患名[#Headers],0)),0)+IFERROR(INDEX(阻害要因×疾患名[#All],MATCH($AI18,阻害要因×疾患名[[#All],[値]],0),MATCH($AR$4,阻害要因×疾患名[#Headers],0)),0)</f>
        <v>103</v>
      </c>
      <c r="J18" s="155">
        <f t="shared" si="4"/>
        <v>0.54210526315789476</v>
      </c>
      <c r="K18" s="38">
        <f t="shared" si="5"/>
        <v>643</v>
      </c>
      <c r="L18" s="55" t="s">
        <v>167</v>
      </c>
      <c r="M18" s="61"/>
      <c r="N18" s="61">
        <v>417</v>
      </c>
      <c r="O18" s="61">
        <v>35</v>
      </c>
      <c r="P18" s="58">
        <v>46</v>
      </c>
      <c r="Q18" s="58">
        <v>68</v>
      </c>
      <c r="R18" s="58">
        <v>12</v>
      </c>
      <c r="S18" s="58">
        <v>8</v>
      </c>
      <c r="T18" s="58">
        <v>69</v>
      </c>
      <c r="U18" s="58">
        <v>3</v>
      </c>
      <c r="V18" s="58">
        <v>2</v>
      </c>
      <c r="W18" s="58">
        <v>4</v>
      </c>
      <c r="X18" s="58">
        <v>29</v>
      </c>
      <c r="Y18" s="58">
        <v>14</v>
      </c>
      <c r="Z18" s="58">
        <v>1</v>
      </c>
      <c r="AA18" s="58">
        <v>2</v>
      </c>
      <c r="AB18" s="58">
        <v>2</v>
      </c>
      <c r="AC18" s="58">
        <v>0</v>
      </c>
      <c r="AD18" s="58">
        <v>1</v>
      </c>
      <c r="AI18" s="55" t="s">
        <v>167</v>
      </c>
    </row>
    <row r="19" spans="2:35" ht="18.75" customHeight="1" x14ac:dyDescent="0.2">
      <c r="B19" s="84" t="s">
        <v>40</v>
      </c>
      <c r="C19" s="154">
        <f>IFERROR(INDEX(阻害要因×疾患名[#All],MATCH($AI19,阻害要因×疾患名[[#All],[値]],0),MATCH($AJ$4,阻害要因×疾患名[#Headers],0)),0)+IFERROR(INDEX(阻害要因×疾患名[#All],MATCH($AI19,阻害要因×疾患名[[#All],[値]],0),MATCH($AK$4,阻害要因×疾患名[#Headers],0)),0)</f>
        <v>128</v>
      </c>
      <c r="D19" s="155">
        <f t="shared" si="1"/>
        <v>0.50393700787401574</v>
      </c>
      <c r="E19" s="154">
        <f>IFERROR(INDEX(阻害要因×疾患名[#All],MATCH($AI19,阻害要因×疾患名[[#All],[値]],0),MATCH($AL$4,阻害要因×疾患名[#Headers],0)),0)</f>
        <v>71</v>
      </c>
      <c r="F19" s="155">
        <f t="shared" si="2"/>
        <v>0.39010989010989011</v>
      </c>
      <c r="G19" s="154">
        <f>IFERROR(INDEX(阻害要因×疾患名[#All],MATCH($AI19,阻害要因×疾患名[[#All],[値]],0),MATCH($AP$4,阻害要因×疾患名[#Headers],0)),0)</f>
        <v>472</v>
      </c>
      <c r="H19" s="155">
        <f t="shared" si="3"/>
        <v>0.51137594799566632</v>
      </c>
      <c r="I19" s="154">
        <f>IFERROR(INDEX(阻害要因×疾患名[#All],MATCH($AI19,阻害要因×疾患名[[#All],[値]],0),MATCH($AQ$4,阻害要因×疾患名[#Headers],0)),0)+IFERROR(INDEX(阻害要因×疾患名[#All],MATCH($AI19,阻害要因×疾患名[[#All],[値]],0),MATCH($AR$4,阻害要因×疾患名[#Headers],0)),0)</f>
        <v>67</v>
      </c>
      <c r="J19" s="155">
        <f t="shared" si="4"/>
        <v>0.35263157894736841</v>
      </c>
      <c r="K19" s="38">
        <f t="shared" si="5"/>
        <v>738</v>
      </c>
      <c r="L19" s="55" t="s">
        <v>168</v>
      </c>
      <c r="M19" s="61"/>
      <c r="N19" s="61">
        <v>472</v>
      </c>
      <c r="O19" s="61">
        <v>24</v>
      </c>
      <c r="P19" s="58">
        <v>71</v>
      </c>
      <c r="Q19" s="58">
        <v>43</v>
      </c>
      <c r="R19" s="58">
        <v>15</v>
      </c>
      <c r="S19" s="58">
        <v>15</v>
      </c>
      <c r="T19" s="58">
        <v>113</v>
      </c>
      <c r="U19" s="58">
        <v>6</v>
      </c>
      <c r="V19" s="58">
        <v>6</v>
      </c>
      <c r="W19" s="58">
        <v>1</v>
      </c>
      <c r="X19" s="58">
        <v>33</v>
      </c>
      <c r="Y19" s="58">
        <v>7</v>
      </c>
      <c r="Z19" s="58">
        <v>3</v>
      </c>
      <c r="AA19" s="58">
        <v>3</v>
      </c>
      <c r="AB19" s="58">
        <v>2</v>
      </c>
      <c r="AC19" s="58">
        <v>1</v>
      </c>
      <c r="AD19" s="58">
        <v>0</v>
      </c>
      <c r="AI19" s="55" t="s">
        <v>168</v>
      </c>
    </row>
    <row r="20" spans="2:35" ht="18.75" customHeight="1" x14ac:dyDescent="0.2">
      <c r="B20" s="84" t="s">
        <v>41</v>
      </c>
      <c r="C20" s="180">
        <f>IFERROR(INDEX(阻害要因×疾患名[#All],MATCH($AI20,阻害要因×疾患名[[#All],[値]],0),MATCH($AJ$4,阻害要因×疾患名[#Headers],0)),0)+IFERROR(INDEX(阻害要因×疾患名[#All],MATCH($AI20,阻害要因×疾患名[[#All],[値]],0),MATCH($AK$4,阻害要因×疾患名[#Headers],0)),0)</f>
        <v>60</v>
      </c>
      <c r="D20" s="158">
        <f t="shared" si="1"/>
        <v>0.23622047244094488</v>
      </c>
      <c r="E20" s="180">
        <f>IFERROR(INDEX(阻害要因×疾患名[#All],MATCH($AI20,阻害要因×疾患名[[#All],[値]],0),MATCH($AL$4,阻害要因×疾患名[#Headers],0)),0)</f>
        <v>48</v>
      </c>
      <c r="F20" s="158">
        <f t="shared" si="2"/>
        <v>0.26373626373626374</v>
      </c>
      <c r="G20" s="180">
        <f>IFERROR(INDEX(阻害要因×疾患名[#All],MATCH($AI20,阻害要因×疾患名[[#All],[値]],0),MATCH($AP$4,阻害要因×疾患名[#Headers],0)),0)</f>
        <v>274</v>
      </c>
      <c r="H20" s="158">
        <f t="shared" si="3"/>
        <v>0.29685807150595883</v>
      </c>
      <c r="I20" s="180">
        <f>IFERROR(INDEX(阻害要因×疾患名[#All],MATCH($AI20,阻害要因×疾患名[[#All],[値]],0),MATCH($AQ$4,阻害要因×疾患名[#Headers],0)),0)+IFERROR(INDEX(阻害要因×疾患名[#All],MATCH($AI20,阻害要因×疾患名[[#All],[値]],0),MATCH($AR$4,阻害要因×疾患名[#Headers],0)),0)</f>
        <v>85</v>
      </c>
      <c r="J20" s="158">
        <f t="shared" si="4"/>
        <v>0.44736842105263158</v>
      </c>
      <c r="K20" s="38">
        <f t="shared" si="5"/>
        <v>467</v>
      </c>
      <c r="L20" s="55" t="s">
        <v>169</v>
      </c>
      <c r="M20" s="61"/>
      <c r="N20" s="61">
        <v>274</v>
      </c>
      <c r="O20" s="61">
        <v>27</v>
      </c>
      <c r="P20" s="58">
        <v>48</v>
      </c>
      <c r="Q20" s="58">
        <v>58</v>
      </c>
      <c r="R20" s="58">
        <v>8</v>
      </c>
      <c r="S20" s="58">
        <v>5</v>
      </c>
      <c r="T20" s="58">
        <v>55</v>
      </c>
      <c r="U20" s="58">
        <v>4</v>
      </c>
      <c r="V20" s="58">
        <v>4</v>
      </c>
      <c r="W20" s="58">
        <v>2</v>
      </c>
      <c r="X20" s="58">
        <v>18</v>
      </c>
      <c r="Y20" s="58">
        <v>14</v>
      </c>
      <c r="Z20" s="58">
        <v>0</v>
      </c>
      <c r="AA20" s="58">
        <v>2</v>
      </c>
      <c r="AB20" s="58">
        <v>2</v>
      </c>
      <c r="AC20" s="58">
        <v>0</v>
      </c>
      <c r="AD20" s="58">
        <v>1</v>
      </c>
      <c r="AI20" s="55" t="s">
        <v>169</v>
      </c>
    </row>
    <row r="21" spans="2:35" ht="18.75" customHeight="1" x14ac:dyDescent="0.2">
      <c r="B21" s="84" t="s">
        <v>42</v>
      </c>
      <c r="C21" s="154">
        <f>IFERROR(INDEX(阻害要因×疾患名[#All],MATCH($AI21,阻害要因×疾患名[[#All],[値]],0),MATCH($AJ$4,阻害要因×疾患名[#Headers],0)),0)+IFERROR(INDEX(阻害要因×疾患名[#All],MATCH($AI21,阻害要因×疾患名[[#All],[値]],0),MATCH($AK$4,阻害要因×疾患名[#Headers],0)),0)</f>
        <v>10</v>
      </c>
      <c r="D21" s="155">
        <f t="shared" si="1"/>
        <v>3.937007874015748E-2</v>
      </c>
      <c r="E21" s="154">
        <f>IFERROR(INDEX(阻害要因×疾患名[#All],MATCH($AI21,阻害要因×疾患名[[#All],[値]],0),MATCH($AL$4,阻害要因×疾患名[#Headers],0)),0)</f>
        <v>9</v>
      </c>
      <c r="F21" s="155">
        <f t="shared" si="2"/>
        <v>4.9450549450549448E-2</v>
      </c>
      <c r="G21" s="154">
        <f>IFERROR(INDEX(阻害要因×疾患名[#All],MATCH($AI21,阻害要因×疾患名[[#All],[値]],0),MATCH($AP$4,阻害要因×疾患名[#Headers],0)),0)</f>
        <v>92</v>
      </c>
      <c r="H21" s="155">
        <f t="shared" si="3"/>
        <v>9.9674972914409535E-2</v>
      </c>
      <c r="I21" s="154">
        <f>IFERROR(INDEX(阻害要因×疾患名[#All],MATCH($AI21,阻害要因×疾患名[[#All],[値]],0),MATCH($AQ$4,阻害要因×疾患名[#Headers],0)),0)+IFERROR(INDEX(阻害要因×疾患名[#All],MATCH($AI21,阻害要因×疾患名[[#All],[値]],0),MATCH($AR$4,阻害要因×疾患名[#Headers],0)),0)</f>
        <v>11</v>
      </c>
      <c r="J21" s="155">
        <f t="shared" si="4"/>
        <v>5.7894736842105263E-2</v>
      </c>
      <c r="K21" s="38">
        <f t="shared" si="5"/>
        <v>122</v>
      </c>
      <c r="L21" s="55" t="s">
        <v>170</v>
      </c>
      <c r="M21" s="61"/>
      <c r="N21" s="61">
        <v>92</v>
      </c>
      <c r="O21" s="61">
        <v>7</v>
      </c>
      <c r="P21" s="58">
        <v>9</v>
      </c>
      <c r="Q21" s="58">
        <v>4</v>
      </c>
      <c r="R21" s="58">
        <v>2</v>
      </c>
      <c r="S21" s="58">
        <v>1</v>
      </c>
      <c r="T21" s="58">
        <v>9</v>
      </c>
      <c r="U21" s="58">
        <v>4</v>
      </c>
      <c r="V21" s="58">
        <v>0</v>
      </c>
      <c r="W21" s="58">
        <v>0</v>
      </c>
      <c r="X21" s="58">
        <v>5</v>
      </c>
      <c r="Y21" s="58">
        <v>2</v>
      </c>
      <c r="Z21" s="58">
        <v>0</v>
      </c>
      <c r="AA21" s="58">
        <v>0</v>
      </c>
      <c r="AB21" s="58">
        <v>0</v>
      </c>
      <c r="AC21" s="58">
        <v>0</v>
      </c>
      <c r="AD21" s="58">
        <v>0</v>
      </c>
      <c r="AI21" s="55" t="s">
        <v>170</v>
      </c>
    </row>
    <row r="22" spans="2:35" ht="18.75" customHeight="1" x14ac:dyDescent="0.2">
      <c r="B22" s="84" t="s">
        <v>43</v>
      </c>
      <c r="C22" s="154">
        <f>IFERROR(INDEX(阻害要因×疾患名[#All],MATCH($AI22,阻害要因×疾患名[[#All],[値]],0),MATCH($AJ$4,阻害要因×疾患名[#Headers],0)),0)+IFERROR(INDEX(阻害要因×疾患名[#All],MATCH($AI22,阻害要因×疾患名[[#All],[値]],0),MATCH($AK$4,阻害要因×疾患名[#Headers],0)),0)</f>
        <v>86</v>
      </c>
      <c r="D22" s="155">
        <f t="shared" si="1"/>
        <v>0.33858267716535434</v>
      </c>
      <c r="E22" s="154">
        <f>IFERROR(INDEX(阻害要因×疾患名[#All],MATCH($AI22,阻害要因×疾患名[[#All],[値]],0),MATCH($AL$4,阻害要因×疾患名[#Headers],0)),0)</f>
        <v>47</v>
      </c>
      <c r="F22" s="155">
        <f t="shared" si="2"/>
        <v>0.25824175824175827</v>
      </c>
      <c r="G22" s="154">
        <f>IFERROR(INDEX(阻害要因×疾患名[#All],MATCH($AI22,阻害要因×疾患名[[#All],[値]],0),MATCH($AP$4,阻害要因×疾患名[#Headers],0)),0)</f>
        <v>323</v>
      </c>
      <c r="H22" s="155">
        <f t="shared" si="3"/>
        <v>0.34994582881906827</v>
      </c>
      <c r="I22" s="154">
        <f>IFERROR(INDEX(阻害要因×疾患名[#All],MATCH($AI22,阻害要因×疾患名[[#All],[値]],0),MATCH($AQ$4,阻害要因×疾患名[#Headers],0)),0)+IFERROR(INDEX(阻害要因×疾患名[#All],MATCH($AI22,阻害要因×疾患名[[#All],[値]],0),MATCH($AR$4,阻害要因×疾患名[#Headers],0)),0)</f>
        <v>58</v>
      </c>
      <c r="J22" s="155">
        <f t="shared" si="4"/>
        <v>0.30526315789473685</v>
      </c>
      <c r="K22" s="38">
        <f t="shared" si="5"/>
        <v>514</v>
      </c>
      <c r="L22" s="55" t="s">
        <v>171</v>
      </c>
      <c r="M22" s="61"/>
      <c r="N22" s="61">
        <v>323</v>
      </c>
      <c r="O22" s="61">
        <v>20</v>
      </c>
      <c r="P22" s="58">
        <v>47</v>
      </c>
      <c r="Q22" s="58">
        <v>38</v>
      </c>
      <c r="R22" s="58">
        <v>12</v>
      </c>
      <c r="S22" s="58">
        <v>6</v>
      </c>
      <c r="T22" s="58">
        <v>80</v>
      </c>
      <c r="U22" s="58">
        <v>2</v>
      </c>
      <c r="V22" s="58">
        <v>2</v>
      </c>
      <c r="W22" s="58">
        <v>2</v>
      </c>
      <c r="X22" s="58">
        <v>31</v>
      </c>
      <c r="Y22" s="58">
        <v>5</v>
      </c>
      <c r="Z22" s="58">
        <v>1</v>
      </c>
      <c r="AA22" s="58">
        <v>2</v>
      </c>
      <c r="AB22" s="58">
        <v>3</v>
      </c>
      <c r="AC22" s="58">
        <v>0</v>
      </c>
      <c r="AD22" s="58">
        <v>1</v>
      </c>
      <c r="AI22" s="55" t="s">
        <v>171</v>
      </c>
    </row>
    <row r="23" spans="2:35" ht="18.75" customHeight="1" x14ac:dyDescent="0.2">
      <c r="B23" s="84" t="s">
        <v>44</v>
      </c>
      <c r="C23" s="154">
        <f>IFERROR(INDEX(阻害要因×疾患名[#All],MATCH($AI23,阻害要因×疾患名[[#All],[値]],0),MATCH($AJ$4,阻害要因×疾患名[#Headers],0)),0)+IFERROR(INDEX(阻害要因×疾患名[#All],MATCH($AI23,阻害要因×疾患名[[#All],[値]],0),MATCH($AK$4,阻害要因×疾患名[#Headers],0)),0)</f>
        <v>34</v>
      </c>
      <c r="D23" s="155">
        <f t="shared" si="1"/>
        <v>0.13385826771653545</v>
      </c>
      <c r="E23" s="154">
        <f>IFERROR(INDEX(阻害要因×疾患名[#All],MATCH($AI23,阻害要因×疾患名[[#All],[値]],0),MATCH($AL$4,阻害要因×疾患名[#Headers],0)),0)</f>
        <v>36</v>
      </c>
      <c r="F23" s="155">
        <f t="shared" si="2"/>
        <v>0.19780219780219779</v>
      </c>
      <c r="G23" s="154">
        <f>IFERROR(INDEX(阻害要因×疾患名[#All],MATCH($AI23,阻害要因×疾患名[[#All],[値]],0),MATCH($AP$4,阻害要因×疾患名[#Headers],0)),0)</f>
        <v>236</v>
      </c>
      <c r="H23" s="155">
        <f t="shared" si="3"/>
        <v>0.25568797399783316</v>
      </c>
      <c r="I23" s="154">
        <f>IFERROR(INDEX(阻害要因×疾患名[#All],MATCH($AI23,阻害要因×疾患名[[#All],[値]],0),MATCH($AQ$4,阻害要因×疾患名[#Headers],0)),0)+IFERROR(INDEX(阻害要因×疾患名[#All],MATCH($AI23,阻害要因×疾患名[[#All],[値]],0),MATCH($AR$4,阻害要因×疾患名[#Headers],0)),0)</f>
        <v>39</v>
      </c>
      <c r="J23" s="155">
        <f t="shared" si="4"/>
        <v>0.20526315789473684</v>
      </c>
      <c r="K23" s="38">
        <f t="shared" si="5"/>
        <v>345</v>
      </c>
      <c r="L23" s="55" t="s">
        <v>172</v>
      </c>
      <c r="M23" s="61"/>
      <c r="N23" s="61">
        <v>236</v>
      </c>
      <c r="O23" s="61">
        <v>12</v>
      </c>
      <c r="P23" s="58">
        <v>36</v>
      </c>
      <c r="Q23" s="58">
        <v>27</v>
      </c>
      <c r="R23" s="58">
        <v>8</v>
      </c>
      <c r="S23" s="58">
        <v>6</v>
      </c>
      <c r="T23" s="58">
        <v>28</v>
      </c>
      <c r="U23" s="58">
        <v>4</v>
      </c>
      <c r="V23" s="58">
        <v>4</v>
      </c>
      <c r="W23" s="58">
        <v>0</v>
      </c>
      <c r="X23" s="58">
        <v>26</v>
      </c>
      <c r="Y23" s="58">
        <v>7</v>
      </c>
      <c r="Z23" s="58">
        <v>0</v>
      </c>
      <c r="AA23" s="58">
        <v>0</v>
      </c>
      <c r="AB23" s="58">
        <v>3</v>
      </c>
      <c r="AC23" s="58">
        <v>0</v>
      </c>
      <c r="AD23" s="58">
        <v>0</v>
      </c>
      <c r="AI23" s="55" t="s">
        <v>172</v>
      </c>
    </row>
    <row r="24" spans="2:35" ht="18.75" customHeight="1" x14ac:dyDescent="0.2">
      <c r="B24" s="84" t="s">
        <v>246</v>
      </c>
      <c r="C24" s="154">
        <f>IFERROR(INDEX(阻害要因×疾患名[#All],MATCH($AI24,阻害要因×疾患名[[#All],[値]],0),MATCH($AJ$4,阻害要因×疾患名[#Headers],0)),0)+IFERROR(INDEX(阻害要因×疾患名[#All],MATCH($AI24,阻害要因×疾患名[[#All],[値]],0),MATCH($AK$4,阻害要因×疾患名[#Headers],0)),0)</f>
        <v>38</v>
      </c>
      <c r="D24" s="155">
        <f t="shared" si="1"/>
        <v>0.14960629921259844</v>
      </c>
      <c r="E24" s="154">
        <f>IFERROR(INDEX(阻害要因×疾患名[#All],MATCH($AI24,阻害要因×疾患名[[#All],[値]],0),MATCH($AL$4,阻害要因×疾患名[#Headers],0)),0)</f>
        <v>40</v>
      </c>
      <c r="F24" s="155">
        <f t="shared" si="2"/>
        <v>0.21978021978021978</v>
      </c>
      <c r="G24" s="154">
        <f>IFERROR(INDEX(阻害要因×疾患名[#All],MATCH($AI24,阻害要因×疾患名[[#All],[値]],0),MATCH($AP$4,阻害要因×疾患名[#Headers],0)),0)</f>
        <v>159</v>
      </c>
      <c r="H24" s="155">
        <f t="shared" si="3"/>
        <v>0.1722643553629469</v>
      </c>
      <c r="I24" s="154">
        <f>IFERROR(INDEX(阻害要因×疾患名[#All],MATCH($AI24,阻害要因×疾患名[[#All],[値]],0),MATCH($AQ$4,阻害要因×疾患名[#Headers],0)),0)+IFERROR(INDEX(阻害要因×疾患名[#All],MATCH($AI24,阻害要因×疾患名[[#All],[値]],0),MATCH($AR$4,阻害要因×疾患名[#Headers],0)),0)</f>
        <v>31</v>
      </c>
      <c r="J24" s="155">
        <f t="shared" si="4"/>
        <v>0.16315789473684211</v>
      </c>
      <c r="K24" s="38">
        <f t="shared" si="5"/>
        <v>268</v>
      </c>
      <c r="L24" s="55" t="s">
        <v>173</v>
      </c>
      <c r="M24" s="61"/>
      <c r="N24" s="61">
        <v>159</v>
      </c>
      <c r="O24" s="61">
        <v>12</v>
      </c>
      <c r="P24" s="58">
        <v>40</v>
      </c>
      <c r="Q24" s="58">
        <v>19</v>
      </c>
      <c r="R24" s="58">
        <v>7</v>
      </c>
      <c r="S24" s="58">
        <v>4</v>
      </c>
      <c r="T24" s="58">
        <v>34</v>
      </c>
      <c r="U24" s="58">
        <v>0</v>
      </c>
      <c r="V24" s="58">
        <v>1</v>
      </c>
      <c r="W24" s="58">
        <v>2</v>
      </c>
      <c r="X24" s="58">
        <v>13</v>
      </c>
      <c r="Y24" s="58">
        <v>5</v>
      </c>
      <c r="Z24" s="58">
        <v>3</v>
      </c>
      <c r="AA24" s="58">
        <v>0</v>
      </c>
      <c r="AB24" s="58">
        <v>1</v>
      </c>
      <c r="AC24" s="58">
        <v>1</v>
      </c>
      <c r="AD24" s="58">
        <v>1</v>
      </c>
      <c r="AI24" s="55" t="s">
        <v>173</v>
      </c>
    </row>
    <row r="25" spans="2:35" ht="18.75" customHeight="1" x14ac:dyDescent="0.2">
      <c r="B25" s="84" t="s">
        <v>46</v>
      </c>
      <c r="C25" s="872">
        <f>IFERROR(INDEX(阻害要因×疾患名[#All],MATCH($AI25,阻害要因×疾患名[[#All],[値]],0),MATCH($AJ$4,阻害要因×疾患名[#Headers],0)),0)+IFERROR(INDEX(阻害要因×疾患名[#All],MATCH($AI25,阻害要因×疾患名[[#All],[値]],0),MATCH($AK$4,阻害要因×疾患名[#Headers],0)),0)</f>
        <v>110</v>
      </c>
      <c r="D25" s="155">
        <f t="shared" si="1"/>
        <v>0.43307086614173229</v>
      </c>
      <c r="E25" s="154">
        <f>IFERROR(INDEX(阻害要因×疾患名[#All],MATCH($AI25,阻害要因×疾患名[[#All],[値]],0),MATCH($AL$4,阻害要因×疾患名[#Headers],0)),0)</f>
        <v>60</v>
      </c>
      <c r="F25" s="155">
        <f t="shared" si="2"/>
        <v>0.32967032967032966</v>
      </c>
      <c r="G25" s="154">
        <f>IFERROR(INDEX(阻害要因×疾患名[#All],MATCH($AI25,阻害要因×疾患名[[#All],[値]],0),MATCH($AP$4,阻害要因×疾患名[#Headers],0)),0)</f>
        <v>289</v>
      </c>
      <c r="H25" s="155">
        <f t="shared" si="3"/>
        <v>0.31310942578548212</v>
      </c>
      <c r="I25" s="154">
        <f>IFERROR(INDEX(阻害要因×疾患名[#All],MATCH($AI25,阻害要因×疾患名[[#All],[値]],0),MATCH($AQ$4,阻害要因×疾患名[#Headers],0)),0)+IFERROR(INDEX(阻害要因×疾患名[#All],MATCH($AI25,阻害要因×疾患名[[#All],[値]],0),MATCH($AR$4,阻害要因×疾患名[#Headers],0)),0)</f>
        <v>45</v>
      </c>
      <c r="J25" s="155">
        <f t="shared" si="4"/>
        <v>0.23684210526315788</v>
      </c>
      <c r="K25" s="38">
        <f t="shared" si="5"/>
        <v>504</v>
      </c>
      <c r="L25" s="55" t="s">
        <v>174</v>
      </c>
      <c r="M25" s="61"/>
      <c r="N25" s="61">
        <v>289</v>
      </c>
      <c r="O25" s="61">
        <v>17</v>
      </c>
      <c r="P25" s="58">
        <v>60</v>
      </c>
      <c r="Q25" s="58">
        <v>28</v>
      </c>
      <c r="R25" s="58">
        <v>10</v>
      </c>
      <c r="S25" s="58">
        <v>12</v>
      </c>
      <c r="T25" s="58">
        <v>98</v>
      </c>
      <c r="U25" s="58">
        <v>7</v>
      </c>
      <c r="V25" s="58">
        <v>2</v>
      </c>
      <c r="W25" s="58">
        <v>2</v>
      </c>
      <c r="X25" s="58">
        <v>34</v>
      </c>
      <c r="Y25" s="58">
        <v>9</v>
      </c>
      <c r="Z25" s="58">
        <v>4</v>
      </c>
      <c r="AA25" s="58">
        <v>4</v>
      </c>
      <c r="AB25" s="58">
        <v>2</v>
      </c>
      <c r="AC25" s="58">
        <v>1</v>
      </c>
      <c r="AD25" s="58">
        <v>0</v>
      </c>
      <c r="AI25" s="55" t="s">
        <v>174</v>
      </c>
    </row>
    <row r="26" spans="2:35" ht="18.75" customHeight="1" x14ac:dyDescent="0.2">
      <c r="B26" s="84" t="s">
        <v>47</v>
      </c>
      <c r="C26" s="154">
        <f>IFERROR(INDEX(阻害要因×疾患名[#All],MATCH($AI26,阻害要因×疾患名[[#All],[値]],0),MATCH($AJ$4,阻害要因×疾患名[#Headers],0)),0)+IFERROR(INDEX(阻害要因×疾患名[#All],MATCH($AI26,阻害要因×疾患名[[#All],[値]],0),MATCH($AK$4,阻害要因×疾患名[#Headers],0)),0)</f>
        <v>23</v>
      </c>
      <c r="D26" s="155">
        <f t="shared" si="1"/>
        <v>9.055118110236221E-2</v>
      </c>
      <c r="E26" s="154">
        <f>IFERROR(INDEX(阻害要因×疾患名[#All],MATCH($AI26,阻害要因×疾患名[[#All],[値]],0),MATCH($AL$4,阻害要因×疾患名[#Headers],0)),0)</f>
        <v>18</v>
      </c>
      <c r="F26" s="155">
        <f t="shared" si="2"/>
        <v>9.8901098901098897E-2</v>
      </c>
      <c r="G26" s="154">
        <f>IFERROR(INDEX(阻害要因×疾患名[#All],MATCH($AI26,阻害要因×疾患名[[#All],[値]],0),MATCH($AP$4,阻害要因×疾患名[#Headers],0)),0)</f>
        <v>47</v>
      </c>
      <c r="H26" s="155">
        <f t="shared" si="3"/>
        <v>5.0920910075839654E-2</v>
      </c>
      <c r="I26" s="154">
        <f>IFERROR(INDEX(阻害要因×疾患名[#All],MATCH($AI26,阻害要因×疾患名[[#All],[値]],0),MATCH($AQ$4,阻害要因×疾患名[#Headers],0)),0)+IFERROR(INDEX(阻害要因×疾患名[#All],MATCH($AI26,阻害要因×疾患名[[#All],[値]],0),MATCH($AR$4,阻害要因×疾患名[#Headers],0)),0)</f>
        <v>8</v>
      </c>
      <c r="J26" s="155">
        <f t="shared" si="4"/>
        <v>4.2105263157894736E-2</v>
      </c>
      <c r="K26" s="38">
        <f t="shared" si="5"/>
        <v>96</v>
      </c>
      <c r="L26" s="55" t="s">
        <v>175</v>
      </c>
      <c r="M26" s="61"/>
      <c r="N26" s="61">
        <v>47</v>
      </c>
      <c r="O26" s="61">
        <v>6</v>
      </c>
      <c r="P26" s="58">
        <v>18</v>
      </c>
      <c r="Q26" s="58">
        <v>2</v>
      </c>
      <c r="R26" s="58">
        <v>3</v>
      </c>
      <c r="S26" s="58">
        <v>2</v>
      </c>
      <c r="T26" s="58">
        <v>21</v>
      </c>
      <c r="U26" s="58">
        <v>1</v>
      </c>
      <c r="V26" s="58">
        <v>1</v>
      </c>
      <c r="W26" s="58">
        <v>0</v>
      </c>
      <c r="X26" s="58">
        <v>11</v>
      </c>
      <c r="Y26" s="58">
        <v>2</v>
      </c>
      <c r="Z26" s="58">
        <v>0</v>
      </c>
      <c r="AA26" s="58">
        <v>0</v>
      </c>
      <c r="AB26" s="58">
        <v>2</v>
      </c>
      <c r="AC26" s="58">
        <v>0</v>
      </c>
      <c r="AD26" s="58">
        <v>0</v>
      </c>
      <c r="AI26" s="55" t="s">
        <v>175</v>
      </c>
    </row>
    <row r="27" spans="2:35" ht="18.75" customHeight="1" x14ac:dyDescent="0.2">
      <c r="B27" s="84" t="s">
        <v>48</v>
      </c>
      <c r="C27" s="154">
        <f>IFERROR(INDEX(阻害要因×疾患名[#All],MATCH($AI27,阻害要因×疾患名[[#All],[値]],0),MATCH($AJ$4,阻害要因×疾患名[#Headers],0)),0)+IFERROR(INDEX(阻害要因×疾患名[#All],MATCH($AI27,阻害要因×疾患名[[#All],[値]],0),MATCH($AK$4,阻害要因×疾患名[#Headers],0)),0)</f>
        <v>9</v>
      </c>
      <c r="D27" s="155">
        <f t="shared" si="1"/>
        <v>3.5433070866141732E-2</v>
      </c>
      <c r="E27" s="154">
        <f>IFERROR(INDEX(阻害要因×疾患名[#All],MATCH($AI27,阻害要因×疾患名[[#All],[値]],0),MATCH($AL$4,阻害要因×疾患名[#Headers],0)),0)</f>
        <v>5</v>
      </c>
      <c r="F27" s="155">
        <f t="shared" si="2"/>
        <v>2.7472527472527472E-2</v>
      </c>
      <c r="G27" s="154">
        <f>IFERROR(INDEX(阻害要因×疾患名[#All],MATCH($AI27,阻害要因×疾患名[[#All],[値]],0),MATCH($AP$4,阻害要因×疾患名[#Headers],0)),0)</f>
        <v>36</v>
      </c>
      <c r="H27" s="155">
        <f t="shared" si="3"/>
        <v>3.9003250270855903E-2</v>
      </c>
      <c r="I27" s="154">
        <f>IFERROR(INDEX(阻害要因×疾患名[#All],MATCH($AI27,阻害要因×疾患名[[#All],[値]],0),MATCH($AQ$4,阻害要因×疾患名[#Headers],0)),0)+IFERROR(INDEX(阻害要因×疾患名[#All],MATCH($AI27,阻害要因×疾患名[[#All],[値]],0),MATCH($AR$4,阻害要因×疾患名[#Headers],0)),0)</f>
        <v>7</v>
      </c>
      <c r="J27" s="155">
        <f t="shared" si="4"/>
        <v>3.6842105263157891E-2</v>
      </c>
      <c r="K27" s="38">
        <f t="shared" si="5"/>
        <v>57</v>
      </c>
      <c r="L27" s="55" t="s">
        <v>176</v>
      </c>
      <c r="M27" s="61"/>
      <c r="N27" s="61">
        <v>36</v>
      </c>
      <c r="O27" s="61">
        <v>3</v>
      </c>
      <c r="P27" s="58">
        <v>5</v>
      </c>
      <c r="Q27" s="58">
        <v>4</v>
      </c>
      <c r="R27" s="58">
        <v>2</v>
      </c>
      <c r="S27" s="58">
        <v>1</v>
      </c>
      <c r="T27" s="58">
        <v>8</v>
      </c>
      <c r="U27" s="58">
        <v>0</v>
      </c>
      <c r="V27" s="58">
        <v>3</v>
      </c>
      <c r="W27" s="58">
        <v>0</v>
      </c>
      <c r="X27" s="58">
        <v>8</v>
      </c>
      <c r="Y27" s="58">
        <v>3</v>
      </c>
      <c r="Z27" s="58">
        <v>0</v>
      </c>
      <c r="AA27" s="58">
        <v>0</v>
      </c>
      <c r="AB27" s="58">
        <v>0</v>
      </c>
      <c r="AC27" s="58">
        <v>0</v>
      </c>
      <c r="AD27" s="58">
        <v>0</v>
      </c>
      <c r="AI27" s="55" t="s">
        <v>176</v>
      </c>
    </row>
    <row r="28" spans="2:35" ht="18.75" customHeight="1" x14ac:dyDescent="0.2">
      <c r="B28" s="84" t="s">
        <v>49</v>
      </c>
      <c r="C28" s="177">
        <f>IFERROR(INDEX(阻害要因×疾患名[#All],MATCH($AI28,阻害要因×疾患名[[#All],[値]],0),MATCH($AJ$4,阻害要因×疾患名[#Headers],0)),0)+IFERROR(INDEX(阻害要因×疾患名[#All],MATCH($AI28,阻害要因×疾患名[[#All],[値]],0),MATCH($AK$4,阻害要因×疾患名[#Headers],0)),0)</f>
        <v>2</v>
      </c>
      <c r="D28" s="171">
        <f t="shared" si="1"/>
        <v>7.874015748031496E-3</v>
      </c>
      <c r="E28" s="177">
        <f>IFERROR(INDEX(阻害要因×疾患名[#All],MATCH($AI28,阻害要因×疾患名[[#All],[値]],0),MATCH($AL$4,阻害要因×疾患名[#Headers],0)),0)</f>
        <v>2</v>
      </c>
      <c r="F28" s="171">
        <f t="shared" si="2"/>
        <v>1.098901098901099E-2</v>
      </c>
      <c r="G28" s="177">
        <f>IFERROR(INDEX(阻害要因×疾患名[#All],MATCH($AI28,阻害要因×疾患名[[#All],[値]],0),MATCH($AP$4,阻害要因×疾患名[#Headers],0)),0)</f>
        <v>6</v>
      </c>
      <c r="H28" s="171">
        <f t="shared" si="3"/>
        <v>6.5005417118093175E-3</v>
      </c>
      <c r="I28" s="177">
        <f>IFERROR(INDEX(阻害要因×疾患名[#All],MATCH($AI28,阻害要因×疾患名[[#All],[値]],0),MATCH($AQ$4,阻害要因×疾患名[#Headers],0)),0)+IFERROR(INDEX(阻害要因×疾患名[#All],MATCH($AI28,阻害要因×疾患名[[#All],[値]],0),MATCH($AR$4,阻害要因×疾患名[#Headers],0)),0)</f>
        <v>1</v>
      </c>
      <c r="J28" s="171">
        <f t="shared" si="4"/>
        <v>5.263157894736842E-3</v>
      </c>
      <c r="K28" s="38">
        <f t="shared" si="5"/>
        <v>11</v>
      </c>
      <c r="L28" s="55" t="s">
        <v>177</v>
      </c>
      <c r="M28" s="61"/>
      <c r="N28" s="61">
        <v>6</v>
      </c>
      <c r="O28" s="58">
        <v>1</v>
      </c>
      <c r="P28" s="58">
        <v>2</v>
      </c>
      <c r="Q28" s="58">
        <v>0</v>
      </c>
      <c r="R28" s="58">
        <v>2</v>
      </c>
      <c r="S28" s="58">
        <v>1</v>
      </c>
      <c r="T28" s="58">
        <v>1</v>
      </c>
      <c r="U28" s="58">
        <v>0</v>
      </c>
      <c r="V28" s="58">
        <v>0</v>
      </c>
      <c r="W28" s="58">
        <v>0</v>
      </c>
      <c r="X28" s="58">
        <v>0</v>
      </c>
      <c r="Y28" s="58">
        <v>0</v>
      </c>
      <c r="Z28" s="58">
        <v>0</v>
      </c>
      <c r="AA28" s="58">
        <v>0</v>
      </c>
      <c r="AB28" s="58">
        <v>0</v>
      </c>
      <c r="AC28" s="58">
        <v>0</v>
      </c>
      <c r="AD28" s="58">
        <v>0</v>
      </c>
      <c r="AI28" s="55" t="s">
        <v>177</v>
      </c>
    </row>
    <row r="29" spans="2:35" ht="18.75" customHeight="1" x14ac:dyDescent="0.2">
      <c r="B29" s="84" t="s">
        <v>50</v>
      </c>
      <c r="C29" s="872">
        <f>IFERROR(INDEX(阻害要因×疾患名[#All],MATCH($AI29,阻害要因×疾患名[[#All],[値]],0),MATCH($AJ$4,阻害要因×疾患名[#Headers],0)),0)+IFERROR(INDEX(阻害要因×疾患名[#All],MATCH($AI29,阻害要因×疾患名[[#All],[値]],0),MATCH($AK$4,阻害要因×疾患名[#Headers],0)),0)</f>
        <v>30</v>
      </c>
      <c r="D29" s="155">
        <f t="shared" si="1"/>
        <v>0.11811023622047244</v>
      </c>
      <c r="E29" s="154">
        <f>IFERROR(INDEX(阻害要因×疾患名[#All],MATCH($AI29,阻害要因×疾患名[[#All],[値]],0),MATCH($AL$4,阻害要因×疾患名[#Headers],0)),0)</f>
        <v>23</v>
      </c>
      <c r="F29" s="155">
        <f t="shared" si="2"/>
        <v>0.12637362637362637</v>
      </c>
      <c r="G29" s="154">
        <f>IFERROR(INDEX(阻害要因×疾患名[#All],MATCH($AI29,阻害要因×疾患名[[#All],[値]],0),MATCH($AP$4,阻害要因×疾患名[#Headers],0)),0)</f>
        <v>71</v>
      </c>
      <c r="H29" s="155">
        <f t="shared" si="3"/>
        <v>7.6923076923076927E-2</v>
      </c>
      <c r="I29" s="154">
        <f>IFERROR(INDEX(阻害要因×疾患名[#All],MATCH($AI29,阻害要因×疾患名[[#All],[値]],0),MATCH($AQ$4,阻害要因×疾患名[#Headers],0)),0)+IFERROR(INDEX(阻害要因×疾患名[#All],MATCH($AI29,阻害要因×疾患名[[#All],[値]],0),MATCH($AR$4,阻害要因×疾患名[#Headers],0)),0)</f>
        <v>12</v>
      </c>
      <c r="J29" s="155">
        <f t="shared" si="4"/>
        <v>6.3157894736842107E-2</v>
      </c>
      <c r="K29" s="38">
        <f t="shared" si="5"/>
        <v>136</v>
      </c>
      <c r="L29" s="55" t="s">
        <v>178</v>
      </c>
      <c r="M29" s="61"/>
      <c r="N29" s="61">
        <v>71</v>
      </c>
      <c r="O29" s="58">
        <v>5</v>
      </c>
      <c r="P29" s="58">
        <v>23</v>
      </c>
      <c r="Q29" s="58">
        <v>7</v>
      </c>
      <c r="R29" s="58">
        <v>3</v>
      </c>
      <c r="S29" s="58">
        <v>1</v>
      </c>
      <c r="T29" s="58">
        <v>29</v>
      </c>
      <c r="U29" s="58">
        <v>1</v>
      </c>
      <c r="V29" s="58">
        <v>2</v>
      </c>
      <c r="W29" s="58">
        <v>0</v>
      </c>
      <c r="X29" s="58">
        <v>16</v>
      </c>
      <c r="Y29" s="58">
        <v>2</v>
      </c>
      <c r="Z29" s="58">
        <v>0</v>
      </c>
      <c r="AA29" s="58">
        <v>0</v>
      </c>
      <c r="AB29" s="58">
        <v>0</v>
      </c>
      <c r="AC29" s="58">
        <v>0</v>
      </c>
      <c r="AD29" s="58">
        <v>0</v>
      </c>
      <c r="AI29" s="55" t="s">
        <v>178</v>
      </c>
    </row>
    <row r="30" spans="2:35" ht="18.75" customHeight="1" x14ac:dyDescent="0.2">
      <c r="B30" s="84" t="s">
        <v>51</v>
      </c>
      <c r="C30" s="872">
        <f>IFERROR(INDEX(阻害要因×疾患名[#All],MATCH($AI30,阻害要因×疾患名[[#All],[値]],0),MATCH($AJ$4,阻害要因×疾患名[#Headers],0)),0)+IFERROR(INDEX(阻害要因×疾患名[#All],MATCH($AI30,阻害要因×疾患名[[#All],[値]],0),MATCH($AK$4,阻害要因×疾患名[#Headers],0)),0)</f>
        <v>21</v>
      </c>
      <c r="D30" s="155">
        <f t="shared" si="1"/>
        <v>8.2677165354330714E-2</v>
      </c>
      <c r="E30" s="154">
        <f>IFERROR(INDEX(阻害要因×疾患名[#All],MATCH($AI30,阻害要因×疾患名[[#All],[値]],0),MATCH($AL$4,阻害要因×疾患名[#Headers],0)),0)</f>
        <v>18</v>
      </c>
      <c r="F30" s="155">
        <f t="shared" si="2"/>
        <v>9.8901098901098897E-2</v>
      </c>
      <c r="G30" s="154">
        <f>IFERROR(INDEX(阻害要因×疾患名[#All],MATCH($AI30,阻害要因×疾患名[[#All],[値]],0),MATCH($AP$4,阻害要因×疾患名[#Headers],0)),0)</f>
        <v>85</v>
      </c>
      <c r="H30" s="155">
        <f t="shared" si="3"/>
        <v>9.2091007583965337E-2</v>
      </c>
      <c r="I30" s="154">
        <f>IFERROR(INDEX(阻害要因×疾患名[#All],MATCH($AI30,阻害要因×疾患名[[#All],[値]],0),MATCH($AQ$4,阻害要因×疾患名[#Headers],0)),0)+IFERROR(INDEX(阻害要因×疾患名[#All],MATCH($AI30,阻害要因×疾患名[[#All],[値]],0),MATCH($AR$4,阻害要因×疾患名[#Headers],0)),0)</f>
        <v>10</v>
      </c>
      <c r="J30" s="155">
        <f t="shared" si="4"/>
        <v>5.2631578947368418E-2</v>
      </c>
      <c r="K30" s="38">
        <f t="shared" si="5"/>
        <v>134</v>
      </c>
      <c r="L30" s="55" t="s">
        <v>179</v>
      </c>
      <c r="M30" s="61"/>
      <c r="N30" s="61">
        <v>85</v>
      </c>
      <c r="O30" s="58">
        <v>3</v>
      </c>
      <c r="P30" s="58">
        <v>18</v>
      </c>
      <c r="Q30" s="58">
        <v>7</v>
      </c>
      <c r="R30" s="58">
        <v>4</v>
      </c>
      <c r="S30" s="58">
        <v>1</v>
      </c>
      <c r="T30" s="58">
        <v>20</v>
      </c>
      <c r="U30" s="58">
        <v>2</v>
      </c>
      <c r="V30" s="58">
        <v>2</v>
      </c>
      <c r="W30" s="58">
        <v>0</v>
      </c>
      <c r="X30" s="58">
        <v>16</v>
      </c>
      <c r="Y30" s="58">
        <v>2</v>
      </c>
      <c r="Z30" s="58">
        <v>0</v>
      </c>
      <c r="AA30" s="58">
        <v>0</v>
      </c>
      <c r="AB30" s="58">
        <v>1</v>
      </c>
      <c r="AC30" s="58">
        <v>0</v>
      </c>
      <c r="AD30" s="58">
        <v>0</v>
      </c>
      <c r="AI30" s="55" t="s">
        <v>179</v>
      </c>
    </row>
    <row r="31" spans="2:35" ht="18.75" customHeight="1" x14ac:dyDescent="0.2">
      <c r="B31" s="84" t="s">
        <v>247</v>
      </c>
      <c r="C31" s="154">
        <f>IFERROR(INDEX(阻害要因×疾患名[#All],MATCH($AI31,阻害要因×疾患名[[#All],[値]],0),MATCH($AJ$4,阻害要因×疾患名[#Headers],0)),0)+IFERROR(INDEX(阻害要因×疾患名[#All],MATCH($AI31,阻害要因×疾患名[[#All],[値]],0),MATCH($AK$4,阻害要因×疾患名[#Headers],0)),0)</f>
        <v>4</v>
      </c>
      <c r="D31" s="155">
        <f t="shared" si="1"/>
        <v>1.5748031496062992E-2</v>
      </c>
      <c r="E31" s="154">
        <f>IFERROR(INDEX(阻害要因×疾患名[#All],MATCH($AI31,阻害要因×疾患名[[#All],[値]],0),MATCH($AL$4,阻害要因×疾患名[#Headers],0)),0)</f>
        <v>1</v>
      </c>
      <c r="F31" s="155">
        <f t="shared" si="2"/>
        <v>5.4945054945054949E-3</v>
      </c>
      <c r="G31" s="154">
        <f>IFERROR(INDEX(阻害要因×疾患名[#All],MATCH($AI31,阻害要因×疾患名[[#All],[値]],0),MATCH($AP$4,阻害要因×疾患名[#Headers],0)),0)</f>
        <v>12</v>
      </c>
      <c r="H31" s="155">
        <f t="shared" si="3"/>
        <v>1.3001083423618635E-2</v>
      </c>
      <c r="I31" s="154">
        <f>IFERROR(INDEX(阻害要因×疾患名[#All],MATCH($AI31,阻害要因×疾患名[[#All],[値]],0),MATCH($AQ$4,阻害要因×疾患名[#Headers],0)),0)+IFERROR(INDEX(阻害要因×疾患名[#All],MATCH($AI31,阻害要因×疾患名[[#All],[値]],0),MATCH($AR$4,阻害要因×疾患名[#Headers],0)),0)</f>
        <v>4</v>
      </c>
      <c r="J31" s="155">
        <f t="shared" si="4"/>
        <v>2.1052631578947368E-2</v>
      </c>
      <c r="K31" s="38">
        <f t="shared" si="5"/>
        <v>21</v>
      </c>
      <c r="L31" s="55" t="s">
        <v>180</v>
      </c>
      <c r="M31" s="61"/>
      <c r="N31" s="61">
        <v>12</v>
      </c>
      <c r="O31" s="58">
        <v>2</v>
      </c>
      <c r="P31" s="58">
        <v>1</v>
      </c>
      <c r="Q31" s="58">
        <v>2</v>
      </c>
      <c r="R31" s="58">
        <v>0</v>
      </c>
      <c r="S31" s="58">
        <v>2</v>
      </c>
      <c r="T31" s="58">
        <v>2</v>
      </c>
      <c r="U31" s="58">
        <v>0</v>
      </c>
      <c r="V31" s="58">
        <v>1</v>
      </c>
      <c r="W31" s="58">
        <v>0</v>
      </c>
      <c r="X31" s="58">
        <v>9</v>
      </c>
      <c r="Y31" s="58">
        <v>2</v>
      </c>
      <c r="Z31" s="58">
        <v>0</v>
      </c>
      <c r="AA31" s="58">
        <v>0</v>
      </c>
      <c r="AB31" s="58">
        <v>0</v>
      </c>
      <c r="AC31" s="58">
        <v>1</v>
      </c>
      <c r="AD31" s="58">
        <v>0</v>
      </c>
      <c r="AI31" s="55" t="s">
        <v>180</v>
      </c>
    </row>
    <row r="32" spans="2:35" s="396" customFormat="1" ht="18.75" customHeight="1" x14ac:dyDescent="0.2">
      <c r="B32" s="400" t="s">
        <v>380</v>
      </c>
      <c r="C32" s="154">
        <f>IFERROR(INDEX(阻害要因×疾患名[#All],MATCH($AI32,阻害要因×疾患名[[#All],[値]],0),MATCH($AJ$4,阻害要因×疾患名[#Headers],0)),0)+IFERROR(INDEX(阻害要因×疾患名[#All],MATCH($AI32,阻害要因×疾患名[[#All],[値]],0),MATCH($AK$4,阻害要因×疾患名[#Headers],0)),0)</f>
        <v>54</v>
      </c>
      <c r="D32" s="155">
        <f t="shared" ref="D32:D34" si="6">IFERROR(C32/C$11,"-")</f>
        <v>0.2125984251968504</v>
      </c>
      <c r="E32" s="154">
        <f>IFERROR(INDEX(阻害要因×疾患名[#All],MATCH($AI32,阻害要因×疾患名[[#All],[値]],0),MATCH($AL$4,阻害要因×疾患名[#Headers],0)),0)</f>
        <v>42</v>
      </c>
      <c r="F32" s="155">
        <f t="shared" ref="F32:F34" si="7">IFERROR(E32/E$11,"-")</f>
        <v>0.23076923076923078</v>
      </c>
      <c r="G32" s="154">
        <f>IFERROR(INDEX(阻害要因×疾患名[#All],MATCH($AI32,阻害要因×疾患名[[#All],[値]],0),MATCH($AP$4,阻害要因×疾患名[#Headers],0)),0)</f>
        <v>104</v>
      </c>
      <c r="H32" s="155">
        <f t="shared" ref="H32:H34" si="8">IFERROR(G32/G$11,"-")</f>
        <v>0.11267605633802817</v>
      </c>
      <c r="I32" s="154">
        <f>IFERROR(INDEX(阻害要因×疾患名[#All],MATCH($AI32,阻害要因×疾患名[[#All],[値]],0),MATCH($AQ$4,阻害要因×疾患名[#Headers],0)),0)+IFERROR(INDEX(阻害要因×疾患名[#All],MATCH($AI32,阻害要因×疾患名[[#All],[値]],0),MATCH($AR$4,阻害要因×疾患名[#Headers],0)),0)</f>
        <v>19</v>
      </c>
      <c r="J32" s="155">
        <f t="shared" ref="J32:J34" si="9">IFERROR(I32/I$11,"-")</f>
        <v>0.1</v>
      </c>
      <c r="K32" s="38">
        <f t="shared" si="5"/>
        <v>219</v>
      </c>
      <c r="L32" s="55" t="s">
        <v>382</v>
      </c>
      <c r="M32" s="399"/>
      <c r="N32" s="61">
        <v>104</v>
      </c>
      <c r="O32" s="58">
        <v>10</v>
      </c>
      <c r="P32" s="58">
        <v>42</v>
      </c>
      <c r="Q32" s="58">
        <v>9</v>
      </c>
      <c r="R32" s="58">
        <v>7</v>
      </c>
      <c r="S32" s="58">
        <v>6</v>
      </c>
      <c r="T32" s="58">
        <v>48</v>
      </c>
      <c r="U32" s="58">
        <v>0</v>
      </c>
      <c r="V32" s="58">
        <v>2</v>
      </c>
      <c r="W32" s="58">
        <v>2</v>
      </c>
      <c r="X32" s="58">
        <v>6</v>
      </c>
      <c r="Y32" s="58">
        <v>2</v>
      </c>
      <c r="Z32" s="58">
        <v>1</v>
      </c>
      <c r="AA32" s="58">
        <v>0</v>
      </c>
      <c r="AB32" s="58">
        <v>3</v>
      </c>
      <c r="AC32" s="58">
        <v>0</v>
      </c>
      <c r="AD32" s="58">
        <v>0</v>
      </c>
      <c r="AI32" s="55" t="s">
        <v>382</v>
      </c>
    </row>
    <row r="33" spans="2:35" s="396" customFormat="1" ht="39" customHeight="1" x14ac:dyDescent="0.2">
      <c r="B33" s="401" t="s">
        <v>381</v>
      </c>
      <c r="C33" s="154">
        <f>IFERROR(INDEX(阻害要因×疾患名[#All],MATCH($AI33,阻害要因×疾患名[[#All],[値]],0),MATCH($AJ$4,阻害要因×疾患名[#Headers],0)),0)+IFERROR(INDEX(阻害要因×疾患名[#All],MATCH($AI33,阻害要因×疾患名[[#All],[値]],0),MATCH($AK$4,阻害要因×疾患名[#Headers],0)),0)</f>
        <v>24</v>
      </c>
      <c r="D33" s="155">
        <f t="shared" si="6"/>
        <v>9.4488188976377951E-2</v>
      </c>
      <c r="E33" s="154">
        <f>IFERROR(INDEX(阻害要因×疾患名[#All],MATCH($AI33,阻害要因×疾患名[[#All],[値]],0),MATCH($AL$4,阻害要因×疾患名[#Headers],0)),0)</f>
        <v>23</v>
      </c>
      <c r="F33" s="155">
        <f t="shared" si="7"/>
        <v>0.12637362637362637</v>
      </c>
      <c r="G33" s="154">
        <f>IFERROR(INDEX(阻害要因×疾患名[#All],MATCH($AI33,阻害要因×疾患名[[#All],[値]],0),MATCH($AP$4,阻害要因×疾患名[#Headers],0)),0)</f>
        <v>54</v>
      </c>
      <c r="H33" s="155">
        <f t="shared" si="8"/>
        <v>5.8504875406283859E-2</v>
      </c>
      <c r="I33" s="154">
        <f>IFERROR(INDEX(阻害要因×疾患名[#All],MATCH($AI33,阻害要因×疾患名[[#All],[値]],0),MATCH($AQ$4,阻害要因×疾患名[#Headers],0)),0)+IFERROR(INDEX(阻害要因×疾患名[#All],MATCH($AI33,阻害要因×疾患名[[#All],[値]],0),MATCH($AR$4,阻害要因×疾患名[#Headers],0)),0)</f>
        <v>12</v>
      </c>
      <c r="J33" s="155">
        <f t="shared" si="9"/>
        <v>6.3157894736842107E-2</v>
      </c>
      <c r="K33" s="38">
        <f t="shared" si="5"/>
        <v>113</v>
      </c>
      <c r="L33" s="55" t="s">
        <v>383</v>
      </c>
      <c r="M33" s="399"/>
      <c r="N33" s="61">
        <v>54</v>
      </c>
      <c r="O33" s="58">
        <v>6</v>
      </c>
      <c r="P33" s="58">
        <v>23</v>
      </c>
      <c r="Q33" s="58">
        <v>6</v>
      </c>
      <c r="R33" s="58">
        <v>3</v>
      </c>
      <c r="S33" s="58">
        <v>4</v>
      </c>
      <c r="T33" s="58">
        <v>20</v>
      </c>
      <c r="U33" s="58">
        <v>0</v>
      </c>
      <c r="V33" s="58">
        <v>2</v>
      </c>
      <c r="W33" s="58">
        <v>1</v>
      </c>
      <c r="X33" s="58">
        <v>6</v>
      </c>
      <c r="Y33" s="58">
        <v>1</v>
      </c>
      <c r="Z33" s="58">
        <v>0</v>
      </c>
      <c r="AA33" s="58">
        <v>0</v>
      </c>
      <c r="AB33" s="58">
        <v>0</v>
      </c>
      <c r="AC33" s="58">
        <v>0</v>
      </c>
      <c r="AD33" s="58">
        <v>0</v>
      </c>
      <c r="AI33" s="55" t="s">
        <v>383</v>
      </c>
    </row>
    <row r="34" spans="2:35" ht="18.75" customHeight="1" x14ac:dyDescent="0.2">
      <c r="B34" s="85" t="s">
        <v>53</v>
      </c>
      <c r="C34" s="157">
        <f>IFERROR(INDEX(阻害要因×疾患名[#All],MATCH($AI34,阻害要因×疾患名[[#All],[値]],0),MATCH($AJ$4,阻害要因×疾患名[#Headers],0)),0)+IFERROR(INDEX(阻害要因×疾患名[#All],MATCH($AI34,阻害要因×疾患名[[#All],[値]],0),MATCH($AK$4,阻害要因×疾患名[#Headers],0)),0)</f>
        <v>9</v>
      </c>
      <c r="D34" s="159">
        <f t="shared" si="6"/>
        <v>3.5433070866141732E-2</v>
      </c>
      <c r="E34" s="157">
        <f>IFERROR(INDEX(阻害要因×疾患名[#All],MATCH($AI34,阻害要因×疾患名[[#All],[値]],0),MATCH($AL$4,阻害要因×疾患名[#Headers],0)),0)</f>
        <v>8</v>
      </c>
      <c r="F34" s="159">
        <f t="shared" si="7"/>
        <v>4.3956043956043959E-2</v>
      </c>
      <c r="G34" s="157">
        <f>IFERROR(INDEX(阻害要因×疾患名[#All],MATCH($AI34,阻害要因×疾患名[[#All],[値]],0),MATCH($AP$4,阻害要因×疾患名[#Headers],0)),0)</f>
        <v>21</v>
      </c>
      <c r="H34" s="159">
        <f t="shared" si="8"/>
        <v>2.2751895991332611E-2</v>
      </c>
      <c r="I34" s="157">
        <f>IFERROR(INDEX(阻害要因×疾患名[#All],MATCH($AI34,阻害要因×疾患名[[#All],[値]],0),MATCH($AQ$4,阻害要因×疾患名[#Headers],0)),0)+IFERROR(INDEX(阻害要因×疾患名[#All],MATCH($AI34,阻害要因×疾患名[[#All],[値]],0),MATCH($AR$4,阻害要因×疾患名[#Headers],0)),0)</f>
        <v>6</v>
      </c>
      <c r="J34" s="159">
        <f t="shared" si="9"/>
        <v>3.1578947368421054E-2</v>
      </c>
      <c r="K34" s="38">
        <f t="shared" si="5"/>
        <v>44</v>
      </c>
      <c r="L34" s="55" t="s">
        <v>181</v>
      </c>
      <c r="M34" s="61"/>
      <c r="N34" s="61">
        <v>21</v>
      </c>
      <c r="O34" s="58">
        <v>1</v>
      </c>
      <c r="P34" s="58">
        <v>8</v>
      </c>
      <c r="Q34" s="58">
        <v>5</v>
      </c>
      <c r="R34" s="58">
        <v>1</v>
      </c>
      <c r="S34" s="58">
        <v>2</v>
      </c>
      <c r="T34" s="58">
        <v>7</v>
      </c>
      <c r="U34" s="58">
        <v>0</v>
      </c>
      <c r="V34" s="58">
        <v>0</v>
      </c>
      <c r="W34" s="58">
        <v>0</v>
      </c>
      <c r="X34" s="58">
        <v>6</v>
      </c>
      <c r="Y34" s="58">
        <v>0</v>
      </c>
      <c r="Z34" s="58">
        <v>0</v>
      </c>
      <c r="AA34" s="58">
        <v>0</v>
      </c>
      <c r="AB34" s="58">
        <v>0</v>
      </c>
      <c r="AC34" s="58">
        <v>0</v>
      </c>
      <c r="AD34" s="553">
        <v>0</v>
      </c>
      <c r="AI34" s="55" t="s">
        <v>181</v>
      </c>
    </row>
    <row r="35" spans="2:35" ht="18.75" customHeight="1" x14ac:dyDescent="0.2">
      <c r="C35" s="21"/>
      <c r="K35" s="38"/>
    </row>
    <row r="36" spans="2:35" ht="18.75" customHeight="1" x14ac:dyDescent="0.2">
      <c r="B36" s="2" t="s">
        <v>82</v>
      </c>
      <c r="K36" s="38"/>
    </row>
    <row r="37" spans="2:35" ht="18.75" customHeight="1" x14ac:dyDescent="0.2">
      <c r="B37" s="957" t="s">
        <v>244</v>
      </c>
      <c r="C37" s="977" t="s">
        <v>81</v>
      </c>
      <c r="D37" s="978"/>
      <c r="E37" s="978"/>
      <c r="F37" s="978"/>
      <c r="G37" s="978"/>
      <c r="H37" s="978"/>
      <c r="I37" s="978"/>
      <c r="J37" s="979"/>
    </row>
    <row r="38" spans="2:35" ht="56.25" customHeight="1" thickBot="1" x14ac:dyDescent="0.25">
      <c r="B38" s="958"/>
      <c r="C38" s="977" t="s">
        <v>268</v>
      </c>
      <c r="D38" s="978"/>
      <c r="E38" s="978"/>
      <c r="F38" s="979"/>
      <c r="G38" s="989" t="s">
        <v>73</v>
      </c>
      <c r="H38" s="990"/>
      <c r="I38" s="989" t="s">
        <v>76</v>
      </c>
      <c r="J38" s="990"/>
      <c r="K38" s="38"/>
      <c r="L38" s="52" t="s">
        <v>63</v>
      </c>
    </row>
    <row r="39" spans="2:35" ht="56.25" customHeight="1" thickTop="1" thickBot="1" x14ac:dyDescent="0.25">
      <c r="B39" s="976"/>
      <c r="C39" s="987" t="s">
        <v>198</v>
      </c>
      <c r="D39" s="988"/>
      <c r="E39" s="987" t="s">
        <v>199</v>
      </c>
      <c r="F39" s="988"/>
      <c r="G39" s="991"/>
      <c r="H39" s="992"/>
      <c r="I39" s="991"/>
      <c r="J39" s="992"/>
      <c r="K39" s="38">
        <f>C40+E40+G40+I40</f>
        <v>513</v>
      </c>
      <c r="L39" s="347" t="s">
        <v>372</v>
      </c>
      <c r="M39" s="71" t="s">
        <v>295</v>
      </c>
      <c r="N39" s="71" t="s">
        <v>284</v>
      </c>
      <c r="O39" s="71" t="s">
        <v>285</v>
      </c>
      <c r="P39" s="71" t="s">
        <v>286</v>
      </c>
      <c r="Q39" s="71" t="s">
        <v>200</v>
      </c>
      <c r="R39" s="71" t="s">
        <v>201</v>
      </c>
      <c r="S39" s="71" t="s">
        <v>287</v>
      </c>
      <c r="T39" s="71" t="s">
        <v>288</v>
      </c>
      <c r="U39" s="71" t="s">
        <v>289</v>
      </c>
      <c r="V39" s="71" t="s">
        <v>290</v>
      </c>
      <c r="W39" s="71" t="s">
        <v>291</v>
      </c>
      <c r="X39" s="71" t="s">
        <v>296</v>
      </c>
      <c r="Y39" s="71" t="s">
        <v>292</v>
      </c>
      <c r="Z39" s="71" t="s">
        <v>293</v>
      </c>
      <c r="AA39" s="71" t="s">
        <v>297</v>
      </c>
      <c r="AB39" s="71" t="s">
        <v>18</v>
      </c>
      <c r="AC39" s="71" t="s">
        <v>294</v>
      </c>
      <c r="AD39" s="71" t="s">
        <v>616</v>
      </c>
    </row>
    <row r="40" spans="2:35" ht="37.5" customHeight="1" thickTop="1" x14ac:dyDescent="0.2">
      <c r="B40" s="72" t="s">
        <v>231</v>
      </c>
      <c r="C40" s="151">
        <f>IFERROR(INDEX(退院予定有無×疾患名＿寛解・院内寛解[#All],MATCH($AI40,退院予定有無×疾患名＿寛解・院内寛解[[#All],[行ラベル]],0),MATCH($AJ$4,退院予定有無×疾患名＿寛解・院内寛解[#Headers],0)),0)+IFERROR(INDEX(退院予定有無×疾患名＿寛解・院内寛解[#All],MATCH($AI40,退院予定有無×疾患名＿寛解・院内寛解[[#All],[行ラベル]],0),MATCH($AK$4,退院予定有無×疾患名＿寛解・院内寛解[#Headers],0)),0)</f>
        <v>56</v>
      </c>
      <c r="D40" s="153">
        <f>IFERROR(C40/C$43,"-")</f>
        <v>0.44094488188976377</v>
      </c>
      <c r="E40" s="151">
        <f>IFERROR(INDEX(退院予定有無×疾患名＿寛解・院内寛解[#All],MATCH($AI40,退院予定有無×疾患名＿寛解・院内寛解[[#All],[行ラベル]],0),MATCH($AL$4,退院予定有無×疾患名＿寛解・院内寛解[#Headers],0)),0)</f>
        <v>44</v>
      </c>
      <c r="F40" s="153">
        <f>IFERROR(E40/E$43,"-")</f>
        <v>0.29333333333333333</v>
      </c>
      <c r="G40" s="151">
        <f>IFERROR(INDEX(退院予定有無×疾患名＿寛解・院内寛解[#All],MATCH($AI40,退院予定有無×疾患名＿寛解・院内寛解[[#All],[行ラベル]],0),MATCH($AP$4,退院予定有無×疾患名＿寛解・院内寛解[#Headers],0)),0)</f>
        <v>306</v>
      </c>
      <c r="H40" s="153">
        <f>IFERROR(G40/G$43,"-")</f>
        <v>0.40691489361702127</v>
      </c>
      <c r="I40" s="151">
        <f>IFERROR(INDEX(退院予定有無×疾患名＿寛解・院内寛解[#All],MATCH($AI40,退院予定有無×疾患名＿寛解・院内寛解[[#All],[行ラベル]],0),MATCH($AQ$4,退院予定有無×疾患名＿寛解・院内寛解[#Headers],0)),0)+IFERROR(INDEX(退院予定有無×疾患名＿寛解・院内寛解[#All],MATCH($AI40,退院予定有無×疾患名＿寛解・院内寛解[[#All],[行ラベル]],0),MATCH($AR$4,退院予定有無×疾患名＿寛解・院内寛解[#Headers],0)),0)</f>
        <v>107</v>
      </c>
      <c r="J40" s="153">
        <f>IFERROR(I40/I$43,"-")</f>
        <v>0.30835734870317005</v>
      </c>
      <c r="K40" s="38">
        <f>C41+E41+G41+I41</f>
        <v>292</v>
      </c>
      <c r="L40" s="33">
        <v>98</v>
      </c>
      <c r="M40" s="58">
        <v>14</v>
      </c>
      <c r="N40" s="61">
        <v>0</v>
      </c>
      <c r="O40" s="61">
        <v>41</v>
      </c>
      <c r="P40" s="58">
        <v>58</v>
      </c>
      <c r="Q40" s="58">
        <v>0</v>
      </c>
      <c r="R40" s="58">
        <v>2</v>
      </c>
      <c r="S40" s="58">
        <v>185</v>
      </c>
      <c r="T40" s="58">
        <v>26</v>
      </c>
      <c r="U40" s="58">
        <v>26</v>
      </c>
      <c r="V40" s="58">
        <v>14</v>
      </c>
      <c r="W40" s="58">
        <v>2</v>
      </c>
      <c r="X40" s="58">
        <v>1</v>
      </c>
      <c r="Y40" s="58">
        <v>7</v>
      </c>
      <c r="Z40" s="58">
        <v>7</v>
      </c>
      <c r="AA40" s="58">
        <v>0</v>
      </c>
      <c r="AB40" s="58">
        <v>3</v>
      </c>
      <c r="AC40" s="58">
        <v>0</v>
      </c>
      <c r="AD40" s="552">
        <v>0</v>
      </c>
      <c r="AI40" s="281">
        <v>97</v>
      </c>
    </row>
    <row r="41" spans="2:35" ht="18.75" customHeight="1" x14ac:dyDescent="0.2">
      <c r="B41" s="73" t="s">
        <v>241</v>
      </c>
      <c r="C41" s="154">
        <f>IFERROR(INDEX(退院予定有無×疾患名＿寛解・院内寛解[#All],MATCH($AI41,退院予定有無×疾患名＿寛解・院内寛解[[#All],[行ラベル]],0),MATCH($AJ$4,退院予定有無×疾患名＿寛解・院内寛解[#Headers],0)),0)+IFERROR(INDEX(退院予定有無×疾患名＿寛解・院内寛解[#All],MATCH($AI41,退院予定有無×疾患名＿寛解・院内寛解[[#All],[行ラベル]],0),MATCH($AK$4,退院予定有無×疾患名＿寛解・院内寛解[#Headers],0)),0)</f>
        <v>14</v>
      </c>
      <c r="D41" s="155">
        <f>IFERROR(C41/C$43,"-")</f>
        <v>0.11023622047244094</v>
      </c>
      <c r="E41" s="154">
        <f>IFERROR(INDEX(退院予定有無×疾患名＿寛解・院内寛解[#All],MATCH($AI41,退院予定有無×疾患名＿寛解・院内寛解[[#All],[行ラベル]],0),MATCH($AL$4,退院予定有無×疾患名＿寛解・院内寛解[#Headers],0)),0)</f>
        <v>41</v>
      </c>
      <c r="F41" s="155">
        <f>IFERROR(E41/E$43,"-")</f>
        <v>0.27333333333333332</v>
      </c>
      <c r="G41" s="154">
        <f>IFERROR(INDEX(退院予定有無×疾患名＿寛解・院内寛解[#All],MATCH($AI41,退院予定有無×疾患名＿寛解・院内寛解[[#All],[行ラベル]],0),MATCH($AP$4,退院予定有無×疾患名＿寛解・院内寛解[#Headers],0)),0)</f>
        <v>185</v>
      </c>
      <c r="H41" s="155">
        <f>IFERROR(G41/G$43,"-")</f>
        <v>0.24601063829787234</v>
      </c>
      <c r="I41" s="154">
        <f>IFERROR(INDEX(退院予定有無×疾患名＿寛解・院内寛解[#All],MATCH($AI41,退院予定有無×疾患名＿寛解・院内寛解[[#All],[行ラベル]],0),MATCH($AQ$4,退院予定有無×疾患名＿寛解・院内寛解[#Headers],0)),0)+IFERROR(INDEX(退院予定有無×疾患名＿寛解・院内寛解[#All],MATCH($AI41,退院予定有無×疾患名＿寛解・院内寛解[[#All],[行ラベル]],0),MATCH($AR$4,退院予定有無×疾患名＿寛解・院内寛解[#Headers],0)),0)</f>
        <v>52</v>
      </c>
      <c r="J41" s="155">
        <f>IFERROR(I41/I$43,"-")</f>
        <v>0.14985590778097982</v>
      </c>
      <c r="K41" s="38">
        <f>C42+E42+G42+I42</f>
        <v>571</v>
      </c>
      <c r="L41" s="33">
        <v>97</v>
      </c>
      <c r="M41" s="58">
        <v>48</v>
      </c>
      <c r="N41" s="61">
        <v>8</v>
      </c>
      <c r="O41" s="61">
        <v>44</v>
      </c>
      <c r="P41" s="58">
        <v>53</v>
      </c>
      <c r="Q41" s="58">
        <v>2</v>
      </c>
      <c r="R41" s="58">
        <v>3</v>
      </c>
      <c r="S41" s="58">
        <v>306</v>
      </c>
      <c r="T41" s="58">
        <v>37</v>
      </c>
      <c r="U41" s="58">
        <v>70</v>
      </c>
      <c r="V41" s="58">
        <v>15</v>
      </c>
      <c r="W41" s="58">
        <v>0</v>
      </c>
      <c r="X41" s="58">
        <v>6</v>
      </c>
      <c r="Y41" s="58">
        <v>8</v>
      </c>
      <c r="Z41" s="58">
        <v>6</v>
      </c>
      <c r="AA41" s="58">
        <v>4</v>
      </c>
      <c r="AB41" s="58">
        <v>4</v>
      </c>
      <c r="AC41" s="58">
        <v>0</v>
      </c>
      <c r="AD41" s="58">
        <v>0</v>
      </c>
      <c r="AI41" s="281">
        <v>98</v>
      </c>
    </row>
    <row r="42" spans="2:35" ht="18.75" customHeight="1" x14ac:dyDescent="0.2">
      <c r="B42" s="74" t="s">
        <v>36</v>
      </c>
      <c r="C42" s="154">
        <f>IFERROR(INDEX(退院予定有無×疾患名＿寛解・院内寛解[#All],MATCH($AI42,退院予定有無×疾患名＿寛解・院内寛解[[#All],[行ラベル]],0),MATCH($AJ$4,退院予定有無×疾患名＿寛解・院内寛解[#Headers],0)),0)+IFERROR(INDEX(退院予定有無×疾患名＿寛解・院内寛解[#All],MATCH($AI42,退院予定有無×疾患名＿寛解・院内寛解[[#All],[行ラベル]],0),MATCH($AK$4,退院予定有無×疾患名＿寛解・院内寛解[#Headers],0)),0)</f>
        <v>57</v>
      </c>
      <c r="D42" s="155">
        <f>IFERROR(C42/C$43,"-")</f>
        <v>0.44881889763779526</v>
      </c>
      <c r="E42" s="154">
        <f>IFERROR(INDEX(退院予定有無×疾患名＿寛解・院内寛解[#All],MATCH($AI42,退院予定有無×疾患名＿寛解・院内寛解[[#All],[行ラベル]],0),MATCH($AL$4,退院予定有無×疾患名＿寛解・院内寛解[#Headers],0)),0)</f>
        <v>65</v>
      </c>
      <c r="F42" s="155">
        <f>IFERROR(E42/E$43,"-")</f>
        <v>0.43333333333333335</v>
      </c>
      <c r="G42" s="154">
        <f>IFERROR(INDEX(退院予定有無×疾患名＿寛解・院内寛解[#All],MATCH($AI42,退院予定有無×疾患名＿寛解・院内寛解[[#All],[行ラベル]],0),MATCH($AP$4,退院予定有無×疾患名＿寛解・院内寛解[#Headers],0)),0)</f>
        <v>261</v>
      </c>
      <c r="H42" s="155">
        <f>IFERROR(G42/G$43,"-")</f>
        <v>0.34707446808510639</v>
      </c>
      <c r="I42" s="154">
        <f>IFERROR(INDEX(退院予定有無×疾患名＿寛解・院内寛解[#All],MATCH($AI42,退院予定有無×疾患名＿寛解・院内寛解[[#All],[行ラベル]],0),MATCH($AQ$4,退院予定有無×疾患名＿寛解・院内寛解[#Headers],0)),0)+IFERROR(INDEX(退院予定有無×疾患名＿寛解・院内寛解[#All],MATCH($AI42,退院予定有無×疾患名＿寛解・院内寛解[[#All],[行ラベル]],0),MATCH($AR$4,退院予定有無×疾患名＿寛解・院内寛解[#Headers],0)),0)</f>
        <v>188</v>
      </c>
      <c r="J42" s="155">
        <f>IFERROR(I42/I$43,"-")</f>
        <v>0.5417867435158501</v>
      </c>
      <c r="K42" s="38">
        <f>C43+E43+G43+I43</f>
        <v>1376</v>
      </c>
      <c r="L42" s="33">
        <v>99</v>
      </c>
      <c r="M42" s="58">
        <v>53</v>
      </c>
      <c r="N42" s="61">
        <v>4</v>
      </c>
      <c r="O42" s="61">
        <v>65</v>
      </c>
      <c r="P42" s="58">
        <v>111</v>
      </c>
      <c r="Q42" s="58">
        <v>7</v>
      </c>
      <c r="R42" s="58">
        <v>4</v>
      </c>
      <c r="S42" s="58">
        <v>261</v>
      </c>
      <c r="T42" s="58">
        <v>75</v>
      </c>
      <c r="U42" s="58">
        <v>113</v>
      </c>
      <c r="V42" s="58">
        <v>44</v>
      </c>
      <c r="W42" s="58">
        <v>2</v>
      </c>
      <c r="X42" s="58">
        <v>9</v>
      </c>
      <c r="Y42" s="58">
        <v>21</v>
      </c>
      <c r="Z42" s="58">
        <v>23</v>
      </c>
      <c r="AA42" s="58">
        <v>6</v>
      </c>
      <c r="AB42" s="58">
        <v>2</v>
      </c>
      <c r="AC42" s="58">
        <v>0</v>
      </c>
      <c r="AD42" s="553">
        <v>0</v>
      </c>
      <c r="AI42" s="281">
        <v>99</v>
      </c>
    </row>
    <row r="43" spans="2:35" ht="18.75" customHeight="1" x14ac:dyDescent="0.2">
      <c r="B43" s="75" t="s">
        <v>161</v>
      </c>
      <c r="C43" s="160">
        <f t="shared" ref="C43:J43" si="10">SUM(C40:C42)</f>
        <v>127</v>
      </c>
      <c r="D43" s="161">
        <f t="shared" si="10"/>
        <v>1</v>
      </c>
      <c r="E43" s="162">
        <f t="shared" si="10"/>
        <v>150</v>
      </c>
      <c r="F43" s="161">
        <f t="shared" si="10"/>
        <v>1</v>
      </c>
      <c r="G43" s="162">
        <f t="shared" si="10"/>
        <v>752</v>
      </c>
      <c r="H43" s="161">
        <f t="shared" si="10"/>
        <v>1</v>
      </c>
      <c r="I43" s="162">
        <f t="shared" si="10"/>
        <v>347</v>
      </c>
      <c r="J43" s="161">
        <f t="shared" si="10"/>
        <v>1</v>
      </c>
      <c r="K43" s="38"/>
      <c r="L43" s="33"/>
      <c r="M43" s="42"/>
      <c r="N43" s="42"/>
      <c r="O43" s="42"/>
      <c r="P43" s="42"/>
      <c r="Q43" s="42"/>
      <c r="R43" s="42"/>
      <c r="S43" s="42"/>
      <c r="T43" s="42"/>
      <c r="U43" s="42"/>
      <c r="V43" s="42"/>
      <c r="W43" s="42"/>
      <c r="X43" s="42"/>
      <c r="Y43" s="42"/>
      <c r="Z43" s="42"/>
      <c r="AA43" s="42"/>
      <c r="AB43" s="42"/>
      <c r="AI43" s="281"/>
    </row>
    <row r="44" spans="2:35" ht="18.75" customHeight="1" thickBot="1" x14ac:dyDescent="0.25">
      <c r="B44" s="76"/>
      <c r="C44" s="77"/>
      <c r="D44" s="78"/>
      <c r="E44" s="79"/>
      <c r="F44" s="78"/>
      <c r="G44" s="79"/>
      <c r="H44" s="78"/>
      <c r="I44" s="79"/>
      <c r="J44" s="78"/>
      <c r="K44" s="38"/>
      <c r="AI44" s="281"/>
    </row>
    <row r="45" spans="2:35" ht="18.75" customHeight="1" thickTop="1" thickBot="1" x14ac:dyDescent="0.25">
      <c r="B45" s="80" t="s">
        <v>242</v>
      </c>
      <c r="C45" s="993"/>
      <c r="D45" s="994"/>
      <c r="E45" s="994"/>
      <c r="F45" s="994"/>
      <c r="G45" s="994"/>
      <c r="H45" s="994"/>
      <c r="I45" s="994"/>
      <c r="J45" s="995"/>
      <c r="K45" s="38">
        <f>C46+E46+G46+I46</f>
        <v>451</v>
      </c>
      <c r="L45" s="347" t="s">
        <v>372</v>
      </c>
      <c r="M45" s="71" t="s">
        <v>295</v>
      </c>
      <c r="N45" s="71" t="s">
        <v>284</v>
      </c>
      <c r="O45" s="71" t="s">
        <v>285</v>
      </c>
      <c r="P45" s="71" t="s">
        <v>286</v>
      </c>
      <c r="Q45" s="71" t="s">
        <v>287</v>
      </c>
      <c r="R45" s="71" t="s">
        <v>288</v>
      </c>
      <c r="S45" s="71" t="s">
        <v>289</v>
      </c>
      <c r="T45" s="71" t="s">
        <v>290</v>
      </c>
      <c r="U45" s="71" t="s">
        <v>291</v>
      </c>
      <c r="V45" s="71" t="s">
        <v>296</v>
      </c>
      <c r="W45" s="71" t="s">
        <v>292</v>
      </c>
      <c r="X45" s="71" t="s">
        <v>293</v>
      </c>
      <c r="Y45" s="71" t="s">
        <v>297</v>
      </c>
      <c r="Z45" s="71" t="s">
        <v>200</v>
      </c>
      <c r="AA45" s="71" t="s">
        <v>18</v>
      </c>
      <c r="AB45" s="71" t="s">
        <v>294</v>
      </c>
      <c r="AC45" s="71" t="s">
        <v>201</v>
      </c>
      <c r="AD45" s="54" t="s">
        <v>616</v>
      </c>
      <c r="AI45" s="281"/>
    </row>
    <row r="46" spans="2:35" ht="18.75" customHeight="1" thickTop="1" x14ac:dyDescent="0.2">
      <c r="B46" s="81" t="s">
        <v>34</v>
      </c>
      <c r="C46" s="151">
        <f>IFERROR(INDEX(阻害要因有無×疾患名＿寛解・院内寛解[#All],MATCH($AI46,阻害要因有無×疾患名＿寛解・院内寛解[[#All],[行ラベル]],0),MATCH($AJ$4,阻害要因有無×疾患名＿寛解・院内寛解[#Headers],0)),0)+IFERROR(INDEX(阻害要因有無×疾患名＿寛解・院内寛解[#All],MATCH($AI46,阻害要因有無×疾患名＿寛解・院内寛解[[#All],[行ラベル]],0),MATCH($AK$4,阻害要因有無×疾患名＿寛解・院内寛解[#Headers],0)),0)</f>
        <v>45</v>
      </c>
      <c r="D46" s="153">
        <f>IFERROR(C46/C$40,"-")</f>
        <v>0.8035714285714286</v>
      </c>
      <c r="E46" s="151">
        <f>IFERROR(INDEX(阻害要因有無×疾患名＿寛解・院内寛解[#All],MATCH($AI46,阻害要因有無×疾患名＿寛解・院内寛解[[#All],[行ラベル]],0),MATCH($AL$4,阻害要因有無×疾患名＿寛解・院内寛解[#Headers],0)),0)</f>
        <v>36</v>
      </c>
      <c r="F46" s="153">
        <f>IFERROR(E46/E$40,"-")</f>
        <v>0.81818181818181823</v>
      </c>
      <c r="G46" s="151">
        <f>IFERROR(INDEX(阻害要因有無×疾患名＿寛解・院内寛解[#All],MATCH($AI46,阻害要因有無×疾患名＿寛解・院内寛解[[#All],[行ラベル]],0),MATCH($AP$4,阻害要因有無×疾患名＿寛解・院内寛解[#Headers],0)),0)</f>
        <v>281</v>
      </c>
      <c r="H46" s="153">
        <f>IFERROR(G46/G$40,"-")</f>
        <v>0.9183006535947712</v>
      </c>
      <c r="I46" s="151">
        <f>IFERROR(INDEX(阻害要因有無×疾患名＿寛解・院内寛解[#All],MATCH($AI46,阻害要因有無×疾患名＿寛解・院内寛解[[#All],[行ラベル]],0),MATCH($AQ$4,阻害要因有無×疾患名＿寛解・院内寛解[#Headers],0)),0)+IFERROR(INDEX(阻害要因有無×疾患名＿寛解・院内寛解[#All],MATCH($AI46,阻害要因有無×疾患名＿寛解・院内寛解[[#All],[行ラベル]],0),MATCH($AR$4,阻害要因有無×疾患名＿寛解・院内寛解[#Headers],0)),0)</f>
        <v>89</v>
      </c>
      <c r="J46" s="153">
        <f>IFERROR(I46/I$40,"-")</f>
        <v>0.83177570093457942</v>
      </c>
      <c r="K46" s="38">
        <f>C47+E47+G47+I47</f>
        <v>62</v>
      </c>
      <c r="L46" s="33">
        <v>91</v>
      </c>
      <c r="M46" s="58">
        <v>39</v>
      </c>
      <c r="N46" s="61">
        <v>6</v>
      </c>
      <c r="O46" s="61">
        <v>36</v>
      </c>
      <c r="P46" s="58">
        <v>46</v>
      </c>
      <c r="Q46" s="58">
        <v>281</v>
      </c>
      <c r="R46" s="58">
        <v>27</v>
      </c>
      <c r="S46" s="58">
        <v>62</v>
      </c>
      <c r="T46" s="58">
        <v>12</v>
      </c>
      <c r="U46" s="58">
        <v>0</v>
      </c>
      <c r="V46" s="58">
        <v>6</v>
      </c>
      <c r="W46" s="58">
        <v>6</v>
      </c>
      <c r="X46" s="58">
        <v>4</v>
      </c>
      <c r="Y46" s="58">
        <v>3</v>
      </c>
      <c r="Z46" s="58">
        <v>1</v>
      </c>
      <c r="AA46" s="58">
        <v>3</v>
      </c>
      <c r="AB46" s="58">
        <v>2</v>
      </c>
      <c r="AC46" s="58">
        <v>3</v>
      </c>
      <c r="AD46" s="552">
        <v>0</v>
      </c>
      <c r="AI46" s="281">
        <v>91</v>
      </c>
    </row>
    <row r="47" spans="2:35" ht="18.75" customHeight="1" x14ac:dyDescent="0.2">
      <c r="B47" s="74" t="s">
        <v>35</v>
      </c>
      <c r="C47" s="154">
        <f>IFERROR(INDEX(阻害要因有無×疾患名＿寛解・院内寛解[#All],MATCH($AI47,阻害要因有無×疾患名＿寛解・院内寛解[[#All],[行ラベル]],0),MATCH($AJ$4,阻害要因有無×疾患名＿寛解・院内寛解[#Headers],0)),0)+IFERROR(INDEX(阻害要因有無×疾患名＿寛解・院内寛解[#All],MATCH($AI47,阻害要因有無×疾患名＿寛解・院内寛解[[#All],[行ラベル]],0),MATCH($AK$4,阻害要因有無×疾患名＿寛解・院内寛解[#Headers],0)),0)</f>
        <v>11</v>
      </c>
      <c r="D47" s="155">
        <f>IFERROR(C47/C$40,"-")</f>
        <v>0.19642857142857142</v>
      </c>
      <c r="E47" s="154">
        <f>IFERROR(INDEX(阻害要因有無×疾患名＿寛解・院内寛解[#All],MATCH($AI47,阻害要因有無×疾患名＿寛解・院内寛解[[#All],[行ラベル]],0),MATCH($AL$4,阻害要因有無×疾患名＿寛解・院内寛解[#Headers],0)),0)</f>
        <v>8</v>
      </c>
      <c r="F47" s="155">
        <f>IFERROR(E47/E$40,"-")</f>
        <v>0.18181818181818182</v>
      </c>
      <c r="G47" s="154">
        <f>IFERROR(INDEX(阻害要因有無×疾患名＿寛解・院内寛解[#All],MATCH($AI47,阻害要因有無×疾患名＿寛解・院内寛解[[#All],[行ラベル]],0),MATCH($AP$4,阻害要因有無×疾患名＿寛解・院内寛解[#Headers],0)),0)</f>
        <v>25</v>
      </c>
      <c r="H47" s="155">
        <f>IFERROR(G47/G$40,"-")</f>
        <v>8.1699346405228759E-2</v>
      </c>
      <c r="I47" s="154">
        <f>IFERROR(INDEX(阻害要因有無×疾患名＿寛解・院内寛解[#All],MATCH($AI47,阻害要因有無×疾患名＿寛解・院内寛解[[#All],[行ラベル]],0),MATCH($AQ$4,阻害要因有無×疾患名＿寛解・院内寛解[#Headers],0)),0)+IFERROR(INDEX(阻害要因有無×疾患名＿寛解・院内寛解[#All],MATCH($AI47,阻害要因有無×疾患名＿寛解・院内寛解[[#All],[行ラベル]],0),MATCH($AR$4,阻害要因有無×疾患名＿寛解・院内寛解[#Headers],0)),0)</f>
        <v>18</v>
      </c>
      <c r="J47" s="155">
        <f>IFERROR(I47/I$40,"-")</f>
        <v>0.16822429906542055</v>
      </c>
      <c r="K47" s="38"/>
      <c r="L47" s="33">
        <v>90</v>
      </c>
      <c r="M47" s="58">
        <v>9</v>
      </c>
      <c r="N47" s="61">
        <v>2</v>
      </c>
      <c r="O47" s="61">
        <v>8</v>
      </c>
      <c r="P47" s="58">
        <v>7</v>
      </c>
      <c r="Q47" s="58">
        <v>25</v>
      </c>
      <c r="R47" s="58">
        <v>10</v>
      </c>
      <c r="S47" s="58">
        <v>8</v>
      </c>
      <c r="T47" s="58">
        <v>3</v>
      </c>
      <c r="U47" s="58">
        <v>0</v>
      </c>
      <c r="V47" s="58">
        <v>0</v>
      </c>
      <c r="W47" s="58">
        <v>2</v>
      </c>
      <c r="X47" s="58">
        <v>2</v>
      </c>
      <c r="Y47" s="58">
        <v>1</v>
      </c>
      <c r="Z47" s="58">
        <v>1</v>
      </c>
      <c r="AA47" s="58">
        <v>1</v>
      </c>
      <c r="AB47" s="58">
        <v>0</v>
      </c>
      <c r="AC47" s="58">
        <v>0</v>
      </c>
      <c r="AD47" s="553">
        <v>0</v>
      </c>
      <c r="AI47" s="281">
        <v>90</v>
      </c>
    </row>
    <row r="48" spans="2:35" ht="19.5" customHeight="1" thickBot="1" x14ac:dyDescent="0.25">
      <c r="B48" s="82" t="s">
        <v>264</v>
      </c>
      <c r="C48" s="970"/>
      <c r="D48" s="971"/>
      <c r="E48" s="971"/>
      <c r="F48" s="971"/>
      <c r="G48" s="971"/>
      <c r="H48" s="971"/>
      <c r="I48" s="971"/>
      <c r="J48" s="972"/>
      <c r="K48" s="38">
        <f>C50+E50+G50+I50</f>
        <v>128</v>
      </c>
    </row>
    <row r="49" spans="2:35" ht="18.75" customHeight="1" thickTop="1" thickBot="1" x14ac:dyDescent="0.25">
      <c r="B49" s="973" t="s">
        <v>274</v>
      </c>
      <c r="C49" s="974"/>
      <c r="D49" s="974"/>
      <c r="E49" s="974"/>
      <c r="F49" s="974"/>
      <c r="G49" s="974"/>
      <c r="H49" s="974"/>
      <c r="I49" s="974"/>
      <c r="J49" s="975"/>
      <c r="K49" s="38">
        <f t="shared" ref="K49" si="11">C51+E51+G51+I51</f>
        <v>62</v>
      </c>
      <c r="L49" s="347" t="s">
        <v>651</v>
      </c>
      <c r="M49" s="71" t="s">
        <v>287</v>
      </c>
      <c r="N49" s="71" t="s">
        <v>288</v>
      </c>
      <c r="O49" s="71" t="s">
        <v>285</v>
      </c>
      <c r="P49" s="71" t="s">
        <v>289</v>
      </c>
      <c r="Q49" s="71" t="s">
        <v>292</v>
      </c>
      <c r="R49" s="71" t="s">
        <v>284</v>
      </c>
      <c r="S49" s="71" t="s">
        <v>295</v>
      </c>
      <c r="T49" s="71" t="s">
        <v>293</v>
      </c>
      <c r="U49" s="71" t="s">
        <v>18</v>
      </c>
      <c r="V49" s="71" t="s">
        <v>200</v>
      </c>
      <c r="W49" s="71" t="s">
        <v>286</v>
      </c>
      <c r="X49" s="71" t="s">
        <v>290</v>
      </c>
      <c r="Y49" s="71" t="s">
        <v>294</v>
      </c>
      <c r="Z49" s="71" t="s">
        <v>201</v>
      </c>
      <c r="AA49" s="71" t="s">
        <v>296</v>
      </c>
      <c r="AB49" s="71" t="s">
        <v>297</v>
      </c>
      <c r="AC49" s="71" t="s">
        <v>291</v>
      </c>
      <c r="AD49" s="42" t="s">
        <v>262</v>
      </c>
    </row>
    <row r="50" spans="2:35" ht="37.5" customHeight="1" thickTop="1" x14ac:dyDescent="0.2">
      <c r="B50" s="402" t="s">
        <v>235</v>
      </c>
      <c r="C50" s="175">
        <f>IFERROR(INDEX(阻害要因×疾患名＿寛解・院内寛解[#All],MATCH($AI50,阻害要因×疾患名＿寛解・院内寛解[[#All],[値]],0),MATCH($AJ$4,阻害要因×疾患名＿寛解・院内寛解[#Headers],0)),0)+IFERROR(INDEX(阻害要因×疾患名＿寛解・院内寛解[#All],MATCH($AI50,阻害要因×疾患名＿寛解・院内寛解[[#All],[値]],0),MATCH($AK$4,阻害要因×疾患名＿寛解・院内寛解[#Headers],0)),0)</f>
        <v>12</v>
      </c>
      <c r="D50" s="170">
        <f t="shared" ref="D50:D66" si="12">IFERROR(C50/C$46,"-")</f>
        <v>0.26666666666666666</v>
      </c>
      <c r="E50" s="169">
        <f>IFERROR(INDEX(阻害要因×疾患名＿寛解・院内寛解[#All],MATCH($AI50,阻害要因×疾患名＿寛解・院内寛解[[#All],[値]],0),MATCH($AL$4,阻害要因×疾患名＿寛解・院内寛解[#Headers],0)),0)</f>
        <v>4</v>
      </c>
      <c r="F50" s="170">
        <f t="shared" ref="F50:F66" si="13">IFERROR(E50/E$46,"-")</f>
        <v>0.1111111111111111</v>
      </c>
      <c r="G50" s="169">
        <f>IFERROR(INDEX(阻害要因×疾患名＿寛解・院内寛解[#All],MATCH($AI50,阻害要因×疾患名＿寛解・院内寛解[[#All],[値]],0),MATCH($AP$4,阻害要因×疾患名＿寛解・院内寛解[#Headers],0)),0)</f>
        <v>83</v>
      </c>
      <c r="H50" s="170">
        <f t="shared" ref="H50:H66" si="14">IFERROR(G50/G$46,"-")</f>
        <v>0.29537366548042704</v>
      </c>
      <c r="I50" s="169">
        <f>IFERROR(INDEX(阻害要因×疾患名＿寛解・院内寛解[#All],MATCH($AI50,阻害要因×疾患名＿寛解・院内寛解[[#All],[値]],0),MATCH($AQ$4,阻害要因×疾患名＿寛解・院内寛解[#Headers],0)),0)+IFERROR(INDEX(阻害要因×疾患名＿寛解・院内寛解[#All],MATCH($AI50,阻害要因×疾患名＿寛解・院内寛解[[#All],[値]],0),MATCH($AR$4,阻害要因×疾患名＿寛解・院内寛解[#Headers],0)),0)</f>
        <v>29</v>
      </c>
      <c r="J50" s="170">
        <f t="shared" ref="J50:J66" si="15">IFERROR(I50/I$46,"-")</f>
        <v>0.3258426966292135</v>
      </c>
      <c r="K50" s="38">
        <f>C50+E50+G50+I50</f>
        <v>128</v>
      </c>
      <c r="L50" s="33" t="s">
        <v>309</v>
      </c>
      <c r="M50" s="58">
        <v>83</v>
      </c>
      <c r="N50" s="61">
        <v>14</v>
      </c>
      <c r="O50" s="61">
        <v>4</v>
      </c>
      <c r="P50" s="58">
        <v>15</v>
      </c>
      <c r="Q50" s="58">
        <v>1</v>
      </c>
      <c r="R50" s="58">
        <v>2</v>
      </c>
      <c r="S50" s="58">
        <v>10</v>
      </c>
      <c r="T50" s="58">
        <v>1</v>
      </c>
      <c r="U50" s="58">
        <v>1</v>
      </c>
      <c r="V50" s="58">
        <v>1</v>
      </c>
      <c r="W50" s="58">
        <v>10</v>
      </c>
      <c r="X50" s="58">
        <v>6</v>
      </c>
      <c r="Y50" s="58">
        <v>0</v>
      </c>
      <c r="Z50" s="58">
        <v>1</v>
      </c>
      <c r="AA50" s="58">
        <v>0</v>
      </c>
      <c r="AB50" s="58">
        <v>0</v>
      </c>
      <c r="AC50" s="58">
        <v>0</v>
      </c>
      <c r="AD50" s="552">
        <v>149</v>
      </c>
      <c r="AI50" s="55" t="s">
        <v>309</v>
      </c>
    </row>
    <row r="51" spans="2:35" ht="18.75" customHeight="1" x14ac:dyDescent="0.2">
      <c r="B51" s="84" t="s">
        <v>66</v>
      </c>
      <c r="C51" s="177">
        <f>IFERROR(INDEX(阻害要因×疾患名＿寛解・院内寛解[#All],MATCH($AI51,阻害要因×疾患名＿寛解・院内寛解[[#All],[値]],0),MATCH($AJ$4,阻害要因×疾患名＿寛解・院内寛解[#Headers],0)),0)+IFERROR(INDEX(阻害要因×疾患名＿寛解・院内寛解[#All],MATCH($AI51,阻害要因×疾患名＿寛解・院内寛解[[#All],[値]],0),MATCH($AK$4,阻害要因×疾患名＿寛解・院内寛解[#Headers],0)),0)</f>
        <v>7</v>
      </c>
      <c r="D51" s="171">
        <f t="shared" si="12"/>
        <v>0.15555555555555556</v>
      </c>
      <c r="E51" s="178">
        <f>IFERROR(INDEX(阻害要因×疾患名＿寛解・院内寛解[#All],MATCH($AI51,阻害要因×疾患名＿寛解・院内寛解[[#All],[値]],0),MATCH($AL$4,阻害要因×疾患名＿寛解・院内寛解[#Headers],0)),0)</f>
        <v>2</v>
      </c>
      <c r="F51" s="171">
        <f t="shared" si="13"/>
        <v>5.5555555555555552E-2</v>
      </c>
      <c r="G51" s="154">
        <f>IFERROR(INDEX(阻害要因×疾患名＿寛解・院内寛解[#All],MATCH($AI51,阻害要因×疾患名＿寛解・院内寛解[[#All],[値]],0),MATCH($AP$4,阻害要因×疾患名＿寛解・院内寛解[#Headers],0)),0)</f>
        <v>45</v>
      </c>
      <c r="H51" s="171">
        <f t="shared" si="14"/>
        <v>0.16014234875444841</v>
      </c>
      <c r="I51" s="154">
        <f>IFERROR(INDEX(阻害要因×疾患名＿寛解・院内寛解[#All],MATCH($AI51,阻害要因×疾患名＿寛解・院内寛解[[#All],[値]],0),MATCH($AQ$4,阻害要因×疾患名＿寛解・院内寛解[#Headers],0)),0)+IFERROR(INDEX(阻害要因×疾患名＿寛解・院内寛解[#All],MATCH($AI51,阻害要因×疾患名＿寛解・院内寛解[[#All],[値]],0),MATCH($AR$4,阻害要因×疾患名＿寛解・院内寛解[#Headers],0)),0)</f>
        <v>8</v>
      </c>
      <c r="J51" s="171">
        <f t="shared" si="15"/>
        <v>8.98876404494382E-2</v>
      </c>
      <c r="K51" s="38">
        <f t="shared" ref="K51:K69" si="16">C51+E51+G51+I51</f>
        <v>62</v>
      </c>
      <c r="L51" s="55" t="s">
        <v>310</v>
      </c>
      <c r="M51" s="61">
        <v>45</v>
      </c>
      <c r="N51" s="61">
        <v>3</v>
      </c>
      <c r="O51" s="61">
        <v>2</v>
      </c>
      <c r="P51" s="58">
        <v>5</v>
      </c>
      <c r="Q51" s="58">
        <v>1</v>
      </c>
      <c r="R51" s="58">
        <v>0</v>
      </c>
      <c r="S51" s="58">
        <v>7</v>
      </c>
      <c r="T51" s="58">
        <v>0</v>
      </c>
      <c r="U51" s="58">
        <v>1</v>
      </c>
      <c r="V51" s="58">
        <v>0</v>
      </c>
      <c r="W51" s="58">
        <v>12</v>
      </c>
      <c r="X51" s="58">
        <v>2</v>
      </c>
      <c r="Y51" s="58">
        <v>0</v>
      </c>
      <c r="Z51" s="58">
        <v>2</v>
      </c>
      <c r="AA51" s="58">
        <v>0</v>
      </c>
      <c r="AB51" s="58">
        <v>0</v>
      </c>
      <c r="AC51" s="58">
        <v>0</v>
      </c>
      <c r="AD51" s="58">
        <v>80</v>
      </c>
      <c r="AI51" s="55" t="s">
        <v>310</v>
      </c>
    </row>
    <row r="52" spans="2:35" ht="18.75" customHeight="1" x14ac:dyDescent="0.2">
      <c r="B52" s="84" t="s">
        <v>38</v>
      </c>
      <c r="C52" s="177">
        <f>IFERROR(INDEX(阻害要因×疾患名＿寛解・院内寛解[#All],MATCH($AI52,阻害要因×疾患名＿寛解・院内寛解[[#All],[値]],0),MATCH($AJ$4,阻害要因×疾患名＿寛解・院内寛解[#Headers],0)),0)+IFERROR(INDEX(阻害要因×疾患名＿寛解・院内寛解[#All],MATCH($AI52,阻害要因×疾患名＿寛解・院内寛解[[#All],[値]],0),MATCH($AK$4,阻害要因×疾患名＿寛解・院内寛解[#Headers],0)),0)</f>
        <v>0</v>
      </c>
      <c r="D52" s="171">
        <f t="shared" si="12"/>
        <v>0</v>
      </c>
      <c r="E52" s="154">
        <f>IFERROR(INDEX(阻害要因×疾患名＿寛解・院内寛解[#All],MATCH($AI52,阻害要因×疾患名＿寛解・院内寛解[[#All],[値]],0),MATCH($AL$4,阻害要因×疾患名＿寛解・院内寛解[#Headers],0)),0)</f>
        <v>0</v>
      </c>
      <c r="F52" s="171">
        <f t="shared" si="13"/>
        <v>0</v>
      </c>
      <c r="G52" s="154">
        <f>IFERROR(INDEX(阻害要因×疾患名＿寛解・院内寛解[#All],MATCH($AI52,阻害要因×疾患名＿寛解・院内寛解[[#All],[値]],0),MATCH($AP$4,阻害要因×疾患名＿寛解・院内寛解[#Headers],0)),0)</f>
        <v>3</v>
      </c>
      <c r="H52" s="171">
        <f t="shared" si="14"/>
        <v>1.0676156583629894E-2</v>
      </c>
      <c r="I52" s="154">
        <f>IFERROR(INDEX(阻害要因×疾患名＿寛解・院内寛解[#All],MATCH($AI52,阻害要因×疾患名＿寛解・院内寛解[[#All],[値]],0),MATCH($AQ$4,阻害要因×疾患名＿寛解・院内寛解[#Headers],0)),0)+IFERROR(INDEX(阻害要因×疾患名＿寛解・院内寛解[#All],MATCH($AI52,阻害要因×疾患名＿寛解・院内寛解[[#All],[値]],0),MATCH($AR$4,阻害要因×疾患名＿寛解・院内寛解[#Headers],0)),0)</f>
        <v>0</v>
      </c>
      <c r="J52" s="171">
        <f t="shared" si="15"/>
        <v>0</v>
      </c>
      <c r="K52" s="38">
        <f t="shared" si="16"/>
        <v>3</v>
      </c>
      <c r="L52" s="55" t="s">
        <v>166</v>
      </c>
      <c r="M52" s="61">
        <v>3</v>
      </c>
      <c r="N52" s="61">
        <v>0</v>
      </c>
      <c r="O52" s="61">
        <v>0</v>
      </c>
      <c r="P52" s="58">
        <v>0</v>
      </c>
      <c r="Q52" s="58">
        <v>2</v>
      </c>
      <c r="R52" s="58">
        <v>0</v>
      </c>
      <c r="S52" s="58">
        <v>0</v>
      </c>
      <c r="T52" s="58">
        <v>1</v>
      </c>
      <c r="U52" s="58">
        <v>0</v>
      </c>
      <c r="V52" s="58">
        <v>0</v>
      </c>
      <c r="W52" s="58">
        <v>3</v>
      </c>
      <c r="X52" s="58">
        <v>0</v>
      </c>
      <c r="Y52" s="58">
        <v>0</v>
      </c>
      <c r="Z52" s="58">
        <v>1</v>
      </c>
      <c r="AA52" s="58">
        <v>0</v>
      </c>
      <c r="AB52" s="58">
        <v>0</v>
      </c>
      <c r="AC52" s="58">
        <v>0</v>
      </c>
      <c r="AD52" s="58">
        <v>10</v>
      </c>
      <c r="AI52" s="55" t="s">
        <v>166</v>
      </c>
    </row>
    <row r="53" spans="2:35" ht="18.75" customHeight="1" x14ac:dyDescent="0.2">
      <c r="B53" s="84" t="s">
        <v>39</v>
      </c>
      <c r="C53" s="154">
        <f>IFERROR(INDEX(阻害要因×疾患名＿寛解・院内寛解[#All],MATCH($AI53,阻害要因×疾患名＿寛解・院内寛解[[#All],[値]],0),MATCH($AJ$4,阻害要因×疾患名＿寛解・院内寛解[#Headers],0)),0)+IFERROR(INDEX(阻害要因×疾患名＿寛解・院内寛解[#All],MATCH($AI53,阻害要因×疾患名＿寛解・院内寛解[[#All],[値]],0),MATCH($AK$4,阻害要因×疾患名＿寛解・院内寛解[#Headers],0)),0)</f>
        <v>14</v>
      </c>
      <c r="D53" s="155">
        <f t="shared" si="12"/>
        <v>0.31111111111111112</v>
      </c>
      <c r="E53" s="154">
        <f>IFERROR(INDEX(阻害要因×疾患名＿寛解・院内寛解[#All],MATCH($AI53,阻害要因×疾患名＿寛解・院内寛解[[#All],[値]],0),MATCH($AL$4,阻害要因×疾患名＿寛解・院内寛解[#Headers],0)),0)</f>
        <v>7</v>
      </c>
      <c r="F53" s="155">
        <f t="shared" si="13"/>
        <v>0.19444444444444445</v>
      </c>
      <c r="G53" s="154">
        <f>IFERROR(INDEX(阻害要因×疾患名＿寛解・院内寛解[#All],MATCH($AI53,阻害要因×疾患名＿寛解・院内寛解[[#All],[値]],0),MATCH($AP$4,阻害要因×疾患名＿寛解・院内寛解[#Headers],0)),0)</f>
        <v>112</v>
      </c>
      <c r="H53" s="155">
        <f t="shared" si="14"/>
        <v>0.39857651245551601</v>
      </c>
      <c r="I53" s="154">
        <f>IFERROR(INDEX(阻害要因×疾患名＿寛解・院内寛解[#All],MATCH($AI53,阻害要因×疾患名＿寛解・院内寛解[[#All],[値]],0),MATCH($AQ$4,阻害要因×疾患名＿寛解・院内寛解[#Headers],0)),0)+IFERROR(INDEX(阻害要因×疾患名＿寛解・院内寛解[#All],MATCH($AI53,阻害要因×疾患名＿寛解・院内寛解[[#All],[値]],0),MATCH($AR$4,阻害要因×疾患名＿寛解・院内寛解[#Headers],0)),0)</f>
        <v>47</v>
      </c>
      <c r="J53" s="155">
        <f t="shared" si="15"/>
        <v>0.5280898876404494</v>
      </c>
      <c r="K53" s="38">
        <f t="shared" si="16"/>
        <v>180</v>
      </c>
      <c r="L53" s="55" t="s">
        <v>167</v>
      </c>
      <c r="M53" s="61">
        <v>112</v>
      </c>
      <c r="N53" s="61">
        <v>14</v>
      </c>
      <c r="O53" s="61">
        <v>7</v>
      </c>
      <c r="P53" s="58">
        <v>33</v>
      </c>
      <c r="Q53" s="58">
        <v>4</v>
      </c>
      <c r="R53" s="58">
        <v>1</v>
      </c>
      <c r="S53" s="58">
        <v>13</v>
      </c>
      <c r="T53" s="58">
        <v>2</v>
      </c>
      <c r="U53" s="58">
        <v>0</v>
      </c>
      <c r="V53" s="58">
        <v>1</v>
      </c>
      <c r="W53" s="58">
        <v>7</v>
      </c>
      <c r="X53" s="58">
        <v>4</v>
      </c>
      <c r="Y53" s="58">
        <v>0</v>
      </c>
      <c r="Z53" s="58">
        <v>1</v>
      </c>
      <c r="AA53" s="58">
        <v>1</v>
      </c>
      <c r="AB53" s="58">
        <v>0</v>
      </c>
      <c r="AC53" s="58">
        <v>0</v>
      </c>
      <c r="AD53" s="58">
        <v>200</v>
      </c>
      <c r="AI53" s="55" t="s">
        <v>167</v>
      </c>
    </row>
    <row r="54" spans="2:35" ht="18.75" customHeight="1" x14ac:dyDescent="0.2">
      <c r="B54" s="84" t="s">
        <v>40</v>
      </c>
      <c r="C54" s="154">
        <f>IFERROR(INDEX(阻害要因×疾患名＿寛解・院内寛解[#All],MATCH($AI54,阻害要因×疾患名＿寛解・院内寛解[[#All],[値]],0),MATCH($AJ$4,阻害要因×疾患名＿寛解・院内寛解[#Headers],0)),0)+IFERROR(INDEX(阻害要因×疾患名＿寛解・院内寛解[#All],MATCH($AI54,阻害要因×疾患名＿寛解・院内寛解[[#All],[値]],0),MATCH($AK$4,阻害要因×疾患名＿寛解・院内寛解[#Headers],0)),0)</f>
        <v>12</v>
      </c>
      <c r="D54" s="155">
        <f t="shared" si="12"/>
        <v>0.26666666666666666</v>
      </c>
      <c r="E54" s="154">
        <f>IFERROR(INDEX(阻害要因×疾患名＿寛解・院内寛解[#All],MATCH($AI54,阻害要因×疾患名＿寛解・院内寛解[[#All],[値]],0),MATCH($AL$4,阻害要因×疾患名＿寛解・院内寛解[#Headers],0)),0)</f>
        <v>4</v>
      </c>
      <c r="F54" s="155">
        <f t="shared" si="13"/>
        <v>0.1111111111111111</v>
      </c>
      <c r="G54" s="154">
        <f>IFERROR(INDEX(阻害要因×疾患名＿寛解・院内寛解[#All],MATCH($AI54,阻害要因×疾患名＿寛解・院内寛解[[#All],[値]],0),MATCH($AP$4,阻害要因×疾患名＿寛解・院内寛解[#Headers],0)),0)</f>
        <v>87</v>
      </c>
      <c r="H54" s="155">
        <f t="shared" si="14"/>
        <v>0.30960854092526691</v>
      </c>
      <c r="I54" s="154">
        <f>IFERROR(INDEX(阻害要因×疾患名＿寛解・院内寛解[#All],MATCH($AI54,阻害要因×疾患名＿寛解・院内寛解[[#All],[値]],0),MATCH($AQ$4,阻害要因×疾患名＿寛解・院内寛解[#Headers],0)),0)+IFERROR(INDEX(阻害要因×疾患名＿寛解・院内寛解[#All],MATCH($AI54,阻害要因×疾患名＿寛解・院内寛解[[#All],[値]],0),MATCH($AR$4,阻害要因×疾患名＿寛解・院内寛解[#Headers],0)),0)</f>
        <v>22</v>
      </c>
      <c r="J54" s="155">
        <f t="shared" si="15"/>
        <v>0.24719101123595505</v>
      </c>
      <c r="K54" s="38">
        <f t="shared" si="16"/>
        <v>125</v>
      </c>
      <c r="L54" s="55" t="s">
        <v>168</v>
      </c>
      <c r="M54" s="61">
        <v>87</v>
      </c>
      <c r="N54" s="61">
        <v>7</v>
      </c>
      <c r="O54" s="61">
        <v>4</v>
      </c>
      <c r="P54" s="58">
        <v>15</v>
      </c>
      <c r="Q54" s="58">
        <v>3</v>
      </c>
      <c r="R54" s="58">
        <v>1</v>
      </c>
      <c r="S54" s="58">
        <v>11</v>
      </c>
      <c r="T54" s="58">
        <v>2</v>
      </c>
      <c r="U54" s="58">
        <v>2</v>
      </c>
      <c r="V54" s="58">
        <v>0</v>
      </c>
      <c r="W54" s="58">
        <v>14</v>
      </c>
      <c r="X54" s="58">
        <v>3</v>
      </c>
      <c r="Y54" s="58">
        <v>0</v>
      </c>
      <c r="Z54" s="58">
        <v>1</v>
      </c>
      <c r="AA54" s="58">
        <v>1</v>
      </c>
      <c r="AB54" s="58">
        <v>0</v>
      </c>
      <c r="AC54" s="58">
        <v>0</v>
      </c>
      <c r="AD54" s="58">
        <v>151</v>
      </c>
      <c r="AI54" s="55" t="s">
        <v>168</v>
      </c>
    </row>
    <row r="55" spans="2:35" ht="18.75" customHeight="1" x14ac:dyDescent="0.2">
      <c r="B55" s="84" t="s">
        <v>41</v>
      </c>
      <c r="C55" s="180">
        <f>IFERROR(INDEX(阻害要因×疾患名＿寛解・院内寛解[#All],MATCH($AI55,阻害要因×疾患名＿寛解・院内寛解[[#All],[値]],0),MATCH($AJ$4,阻害要因×疾患名＿寛解・院内寛解[#Headers],0)),0)+IFERROR(INDEX(阻害要因×疾患名＿寛解・院内寛解[#All],MATCH($AI55,阻害要因×疾患名＿寛解・院内寛解[[#All],[値]],0),MATCH($AK$4,阻害要因×疾患名＿寛解・院内寛解[#Headers],0)),0)</f>
        <v>4</v>
      </c>
      <c r="D55" s="158">
        <f t="shared" si="12"/>
        <v>8.8888888888888892E-2</v>
      </c>
      <c r="E55" s="180">
        <f>IFERROR(INDEX(阻害要因×疾患名＿寛解・院内寛解[#All],MATCH($AI55,阻害要因×疾患名＿寛解・院内寛解[[#All],[値]],0),MATCH($AL$4,阻害要因×疾患名＿寛解・院内寛解[#Headers],0)),0)</f>
        <v>4</v>
      </c>
      <c r="F55" s="158">
        <f t="shared" si="13"/>
        <v>0.1111111111111111</v>
      </c>
      <c r="G55" s="180">
        <f>IFERROR(INDEX(阻害要因×疾患名＿寛解・院内寛解[#All],MATCH($AI55,阻害要因×疾患名＿寛解・院内寛解[[#All],[値]],0),MATCH($AP$4,阻害要因×疾患名＿寛解・院内寛解[#Headers],0)),0)</f>
        <v>68</v>
      </c>
      <c r="H55" s="158">
        <f t="shared" si="14"/>
        <v>0.24199288256227758</v>
      </c>
      <c r="I55" s="180">
        <f>IFERROR(INDEX(阻害要因×疾患名＿寛解・院内寛解[#All],MATCH($AI55,阻害要因×疾患名＿寛解・院内寛解[[#All],[値]],0),MATCH($AQ$4,阻害要因×疾患名＿寛解・院内寛解[#Headers],0)),0)+IFERROR(INDEX(阻害要因×疾患名＿寛解・院内寛解[#All],MATCH($AI55,阻害要因×疾患名＿寛解・院内寛解[[#All],[値]],0),MATCH($AR$4,阻害要因×疾患名＿寛解・院内寛解[#Headers],0)),0)</f>
        <v>32</v>
      </c>
      <c r="J55" s="158">
        <f t="shared" si="15"/>
        <v>0.3595505617977528</v>
      </c>
      <c r="K55" s="38">
        <f t="shared" si="16"/>
        <v>108</v>
      </c>
      <c r="L55" s="55" t="s">
        <v>169</v>
      </c>
      <c r="M55" s="61">
        <v>68</v>
      </c>
      <c r="N55" s="61">
        <v>8</v>
      </c>
      <c r="O55" s="61">
        <v>4</v>
      </c>
      <c r="P55" s="58">
        <v>24</v>
      </c>
      <c r="Q55" s="58">
        <v>0</v>
      </c>
      <c r="R55" s="58">
        <v>0</v>
      </c>
      <c r="S55" s="58">
        <v>4</v>
      </c>
      <c r="T55" s="58">
        <v>3</v>
      </c>
      <c r="U55" s="58">
        <v>1</v>
      </c>
      <c r="V55" s="58">
        <v>0</v>
      </c>
      <c r="W55" s="58">
        <v>8</v>
      </c>
      <c r="X55" s="58">
        <v>6</v>
      </c>
      <c r="Y55" s="58">
        <v>0</v>
      </c>
      <c r="Z55" s="58">
        <v>1</v>
      </c>
      <c r="AA55" s="58">
        <v>1</v>
      </c>
      <c r="AB55" s="58">
        <v>0</v>
      </c>
      <c r="AC55" s="58">
        <v>0</v>
      </c>
      <c r="AD55" s="58">
        <v>128</v>
      </c>
      <c r="AI55" s="55" t="s">
        <v>169</v>
      </c>
    </row>
    <row r="56" spans="2:35" ht="18.75" customHeight="1" x14ac:dyDescent="0.2">
      <c r="B56" s="84" t="s">
        <v>42</v>
      </c>
      <c r="C56" s="154">
        <f>IFERROR(INDEX(阻害要因×疾患名＿寛解・院内寛解[#All],MATCH($AI56,阻害要因×疾患名＿寛解・院内寛解[[#All],[値]],0),MATCH($AJ$4,阻害要因×疾患名＿寛解・院内寛解[#Headers],0)),0)+IFERROR(INDEX(阻害要因×疾患名＿寛解・院内寛解[#All],MATCH($AI56,阻害要因×疾患名＿寛解・院内寛解[[#All],[値]],0),MATCH($AK$4,阻害要因×疾患名＿寛解・院内寛解[#Headers],0)),0)</f>
        <v>1</v>
      </c>
      <c r="D56" s="155">
        <f t="shared" si="12"/>
        <v>2.2222222222222223E-2</v>
      </c>
      <c r="E56" s="154">
        <f>IFERROR(INDEX(阻害要因×疾患名＿寛解・院内寛解[#All],MATCH($AI56,阻害要因×疾患名＿寛解・院内寛解[[#All],[値]],0),MATCH($AL$4,阻害要因×疾患名＿寛解・院内寛解[#Headers],0)),0)</f>
        <v>1</v>
      </c>
      <c r="F56" s="155">
        <f t="shared" si="13"/>
        <v>2.7777777777777776E-2</v>
      </c>
      <c r="G56" s="154">
        <f>IFERROR(INDEX(阻害要因×疾患名＿寛解・院内寛解[#All],MATCH($AI56,阻害要因×疾患名＿寛解・院内寛解[[#All],[値]],0),MATCH($AP$4,阻害要因×疾患名＿寛解・院内寛解[#Headers],0)),0)</f>
        <v>10</v>
      </c>
      <c r="H56" s="155">
        <f t="shared" si="14"/>
        <v>3.5587188612099648E-2</v>
      </c>
      <c r="I56" s="154">
        <f>IFERROR(INDEX(阻害要因×疾患名＿寛解・院内寛解[#All],MATCH($AI56,阻害要因×疾患名＿寛解・院内寛解[[#All],[値]],0),MATCH($AQ$4,阻害要因×疾患名＿寛解・院内寛解[#Headers],0)),0)+IFERROR(INDEX(阻害要因×疾患名＿寛解・院内寛解[#All],MATCH($AI56,阻害要因×疾患名＿寛解・院内寛解[[#All],[値]],0),MATCH($AR$4,阻害要因×疾患名＿寛解・院内寛解[#Headers],0)),0)</f>
        <v>2</v>
      </c>
      <c r="J56" s="155">
        <f t="shared" si="15"/>
        <v>2.247191011235955E-2</v>
      </c>
      <c r="K56" s="38">
        <f t="shared" si="16"/>
        <v>14</v>
      </c>
      <c r="L56" s="55" t="s">
        <v>170</v>
      </c>
      <c r="M56" s="61">
        <v>10</v>
      </c>
      <c r="N56" s="61">
        <v>2</v>
      </c>
      <c r="O56" s="61">
        <v>1</v>
      </c>
      <c r="P56" s="58">
        <v>0</v>
      </c>
      <c r="Q56" s="58">
        <v>0</v>
      </c>
      <c r="R56" s="58">
        <v>0</v>
      </c>
      <c r="S56" s="58">
        <v>1</v>
      </c>
      <c r="T56" s="58">
        <v>0</v>
      </c>
      <c r="U56" s="58">
        <v>0</v>
      </c>
      <c r="V56" s="58">
        <v>0</v>
      </c>
      <c r="W56" s="58">
        <v>1</v>
      </c>
      <c r="X56" s="58">
        <v>1</v>
      </c>
      <c r="Y56" s="58">
        <v>0</v>
      </c>
      <c r="Z56" s="58">
        <v>0</v>
      </c>
      <c r="AA56" s="58">
        <v>0</v>
      </c>
      <c r="AB56" s="58">
        <v>0</v>
      </c>
      <c r="AC56" s="58">
        <v>0</v>
      </c>
      <c r="AD56" s="58">
        <v>16</v>
      </c>
      <c r="AI56" s="55" t="s">
        <v>170</v>
      </c>
    </row>
    <row r="57" spans="2:35" ht="18.75" customHeight="1" x14ac:dyDescent="0.2">
      <c r="B57" s="84" t="s">
        <v>43</v>
      </c>
      <c r="C57" s="154">
        <f>IFERROR(INDEX(阻害要因×疾患名＿寛解・院内寛解[#All],MATCH($AI57,阻害要因×疾患名＿寛解・院内寛解[[#All],[値]],0),MATCH($AJ$4,阻害要因×疾患名＿寛解・院内寛解[#Headers],0)),0)+IFERROR(INDEX(阻害要因×疾患名＿寛解・院内寛解[#All],MATCH($AI57,阻害要因×疾患名＿寛解・院内寛解[[#All],[値]],0),MATCH($AK$4,阻害要因×疾患名＿寛解・院内寛解[#Headers],0)),0)</f>
        <v>10</v>
      </c>
      <c r="D57" s="155">
        <f t="shared" si="12"/>
        <v>0.22222222222222221</v>
      </c>
      <c r="E57" s="154">
        <f>IFERROR(INDEX(阻害要因×疾患名＿寛解・院内寛解[#All],MATCH($AI57,阻害要因×疾患名＿寛解・院内寛解[[#All],[値]],0),MATCH($AL$4,阻害要因×疾患名＿寛解・院内寛解[#Headers],0)),0)</f>
        <v>2</v>
      </c>
      <c r="F57" s="155">
        <f t="shared" si="13"/>
        <v>5.5555555555555552E-2</v>
      </c>
      <c r="G57" s="154">
        <f>IFERROR(INDEX(阻害要因×疾患名＿寛解・院内寛解[#All],MATCH($AI57,阻害要因×疾患名＿寛解・院内寛解[[#All],[値]],0),MATCH($AP$4,阻害要因×疾患名＿寛解・院内寛解[#Headers],0)),0)</f>
        <v>75</v>
      </c>
      <c r="H57" s="155">
        <f t="shared" si="14"/>
        <v>0.2669039145907473</v>
      </c>
      <c r="I57" s="154">
        <f>IFERROR(INDEX(阻害要因×疾患名＿寛解・院内寛解[#All],MATCH($AI57,阻害要因×疾患名＿寛解・院内寛解[[#All],[値]],0),MATCH($AQ$4,阻害要因×疾患名＿寛解・院内寛解[#Headers],0)),0)+IFERROR(INDEX(阻害要因×疾患名＿寛解・院内寛解[#All],MATCH($AI57,阻害要因×疾患名＿寛解・院内寛解[[#All],[値]],0),MATCH($AR$4,阻害要因×疾患名＿寛解・院内寛解[#Headers],0)),0)</f>
        <v>22</v>
      </c>
      <c r="J57" s="155">
        <f t="shared" si="15"/>
        <v>0.24719101123595505</v>
      </c>
      <c r="K57" s="38">
        <f t="shared" si="16"/>
        <v>109</v>
      </c>
      <c r="L57" s="55" t="s">
        <v>171</v>
      </c>
      <c r="M57" s="61">
        <v>75</v>
      </c>
      <c r="N57" s="61">
        <v>9</v>
      </c>
      <c r="O57" s="61">
        <v>2</v>
      </c>
      <c r="P57" s="58">
        <v>13</v>
      </c>
      <c r="Q57" s="58">
        <v>1</v>
      </c>
      <c r="R57" s="58">
        <v>1</v>
      </c>
      <c r="S57" s="58">
        <v>9</v>
      </c>
      <c r="T57" s="58">
        <v>0</v>
      </c>
      <c r="U57" s="58">
        <v>0</v>
      </c>
      <c r="V57" s="58">
        <v>0</v>
      </c>
      <c r="W57" s="58">
        <v>14</v>
      </c>
      <c r="X57" s="58">
        <v>1</v>
      </c>
      <c r="Y57" s="58">
        <v>0</v>
      </c>
      <c r="Z57" s="58">
        <v>1</v>
      </c>
      <c r="AA57" s="58">
        <v>2</v>
      </c>
      <c r="AB57" s="58">
        <v>0</v>
      </c>
      <c r="AC57" s="58">
        <v>0</v>
      </c>
      <c r="AD57" s="58">
        <v>128</v>
      </c>
      <c r="AI57" s="55" t="s">
        <v>171</v>
      </c>
    </row>
    <row r="58" spans="2:35" ht="18.75" customHeight="1" x14ac:dyDescent="0.2">
      <c r="B58" s="84" t="s">
        <v>44</v>
      </c>
      <c r="C58" s="154">
        <f>IFERROR(INDEX(阻害要因×疾患名＿寛解・院内寛解[#All],MATCH($AI58,阻害要因×疾患名＿寛解・院内寛解[[#All],[値]],0),MATCH($AJ$4,阻害要因×疾患名＿寛解・院内寛解[#Headers],0)),0)+IFERROR(INDEX(阻害要因×疾患名＿寛解・院内寛解[#All],MATCH($AI58,阻害要因×疾患名＿寛解・院内寛解[[#All],[値]],0),MATCH($AK$4,阻害要因×疾患名＿寛解・院内寛解[#Headers],0)),0)</f>
        <v>6</v>
      </c>
      <c r="D58" s="155">
        <f t="shared" si="12"/>
        <v>0.13333333333333333</v>
      </c>
      <c r="E58" s="154">
        <f>IFERROR(INDEX(阻害要因×疾患名＿寛解・院内寛解[#All],MATCH($AI58,阻害要因×疾患名＿寛解・院内寛解[[#All],[値]],0),MATCH($AL$4,阻害要因×疾患名＿寛解・院内寛解[#Headers],0)),0)</f>
        <v>6</v>
      </c>
      <c r="F58" s="155">
        <f t="shared" si="13"/>
        <v>0.16666666666666666</v>
      </c>
      <c r="G58" s="154">
        <f>IFERROR(INDEX(阻害要因×疾患名＿寛解・院内寛解[#All],MATCH($AI58,阻害要因×疾患名＿寛解・院内寛解[[#All],[値]],0),MATCH($AP$4,阻害要因×疾患名＿寛解・院内寛解[#Headers],0)),0)</f>
        <v>54</v>
      </c>
      <c r="H58" s="155">
        <f t="shared" si="14"/>
        <v>0.19217081850533807</v>
      </c>
      <c r="I58" s="154">
        <f>IFERROR(INDEX(阻害要因×疾患名＿寛解・院内寛解[#All],MATCH($AI58,阻害要因×疾患名＿寛解・院内寛解[[#All],[値]],0),MATCH($AQ$4,阻害要因×疾患名＿寛解・院内寛解[#Headers],0)),0)+IFERROR(INDEX(阻害要因×疾患名＿寛解・院内寛解[#All],MATCH($AI58,阻害要因×疾患名＿寛解・院内寛解[[#All],[値]],0),MATCH($AR$4,阻害要因×疾患名＿寛解・院内寛解[#Headers],0)),0)</f>
        <v>11</v>
      </c>
      <c r="J58" s="155">
        <f t="shared" si="15"/>
        <v>0.12359550561797752</v>
      </c>
      <c r="K58" s="38">
        <f t="shared" si="16"/>
        <v>77</v>
      </c>
      <c r="L58" s="55" t="s">
        <v>172</v>
      </c>
      <c r="M58" s="61">
        <v>54</v>
      </c>
      <c r="N58" s="61">
        <v>4</v>
      </c>
      <c r="O58" s="61">
        <v>6</v>
      </c>
      <c r="P58" s="58">
        <v>7</v>
      </c>
      <c r="Q58" s="58">
        <v>0</v>
      </c>
      <c r="R58" s="58">
        <v>1</v>
      </c>
      <c r="S58" s="58">
        <v>5</v>
      </c>
      <c r="T58" s="58">
        <v>3</v>
      </c>
      <c r="U58" s="58">
        <v>1</v>
      </c>
      <c r="V58" s="58">
        <v>0</v>
      </c>
      <c r="W58" s="58">
        <v>15</v>
      </c>
      <c r="X58" s="58">
        <v>3</v>
      </c>
      <c r="Y58" s="58">
        <v>0</v>
      </c>
      <c r="Z58" s="58">
        <v>0</v>
      </c>
      <c r="AA58" s="58">
        <v>2</v>
      </c>
      <c r="AB58" s="58">
        <v>0</v>
      </c>
      <c r="AC58" s="58">
        <v>0</v>
      </c>
      <c r="AD58" s="58">
        <v>101</v>
      </c>
      <c r="AI58" s="55" t="s">
        <v>172</v>
      </c>
    </row>
    <row r="59" spans="2:35" ht="18.75" customHeight="1" x14ac:dyDescent="0.2">
      <c r="B59" s="84" t="s">
        <v>246</v>
      </c>
      <c r="C59" s="154">
        <f>IFERROR(INDEX(阻害要因×疾患名＿寛解・院内寛解[#All],MATCH($AI59,阻害要因×疾患名＿寛解・院内寛解[[#All],[値]],0),MATCH($AJ$4,阻害要因×疾患名＿寛解・院内寛解[#Headers],0)),0)+IFERROR(INDEX(阻害要因×疾患名＿寛解・院内寛解[#All],MATCH($AI59,阻害要因×疾患名＿寛解・院内寛解[[#All],[値]],0),MATCH($AK$4,阻害要因×疾患名＿寛解・院内寛解[#Headers],0)),0)</f>
        <v>7</v>
      </c>
      <c r="D59" s="155">
        <f t="shared" si="12"/>
        <v>0.15555555555555556</v>
      </c>
      <c r="E59" s="154">
        <f>IFERROR(INDEX(阻害要因×疾患名＿寛解・院内寛解[#All],MATCH($AI59,阻害要因×疾患名＿寛解・院内寛解[[#All],[値]],0),MATCH($AL$4,阻害要因×疾患名＿寛解・院内寛解[#Headers],0)),0)</f>
        <v>7</v>
      </c>
      <c r="F59" s="155">
        <f t="shared" si="13"/>
        <v>0.19444444444444445</v>
      </c>
      <c r="G59" s="154">
        <f>IFERROR(INDEX(阻害要因×疾患名＿寛解・院内寛解[#All],MATCH($AI59,阻害要因×疾患名＿寛解・院内寛解[[#All],[値]],0),MATCH($AP$4,阻害要因×疾患名＿寛解・院内寛解[#Headers],0)),0)</f>
        <v>45</v>
      </c>
      <c r="H59" s="155">
        <f t="shared" si="14"/>
        <v>0.16014234875444841</v>
      </c>
      <c r="I59" s="154">
        <f>IFERROR(INDEX(阻害要因×疾患名＿寛解・院内寛解[#All],MATCH($AI59,阻害要因×疾患名＿寛解・院内寛解[[#All],[値]],0),MATCH($AQ$4,阻害要因×疾患名＿寛解・院内寛解[#Headers],0)),0)+IFERROR(INDEX(阻害要因×疾患名＿寛解・院内寛解[#All],MATCH($AI59,阻害要因×疾患名＿寛解・院内寛解[[#All],[値]],0),MATCH($AR$4,阻害要因×疾患名＿寛解・院内寛解[#Headers],0)),0)</f>
        <v>13</v>
      </c>
      <c r="J59" s="155">
        <f t="shared" si="15"/>
        <v>0.14606741573033707</v>
      </c>
      <c r="K59" s="38">
        <f t="shared" si="16"/>
        <v>72</v>
      </c>
      <c r="L59" s="55" t="s">
        <v>173</v>
      </c>
      <c r="M59" s="61">
        <v>45</v>
      </c>
      <c r="N59" s="61">
        <v>4</v>
      </c>
      <c r="O59" s="61">
        <v>7</v>
      </c>
      <c r="P59" s="58">
        <v>9</v>
      </c>
      <c r="Q59" s="58">
        <v>3</v>
      </c>
      <c r="R59" s="58">
        <v>1</v>
      </c>
      <c r="S59" s="58">
        <v>6</v>
      </c>
      <c r="T59" s="58">
        <v>0</v>
      </c>
      <c r="U59" s="58">
        <v>1</v>
      </c>
      <c r="V59" s="58">
        <v>1</v>
      </c>
      <c r="W59" s="58">
        <v>6</v>
      </c>
      <c r="X59" s="58">
        <v>3</v>
      </c>
      <c r="Y59" s="58">
        <v>0</v>
      </c>
      <c r="Z59" s="58">
        <v>0</v>
      </c>
      <c r="AA59" s="58">
        <v>1</v>
      </c>
      <c r="AB59" s="58">
        <v>0</v>
      </c>
      <c r="AC59" s="58">
        <v>0</v>
      </c>
      <c r="AD59" s="58">
        <v>87</v>
      </c>
      <c r="AI59" s="55" t="s">
        <v>173</v>
      </c>
    </row>
    <row r="60" spans="2:35" ht="18.75" customHeight="1" x14ac:dyDescent="0.2">
      <c r="B60" s="84" t="s">
        <v>46</v>
      </c>
      <c r="C60" s="872">
        <f>IFERROR(INDEX(阻害要因×疾患名＿寛解・院内寛解[#All],MATCH($AI60,阻害要因×疾患名＿寛解・院内寛解[[#All],[値]],0),MATCH($AJ$4,阻害要因×疾患名＿寛解・院内寛解[#Headers],0)),0)+IFERROR(INDEX(阻害要因×疾患名＿寛解・院内寛解[#All],MATCH($AI60,阻害要因×疾患名＿寛解・院内寛解[[#All],[値]],0),MATCH($AK$4,阻害要因×疾患名＿寛解・院内寛解[#Headers],0)),0)</f>
        <v>20</v>
      </c>
      <c r="D60" s="155">
        <f t="shared" si="12"/>
        <v>0.44444444444444442</v>
      </c>
      <c r="E60" s="154">
        <f>IFERROR(INDEX(阻害要因×疾患名＿寛解・院内寛解[#All],MATCH($AI60,阻害要因×疾患名＿寛解・院内寛解[[#All],[値]],0),MATCH($AL$4,阻害要因×疾患名＿寛解・院内寛解[#Headers],0)),0)</f>
        <v>12</v>
      </c>
      <c r="F60" s="155">
        <f t="shared" si="13"/>
        <v>0.33333333333333331</v>
      </c>
      <c r="G60" s="154">
        <f>IFERROR(INDEX(阻害要因×疾患名＿寛解・院内寛解[#All],MATCH($AI60,阻害要因×疾患名＿寛解・院内寛解[[#All],[値]],0),MATCH($AP$4,阻害要因×疾患名＿寛解・院内寛解[#Headers],0)),0)</f>
        <v>84</v>
      </c>
      <c r="H60" s="155">
        <f t="shared" si="14"/>
        <v>0.29893238434163699</v>
      </c>
      <c r="I60" s="154">
        <f>IFERROR(INDEX(阻害要因×疾患名＿寛解・院内寛解[#All],MATCH($AI60,阻害要因×疾患名＿寛解・院内寛解[[#All],[値]],0),MATCH($AQ$4,阻害要因×疾患名＿寛解・院内寛解[#Headers],0)),0)+IFERROR(INDEX(阻害要因×疾患名＿寛解・院内寛解[#All],MATCH($AI60,阻害要因×疾患名＿寛解・院内寛解[[#All],[値]],0),MATCH($AR$4,阻害要因×疾患名＿寛解・院内寛解[#Headers],0)),0)</f>
        <v>24</v>
      </c>
      <c r="J60" s="155">
        <f t="shared" si="15"/>
        <v>0.2696629213483146</v>
      </c>
      <c r="K60" s="38">
        <f t="shared" si="16"/>
        <v>140</v>
      </c>
      <c r="L60" s="55" t="s">
        <v>174</v>
      </c>
      <c r="M60" s="61">
        <v>84</v>
      </c>
      <c r="N60" s="61">
        <v>10</v>
      </c>
      <c r="O60" s="61">
        <v>12</v>
      </c>
      <c r="P60" s="58">
        <v>14</v>
      </c>
      <c r="Q60" s="58">
        <v>1</v>
      </c>
      <c r="R60" s="58">
        <v>1</v>
      </c>
      <c r="S60" s="58">
        <v>19</v>
      </c>
      <c r="T60" s="58">
        <v>3</v>
      </c>
      <c r="U60" s="58">
        <v>1</v>
      </c>
      <c r="V60" s="58">
        <v>0</v>
      </c>
      <c r="W60" s="58">
        <v>26</v>
      </c>
      <c r="X60" s="58">
        <v>5</v>
      </c>
      <c r="Y60" s="58">
        <v>2</v>
      </c>
      <c r="Z60" s="58">
        <v>1</v>
      </c>
      <c r="AA60" s="58">
        <v>2</v>
      </c>
      <c r="AB60" s="58">
        <v>1</v>
      </c>
      <c r="AC60" s="58">
        <v>0</v>
      </c>
      <c r="AD60" s="58">
        <v>182</v>
      </c>
      <c r="AI60" s="55" t="s">
        <v>174</v>
      </c>
    </row>
    <row r="61" spans="2:35" ht="18.75" customHeight="1" x14ac:dyDescent="0.2">
      <c r="B61" s="84" t="s">
        <v>47</v>
      </c>
      <c r="C61" s="154">
        <f>IFERROR(INDEX(阻害要因×疾患名＿寛解・院内寛解[#All],MATCH($AI61,阻害要因×疾患名＿寛解・院内寛解[[#All],[値]],0),MATCH($AJ$4,阻害要因×疾患名＿寛解・院内寛解[#Headers],0)),0)+IFERROR(INDEX(阻害要因×疾患名＿寛解・院内寛解[#All],MATCH($AI61,阻害要因×疾患名＿寛解・院内寛解[[#All],[値]],0),MATCH($AK$4,阻害要因×疾患名＿寛解・院内寛解[#Headers],0)),0)</f>
        <v>2</v>
      </c>
      <c r="D61" s="155">
        <f t="shared" si="12"/>
        <v>4.4444444444444446E-2</v>
      </c>
      <c r="E61" s="154">
        <f>IFERROR(INDEX(阻害要因×疾患名＿寛解・院内寛解[#All],MATCH($AI61,阻害要因×疾患名＿寛解・院内寛解[[#All],[値]],0),MATCH($AL$4,阻害要因×疾患名＿寛解・院内寛解[#Headers],0)),0)</f>
        <v>5</v>
      </c>
      <c r="F61" s="155">
        <f t="shared" si="13"/>
        <v>0.1388888888888889</v>
      </c>
      <c r="G61" s="154">
        <f>IFERROR(INDEX(阻害要因×疾患名＿寛解・院内寛解[#All],MATCH($AI61,阻害要因×疾患名＿寛解・院内寛解[[#All],[値]],0),MATCH($AP$4,阻害要因×疾患名＿寛解・院内寛解[#Headers],0)),0)</f>
        <v>12</v>
      </c>
      <c r="H61" s="155">
        <f t="shared" si="14"/>
        <v>4.2704626334519574E-2</v>
      </c>
      <c r="I61" s="154">
        <f>IFERROR(INDEX(阻害要因×疾患名＿寛解・院内寛解[#All],MATCH($AI61,阻害要因×疾患名＿寛解・院内寛解[[#All],[値]],0),MATCH($AQ$4,阻害要因×疾患名＿寛解・院内寛解[#Headers],0)),0)+IFERROR(INDEX(阻害要因×疾患名＿寛解・院内寛解[#All],MATCH($AI61,阻害要因×疾患名＿寛解・院内寛解[[#All],[値]],0),MATCH($AR$4,阻害要因×疾患名＿寛解・院内寛解[#Headers],0)),0)</f>
        <v>4</v>
      </c>
      <c r="J61" s="155">
        <f t="shared" si="15"/>
        <v>4.49438202247191E-2</v>
      </c>
      <c r="K61" s="38">
        <f t="shared" si="16"/>
        <v>23</v>
      </c>
      <c r="L61" s="55" t="s">
        <v>175</v>
      </c>
      <c r="M61" s="61">
        <v>12</v>
      </c>
      <c r="N61" s="61">
        <v>3</v>
      </c>
      <c r="O61" s="61">
        <v>5</v>
      </c>
      <c r="P61" s="58">
        <v>1</v>
      </c>
      <c r="Q61" s="58">
        <v>0</v>
      </c>
      <c r="R61" s="58">
        <v>0</v>
      </c>
      <c r="S61" s="58">
        <v>2</v>
      </c>
      <c r="T61" s="58">
        <v>0</v>
      </c>
      <c r="U61" s="58">
        <v>1</v>
      </c>
      <c r="V61" s="58">
        <v>0</v>
      </c>
      <c r="W61" s="58">
        <v>8</v>
      </c>
      <c r="X61" s="58">
        <v>1</v>
      </c>
      <c r="Y61" s="58">
        <v>0</v>
      </c>
      <c r="Z61" s="58">
        <v>0</v>
      </c>
      <c r="AA61" s="58">
        <v>2</v>
      </c>
      <c r="AB61" s="58">
        <v>0</v>
      </c>
      <c r="AC61" s="58">
        <v>0</v>
      </c>
      <c r="AD61" s="58">
        <v>35</v>
      </c>
      <c r="AI61" s="55" t="s">
        <v>175</v>
      </c>
    </row>
    <row r="62" spans="2:35" ht="18.75" customHeight="1" x14ac:dyDescent="0.2">
      <c r="B62" s="84" t="s">
        <v>48</v>
      </c>
      <c r="C62" s="154">
        <f>IFERROR(INDEX(阻害要因×疾患名＿寛解・院内寛解[#All],MATCH($AI62,阻害要因×疾患名＿寛解・院内寛解[[#All],[値]],0),MATCH($AJ$4,阻害要因×疾患名＿寛解・院内寛解[#Headers],0)),0)+IFERROR(INDEX(阻害要因×疾患名＿寛解・院内寛解[#All],MATCH($AI62,阻害要因×疾患名＿寛解・院内寛解[[#All],[値]],0),MATCH($AK$4,阻害要因×疾患名＿寛解・院内寛解[#Headers],0)),0)</f>
        <v>0</v>
      </c>
      <c r="D62" s="155">
        <f t="shared" si="12"/>
        <v>0</v>
      </c>
      <c r="E62" s="154">
        <f>IFERROR(INDEX(阻害要因×疾患名＿寛解・院内寛解[#All],MATCH($AI62,阻害要因×疾患名＿寛解・院内寛解[[#All],[値]],0),MATCH($AL$4,阻害要因×疾患名＿寛解・院内寛解[#Headers],0)),0)</f>
        <v>0</v>
      </c>
      <c r="F62" s="155">
        <f t="shared" si="13"/>
        <v>0</v>
      </c>
      <c r="G62" s="154">
        <f>IFERROR(INDEX(阻害要因×疾患名＿寛解・院内寛解[#All],MATCH($AI62,阻害要因×疾患名＿寛解・院内寛解[[#All],[値]],0),MATCH($AP$4,阻害要因×疾患名＿寛解・院内寛解[#Headers],0)),0)</f>
        <v>3</v>
      </c>
      <c r="H62" s="155">
        <f t="shared" si="14"/>
        <v>1.0676156583629894E-2</v>
      </c>
      <c r="I62" s="154">
        <f>IFERROR(INDEX(阻害要因×疾患名＿寛解・院内寛解[#All],MATCH($AI62,阻害要因×疾患名＿寛解・院内寛解[[#All],[値]],0),MATCH($AQ$4,阻害要因×疾患名＿寛解・院内寛解[#Headers],0)),0)+IFERROR(INDEX(阻害要因×疾患名＿寛解・院内寛解[#All],MATCH($AI62,阻害要因×疾患名＿寛解・院内寛解[[#All],[値]],0),MATCH($AR$4,阻害要因×疾患名＿寛解・院内寛解[#Headers],0)),0)</f>
        <v>4</v>
      </c>
      <c r="J62" s="155">
        <f t="shared" si="15"/>
        <v>4.49438202247191E-2</v>
      </c>
      <c r="K62" s="38">
        <f t="shared" si="16"/>
        <v>7</v>
      </c>
      <c r="L62" s="55" t="s">
        <v>176</v>
      </c>
      <c r="M62" s="61">
        <v>3</v>
      </c>
      <c r="N62" s="61">
        <v>2</v>
      </c>
      <c r="O62" s="61">
        <v>0</v>
      </c>
      <c r="P62" s="58">
        <v>2</v>
      </c>
      <c r="Q62" s="58">
        <v>0</v>
      </c>
      <c r="R62" s="58">
        <v>0</v>
      </c>
      <c r="S62" s="58">
        <v>0</v>
      </c>
      <c r="T62" s="58">
        <v>0</v>
      </c>
      <c r="U62" s="58">
        <v>1</v>
      </c>
      <c r="V62" s="58">
        <v>0</v>
      </c>
      <c r="W62" s="58">
        <v>5</v>
      </c>
      <c r="X62" s="58">
        <v>2</v>
      </c>
      <c r="Y62" s="58">
        <v>0</v>
      </c>
      <c r="Z62" s="58">
        <v>0</v>
      </c>
      <c r="AA62" s="58">
        <v>0</v>
      </c>
      <c r="AB62" s="58">
        <v>0</v>
      </c>
      <c r="AC62" s="58">
        <v>0</v>
      </c>
      <c r="AD62" s="58">
        <v>15</v>
      </c>
      <c r="AI62" s="55" t="s">
        <v>176</v>
      </c>
    </row>
    <row r="63" spans="2:35" ht="18.75" customHeight="1" x14ac:dyDescent="0.2">
      <c r="B63" s="84" t="s">
        <v>49</v>
      </c>
      <c r="C63" s="177">
        <f>IFERROR(INDEX(阻害要因×疾患名＿寛解・院内寛解[#All],MATCH($AI63,阻害要因×疾患名＿寛解・院内寛解[[#All],[値]],0),MATCH($AJ$4,阻害要因×疾患名＿寛解・院内寛解[#Headers],0)),0)+IFERROR(INDEX(阻害要因×疾患名＿寛解・院内寛解[#All],MATCH($AI63,阻害要因×疾患名＿寛解・院内寛解[[#All],[値]],0),MATCH($AK$4,阻害要因×疾患名＿寛解・院内寛解[#Headers],0)),0)</f>
        <v>0</v>
      </c>
      <c r="D63" s="171">
        <f t="shared" si="12"/>
        <v>0</v>
      </c>
      <c r="E63" s="177">
        <f>IFERROR(INDEX(阻害要因×疾患名＿寛解・院内寛解[#All],MATCH($AI63,阻害要因×疾患名＿寛解・院内寛解[[#All],[値]],0),MATCH($AL$4,阻害要因×疾患名＿寛解・院内寛解[#Headers],0)),0)</f>
        <v>0</v>
      </c>
      <c r="F63" s="171">
        <f t="shared" si="13"/>
        <v>0</v>
      </c>
      <c r="G63" s="177">
        <f>IFERROR(INDEX(阻害要因×疾患名＿寛解・院内寛解[#All],MATCH($AI63,阻害要因×疾患名＿寛解・院内寛解[[#All],[値]],0),MATCH($AP$4,阻害要因×疾患名＿寛解・院内寛解[#Headers],0)),0)</f>
        <v>0</v>
      </c>
      <c r="H63" s="171">
        <f t="shared" si="14"/>
        <v>0</v>
      </c>
      <c r="I63" s="177">
        <f>IFERROR(INDEX(阻害要因×疾患名＿寛解・院内寛解[#All],MATCH($AI63,阻害要因×疾患名＿寛解・院内寛解[[#All],[値]],0),MATCH($AQ$4,阻害要因×疾患名＿寛解・院内寛解[#Headers],0)),0)+IFERROR(INDEX(阻害要因×疾患名＿寛解・院内寛解[#All],MATCH($AI63,阻害要因×疾患名＿寛解・院内寛解[[#All],[値]],0),MATCH($AR$4,阻害要因×疾患名＿寛解・院内寛解[#Headers],0)),0)</f>
        <v>0</v>
      </c>
      <c r="J63" s="171">
        <f t="shared" si="15"/>
        <v>0</v>
      </c>
      <c r="K63" s="38">
        <f t="shared" si="16"/>
        <v>0</v>
      </c>
      <c r="L63" s="55" t="s">
        <v>177</v>
      </c>
      <c r="M63" s="61">
        <v>0</v>
      </c>
      <c r="N63" s="58">
        <v>0</v>
      </c>
      <c r="O63" s="58">
        <v>0</v>
      </c>
      <c r="P63" s="58">
        <v>0</v>
      </c>
      <c r="Q63" s="58">
        <v>0</v>
      </c>
      <c r="R63" s="58">
        <v>0</v>
      </c>
      <c r="S63" s="58">
        <v>0</v>
      </c>
      <c r="T63" s="58">
        <v>0</v>
      </c>
      <c r="U63" s="58">
        <v>0</v>
      </c>
      <c r="V63" s="58">
        <v>0</v>
      </c>
      <c r="W63" s="58">
        <v>0</v>
      </c>
      <c r="X63" s="58">
        <v>0</v>
      </c>
      <c r="Y63" s="58">
        <v>0</v>
      </c>
      <c r="Z63" s="58">
        <v>0</v>
      </c>
      <c r="AA63" s="58">
        <v>0</v>
      </c>
      <c r="AB63" s="58">
        <v>0</v>
      </c>
      <c r="AC63" s="58">
        <v>0</v>
      </c>
      <c r="AD63" s="58">
        <v>0</v>
      </c>
      <c r="AI63" s="55" t="s">
        <v>177</v>
      </c>
    </row>
    <row r="64" spans="2:35" ht="18.75" customHeight="1" x14ac:dyDescent="0.2">
      <c r="B64" s="84" t="s">
        <v>50</v>
      </c>
      <c r="C64" s="872">
        <f>IFERROR(INDEX(阻害要因×疾患名＿寛解・院内寛解[#All],MATCH($AI64,阻害要因×疾患名＿寛解・院内寛解[[#All],[値]],0),MATCH($AJ$4,阻害要因×疾患名＿寛解・院内寛解[#Headers],0)),0)+IFERROR(INDEX(阻害要因×疾患名＿寛解・院内寛解[#All],MATCH($AI64,阻害要因×疾患名＿寛解・院内寛解[[#All],[値]],0),MATCH($AK$4,阻害要因×疾患名＿寛解・院内寛解[#Headers],0)),0)</f>
        <v>4</v>
      </c>
      <c r="D64" s="155">
        <f t="shared" si="12"/>
        <v>8.8888888888888892E-2</v>
      </c>
      <c r="E64" s="154">
        <f>IFERROR(INDEX(阻害要因×疾患名＿寛解・院内寛解[#All],MATCH($AI64,阻害要因×疾患名＿寛解・院内寛解[[#All],[値]],0),MATCH($AL$4,阻害要因×疾患名＿寛解・院内寛解[#Headers],0)),0)</f>
        <v>2</v>
      </c>
      <c r="F64" s="155">
        <f t="shared" si="13"/>
        <v>5.5555555555555552E-2</v>
      </c>
      <c r="G64" s="154">
        <f>IFERROR(INDEX(阻害要因×疾患名＿寛解・院内寛解[#All],MATCH($AI64,阻害要因×疾患名＿寛解・院内寛解[[#All],[値]],0),MATCH($AP$4,阻害要因×疾患名＿寛解・院内寛解[#Headers],0)),0)</f>
        <v>17</v>
      </c>
      <c r="H64" s="155">
        <f t="shared" si="14"/>
        <v>6.0498220640569395E-2</v>
      </c>
      <c r="I64" s="154">
        <f>IFERROR(INDEX(阻害要因×疾患名＿寛解・院内寛解[#All],MATCH($AI64,阻害要因×疾患名＿寛解・院内寛解[[#All],[値]],0),MATCH($AQ$4,阻害要因×疾患名＿寛解・院内寛解[#Headers],0)),0)+IFERROR(INDEX(阻害要因×疾患名＿寛解・院内寛解[#All],MATCH($AI64,阻害要因×疾患名＿寛解・院内寛解[[#All],[値]],0),MATCH($AR$4,阻害要因×疾患名＿寛解・院内寛解[#Headers],0)),0)</f>
        <v>4</v>
      </c>
      <c r="J64" s="155">
        <f t="shared" si="15"/>
        <v>4.49438202247191E-2</v>
      </c>
      <c r="K64" s="38">
        <f t="shared" si="16"/>
        <v>27</v>
      </c>
      <c r="L64" s="55" t="s">
        <v>178</v>
      </c>
      <c r="M64" s="61">
        <v>17</v>
      </c>
      <c r="N64" s="58">
        <v>2</v>
      </c>
      <c r="O64" s="58">
        <v>2</v>
      </c>
      <c r="P64" s="58">
        <v>2</v>
      </c>
      <c r="Q64" s="58">
        <v>0</v>
      </c>
      <c r="R64" s="58">
        <v>0</v>
      </c>
      <c r="S64" s="58">
        <v>4</v>
      </c>
      <c r="T64" s="58">
        <v>0</v>
      </c>
      <c r="U64" s="58">
        <v>0</v>
      </c>
      <c r="V64" s="58">
        <v>0</v>
      </c>
      <c r="W64" s="58">
        <v>14</v>
      </c>
      <c r="X64" s="58">
        <v>2</v>
      </c>
      <c r="Y64" s="58">
        <v>0</v>
      </c>
      <c r="Z64" s="58">
        <v>0</v>
      </c>
      <c r="AA64" s="58">
        <v>0</v>
      </c>
      <c r="AB64" s="58">
        <v>0</v>
      </c>
      <c r="AC64" s="58">
        <v>0</v>
      </c>
      <c r="AD64" s="58">
        <v>43</v>
      </c>
      <c r="AI64" s="55" t="s">
        <v>178</v>
      </c>
    </row>
    <row r="65" spans="2:35" ht="18.75" customHeight="1" x14ac:dyDescent="0.2">
      <c r="B65" s="84" t="s">
        <v>51</v>
      </c>
      <c r="C65" s="872">
        <f>IFERROR(INDEX(阻害要因×疾患名＿寛解・院内寛解[#All],MATCH($AI65,阻害要因×疾患名＿寛解・院内寛解[[#All],[値]],0),MATCH($AJ$4,阻害要因×疾患名＿寛解・院内寛解[#Headers],0)),0)+IFERROR(INDEX(阻害要因×疾患名＿寛解・院内寛解[#All],MATCH($AI65,阻害要因×疾患名＿寛解・院内寛解[[#All],[値]],0),MATCH($AK$4,阻害要因×疾患名＿寛解・院内寛解[#Headers],0)),0)</f>
        <v>2</v>
      </c>
      <c r="D65" s="155">
        <f t="shared" si="12"/>
        <v>4.4444444444444446E-2</v>
      </c>
      <c r="E65" s="154">
        <f>IFERROR(INDEX(阻害要因×疾患名＿寛解・院内寛解[#All],MATCH($AI65,阻害要因×疾患名＿寛解・院内寛解[[#All],[値]],0),MATCH($AL$4,阻害要因×疾患名＿寛解・院内寛解[#Headers],0)),0)</f>
        <v>2</v>
      </c>
      <c r="F65" s="155">
        <f t="shared" si="13"/>
        <v>5.5555555555555552E-2</v>
      </c>
      <c r="G65" s="154">
        <f>IFERROR(INDEX(阻害要因×疾患名＿寛解・院内寛解[#All],MATCH($AI65,阻害要因×疾患名＿寛解・院内寛解[[#All],[値]],0),MATCH($AP$4,阻害要因×疾患名＿寛解・院内寛解[#Headers],0)),0)</f>
        <v>18</v>
      </c>
      <c r="H65" s="155">
        <f t="shared" si="14"/>
        <v>6.4056939501779361E-2</v>
      </c>
      <c r="I65" s="154">
        <f>IFERROR(INDEX(阻害要因×疾患名＿寛解・院内寛解[#All],MATCH($AI65,阻害要因×疾患名＿寛解・院内寛解[[#All],[値]],0),MATCH($AQ$4,阻害要因×疾患名＿寛解・院内寛解[#Headers],0)),0)+IFERROR(INDEX(阻害要因×疾患名＿寛解・院内寛解[#All],MATCH($AI65,阻害要因×疾患名＿寛解・院内寛解[[#All],[値]],0),MATCH($AR$4,阻害要因×疾患名＿寛解・院内寛解[#Headers],0)),0)</f>
        <v>7</v>
      </c>
      <c r="J65" s="155">
        <f t="shared" si="15"/>
        <v>7.8651685393258425E-2</v>
      </c>
      <c r="K65" s="38">
        <f t="shared" si="16"/>
        <v>29</v>
      </c>
      <c r="L65" s="55" t="s">
        <v>179</v>
      </c>
      <c r="M65" s="61">
        <v>18</v>
      </c>
      <c r="N65" s="58">
        <v>2</v>
      </c>
      <c r="O65" s="58">
        <v>2</v>
      </c>
      <c r="P65" s="58">
        <v>5</v>
      </c>
      <c r="Q65" s="58">
        <v>0</v>
      </c>
      <c r="R65" s="58">
        <v>0</v>
      </c>
      <c r="S65" s="58">
        <v>2</v>
      </c>
      <c r="T65" s="58">
        <v>0</v>
      </c>
      <c r="U65" s="58">
        <v>1</v>
      </c>
      <c r="V65" s="58">
        <v>0</v>
      </c>
      <c r="W65" s="58">
        <v>13</v>
      </c>
      <c r="X65" s="58">
        <v>1</v>
      </c>
      <c r="Y65" s="58">
        <v>0</v>
      </c>
      <c r="Z65" s="58">
        <v>0</v>
      </c>
      <c r="AA65" s="58">
        <v>1</v>
      </c>
      <c r="AB65" s="58">
        <v>0</v>
      </c>
      <c r="AC65" s="58">
        <v>0</v>
      </c>
      <c r="AD65" s="58">
        <v>45</v>
      </c>
      <c r="AI65" s="55" t="s">
        <v>179</v>
      </c>
    </row>
    <row r="66" spans="2:35" x14ac:dyDescent="0.2">
      <c r="B66" s="84" t="s">
        <v>247</v>
      </c>
      <c r="C66" s="154">
        <f>IFERROR(INDEX(阻害要因×疾患名＿寛解・院内寛解[#All],MATCH($AI66,阻害要因×疾患名＿寛解・院内寛解[[#All],[値]],0),MATCH($AJ$4,阻害要因×疾患名＿寛解・院内寛解[#Headers],0)),0)+IFERROR(INDEX(阻害要因×疾患名＿寛解・院内寛解[#All],MATCH($AI66,阻害要因×疾患名＿寛解・院内寛解[[#All],[値]],0),MATCH($AK$4,阻害要因×疾患名＿寛解・院内寛解[#Headers],0)),0)</f>
        <v>1</v>
      </c>
      <c r="D66" s="155">
        <f t="shared" si="12"/>
        <v>2.2222222222222223E-2</v>
      </c>
      <c r="E66" s="154">
        <f>IFERROR(INDEX(阻害要因×疾患名＿寛解・院内寛解[#All],MATCH($AI66,阻害要因×疾患名＿寛解・院内寛解[[#All],[値]],0),MATCH($AL$4,阻害要因×疾患名＿寛解・院内寛解[#Headers],0)),0)</f>
        <v>0</v>
      </c>
      <c r="F66" s="155">
        <f t="shared" si="13"/>
        <v>0</v>
      </c>
      <c r="G66" s="154">
        <f>IFERROR(INDEX(阻害要因×疾患名＿寛解・院内寛解[#All],MATCH($AI66,阻害要因×疾患名＿寛解・院内寛解[[#All],[値]],0),MATCH($AP$4,阻害要因×疾患名＿寛解・院内寛解[#Headers],0)),0)</f>
        <v>6</v>
      </c>
      <c r="H66" s="155">
        <f t="shared" si="14"/>
        <v>2.1352313167259787E-2</v>
      </c>
      <c r="I66" s="154">
        <f>IFERROR(INDEX(阻害要因×疾患名＿寛解・院内寛解[#All],MATCH($AI66,阻害要因×疾患名＿寛解・院内寛解[[#All],[値]],0),MATCH($AQ$4,阻害要因×疾患名＿寛解・院内寛解[#Headers],0)),0)+IFERROR(INDEX(阻害要因×疾患名＿寛解・院内寛解[#All],MATCH($AI66,阻害要因×疾患名＿寛解・院内寛解[[#All],[値]],0),MATCH($AR$4,阻害要因×疾患名＿寛解・院内寛解[#Headers],0)),0)</f>
        <v>0</v>
      </c>
      <c r="J66" s="155">
        <f t="shared" si="15"/>
        <v>0</v>
      </c>
      <c r="K66" s="38">
        <f t="shared" si="16"/>
        <v>7</v>
      </c>
      <c r="L66" s="55" t="s">
        <v>180</v>
      </c>
      <c r="M66" s="61">
        <v>6</v>
      </c>
      <c r="N66" s="58">
        <v>0</v>
      </c>
      <c r="O66" s="58">
        <v>0</v>
      </c>
      <c r="P66" s="58">
        <v>0</v>
      </c>
      <c r="Q66" s="58">
        <v>0</v>
      </c>
      <c r="R66" s="58">
        <v>1</v>
      </c>
      <c r="S66" s="58">
        <v>0</v>
      </c>
      <c r="T66" s="58">
        <v>0</v>
      </c>
      <c r="U66" s="58">
        <v>1</v>
      </c>
      <c r="V66" s="58">
        <v>0</v>
      </c>
      <c r="W66" s="58">
        <v>6</v>
      </c>
      <c r="X66" s="58">
        <v>2</v>
      </c>
      <c r="Y66" s="58">
        <v>0</v>
      </c>
      <c r="Z66" s="58">
        <v>0</v>
      </c>
      <c r="AA66" s="58">
        <v>0</v>
      </c>
      <c r="AB66" s="58">
        <v>1</v>
      </c>
      <c r="AC66" s="58">
        <v>0</v>
      </c>
      <c r="AD66" s="58">
        <v>17</v>
      </c>
      <c r="AI66" s="55" t="s">
        <v>180</v>
      </c>
    </row>
    <row r="67" spans="2:35" s="396" customFormat="1" x14ac:dyDescent="0.2">
      <c r="B67" s="400" t="s">
        <v>380</v>
      </c>
      <c r="C67" s="154">
        <f>IFERROR(INDEX(阻害要因×疾患名＿寛解・院内寛解[#All],MATCH($AI67,阻害要因×疾患名＿寛解・院内寛解[[#All],[値]],0),MATCH($AJ$4,阻害要因×疾患名＿寛解・院内寛解[#Headers],0)),0)+IFERROR(INDEX(阻害要因×疾患名＿寛解・院内寛解[#All],MATCH($AI67,阻害要因×疾患名＿寛解・院内寛解[[#All],[値]],0),MATCH($AK$4,阻害要因×疾患名＿寛解・院内寛解[#Headers],0)),0)</f>
        <v>10</v>
      </c>
      <c r="D67" s="155">
        <f t="shared" ref="D67:D69" si="17">IFERROR(C67/C$46,"-")</f>
        <v>0.22222222222222221</v>
      </c>
      <c r="E67" s="154">
        <f>IFERROR(INDEX(阻害要因×疾患名＿寛解・院内寛解[#All],MATCH($AI67,阻害要因×疾患名＿寛解・院内寛解[[#All],[値]],0),MATCH($AL$4,阻害要因×疾患名＿寛解・院内寛解[#Headers],0)),0)</f>
        <v>8</v>
      </c>
      <c r="F67" s="155">
        <f t="shared" ref="F67:F69" si="18">IFERROR(E67/E$46,"-")</f>
        <v>0.22222222222222221</v>
      </c>
      <c r="G67" s="154">
        <f>IFERROR(INDEX(阻害要因×疾患名＿寛解・院内寛解[#All],MATCH($AI67,阻害要因×疾患名＿寛解・院内寛解[[#All],[値]],0),MATCH($AP$4,阻害要因×疾患名＿寛解・院内寛解[#Headers],0)),0)</f>
        <v>19</v>
      </c>
      <c r="H67" s="155">
        <f t="shared" ref="H67:H69" si="19">IFERROR(G67/G$46,"-")</f>
        <v>6.7615658362989328E-2</v>
      </c>
      <c r="I67" s="154">
        <f>IFERROR(INDEX(阻害要因×疾患名＿寛解・院内寛解[#All],MATCH($AI67,阻害要因×疾患名＿寛解・院内寛解[[#All],[値]],0),MATCH($AQ$4,阻害要因×疾患名＿寛解・院内寛解[#Headers],0)),0)+IFERROR(INDEX(阻害要因×疾患名＿寛解・院内寛解[#All],MATCH($AI67,阻害要因×疾患名＿寛解・院内寛解[[#All],[値]],0),MATCH($AR$4,阻害要因×疾患名＿寛解・院内寛解[#Headers],0)),0)</f>
        <v>6</v>
      </c>
      <c r="J67" s="155">
        <f t="shared" ref="J67:J69" si="20">IFERROR(I67/I$46,"-")</f>
        <v>6.741573033707865E-2</v>
      </c>
      <c r="K67" s="38">
        <f t="shared" si="16"/>
        <v>43</v>
      </c>
      <c r="L67" s="55" t="s">
        <v>382</v>
      </c>
      <c r="M67" s="399">
        <v>19</v>
      </c>
      <c r="N67" s="58">
        <v>2</v>
      </c>
      <c r="O67" s="58">
        <v>8</v>
      </c>
      <c r="P67" s="58">
        <v>4</v>
      </c>
      <c r="Q67" s="58">
        <v>1</v>
      </c>
      <c r="R67" s="58">
        <v>2</v>
      </c>
      <c r="S67" s="58">
        <v>8</v>
      </c>
      <c r="T67" s="58">
        <v>0</v>
      </c>
      <c r="U67" s="58">
        <v>0</v>
      </c>
      <c r="V67" s="58">
        <v>1</v>
      </c>
      <c r="W67" s="58">
        <v>3</v>
      </c>
      <c r="X67" s="58">
        <v>1</v>
      </c>
      <c r="Y67" s="58">
        <v>0</v>
      </c>
      <c r="Z67" s="58">
        <v>0</v>
      </c>
      <c r="AA67" s="58">
        <v>2</v>
      </c>
      <c r="AB67" s="58">
        <v>0</v>
      </c>
      <c r="AC67" s="58">
        <v>0</v>
      </c>
      <c r="AD67" s="58">
        <v>51</v>
      </c>
      <c r="AI67" s="275" t="s">
        <v>382</v>
      </c>
    </row>
    <row r="68" spans="2:35" s="396" customFormat="1" ht="30" x14ac:dyDescent="0.2">
      <c r="B68" s="401" t="s">
        <v>381</v>
      </c>
      <c r="C68" s="154">
        <f>IFERROR(INDEX(阻害要因×疾患名＿寛解・院内寛解[#All],MATCH($AI68,阻害要因×疾患名＿寛解・院内寛解[[#All],[値]],0),MATCH($AJ$4,阻害要因×疾患名＿寛解・院内寛解[#Headers],0)),0)+IFERROR(INDEX(阻害要因×疾患名＿寛解・院内寛解[#All],MATCH($AI68,阻害要因×疾患名＿寛解・院内寛解[[#All],[値]],0),MATCH($AK$4,阻害要因×疾患名＿寛解・院内寛解[#Headers],0)),0)</f>
        <v>3</v>
      </c>
      <c r="D68" s="155">
        <f t="shared" si="17"/>
        <v>6.6666666666666666E-2</v>
      </c>
      <c r="E68" s="154">
        <f>IFERROR(INDEX(阻害要因×疾患名＿寛解・院内寛解[#All],MATCH($AI68,阻害要因×疾患名＿寛解・院内寛解[[#All],[値]],0),MATCH($AL$4,阻害要因×疾患名＿寛解・院内寛解[#Headers],0)),0)</f>
        <v>2</v>
      </c>
      <c r="F68" s="155">
        <f t="shared" si="18"/>
        <v>5.5555555555555552E-2</v>
      </c>
      <c r="G68" s="154">
        <f>IFERROR(INDEX(阻害要因×疾患名＿寛解・院内寛解[#All],MATCH($AI68,阻害要因×疾患名＿寛解・院内寛解[[#All],[値]],0),MATCH($AP$4,阻害要因×疾患名＿寛解・院内寛解[#Headers],0)),0)</f>
        <v>5</v>
      </c>
      <c r="H68" s="155">
        <f t="shared" si="19"/>
        <v>1.7793594306049824E-2</v>
      </c>
      <c r="I68" s="154">
        <f>IFERROR(INDEX(阻害要因×疾患名＿寛解・院内寛解[#All],MATCH($AI68,阻害要因×疾患名＿寛解・院内寛解[[#All],[値]],0),MATCH($AQ$4,阻害要因×疾患名＿寛解・院内寛解[#Headers],0)),0)+IFERROR(INDEX(阻害要因×疾患名＿寛解・院内寛解[#All],MATCH($AI68,阻害要因×疾患名＿寛解・院内寛解[[#All],[値]],0),MATCH($AR$4,阻害要因×疾患名＿寛解・院内寛解[#Headers],0)),0)</f>
        <v>4</v>
      </c>
      <c r="J68" s="155">
        <f t="shared" si="20"/>
        <v>4.49438202247191E-2</v>
      </c>
      <c r="K68" s="38">
        <f t="shared" si="16"/>
        <v>14</v>
      </c>
      <c r="L68" s="55" t="s">
        <v>383</v>
      </c>
      <c r="M68" s="399">
        <v>5</v>
      </c>
      <c r="N68" s="58">
        <v>3</v>
      </c>
      <c r="O68" s="58">
        <v>2</v>
      </c>
      <c r="P68" s="58">
        <v>1</v>
      </c>
      <c r="Q68" s="58">
        <v>0</v>
      </c>
      <c r="R68" s="58">
        <v>1</v>
      </c>
      <c r="S68" s="58">
        <v>2</v>
      </c>
      <c r="T68" s="58">
        <v>0</v>
      </c>
      <c r="U68" s="58">
        <v>0</v>
      </c>
      <c r="V68" s="58">
        <v>0</v>
      </c>
      <c r="W68" s="58">
        <v>1</v>
      </c>
      <c r="X68" s="58">
        <v>1</v>
      </c>
      <c r="Y68" s="58">
        <v>0</v>
      </c>
      <c r="Z68" s="58">
        <v>0</v>
      </c>
      <c r="AA68" s="58">
        <v>0</v>
      </c>
      <c r="AB68" s="58">
        <v>0</v>
      </c>
      <c r="AC68" s="58">
        <v>0</v>
      </c>
      <c r="AD68" s="58">
        <v>16</v>
      </c>
      <c r="AI68" s="275" t="s">
        <v>383</v>
      </c>
    </row>
    <row r="69" spans="2:35" x14ac:dyDescent="0.2">
      <c r="B69" s="85" t="s">
        <v>53</v>
      </c>
      <c r="C69" s="157">
        <f>IFERROR(INDEX(阻害要因×疾患名＿寛解・院内寛解[#All],MATCH($AI69,阻害要因×疾患名＿寛解・院内寛解[[#All],[値]],0),MATCH($AJ$4,阻害要因×疾患名＿寛解・院内寛解[#Headers],0)),0)+IFERROR(INDEX(阻害要因×疾患名＿寛解・院内寛解[#All],MATCH($AI69,阻害要因×疾患名＿寛解・院内寛解[[#All],[値]],0),MATCH($AK$4,阻害要因×疾患名＿寛解・院内寛解[#Headers],0)),0)</f>
        <v>2</v>
      </c>
      <c r="D69" s="159">
        <f t="shared" si="17"/>
        <v>4.4444444444444446E-2</v>
      </c>
      <c r="E69" s="157">
        <f>IFERROR(INDEX(阻害要因×疾患名＿寛解・院内寛解[#All],MATCH($AI69,阻害要因×疾患名＿寛解・院内寛解[[#All],[値]],0),MATCH($AL$4,阻害要因×疾患名＿寛解・院内寛解[#Headers],0)),0)</f>
        <v>2</v>
      </c>
      <c r="F69" s="159">
        <f t="shared" si="18"/>
        <v>5.5555555555555552E-2</v>
      </c>
      <c r="G69" s="157">
        <f>IFERROR(INDEX(阻害要因×疾患名＿寛解・院内寛解[#All],MATCH($AI69,阻害要因×疾患名＿寛解・院内寛解[[#All],[値]],0),MATCH($AP$4,阻害要因×疾患名＿寛解・院内寛解[#Headers],0)),0)</f>
        <v>5</v>
      </c>
      <c r="H69" s="159">
        <f t="shared" si="19"/>
        <v>1.7793594306049824E-2</v>
      </c>
      <c r="I69" s="157">
        <f>IFERROR(INDEX(阻害要因×疾患名＿寛解・院内寛解[#All],MATCH($AI69,阻害要因×疾患名＿寛解・院内寛解[[#All],[値]],0),MATCH($AQ$4,阻害要因×疾患名＿寛解・院内寛解[#Headers],0)),0)+IFERROR(INDEX(阻害要因×疾患名＿寛解・院内寛解[#All],MATCH($AI69,阻害要因×疾患名＿寛解・院内寛解[[#All],[値]],0),MATCH($AR$4,阻害要因×疾患名＿寛解・院内寛解[#Headers],0)),0)</f>
        <v>3</v>
      </c>
      <c r="J69" s="159">
        <f t="shared" si="20"/>
        <v>3.3707865168539325E-2</v>
      </c>
      <c r="K69" s="38">
        <f t="shared" si="16"/>
        <v>12</v>
      </c>
      <c r="L69" s="55" t="s">
        <v>181</v>
      </c>
      <c r="M69" s="61">
        <v>5</v>
      </c>
      <c r="N69" s="58">
        <v>0</v>
      </c>
      <c r="O69" s="58">
        <v>2</v>
      </c>
      <c r="P69" s="58">
        <v>3</v>
      </c>
      <c r="Q69" s="58">
        <v>1</v>
      </c>
      <c r="R69" s="58">
        <v>1</v>
      </c>
      <c r="S69" s="58">
        <v>1</v>
      </c>
      <c r="T69" s="58">
        <v>0</v>
      </c>
      <c r="U69" s="58">
        <v>0</v>
      </c>
      <c r="V69" s="58">
        <v>0</v>
      </c>
      <c r="W69" s="58">
        <v>4</v>
      </c>
      <c r="X69" s="58">
        <v>0</v>
      </c>
      <c r="Y69" s="58">
        <v>0</v>
      </c>
      <c r="Z69" s="58">
        <v>0</v>
      </c>
      <c r="AA69" s="58">
        <v>0</v>
      </c>
      <c r="AB69" s="58">
        <v>0</v>
      </c>
      <c r="AC69" s="58">
        <v>0</v>
      </c>
      <c r="AD69" s="553">
        <v>17</v>
      </c>
      <c r="AI69" s="275" t="s">
        <v>181</v>
      </c>
    </row>
    <row r="70" spans="2:35" x14ac:dyDescent="0.2">
      <c r="F70" s="62"/>
      <c r="H70" s="62"/>
      <c r="J70" s="62"/>
    </row>
    <row r="71" spans="2:35" x14ac:dyDescent="0.2">
      <c r="F71" s="62"/>
      <c r="H71" s="62"/>
      <c r="J71" s="62"/>
    </row>
  </sheetData>
  <mergeCells count="20">
    <mergeCell ref="C38:F38"/>
    <mergeCell ref="G38:H39"/>
    <mergeCell ref="I38:J39"/>
    <mergeCell ref="B14:J14"/>
    <mergeCell ref="B49:J49"/>
    <mergeCell ref="C45:J45"/>
    <mergeCell ref="C48:J48"/>
    <mergeCell ref="B37:B39"/>
    <mergeCell ref="C37:J37"/>
    <mergeCell ref="C39:D39"/>
    <mergeCell ref="E39:F39"/>
    <mergeCell ref="C13:J13"/>
    <mergeCell ref="C10:J10"/>
    <mergeCell ref="B2:B4"/>
    <mergeCell ref="C2:J2"/>
    <mergeCell ref="C4:D4"/>
    <mergeCell ref="E4:F4"/>
    <mergeCell ref="C3:F3"/>
    <mergeCell ref="G3:H4"/>
    <mergeCell ref="I3:J4"/>
  </mergeCells>
  <phoneticPr fontId="2"/>
  <printOptions horizontalCentered="1"/>
  <pageMargins left="0.70866141732283472" right="0.70866141732283472" top="0.74803149606299213" bottom="0.74803149606299213" header="0.31496062992125984" footer="0.31496062992125984"/>
  <pageSetup paperSize="9" scale="72" fitToHeight="0" orientation="portrait" r:id="rId1"/>
  <rowBreaks count="1" manualBreakCount="1">
    <brk id="35" min="1" max="9" man="1"/>
  </rowBreaks>
  <drawing r:id="rId2"/>
  <mc:AlternateContent xmlns:mc="http://schemas.openxmlformats.org/markup-compatibility/2006">
    <mc:Choice Requires="v">
      <legacyDrawing r:id="rId3"/>
    </mc:Choice>
  </mc:AlternateContent>
  <controls>
    <control shapeId="36865" r:id="rId4" name="Button 1">
      <controlPr defaultSize="0" print="0" autoFill="0" autoPict="0" macro="[0]!データ削除_退院阻害要因疾患名区分">
        <anchor moveWithCells="1" sizeWithCells="1">
          <from>
            <xdr:col>29</xdr:col>
            <xdr:colOff>579120</xdr:colOff>
            <xdr:row>3</xdr:row>
            <xdr:rowOff>289560</xdr:rowOff>
          </from>
          <to>
            <xdr:col>32</xdr:col>
            <xdr:colOff>83820</xdr:colOff>
            <xdr:row>4</xdr:row>
            <xdr:rowOff>175260</xdr:rowOff>
          </to>
        </anchor>
      </controlPr>
    </control>
  </controls>
  <tableParts count="6">
    <tablePart r:id="rId5"/>
    <tablePart r:id="rId6"/>
    <tablePart r:id="rId7"/>
    <tablePart r:id="rId8"/>
    <tablePart r:id="rId9"/>
    <tablePart r:id="rId10"/>
  </tableParts>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rgb="FFFF0000"/>
    <pageSetUpPr fitToPage="1"/>
  </sheetPr>
  <dimension ref="B1:AY230"/>
  <sheetViews>
    <sheetView showGridLines="0" view="pageBreakPreview" zoomScale="80" zoomScaleNormal="100" zoomScaleSheetLayoutView="80" workbookViewId="0"/>
  </sheetViews>
  <sheetFormatPr defaultColWidth="9" defaultRowHeight="17.399999999999999" x14ac:dyDescent="0.2"/>
  <cols>
    <col min="1" max="1" width="4" style="1" customWidth="1"/>
    <col min="2" max="2" width="12.44140625" style="1" customWidth="1"/>
    <col min="3" max="12" width="8.77734375" style="1" customWidth="1"/>
    <col min="13" max="13" width="16.44140625" style="1" customWidth="1"/>
    <col min="14" max="14" width="2.44140625" style="1" hidden="1" customWidth="1"/>
    <col min="15" max="15" width="17.77734375" style="1" hidden="1" customWidth="1"/>
    <col min="16" max="31" width="11.109375" style="1" hidden="1" customWidth="1"/>
    <col min="32" max="51" width="9" style="1" hidden="1" customWidth="1"/>
    <col min="52" max="56" width="0" style="1" hidden="1" customWidth="1"/>
    <col min="57" max="16384" width="9" style="1"/>
  </cols>
  <sheetData>
    <row r="1" spans="2:50" ht="19.5" customHeight="1" x14ac:dyDescent="0.2">
      <c r="B1" s="2" t="s">
        <v>74</v>
      </c>
    </row>
    <row r="2" spans="2:50" ht="18.75" customHeight="1" thickBot="1" x14ac:dyDescent="0.25">
      <c r="B2" s="996" t="s">
        <v>65</v>
      </c>
      <c r="C2" s="998" t="s">
        <v>64</v>
      </c>
      <c r="D2" s="999"/>
      <c r="E2" s="999"/>
      <c r="F2" s="999"/>
      <c r="G2" s="999"/>
      <c r="H2" s="999"/>
      <c r="I2" s="999"/>
      <c r="J2" s="999"/>
      <c r="K2" s="999"/>
      <c r="L2" s="1000"/>
      <c r="O2" s="33" t="s">
        <v>63</v>
      </c>
    </row>
    <row r="3" spans="2:50" ht="18.75" customHeight="1" thickTop="1" thickBot="1" x14ac:dyDescent="0.25">
      <c r="B3" s="997"/>
      <c r="C3" s="1001" t="s">
        <v>69</v>
      </c>
      <c r="D3" s="1002"/>
      <c r="E3" s="1001" t="s">
        <v>70</v>
      </c>
      <c r="F3" s="1002"/>
      <c r="G3" s="1001" t="s">
        <v>71</v>
      </c>
      <c r="H3" s="1002"/>
      <c r="I3" s="1001" t="s">
        <v>72</v>
      </c>
      <c r="J3" s="1002"/>
      <c r="K3" s="1001" t="s">
        <v>62</v>
      </c>
      <c r="L3" s="1002"/>
      <c r="O3" s="298" t="s">
        <v>372</v>
      </c>
      <c r="P3" s="348" t="s">
        <v>182</v>
      </c>
      <c r="Q3" s="60" t="s">
        <v>183</v>
      </c>
      <c r="R3" s="60" t="s">
        <v>184</v>
      </c>
      <c r="S3" s="60" t="s">
        <v>185</v>
      </c>
      <c r="T3" s="60" t="s">
        <v>186</v>
      </c>
      <c r="U3" s="60" t="s">
        <v>187</v>
      </c>
      <c r="V3" s="60" t="s">
        <v>188</v>
      </c>
      <c r="W3" s="60" t="s">
        <v>189</v>
      </c>
      <c r="X3" s="60" t="s">
        <v>190</v>
      </c>
      <c r="Y3" s="60" t="s">
        <v>191</v>
      </c>
      <c r="Z3" s="60" t="s">
        <v>192</v>
      </c>
      <c r="AA3" s="60" t="s">
        <v>193</v>
      </c>
      <c r="AB3" s="60" t="s">
        <v>194</v>
      </c>
      <c r="AC3" s="60" t="s">
        <v>195</v>
      </c>
      <c r="AD3" s="60" t="s">
        <v>196</v>
      </c>
      <c r="AE3" s="52" t="s">
        <v>197</v>
      </c>
      <c r="AF3" s="60" t="s">
        <v>603</v>
      </c>
      <c r="AI3" s="332" t="s">
        <v>182</v>
      </c>
      <c r="AJ3" s="333" t="s">
        <v>183</v>
      </c>
      <c r="AK3" s="333" t="s">
        <v>184</v>
      </c>
      <c r="AL3" s="333" t="s">
        <v>185</v>
      </c>
      <c r="AM3" s="333" t="s">
        <v>186</v>
      </c>
      <c r="AN3" s="333" t="s">
        <v>187</v>
      </c>
      <c r="AO3" s="333" t="s">
        <v>188</v>
      </c>
      <c r="AP3" s="333" t="s">
        <v>189</v>
      </c>
      <c r="AQ3" s="333" t="s">
        <v>190</v>
      </c>
      <c r="AR3" s="333" t="s">
        <v>191</v>
      </c>
      <c r="AS3" s="333" t="s">
        <v>192</v>
      </c>
      <c r="AT3" s="333" t="s">
        <v>193</v>
      </c>
      <c r="AU3" s="333" t="s">
        <v>194</v>
      </c>
      <c r="AV3" s="333" t="s">
        <v>195</v>
      </c>
      <c r="AW3" s="333" t="s">
        <v>196</v>
      </c>
      <c r="AX3" s="332" t="s">
        <v>197</v>
      </c>
    </row>
    <row r="4" spans="2:50" s="21" customFormat="1" ht="18.75" customHeight="1" thickTop="1" x14ac:dyDescent="0.2">
      <c r="B4" s="174" t="s">
        <v>2</v>
      </c>
      <c r="C4" s="175">
        <f>IFERROR(INDEX(年齢階層×在院期間区分F2[#All],MATCH($AH4,年齢階層×在院期間区分F2[[#All],[行ラベル]],0),MATCH($AI$3,年齢階層×在院期間区分F2[#Headers],0)),0)+IFERROR(INDEX(年齢階層×在院期間区分F2[#All],MATCH($AH4,年齢階層×在院期間区分F2[[#All],[行ラベル]],0),MATCH($AJ$3,年齢階層×在院期間区分F2[#Headers],0)),0)+IFERROR(INDEX(年齢階層×在院期間区分F2[#All],MATCH($AH4,年齢階層×在院期間区分F2[[#All],[行ラベル]],0),MATCH($AK$3,年齢階層×在院期間区分F2[#Headers],0)),0)+IFERROR(INDEX(年齢階層×在院期間区分F2[#All],MATCH($AH4,年齢階層×在院期間区分F2[[#All],[行ラベル]],0),MATCH($AL$3,年齢階層×在院期間区分F2[#Headers],0)),0)</f>
        <v>11</v>
      </c>
      <c r="D4" s="170">
        <f t="shared" ref="D4:D12" si="0">IFERROR(C4/$C$13,"-")</f>
        <v>5.2009456264775411E-3</v>
      </c>
      <c r="E4" s="175">
        <f>IFERROR(INDEX(年齢階層×在院期間区分F2[#All],MATCH($AH4,年齢階層×在院期間区分F2[[#All],[行ラベル]],0),MATCH($AM$3,年齢階層×在院期間区分F2[#Headers],0)),0)+IFERROR(INDEX(年齢階層×在院期間区分F2[#All],MATCH($AH4,年齢階層×在院期間区分F2[[#All],[行ラベル]],0),MATCH($AN$3,年齢階層×在院期間区分F2[#Headers],0)),0)+IFERROR(INDEX(年齢階層×在院期間区分F2[#All],MATCH($AH4,年齢階層×在院期間区分F2[[#All],[行ラベル]],0),MATCH($AO$3,年齢階層×在院期間区分F2[#Headers],0)),0)+IFERROR(INDEX(年齢階層×在院期間区分F2[#All],MATCH($AH4,年齢階層×在院期間区分F2[[#All],[行ラベル]],0),MATCH($AP$3,年齢階層×在院期間区分F2[#Headers],0)),0)+IFERROR(INDEX(年齢階層×在院期間区分F2[#All],MATCH($AH4,年齢階層×在院期間区分F2[[#All],[行ラベル]],0),MATCH($AQ$3,年齢階層×在院期間区分F2[#Headers],0)),0)</f>
        <v>0</v>
      </c>
      <c r="F4" s="170">
        <f t="shared" ref="F4:F12" si="1">IFERROR(E4/$E$13,"-")</f>
        <v>0</v>
      </c>
      <c r="G4" s="175">
        <f>IFERROR(INDEX(年齢階層×在院期間区分F2[#All],MATCH($AH4,年齢階層×在院期間区分F2[[#All],[行ラベル]],0),MATCH($AR$3,年齢階層×在院期間区分F2[#Headers],0)),0)+IFERROR(INDEX(年齢階層×在院期間区分F2[#All],MATCH($AH4,年齢階層×在院期間区分F2[[#All],[行ラベル]],0),MATCH($AS$3,年齢階層×在院期間区分F2[#Headers],0)),0)+IFERROR(INDEX(年齢階層×在院期間区分F2[#All],MATCH($AH4,年齢階層×在院期間区分F2[[#All],[行ラベル]],0),MATCH($AT$3,年齢階層×在院期間区分F2[#Headers],0)),0)+IFERROR(INDEX(年齢階層×在院期間区分F2[#All],MATCH($AH4,年齢階層×在院期間区分F2[[#All],[行ラベル]],0),MATCH($AU$3,年齢階層×在院期間区分F2[#Headers],0)),0)+IFERROR(INDEX(年齢階層×在院期間区分F2[#All],MATCH($AH4,年齢階層×在院期間区分F2[[#All],[行ラベル]],0),MATCH($AV$3,年齢階層×在院期間区分F2[#Headers],0)),0)</f>
        <v>0</v>
      </c>
      <c r="H4" s="170">
        <f t="shared" ref="H4:H12" si="2">IFERROR(G4/$G$13,"-")</f>
        <v>0</v>
      </c>
      <c r="I4" s="169">
        <f>IFERROR(INDEX(年齢階層×在院期間区分F2[#All],MATCH($AH4,年齢階層×在院期間区分F2[[#All],[行ラベル]],0),MATCH($AW$3,年齢階層×在院期間区分F2[#Headers],0)),0)+IFERROR(INDEX(年齢階層×在院期間区分F2[#All],MATCH($AH4,年齢階層×在院期間区分F2[[#All],[行ラベル]],0),MATCH($AX$3,年齢階層×在院期間区分F2[#Headers],0)),0)</f>
        <v>0</v>
      </c>
      <c r="J4" s="170">
        <f t="shared" ref="J4:J12" si="3">IFERROR(I4/$I$13,"-")</f>
        <v>0</v>
      </c>
      <c r="K4" s="169">
        <f>SUM(C4,E4,G4,I4)</f>
        <v>11</v>
      </c>
      <c r="L4" s="170">
        <f t="shared" ref="L4:L12" si="4">IFERROR(K4/$K$13,"-")</f>
        <v>1.6342296835537068E-3</v>
      </c>
      <c r="O4" s="53" t="s">
        <v>2</v>
      </c>
      <c r="P4" s="61">
        <v>4</v>
      </c>
      <c r="Q4" s="61">
        <v>5</v>
      </c>
      <c r="R4" s="61">
        <v>1</v>
      </c>
      <c r="S4" s="61">
        <v>1</v>
      </c>
      <c r="T4" s="61">
        <v>0</v>
      </c>
      <c r="U4" s="61">
        <v>0</v>
      </c>
      <c r="V4" s="61">
        <v>0</v>
      </c>
      <c r="W4" s="61">
        <v>0</v>
      </c>
      <c r="X4" s="61">
        <v>0</v>
      </c>
      <c r="Y4" s="61">
        <v>0</v>
      </c>
      <c r="Z4" s="61">
        <v>0</v>
      </c>
      <c r="AA4" s="61">
        <v>0</v>
      </c>
      <c r="AB4" s="61">
        <v>0</v>
      </c>
      <c r="AC4" s="61">
        <v>0</v>
      </c>
      <c r="AD4" s="61">
        <v>0</v>
      </c>
      <c r="AE4" s="61">
        <v>0</v>
      </c>
      <c r="AF4" s="554"/>
      <c r="AH4" s="53" t="s">
        <v>2</v>
      </c>
      <c r="AI4" s="62"/>
      <c r="AL4" s="66"/>
    </row>
    <row r="5" spans="2:50" s="21" customFormat="1" ht="18.75" customHeight="1" x14ac:dyDescent="0.2">
      <c r="B5" s="176" t="s">
        <v>3</v>
      </c>
      <c r="C5" s="177">
        <f>IFERROR(INDEX(年齢階層×在院期間区分F2[#All],MATCH($AH5,年齢階層×在院期間区分F2[[#All],[行ラベル]],0),MATCH($AI$3,年齢階層×在院期間区分F2[#Headers],0)),0)+IFERROR(INDEX(年齢階層×在院期間区分F2[#All],MATCH($AH5,年齢階層×在院期間区分F2[[#All],[行ラベル]],0),MATCH($AJ$3,年齢階層×在院期間区分F2[#Headers],0)),0)+IFERROR(INDEX(年齢階層×在院期間区分F2[#All],MATCH($AH5,年齢階層×在院期間区分F2[[#All],[行ラベル]],0),MATCH($AK$3,年齢階層×在院期間区分F2[#Headers],0)),0)+IFERROR(INDEX(年齢階層×在院期間区分F2[#All],MATCH($AH5,年齢階層×在院期間区分F2[[#All],[行ラベル]],0),MATCH($AL$3,年齢階層×在院期間区分F2[#Headers],0)),0)</f>
        <v>102</v>
      </c>
      <c r="D5" s="155">
        <f t="shared" si="0"/>
        <v>4.8226950354609929E-2</v>
      </c>
      <c r="E5" s="154">
        <f>IFERROR(INDEX(年齢階層×在院期間区分F2[#All],MATCH($AH5,年齢階層×在院期間区分F2[[#All],[行ラベル]],0),MATCH($AM$3,年齢階層×在院期間区分F2[#Headers],0)),0)+IFERROR(INDEX(年齢階層×在院期間区分F2[#All],MATCH($AH5,年齢階層×在院期間区分F2[[#All],[行ラベル]],0),MATCH($AN$3,年齢階層×在院期間区分F2[#Headers],0)),0)+IFERROR(INDEX(年齢階層×在院期間区分F2[#All],MATCH($AH5,年齢階層×在院期間区分F2[[#All],[行ラベル]],0),MATCH($AO$3,年齢階層×在院期間区分F2[#Headers],0)),0)+IFERROR(INDEX(年齢階層×在院期間区分F2[#All],MATCH($AH5,年齢階層×在院期間区分F2[[#All],[行ラベル]],0),MATCH($AP$3,年齢階層×在院期間区分F2[#Headers],0)),0)+IFERROR(INDEX(年齢階層×在院期間区分F2[#All],MATCH($AH5,年齢階層×在院期間区分F2[[#All],[行ラベル]],0),MATCH($AQ$3,年齢階層×在院期間区分F2[#Headers],0)),0)</f>
        <v>19</v>
      </c>
      <c r="F5" s="155">
        <f t="shared" si="1"/>
        <v>1.0650224215246636E-2</v>
      </c>
      <c r="G5" s="177">
        <f>IFERROR(INDEX(年齢階層×在院期間区分F2[#All],MATCH($AH5,年齢階層×在院期間区分F2[[#All],[行ラベル]],0),MATCH($AR$3,年齢階層×在院期間区分F2[#Headers],0)),0)+IFERROR(INDEX(年齢階層×在院期間区分F2[#All],MATCH($AH5,年齢階層×在院期間区分F2[[#All],[行ラベル]],0),MATCH($AS$3,年齢階層×在院期間区分F2[#Headers],0)),0)+IFERROR(INDEX(年齢階層×在院期間区分F2[#All],MATCH($AH5,年齢階層×在院期間区分F2[[#All],[行ラベル]],0),MATCH($AT$3,年齢階層×在院期間区分F2[#Headers],0)),0)+IFERROR(INDEX(年齢階層×在院期間区分F2[#All],MATCH($AH5,年齢階層×在院期間区分F2[[#All],[行ラベル]],0),MATCH($AU$3,年齢階層×在院期間区分F2[#Headers],0)),0)+IFERROR(INDEX(年齢階層×在院期間区分F2[#All],MATCH($AH5,年齢階層×在院期間区分F2[[#All],[行ラベル]],0),MATCH($AV$3,年齢階層×在院期間区分F2[#Headers],0)),0)</f>
        <v>4</v>
      </c>
      <c r="H5" s="155">
        <f t="shared" si="2"/>
        <v>3.4217279726261761E-3</v>
      </c>
      <c r="I5" s="178">
        <f>IFERROR(INDEX(年齢階層×在院期間区分F2[#All],MATCH($AH5,年齢階層×在院期間区分F2[[#All],[行ラベル]],0),MATCH($AW$3,年齢階層×在院期間区分F2[#Headers],0)),0)+IFERROR(INDEX(年齢階層×在院期間区分F2[#All],MATCH($AH5,年齢階層×在院期間区分F2[[#All],[行ラベル]],0),MATCH($AX$3,年齢階層×在院期間区分F2[#Headers],0)),0)</f>
        <v>0</v>
      </c>
      <c r="J5" s="155">
        <f t="shared" si="3"/>
        <v>0</v>
      </c>
      <c r="K5" s="154">
        <f>SUM(C5,E5,G5,I5)</f>
        <v>125</v>
      </c>
      <c r="L5" s="155">
        <f t="shared" si="4"/>
        <v>1.8570791858564851E-2</v>
      </c>
      <c r="O5" s="53" t="s">
        <v>3</v>
      </c>
      <c r="P5" s="61">
        <v>33</v>
      </c>
      <c r="Q5" s="61">
        <v>38</v>
      </c>
      <c r="R5" s="61">
        <v>17</v>
      </c>
      <c r="S5" s="61">
        <v>14</v>
      </c>
      <c r="T5" s="61">
        <v>7</v>
      </c>
      <c r="U5" s="61">
        <v>6</v>
      </c>
      <c r="V5" s="61">
        <v>5</v>
      </c>
      <c r="W5" s="61">
        <v>1</v>
      </c>
      <c r="X5" s="61">
        <v>0</v>
      </c>
      <c r="Y5" s="61">
        <v>2</v>
      </c>
      <c r="Z5" s="61">
        <v>0</v>
      </c>
      <c r="AA5" s="61">
        <v>0</v>
      </c>
      <c r="AB5" s="61">
        <v>1</v>
      </c>
      <c r="AC5" s="61">
        <v>1</v>
      </c>
      <c r="AD5" s="61">
        <v>0</v>
      </c>
      <c r="AE5" s="61">
        <v>0</v>
      </c>
      <c r="AF5" s="61"/>
      <c r="AH5" s="53" t="s">
        <v>3</v>
      </c>
      <c r="AI5" s="62"/>
      <c r="AJ5" s="62"/>
      <c r="AL5" s="66"/>
    </row>
    <row r="6" spans="2:50" s="21" customFormat="1" ht="18.75" customHeight="1" x14ac:dyDescent="0.2">
      <c r="B6" s="176" t="s">
        <v>4</v>
      </c>
      <c r="C6" s="177">
        <f>IFERROR(INDEX(年齢階層×在院期間区分F2[#All],MATCH($AH6,年齢階層×在院期間区分F2[[#All],[行ラベル]],0),MATCH($AI$3,年齢階層×在院期間区分F2[#Headers],0)),0)+IFERROR(INDEX(年齢階層×在院期間区分F2[#All],MATCH($AH6,年齢階層×在院期間区分F2[[#All],[行ラベル]],0),MATCH($AJ$3,年齢階層×在院期間区分F2[#Headers],0)),0)+IFERROR(INDEX(年齢階層×在院期間区分F2[#All],MATCH($AH6,年齢階層×在院期間区分F2[[#All],[行ラベル]],0),MATCH($AK$3,年齢階層×在院期間区分F2[#Headers],0)),0)+IFERROR(INDEX(年齢階層×在院期間区分F2[#All],MATCH($AH6,年齢階層×在院期間区分F2[[#All],[行ラベル]],0),MATCH($AL$3,年齢階層×在院期間区分F2[#Headers],0)),0)</f>
        <v>167</v>
      </c>
      <c r="D6" s="155">
        <f t="shared" si="0"/>
        <v>7.8959810874704495E-2</v>
      </c>
      <c r="E6" s="178">
        <f>IFERROR(INDEX(年齢階層×在院期間区分F2[#All],MATCH($AH6,年齢階層×在院期間区分F2[[#All],[行ラベル]],0),MATCH($AM$3,年齢階層×在院期間区分F2[#Headers],0)),0)+IFERROR(INDEX(年齢階層×在院期間区分F2[#All],MATCH($AH6,年齢階層×在院期間区分F2[[#All],[行ラベル]],0),MATCH($AN$3,年齢階層×在院期間区分F2[#Headers],0)),0)+IFERROR(INDEX(年齢階層×在院期間区分F2[#All],MATCH($AH6,年齢階層×在院期間区分F2[[#All],[行ラベル]],0),MATCH($AO$3,年齢階層×在院期間区分F2[#Headers],0)),0)+IFERROR(INDEX(年齢階層×在院期間区分F2[#All],MATCH($AH6,年齢階層×在院期間区分F2[[#All],[行ラベル]],0),MATCH($AP$3,年齢階層×在院期間区分F2[#Headers],0)),0)+IFERROR(INDEX(年齢階層×在院期間区分F2[#All],MATCH($AH6,年齢階層×在院期間区分F2[[#All],[行ラベル]],0),MATCH($AQ$3,年齢階層×在院期間区分F2[#Headers],0)),0)</f>
        <v>71</v>
      </c>
      <c r="F6" s="155">
        <f t="shared" si="1"/>
        <v>3.9798206278026903E-2</v>
      </c>
      <c r="G6" s="177">
        <f>IFERROR(INDEX(年齢階層×在院期間区分F2[#All],MATCH($AH6,年齢階層×在院期間区分F2[[#All],[行ラベル]],0),MATCH($AR$3,年齢階層×在院期間区分F2[#Headers],0)),0)+IFERROR(INDEX(年齢階層×在院期間区分F2[#All],MATCH($AH6,年齢階層×在院期間区分F2[[#All],[行ラベル]],0),MATCH($AS$3,年齢階層×在院期間区分F2[#Headers],0)),0)+IFERROR(INDEX(年齢階層×在院期間区分F2[#All],MATCH($AH6,年齢階層×在院期間区分F2[[#All],[行ラベル]],0),MATCH($AT$3,年齢階層×在院期間区分F2[#Headers],0)),0)+IFERROR(INDEX(年齢階層×在院期間区分F2[#All],MATCH($AH6,年齢階層×在院期間区分F2[[#All],[行ラベル]],0),MATCH($AU$3,年齢階層×在院期間区分F2[#Headers],0)),0)+IFERROR(INDEX(年齢階層×在院期間区分F2[#All],MATCH($AH6,年齢階層×在院期間区分F2[[#All],[行ラベル]],0),MATCH($AV$3,年齢階層×在院期間区分F2[#Headers],0)),0)</f>
        <v>38</v>
      </c>
      <c r="H6" s="155">
        <f t="shared" si="2"/>
        <v>3.2506415739948676E-2</v>
      </c>
      <c r="I6" s="154">
        <f>IFERROR(INDEX(年齢階層×在院期間区分F2[#All],MATCH($AH6,年齢階層×在院期間区分F2[[#All],[行ラベル]],0),MATCH($AW$3,年齢階層×在院期間区分F2[#Headers],0)),0)+IFERROR(INDEX(年齢階層×在院期間区分F2[#All],MATCH($AH6,年齢階層×在院期間区分F2[[#All],[行ラベル]],0),MATCH($AX$3,年齢階層×在院期間区分F2[#Headers],0)),0)</f>
        <v>22</v>
      </c>
      <c r="J6" s="155">
        <f t="shared" si="3"/>
        <v>1.32291040288635E-2</v>
      </c>
      <c r="K6" s="154">
        <f t="shared" ref="K6:K12" si="5">SUM(C6,E6,G6,I6)</f>
        <v>298</v>
      </c>
      <c r="L6" s="155">
        <f t="shared" si="4"/>
        <v>4.4272767790818603E-2</v>
      </c>
      <c r="O6" s="53" t="s">
        <v>4</v>
      </c>
      <c r="P6" s="61">
        <v>71</v>
      </c>
      <c r="Q6" s="61">
        <v>55</v>
      </c>
      <c r="R6" s="61">
        <v>17</v>
      </c>
      <c r="S6" s="61">
        <v>24</v>
      </c>
      <c r="T6" s="61">
        <v>12</v>
      </c>
      <c r="U6" s="61">
        <v>10</v>
      </c>
      <c r="V6" s="61">
        <v>17</v>
      </c>
      <c r="W6" s="61">
        <v>12</v>
      </c>
      <c r="X6" s="61">
        <v>20</v>
      </c>
      <c r="Y6" s="61">
        <v>10</v>
      </c>
      <c r="Z6" s="61">
        <v>10</v>
      </c>
      <c r="AA6" s="61">
        <v>6</v>
      </c>
      <c r="AB6" s="61">
        <v>5</v>
      </c>
      <c r="AC6" s="61">
        <v>7</v>
      </c>
      <c r="AD6" s="61">
        <v>22</v>
      </c>
      <c r="AE6" s="61">
        <v>0</v>
      </c>
      <c r="AF6" s="61"/>
      <c r="AH6" s="53" t="s">
        <v>4</v>
      </c>
      <c r="AI6" s="62"/>
      <c r="AJ6" s="62"/>
      <c r="AL6" s="66"/>
    </row>
    <row r="7" spans="2:50" s="21" customFormat="1" ht="18.75" customHeight="1" x14ac:dyDescent="0.2">
      <c r="B7" s="176" t="s">
        <v>5</v>
      </c>
      <c r="C7" s="154">
        <f>IFERROR(INDEX(年齢階層×在院期間区分F2[#All],MATCH($AH7,年齢階層×在院期間区分F2[[#All],[行ラベル]],0),MATCH($AI$3,年齢階層×在院期間区分F2[#Headers],0)),0)+IFERROR(INDEX(年齢階層×在院期間区分F2[#All],MATCH($AH7,年齢階層×在院期間区分F2[[#All],[行ラベル]],0),MATCH($AJ$3,年齢階層×在院期間区分F2[#Headers],0)),0)+IFERROR(INDEX(年齢階層×在院期間区分F2[#All],MATCH($AH7,年齢階層×在院期間区分F2[[#All],[行ラベル]],0),MATCH($AK$3,年齢階層×在院期間区分F2[#Headers],0)),0)+IFERROR(INDEX(年齢階層×在院期間区分F2[#All],MATCH($AH7,年齢階層×在院期間区分F2[[#All],[行ラベル]],0),MATCH($AL$3,年齢階層×在院期間区分F2[#Headers],0)),0)</f>
        <v>328</v>
      </c>
      <c r="D7" s="155">
        <f t="shared" si="0"/>
        <v>0.15508274231678487</v>
      </c>
      <c r="E7" s="154">
        <f>IFERROR(INDEX(年齢階層×在院期間区分F2[#All],MATCH($AH7,年齢階層×在院期間区分F2[[#All],[行ラベル]],0),MATCH($AM$3,年齢階層×在院期間区分F2[#Headers],0)),0)+IFERROR(INDEX(年齢階層×在院期間区分F2[#All],MATCH($AH7,年齢階層×在院期間区分F2[[#All],[行ラベル]],0),MATCH($AN$3,年齢階層×在院期間区分F2[#Headers],0)),0)+IFERROR(INDEX(年齢階層×在院期間区分F2[#All],MATCH($AH7,年齢階層×在院期間区分F2[[#All],[行ラベル]],0),MATCH($AO$3,年齢階層×在院期間区分F2[#Headers],0)),0)+IFERROR(INDEX(年齢階層×在院期間区分F2[#All],MATCH($AH7,年齢階層×在院期間区分F2[[#All],[行ラベル]],0),MATCH($AP$3,年齢階層×在院期間区分F2[#Headers],0)),0)+IFERROR(INDEX(年齢階層×在院期間区分F2[#All],MATCH($AH7,年齢階層×在院期間区分F2[[#All],[行ラベル]],0),MATCH($AQ$3,年齢階層×在院期間区分F2[#Headers],0)),0)</f>
        <v>176</v>
      </c>
      <c r="F7" s="155">
        <f t="shared" si="1"/>
        <v>9.8654708520179366E-2</v>
      </c>
      <c r="G7" s="177">
        <f>IFERROR(INDEX(年齢階層×在院期間区分F2[#All],MATCH($AH7,年齢階層×在院期間区分F2[[#All],[行ラベル]],0),MATCH($AR$3,年齢階層×在院期間区分F2[#Headers],0)),0)+IFERROR(INDEX(年齢階層×在院期間区分F2[#All],MATCH($AH7,年齢階層×在院期間区分F2[[#All],[行ラベル]],0),MATCH($AS$3,年齢階層×在院期間区分F2[#Headers],0)),0)+IFERROR(INDEX(年齢階層×在院期間区分F2[#All],MATCH($AH7,年齢階層×在院期間区分F2[[#All],[行ラベル]],0),MATCH($AT$3,年齢階層×在院期間区分F2[#Headers],0)),0)+IFERROR(INDEX(年齢階層×在院期間区分F2[#All],MATCH($AH7,年齢階層×在院期間区分F2[[#All],[行ラベル]],0),MATCH($AU$3,年齢階層×在院期間区分F2[#Headers],0)),0)+IFERROR(INDEX(年齢階層×在院期間区分F2[#All],MATCH($AH7,年齢階層×在院期間区分F2[[#All],[行ラベル]],0),MATCH($AV$3,年齢階層×在院期間区分F2[#Headers],0)),0)</f>
        <v>118</v>
      </c>
      <c r="H7" s="155">
        <f t="shared" si="2"/>
        <v>0.10094097519247219</v>
      </c>
      <c r="I7" s="178">
        <f>IFERROR(INDEX(年齢階層×在院期間区分F2[#All],MATCH($AH7,年齢階層×在院期間区分F2[[#All],[行ラベル]],0),MATCH($AW$3,年齢階層×在院期間区分F2[#Headers],0)),0)+IFERROR(INDEX(年齢階層×在院期間区分F2[#All],MATCH($AH7,年齢階層×在院期間区分F2[[#All],[行ラベル]],0),MATCH($AX$3,年齢階層×在院期間区分F2[#Headers],0)),0)</f>
        <v>112</v>
      </c>
      <c r="J7" s="155">
        <f t="shared" si="3"/>
        <v>6.7348165965123274E-2</v>
      </c>
      <c r="K7" s="154">
        <f t="shared" si="5"/>
        <v>734</v>
      </c>
      <c r="L7" s="155">
        <f t="shared" si="4"/>
        <v>0.10904768979349279</v>
      </c>
      <c r="O7" s="53" t="s">
        <v>5</v>
      </c>
      <c r="P7" s="61">
        <v>96</v>
      </c>
      <c r="Q7" s="61">
        <v>115</v>
      </c>
      <c r="R7" s="61">
        <v>52</v>
      </c>
      <c r="S7" s="61">
        <v>65</v>
      </c>
      <c r="T7" s="61">
        <v>47</v>
      </c>
      <c r="U7" s="61">
        <v>26</v>
      </c>
      <c r="V7" s="61">
        <v>41</v>
      </c>
      <c r="W7" s="61">
        <v>42</v>
      </c>
      <c r="X7" s="61">
        <v>20</v>
      </c>
      <c r="Y7" s="61">
        <v>27</v>
      </c>
      <c r="Z7" s="61">
        <v>25</v>
      </c>
      <c r="AA7" s="61">
        <v>29</v>
      </c>
      <c r="AB7" s="61">
        <v>19</v>
      </c>
      <c r="AC7" s="61">
        <v>18</v>
      </c>
      <c r="AD7" s="61">
        <v>92</v>
      </c>
      <c r="AE7" s="61">
        <v>20</v>
      </c>
      <c r="AF7" s="61"/>
      <c r="AH7" s="53" t="s">
        <v>5</v>
      </c>
      <c r="AI7" s="62"/>
      <c r="AJ7" s="62"/>
      <c r="AL7" s="66"/>
    </row>
    <row r="8" spans="2:50" s="21" customFormat="1" ht="18.75" customHeight="1" x14ac:dyDescent="0.2">
      <c r="B8" s="176" t="s">
        <v>6</v>
      </c>
      <c r="C8" s="154">
        <f>IFERROR(INDEX(年齢階層×在院期間区分F2[#All],MATCH($AH8,年齢階層×在院期間区分F2[[#All],[行ラベル]],0),MATCH($AI$3,年齢階層×在院期間区分F2[#Headers],0)),0)+IFERROR(INDEX(年齢階層×在院期間区分F2[#All],MATCH($AH8,年齢階層×在院期間区分F2[[#All],[行ラベル]],0),MATCH($AJ$3,年齢階層×在院期間区分F2[#Headers],0)),0)+IFERROR(INDEX(年齢階層×在院期間区分F2[#All],MATCH($AH8,年齢階層×在院期間区分F2[[#All],[行ラベル]],0),MATCH($AK$3,年齢階層×在院期間区分F2[#Headers],0)),0)+IFERROR(INDEX(年齢階層×在院期間区分F2[#All],MATCH($AH8,年齢階層×在院期間区分F2[[#All],[行ラベル]],0),MATCH($AL$3,年齢階層×在院期間区分F2[#Headers],0)),0)</f>
        <v>534</v>
      </c>
      <c r="D8" s="155">
        <f t="shared" si="0"/>
        <v>0.25248226950354608</v>
      </c>
      <c r="E8" s="154">
        <f>IFERROR(INDEX(年齢階層×在院期間区分F2[#All],MATCH($AH8,年齢階層×在院期間区分F2[[#All],[行ラベル]],0),MATCH($AM$3,年齢階層×在院期間区分F2[#Headers],0)),0)+IFERROR(INDEX(年齢階層×在院期間区分F2[#All],MATCH($AH8,年齢階層×在院期間区分F2[[#All],[行ラベル]],0),MATCH($AN$3,年齢階層×在院期間区分F2[#Headers],0)),0)+IFERROR(INDEX(年齢階層×在院期間区分F2[#All],MATCH($AH8,年齢階層×在院期間区分F2[[#All],[行ラベル]],0),MATCH($AO$3,年齢階層×在院期間区分F2[#Headers],0)),0)+IFERROR(INDEX(年齢階層×在院期間区分F2[#All],MATCH($AH8,年齢階層×在院期間区分F2[[#All],[行ラベル]],0),MATCH($AP$3,年齢階層×在院期間区分F2[#Headers],0)),0)+IFERROR(INDEX(年齢階層×在院期間区分F2[#All],MATCH($AH8,年齢階層×在院期間区分F2[[#All],[行ラベル]],0),MATCH($AQ$3,年齢階層×在院期間区分F2[#Headers],0)),0)</f>
        <v>413</v>
      </c>
      <c r="F8" s="155">
        <f t="shared" si="1"/>
        <v>0.23150224215246637</v>
      </c>
      <c r="G8" s="177">
        <f>IFERROR(INDEX(年齢階層×在院期間区分F2[#All],MATCH($AH8,年齢階層×在院期間区分F2[[#All],[行ラベル]],0),MATCH($AR$3,年齢階層×在院期間区分F2[#Headers],0)),0)+IFERROR(INDEX(年齢階層×在院期間区分F2[#All],MATCH($AH8,年齢階層×在院期間区分F2[[#All],[行ラベル]],0),MATCH($AS$3,年齢階層×在院期間区分F2[#Headers],0)),0)+IFERROR(INDEX(年齢階層×在院期間区分F2[#All],MATCH($AH8,年齢階層×在院期間区分F2[[#All],[行ラベル]],0),MATCH($AT$3,年齢階層×在院期間区分F2[#Headers],0)),0)+IFERROR(INDEX(年齢階層×在院期間区分F2[#All],MATCH($AH8,年齢階層×在院期間区分F2[[#All],[行ラベル]],0),MATCH($AU$3,年齢階層×在院期間区分F2[#Headers],0)),0)+IFERROR(INDEX(年齢階層×在院期間区分F2[#All],MATCH($AH8,年齢階層×在院期間区分F2[[#All],[行ラベル]],0),MATCH($AV$3,年齢階層×在院期間区分F2[#Headers],0)),0)</f>
        <v>302</v>
      </c>
      <c r="H8" s="155">
        <f t="shared" si="2"/>
        <v>0.25834046193327631</v>
      </c>
      <c r="I8" s="177">
        <f>IFERROR(INDEX(年齢階層×在院期間区分F2[#All],MATCH($AH8,年齢階層×在院期間区分F2[[#All],[行ラベル]],0),MATCH($AW$3,年齢階層×在院期間区分F2[#Headers],0)),0)+IFERROR(INDEX(年齢階層×在院期間区分F2[#All],MATCH($AH8,年齢階層×在院期間区分F2[[#All],[行ラベル]],0),MATCH($AX$3,年齢階層×在院期間区分F2[#Headers],0)),0)</f>
        <v>405</v>
      </c>
      <c r="J8" s="155">
        <f t="shared" si="3"/>
        <v>0.24353577871316898</v>
      </c>
      <c r="K8" s="154">
        <f t="shared" si="5"/>
        <v>1654</v>
      </c>
      <c r="L8" s="155">
        <f t="shared" si="4"/>
        <v>0.24572871787253009</v>
      </c>
      <c r="O8" s="53" t="s">
        <v>6</v>
      </c>
      <c r="P8" s="61">
        <v>141</v>
      </c>
      <c r="Q8" s="61">
        <v>180</v>
      </c>
      <c r="R8" s="61">
        <v>94</v>
      </c>
      <c r="S8" s="61">
        <v>119</v>
      </c>
      <c r="T8" s="61">
        <v>84</v>
      </c>
      <c r="U8" s="61">
        <v>67</v>
      </c>
      <c r="V8" s="61">
        <v>104</v>
      </c>
      <c r="W8" s="61">
        <v>78</v>
      </c>
      <c r="X8" s="61">
        <v>80</v>
      </c>
      <c r="Y8" s="61">
        <v>76</v>
      </c>
      <c r="Z8" s="61">
        <v>66</v>
      </c>
      <c r="AA8" s="61">
        <v>50</v>
      </c>
      <c r="AB8" s="61">
        <v>51</v>
      </c>
      <c r="AC8" s="61">
        <v>59</v>
      </c>
      <c r="AD8" s="61">
        <v>258</v>
      </c>
      <c r="AE8" s="61">
        <v>147</v>
      </c>
      <c r="AF8" s="61"/>
      <c r="AH8" s="53" t="s">
        <v>6</v>
      </c>
      <c r="AI8" s="62"/>
      <c r="AJ8" s="62"/>
      <c r="AL8" s="66"/>
    </row>
    <row r="9" spans="2:50" s="21" customFormat="1" ht="18.75" customHeight="1" x14ac:dyDescent="0.2">
      <c r="B9" s="176" t="s">
        <v>7</v>
      </c>
      <c r="C9" s="154">
        <f>IFERROR(INDEX(年齢階層×在院期間区分F2[#All],MATCH($AH9,年齢階層×在院期間区分F2[[#All],[行ラベル]],0),MATCH($AI$3,年齢階層×在院期間区分F2[#Headers],0)),0)+IFERROR(INDEX(年齢階層×在院期間区分F2[#All],MATCH($AH9,年齢階層×在院期間区分F2[[#All],[行ラベル]],0),MATCH($AJ$3,年齢階層×在院期間区分F2[#Headers],0)),0)+IFERROR(INDEX(年齢階層×在院期間区分F2[#All],MATCH($AH9,年齢階層×在院期間区分F2[[#All],[行ラベル]],0),MATCH($AK$3,年齢階層×在院期間区分F2[#Headers],0)),0)+IFERROR(INDEX(年齢階層×在院期間区分F2[#All],MATCH($AH9,年齢階層×在院期間区分F2[[#All],[行ラベル]],0),MATCH($AL$3,年齢階層×在院期間区分F2[#Headers],0)),0)</f>
        <v>391</v>
      </c>
      <c r="D9" s="155">
        <f t="shared" si="0"/>
        <v>0.18486997635933805</v>
      </c>
      <c r="E9" s="178">
        <f>IFERROR(INDEX(年齢階層×在院期間区分F2[#All],MATCH($AH9,年齢階層×在院期間区分F2[[#All],[行ラベル]],0),MATCH($AM$3,年齢階層×在院期間区分F2[#Headers],0)),0)+IFERROR(INDEX(年齢階層×在院期間区分F2[#All],MATCH($AH9,年齢階層×在院期間区分F2[[#All],[行ラベル]],0),MATCH($AN$3,年齢階層×在院期間区分F2[#Headers],0)),0)+IFERROR(INDEX(年齢階層×在院期間区分F2[#All],MATCH($AH9,年齢階層×在院期間区分F2[[#All],[行ラベル]],0),MATCH($AO$3,年齢階層×在院期間区分F2[#Headers],0)),0)+IFERROR(INDEX(年齢階層×在院期間区分F2[#All],MATCH($AH9,年齢階層×在院期間区分F2[[#All],[行ラベル]],0),MATCH($AP$3,年齢階層×在院期間区分F2[#Headers],0)),0)+IFERROR(INDEX(年齢階層×在院期間区分F2[#All],MATCH($AH9,年齢階層×在院期間区分F2[[#All],[行ラベル]],0),MATCH($AQ$3,年齢階層×在院期間区分F2[#Headers],0)),0)</f>
        <v>395</v>
      </c>
      <c r="F9" s="155">
        <f t="shared" si="1"/>
        <v>0.22141255605381166</v>
      </c>
      <c r="G9" s="177">
        <f>IFERROR(INDEX(年齢階層×在院期間区分F2[#All],MATCH($AH9,年齢階層×在院期間区分F2[[#All],[行ラベル]],0),MATCH($AR$3,年齢階層×在院期間区分F2[#Headers],0)),0)+IFERROR(INDEX(年齢階層×在院期間区分F2[#All],MATCH($AH9,年齢階層×在院期間区分F2[[#All],[行ラベル]],0),MATCH($AS$3,年齢階層×在院期間区分F2[#Headers],0)),0)+IFERROR(INDEX(年齢階層×在院期間区分F2[#All],MATCH($AH9,年齢階層×在院期間区分F2[[#All],[行ラベル]],0),MATCH($AT$3,年齢階層×在院期間区分F2[#Headers],0)),0)+IFERROR(INDEX(年齢階層×在院期間区分F2[#All],MATCH($AH9,年齢階層×在院期間区分F2[[#All],[行ラベル]],0),MATCH($AU$3,年齢階層×在院期間区分F2[#Headers],0)),0)+IFERROR(INDEX(年齢階層×在院期間区分F2[#All],MATCH($AH9,年齢階層×在院期間区分F2[[#All],[行ラベル]],0),MATCH($AV$3,年齢階層×在院期間区分F2[#Headers],0)),0)</f>
        <v>271</v>
      </c>
      <c r="H9" s="155">
        <f t="shared" si="2"/>
        <v>0.23182207014542344</v>
      </c>
      <c r="I9" s="154">
        <f>IFERROR(INDEX(年齢階層×在院期間区分F2[#All],MATCH($AH9,年齢階層×在院期間区分F2[[#All],[行ラベル]],0),MATCH($AW$3,年齢階層×在院期間区分F2[#Headers],0)),0)+IFERROR(INDEX(年齢階層×在院期間区分F2[#All],MATCH($AH9,年齢階層×在院期間区分F2[[#All],[行ラベル]],0),MATCH($AX$3,年齢階層×在院期間区分F2[#Headers],0)),0)</f>
        <v>412</v>
      </c>
      <c r="J9" s="155">
        <f t="shared" si="3"/>
        <v>0.24774503908598919</v>
      </c>
      <c r="K9" s="154">
        <f t="shared" si="5"/>
        <v>1469</v>
      </c>
      <c r="L9" s="155">
        <f t="shared" si="4"/>
        <v>0.21824394592185412</v>
      </c>
      <c r="O9" s="53" t="s">
        <v>7</v>
      </c>
      <c r="P9" s="61">
        <v>99</v>
      </c>
      <c r="Q9" s="61">
        <v>111</v>
      </c>
      <c r="R9" s="61">
        <v>75</v>
      </c>
      <c r="S9" s="61">
        <v>106</v>
      </c>
      <c r="T9" s="61">
        <v>86</v>
      </c>
      <c r="U9" s="61">
        <v>58</v>
      </c>
      <c r="V9" s="61">
        <v>83</v>
      </c>
      <c r="W9" s="61">
        <v>83</v>
      </c>
      <c r="X9" s="61">
        <v>85</v>
      </c>
      <c r="Y9" s="61">
        <v>74</v>
      </c>
      <c r="Z9" s="61">
        <v>68</v>
      </c>
      <c r="AA9" s="61">
        <v>49</v>
      </c>
      <c r="AB9" s="61">
        <v>42</v>
      </c>
      <c r="AC9" s="61">
        <v>38</v>
      </c>
      <c r="AD9" s="61">
        <v>252</v>
      </c>
      <c r="AE9" s="61">
        <v>160</v>
      </c>
      <c r="AF9" s="61"/>
      <c r="AH9" s="53" t="s">
        <v>7</v>
      </c>
      <c r="AI9" s="62"/>
      <c r="AJ9" s="62"/>
      <c r="AL9" s="66"/>
    </row>
    <row r="10" spans="2:50" s="21" customFormat="1" ht="18.75" customHeight="1" x14ac:dyDescent="0.2">
      <c r="B10" s="176" t="s">
        <v>8</v>
      </c>
      <c r="C10" s="178">
        <f>IFERROR(INDEX(年齢階層×在院期間区分F2[#All],MATCH($AH10,年齢階層×在院期間区分F2[[#All],[行ラベル]],0),MATCH($AI$3,年齢階層×在院期間区分F2[#Headers],0)),0)+IFERROR(INDEX(年齢階層×在院期間区分F2[#All],MATCH($AH10,年齢階層×在院期間区分F2[[#All],[行ラベル]],0),MATCH($AJ$3,年齢階層×在院期間区分F2[#Headers],0)),0)+IFERROR(INDEX(年齢階層×在院期間区分F2[#All],MATCH($AH10,年齢階層×在院期間区分F2[[#All],[行ラベル]],0),MATCH($AK$3,年齢階層×在院期間区分F2[#Headers],0)),0)+IFERROR(INDEX(年齢階層×在院期間区分F2[#All],MATCH($AH10,年齢階層×在院期間区分F2[[#All],[行ラベル]],0),MATCH($AL$3,年齢階層×在院期間区分F2[#Headers],0)),0)</f>
        <v>385</v>
      </c>
      <c r="D10" s="155">
        <f t="shared" si="0"/>
        <v>0.18203309692671396</v>
      </c>
      <c r="E10" s="177">
        <f>IFERROR(INDEX(年齢階層×在院期間区分F2[#All],MATCH($AH10,年齢階層×在院期間区分F2[[#All],[行ラベル]],0),MATCH($AM$3,年齢階層×在院期間区分F2[#Headers],0)),0)+IFERROR(INDEX(年齢階層×在院期間区分F2[#All],MATCH($AH10,年齢階層×在院期間区分F2[[#All],[行ラベル]],0),MATCH($AN$3,年齢階層×在院期間区分F2[#Headers],0)),0)+IFERROR(INDEX(年齢階層×在院期間区分F2[#All],MATCH($AH10,年齢階層×在院期間区分F2[[#All],[行ラベル]],0),MATCH($AO$3,年齢階層×在院期間区分F2[#Headers],0)),0)+IFERROR(INDEX(年齢階層×在院期間区分F2[#All],MATCH($AH10,年齢階層×在院期間区分F2[[#All],[行ラベル]],0),MATCH($AP$3,年齢階層×在院期間区分F2[#Headers],0)),0)+IFERROR(INDEX(年齢階層×在院期間区分F2[#All],MATCH($AH10,年齢階層×在院期間区分F2[[#All],[行ラベル]],0),MATCH($AQ$3,年齢階層×在院期間区分F2[#Headers],0)),0)</f>
        <v>442</v>
      </c>
      <c r="F10" s="155">
        <f t="shared" si="1"/>
        <v>0.24775784753363228</v>
      </c>
      <c r="G10" s="177">
        <f>IFERROR(INDEX(年齢階層×在院期間区分F2[#All],MATCH($AH10,年齢階層×在院期間区分F2[[#All],[行ラベル]],0),MATCH($AR$3,年齢階層×在院期間区分F2[#Headers],0)),0)+IFERROR(INDEX(年齢階層×在院期間区分F2[#All],MATCH($AH10,年齢階層×在院期間区分F2[[#All],[行ラベル]],0),MATCH($AS$3,年齢階層×在院期間区分F2[#Headers],0)),0)+IFERROR(INDEX(年齢階層×在院期間区分F2[#All],MATCH($AH10,年齢階層×在院期間区分F2[[#All],[行ラベル]],0),MATCH($AT$3,年齢階層×在院期間区分F2[#Headers],0)),0)+IFERROR(INDEX(年齢階層×在院期間区分F2[#All],MATCH($AH10,年齢階層×在院期間区分F2[[#All],[行ラベル]],0),MATCH($AU$3,年齢階層×在院期間区分F2[#Headers],0)),0)+IFERROR(INDEX(年齢階層×在院期間区分F2[#All],MATCH($AH10,年齢階層×在院期間区分F2[[#All],[行ラベル]],0),MATCH($AV$3,年齢階層×在院期間区分F2[#Headers],0)),0)</f>
        <v>286</v>
      </c>
      <c r="H10" s="155">
        <f t="shared" si="2"/>
        <v>0.24465355004277159</v>
      </c>
      <c r="I10" s="154">
        <f>IFERROR(INDEX(年齢階層×在院期間区分F2[#All],MATCH($AH10,年齢階層×在院期間区分F2[[#All],[行ラベル]],0),MATCH($AW$3,年齢階層×在院期間区分F2[#Headers],0)),0)+IFERROR(INDEX(年齢階層×在院期間区分F2[#All],MATCH($AH10,年齢階層×在院期間区分F2[[#All],[行ラベル]],0),MATCH($AX$3,年齢階層×在院期間区分F2[#Headers],0)),0)</f>
        <v>493</v>
      </c>
      <c r="J10" s="155">
        <f t="shared" si="3"/>
        <v>0.29645219482862295</v>
      </c>
      <c r="K10" s="154">
        <f t="shared" si="5"/>
        <v>1606</v>
      </c>
      <c r="L10" s="155">
        <f t="shared" si="4"/>
        <v>0.23859753379884119</v>
      </c>
      <c r="O10" s="53" t="s">
        <v>8</v>
      </c>
      <c r="P10" s="61">
        <v>76</v>
      </c>
      <c r="Q10" s="61">
        <v>122</v>
      </c>
      <c r="R10" s="61">
        <v>79</v>
      </c>
      <c r="S10" s="61">
        <v>108</v>
      </c>
      <c r="T10" s="61">
        <v>93</v>
      </c>
      <c r="U10" s="61">
        <v>70</v>
      </c>
      <c r="V10" s="61">
        <v>87</v>
      </c>
      <c r="W10" s="61">
        <v>99</v>
      </c>
      <c r="X10" s="61">
        <v>93</v>
      </c>
      <c r="Y10" s="61">
        <v>69</v>
      </c>
      <c r="Z10" s="61">
        <v>64</v>
      </c>
      <c r="AA10" s="61">
        <v>58</v>
      </c>
      <c r="AB10" s="61">
        <v>51</v>
      </c>
      <c r="AC10" s="61">
        <v>44</v>
      </c>
      <c r="AD10" s="61">
        <v>241</v>
      </c>
      <c r="AE10" s="61">
        <v>252</v>
      </c>
      <c r="AF10" s="61"/>
      <c r="AH10" s="53" t="s">
        <v>8</v>
      </c>
      <c r="AI10" s="62"/>
      <c r="AJ10" s="62"/>
      <c r="AL10" s="66"/>
    </row>
    <row r="11" spans="2:50" s="21" customFormat="1" ht="18.75" customHeight="1" x14ac:dyDescent="0.2">
      <c r="B11" s="176" t="s">
        <v>9</v>
      </c>
      <c r="C11" s="154">
        <f>IFERROR(INDEX(年齢階層×在院期間区分F2[#All],MATCH($AH11,年齢階層×在院期間区分F2[[#All],[行ラベル]],0),MATCH($AI$3,年齢階層×在院期間区分F2[#Headers],0)),0)+IFERROR(INDEX(年齢階層×在院期間区分F2[#All],MATCH($AH11,年齢階層×在院期間区分F2[[#All],[行ラベル]],0),MATCH($AJ$3,年齢階層×在院期間区分F2[#Headers],0)),0)+IFERROR(INDEX(年齢階層×在院期間区分F2[#All],MATCH($AH11,年齢階層×在院期間区分F2[[#All],[行ラベル]],0),MATCH($AK$3,年齢階層×在院期間区分F2[#Headers],0)),0)+IFERROR(INDEX(年齢階層×在院期間区分F2[#All],MATCH($AH11,年齢階層×在院期間区分F2[[#All],[行ラベル]],0),MATCH($AL$3,年齢階層×在院期間区分F2[#Headers],0)),0)</f>
        <v>183</v>
      </c>
      <c r="D11" s="155">
        <f t="shared" si="0"/>
        <v>8.6524822695035461E-2</v>
      </c>
      <c r="E11" s="177">
        <f>IFERROR(INDEX(年齢階層×在院期間区分F2[#All],MATCH($AH11,年齢階層×在院期間区分F2[[#All],[行ラベル]],0),MATCH($AM$3,年齢階層×在院期間区分F2[#Headers],0)),0)+IFERROR(INDEX(年齢階層×在院期間区分F2[#All],MATCH($AH11,年齢階層×在院期間区分F2[[#All],[行ラベル]],0),MATCH($AN$3,年齢階層×在院期間区分F2[#Headers],0)),0)+IFERROR(INDEX(年齢階層×在院期間区分F2[#All],MATCH($AH11,年齢階層×在院期間区分F2[[#All],[行ラベル]],0),MATCH($AO$3,年齢階層×在院期間区分F2[#Headers],0)),0)+IFERROR(INDEX(年齢階層×在院期間区分F2[#All],MATCH($AH11,年齢階層×在院期間区分F2[[#All],[行ラベル]],0),MATCH($AP$3,年齢階層×在院期間区分F2[#Headers],0)),0)+IFERROR(INDEX(年齢階層×在院期間区分F2[#All],MATCH($AH11,年齢階層×在院期間区分F2[[#All],[行ラベル]],0),MATCH($AQ$3,年齢階層×在院期間区分F2[#Headers],0)),0)</f>
        <v>240</v>
      </c>
      <c r="F11" s="155">
        <f t="shared" si="1"/>
        <v>0.13452914798206278</v>
      </c>
      <c r="G11" s="177">
        <f>IFERROR(INDEX(年齢階層×在院期間区分F2[#All],MATCH($AH11,年齢階層×在院期間区分F2[[#All],[行ラベル]],0),MATCH($AR$3,年齢階層×在院期間区分F2[#Headers],0)),0)+IFERROR(INDEX(年齢階層×在院期間区分F2[#All],MATCH($AH11,年齢階層×在院期間区分F2[[#All],[行ラベル]],0),MATCH($AS$3,年齢階層×在院期間区分F2[#Headers],0)),0)+IFERROR(INDEX(年齢階層×在院期間区分F2[#All],MATCH($AH11,年齢階層×在院期間区分F2[[#All],[行ラベル]],0),MATCH($AT$3,年齢階層×在院期間区分F2[#Headers],0)),0)+IFERROR(INDEX(年齢階層×在院期間区分F2[#All],MATCH($AH11,年齢階層×在院期間区分F2[[#All],[行ラベル]],0),MATCH($AU$3,年齢階層×在院期間区分F2[#Headers],0)),0)+IFERROR(INDEX(年齢階層×在院期間区分F2[#All],MATCH($AH11,年齢階層×在院期間区分F2[[#All],[行ラベル]],0),MATCH($AV$3,年齢階層×在院期間区分F2[#Headers],0)),0)</f>
        <v>134</v>
      </c>
      <c r="H11" s="155">
        <f t="shared" si="2"/>
        <v>0.1146278870829769</v>
      </c>
      <c r="I11" s="178">
        <f>IFERROR(INDEX(年齢階層×在院期間区分F2[#All],MATCH($AH11,年齢階層×在院期間区分F2[[#All],[行ラベル]],0),MATCH($AW$3,年齢階層×在院期間区分F2[#Headers],0)),0)+IFERROR(INDEX(年齢階層×在院期間区分F2[#All],MATCH($AH11,年齢階層×在院期間区分F2[[#All],[行ラベル]],0),MATCH($AX$3,年齢階層×在院期間区分F2[#Headers],0)),0)</f>
        <v>196</v>
      </c>
      <c r="J11" s="155">
        <f t="shared" si="3"/>
        <v>0.11785929043896573</v>
      </c>
      <c r="K11" s="154">
        <f t="shared" si="5"/>
        <v>753</v>
      </c>
      <c r="L11" s="155">
        <f t="shared" si="4"/>
        <v>0.11187045015599466</v>
      </c>
      <c r="O11" s="53" t="s">
        <v>9</v>
      </c>
      <c r="P11" s="61">
        <v>44</v>
      </c>
      <c r="Q11" s="61">
        <v>52</v>
      </c>
      <c r="R11" s="61">
        <v>36</v>
      </c>
      <c r="S11" s="61">
        <v>51</v>
      </c>
      <c r="T11" s="61">
        <v>45</v>
      </c>
      <c r="U11" s="61">
        <v>32</v>
      </c>
      <c r="V11" s="61">
        <v>72</v>
      </c>
      <c r="W11" s="61">
        <v>48</v>
      </c>
      <c r="X11" s="61">
        <v>43</v>
      </c>
      <c r="Y11" s="61">
        <v>34</v>
      </c>
      <c r="Z11" s="61">
        <v>45</v>
      </c>
      <c r="AA11" s="61">
        <v>21</v>
      </c>
      <c r="AB11" s="61">
        <v>20</v>
      </c>
      <c r="AC11" s="61">
        <v>14</v>
      </c>
      <c r="AD11" s="61">
        <v>102</v>
      </c>
      <c r="AE11" s="61">
        <v>94</v>
      </c>
      <c r="AF11" s="61"/>
      <c r="AH11" s="53" t="s">
        <v>9</v>
      </c>
      <c r="AI11" s="62"/>
      <c r="AJ11" s="62"/>
      <c r="AL11" s="66"/>
    </row>
    <row r="12" spans="2:50" s="21" customFormat="1" ht="18.75" customHeight="1" thickBot="1" x14ac:dyDescent="0.25">
      <c r="B12" s="179" t="s">
        <v>10</v>
      </c>
      <c r="C12" s="180">
        <f>IFERROR(INDEX(年齢階層×在院期間区分F2[#All],MATCH($AH12,年齢階層×在院期間区分F2[[#All],[行ラベル]],0),MATCH($AI$3,年齢階層×在院期間区分F2[#Headers],0)),0)+IFERROR(INDEX(年齢階層×在院期間区分F2[#All],MATCH($AH12,年齢階層×在院期間区分F2[[#All],[行ラベル]],0),MATCH($AJ$3,年齢階層×在院期間区分F2[#Headers],0)),0)+IFERROR(INDEX(年齢階層×在院期間区分F2[#All],MATCH($AH12,年齢階層×在院期間区分F2[[#All],[行ラベル]],0),MATCH($AK$3,年齢階層×在院期間区分F2[#Headers],0)),0)+IFERROR(INDEX(年齢階層×在院期間区分F2[#All],MATCH($AH12,年齢階層×在院期間区分F2[[#All],[行ラベル]],0),MATCH($AL$3,年齢階層×在院期間区分F2[#Headers],0)),0)</f>
        <v>14</v>
      </c>
      <c r="D12" s="171">
        <f t="shared" si="0"/>
        <v>6.6193853427895981E-3</v>
      </c>
      <c r="E12" s="157">
        <f>IFERROR(INDEX(年齢階層×在院期間区分F2[#All],MATCH($AH12,年齢階層×在院期間区分F2[[#All],[行ラベル]],0),MATCH($AM$3,年齢階層×在院期間区分F2[#Headers],0)),0)+IFERROR(INDEX(年齢階層×在院期間区分F2[#All],MATCH($AH12,年齢階層×在院期間区分F2[[#All],[行ラベル]],0),MATCH($AN$3,年齢階層×在院期間区分F2[#Headers],0)),0)+IFERROR(INDEX(年齢階層×在院期間区分F2[#All],MATCH($AH12,年齢階層×在院期間区分F2[[#All],[行ラベル]],0),MATCH($AO$3,年齢階層×在院期間区分F2[#Headers],0)),0)+IFERROR(INDEX(年齢階層×在院期間区分F2[#All],MATCH($AH12,年齢階層×在院期間区分F2[[#All],[行ラベル]],0),MATCH($AP$3,年齢階層×在院期間区分F2[#Headers],0)),0)+IFERROR(INDEX(年齢階層×在院期間区分F2[#All],MATCH($AH12,年齢階層×在院期間区分F2[[#All],[行ラベル]],0),MATCH($AQ$3,年齢階層×在院期間区分F2[#Headers],0)),0)</f>
        <v>28</v>
      </c>
      <c r="F12" s="171">
        <f t="shared" si="1"/>
        <v>1.5695067264573991E-2</v>
      </c>
      <c r="G12" s="157">
        <f>IFERROR(INDEX(年齢階層×在院期間区分F2[#All],MATCH($AH12,年齢階層×在院期間区分F2[[#All],[行ラベル]],0),MATCH($AR$3,年齢階層×在院期間区分F2[#Headers],0)),0)+IFERROR(INDEX(年齢階層×在院期間区分F2[#All],MATCH($AH12,年齢階層×在院期間区分F2[[#All],[行ラベル]],0),MATCH($AS$3,年齢階層×在院期間区分F2[#Headers],0)),0)+IFERROR(INDEX(年齢階層×在院期間区分F2[#All],MATCH($AH12,年齢階層×在院期間区分F2[[#All],[行ラベル]],0),MATCH($AT$3,年齢階層×在院期間区分F2[#Headers],0)),0)+IFERROR(INDEX(年齢階層×在院期間区分F2[#All],MATCH($AH12,年齢階層×在院期間区分F2[[#All],[行ラベル]],0),MATCH($AU$3,年齢階層×在院期間区分F2[#Headers],0)),0)+IFERROR(INDEX(年齢階層×在院期間区分F2[#All],MATCH($AH12,年齢階層×在院期間区分F2[[#All],[行ラベル]],0),MATCH($AV$3,年齢階層×在院期間区分F2[#Headers],0)),0)</f>
        <v>16</v>
      </c>
      <c r="H12" s="171">
        <f t="shared" si="2"/>
        <v>1.3686911890504704E-2</v>
      </c>
      <c r="I12" s="157">
        <f>IFERROR(INDEX(年齢階層×在院期間区分F2[#All],MATCH($AH12,年齢階層×在院期間区分F2[[#All],[行ラベル]],0),MATCH($AW$3,年齢階層×在院期間区分F2[#Headers],0)),0)+IFERROR(INDEX(年齢階層×在院期間区分F2[#All],MATCH($AH12,年齢階層×在院期間区分F2[[#All],[行ラベル]],0),MATCH($AX$3,年齢階層×在院期間区分F2[#Headers],0)),0)</f>
        <v>23</v>
      </c>
      <c r="J12" s="171">
        <f t="shared" si="3"/>
        <v>1.3830426939266387E-2</v>
      </c>
      <c r="K12" s="157">
        <f t="shared" si="5"/>
        <v>81</v>
      </c>
      <c r="L12" s="171">
        <f t="shared" si="4"/>
        <v>1.2033873124350022E-2</v>
      </c>
      <c r="O12" s="53" t="s">
        <v>10</v>
      </c>
      <c r="P12" s="61">
        <v>4</v>
      </c>
      <c r="Q12" s="61">
        <v>3</v>
      </c>
      <c r="R12" s="61">
        <v>1</v>
      </c>
      <c r="S12" s="61">
        <v>6</v>
      </c>
      <c r="T12" s="61">
        <v>5</v>
      </c>
      <c r="U12" s="61">
        <v>8</v>
      </c>
      <c r="V12" s="61">
        <v>7</v>
      </c>
      <c r="W12" s="61">
        <v>5</v>
      </c>
      <c r="X12" s="61">
        <v>3</v>
      </c>
      <c r="Y12" s="61">
        <v>3</v>
      </c>
      <c r="Z12" s="61">
        <v>6</v>
      </c>
      <c r="AA12" s="61">
        <v>2</v>
      </c>
      <c r="AB12" s="61">
        <v>4</v>
      </c>
      <c r="AC12" s="61">
        <v>1</v>
      </c>
      <c r="AD12" s="61">
        <v>11</v>
      </c>
      <c r="AE12" s="61">
        <v>12</v>
      </c>
      <c r="AF12" s="555"/>
      <c r="AH12" s="53" t="s">
        <v>10</v>
      </c>
      <c r="AI12" s="62"/>
      <c r="AJ12" s="62"/>
      <c r="AL12" s="66"/>
    </row>
    <row r="13" spans="2:50" s="21" customFormat="1" ht="18.75" customHeight="1" thickTop="1" thickBot="1" x14ac:dyDescent="0.25">
      <c r="B13" s="181" t="s">
        <v>161</v>
      </c>
      <c r="C13" s="182">
        <f>SUM(C4:C12)</f>
        <v>2115</v>
      </c>
      <c r="D13" s="183">
        <f t="shared" ref="D13:L13" si="6">SUM(D4:D12)</f>
        <v>0.99999999999999989</v>
      </c>
      <c r="E13" s="182">
        <f>SUM(E4:E12)</f>
        <v>1784</v>
      </c>
      <c r="F13" s="183">
        <f t="shared" si="6"/>
        <v>1</v>
      </c>
      <c r="G13" s="182">
        <f>SUM(G4:G12)</f>
        <v>1169</v>
      </c>
      <c r="H13" s="183">
        <f t="shared" si="6"/>
        <v>1</v>
      </c>
      <c r="I13" s="182">
        <f>SUM(I4:I12)</f>
        <v>1663</v>
      </c>
      <c r="J13" s="183">
        <f t="shared" si="6"/>
        <v>1</v>
      </c>
      <c r="K13" s="182">
        <f>SUM(K4:K12)</f>
        <v>6731</v>
      </c>
      <c r="L13" s="183">
        <f t="shared" si="6"/>
        <v>1</v>
      </c>
      <c r="O13" s="298" t="s">
        <v>308</v>
      </c>
      <c r="P13" s="348" t="s">
        <v>182</v>
      </c>
      <c r="Q13" s="60" t="s">
        <v>183</v>
      </c>
      <c r="R13" s="60" t="s">
        <v>184</v>
      </c>
      <c r="S13" s="60" t="s">
        <v>185</v>
      </c>
      <c r="T13" s="60" t="s">
        <v>186</v>
      </c>
      <c r="U13" s="60" t="s">
        <v>187</v>
      </c>
      <c r="V13" s="60" t="s">
        <v>188</v>
      </c>
      <c r="W13" s="60" t="s">
        <v>189</v>
      </c>
      <c r="X13" s="60" t="s">
        <v>190</v>
      </c>
      <c r="Y13" s="60" t="s">
        <v>191</v>
      </c>
      <c r="Z13" s="60" t="s">
        <v>192</v>
      </c>
      <c r="AA13" s="60" t="s">
        <v>193</v>
      </c>
      <c r="AB13" s="60" t="s">
        <v>194</v>
      </c>
      <c r="AC13" s="60" t="s">
        <v>195</v>
      </c>
      <c r="AD13" s="60" t="s">
        <v>196</v>
      </c>
      <c r="AE13" s="247" t="s">
        <v>197</v>
      </c>
      <c r="AF13" s="68" t="s">
        <v>603</v>
      </c>
      <c r="AH13" s="66"/>
      <c r="AI13" s="66"/>
      <c r="AL13" s="66"/>
    </row>
    <row r="14" spans="2:50" s="21" customFormat="1" ht="18.75" customHeight="1" thickTop="1" x14ac:dyDescent="0.2">
      <c r="B14" s="184" t="s">
        <v>93</v>
      </c>
      <c r="C14" s="185">
        <f>IFERROR(INDEX(年齢階層×在院期間区分F2_65歳未満以上[#All],MATCH($AH14,年齢階層×在院期間区分F2_65歳未満以上[[#All],[列1]],0),MATCH($AI$3,年齢階層×在院期間区分F2_65歳未満以上[#Headers],0)),0)+IFERROR(INDEX(年齢階層×在院期間区分F2_65歳未満以上[#All],MATCH($AH14,年齢階層×在院期間区分F2_65歳未満以上[[#All],[列1]],0),MATCH($AJ$3,年齢階層×在院期間区分F2_65歳未満以上[#Headers],0)),0)+IFERROR(INDEX(年齢階層×在院期間区分F2_65歳未満以上[#All],MATCH($AH14,年齢階層×在院期間区分F2_65歳未満以上[[#All],[列1]],0),MATCH($AK$3,年齢階層×在院期間区分F2_65歳未満以上[#Headers],0)),0)+IFERROR(INDEX(年齢階層×在院期間区分F2_65歳未満以上[#All],MATCH($AH14,年齢階層×在院期間区分F2_65歳未満以上[[#All],[列1]],0),MATCH($AL$3,年齢階層×在院期間区分F2_65歳未満以上[#Headers],0)),0)</f>
        <v>1351</v>
      </c>
      <c r="D14" s="156">
        <f>IFERROR(C14/$C$13,"-")</f>
        <v>0.63877068557919625</v>
      </c>
      <c r="E14" s="185">
        <f>IFERROR(INDEX(年齢階層×在院期間区分F2_65歳未満以上[#All],MATCH($AH14,年齢階層×在院期間区分F2_65歳未満以上[[#All],[列1]],0),MATCH($AM$3,年齢階層×在院期間区分F2_65歳未満以上[#Headers],0)),0)+IFERROR(INDEX(年齢階層×在院期間区分F2_65歳未満以上[#All],MATCH($AH14,年齢階層×在院期間区分F2_65歳未満以上[[#All],[列1]],0),MATCH($AN$3,年齢階層×在院期間区分F2_65歳未満以上[#Headers],0)),0)+IFERROR(INDEX(年齢階層×在院期間区分F2_65歳未満以上[#All],MATCH($AH14,年齢階層×在院期間区分F2_65歳未満以上[[#All],[列1]],0),MATCH($AO$3,年齢階層×在院期間区分F2_65歳未満以上[#Headers],0)),0)+IFERROR(INDEX(年齢階層×在院期間区分F2_65歳未満以上[#All],MATCH($AH14,年齢階層×在院期間区分F2_65歳未満以上[[#All],[列1]],0),MATCH($AP$3,年齢階層×在院期間区分F2_65歳未満以上[#Headers],0)),0)+IFERROR(INDEX(年齢階層×在院期間区分F2_65歳未満以上[#All],MATCH($AH14,年齢階層×在院期間区分F2_65歳未満以上[[#All],[列1]],0),MATCH($AQ$3,年齢階層×在院期間区分F2_65歳未満以上[#Headers],0)),0)</f>
        <v>892</v>
      </c>
      <c r="F14" s="156">
        <f>IFERROR(E14/$E$13,"-")</f>
        <v>0.5</v>
      </c>
      <c r="G14" s="185">
        <f>IFERROR(INDEX(年齢階層×在院期間区分F2_65歳未満以上[#All],MATCH($AH14,年齢階層×在院期間区分F2_65歳未満以上[[#All],[列1]],0),MATCH($AR$3,年齢階層×在院期間区分F2_65歳未満以上[#Headers],0)),0)+IFERROR(INDEX(年齢階層×在院期間区分F2_65歳未満以上[#All],MATCH($AH14,年齢階層×在院期間区分F2_65歳未満以上[[#All],[列1]],0),MATCH($AS$3,年齢階層×在院期間区分F2_65歳未満以上[#Headers],0)),0)+IFERROR(INDEX(年齢階層×在院期間区分F2_65歳未満以上[#All],MATCH($AH14,年齢階層×在院期間区分F2_65歳未満以上[[#All],[列1]],0),MATCH($AT$3,年齢階層×在院期間区分F2_65歳未満以上[#Headers],0)),0)+IFERROR(INDEX(年齢階層×在院期間区分F2_65歳未満以上[#All],MATCH($AH14,年齢階層×在院期間区分F2_65歳未満以上[[#All],[列1]],0),MATCH($AU$3,年齢階層×在院期間区分F2_65歳未満以上[#Headers],0)),0)+IFERROR(INDEX(年齢階層×在院期間区分F2_65歳未満以上[#All],MATCH($AH14,年齢階層×在院期間区分F2_65歳未満以上[[#All],[列1]],0),MATCH($AV$3,年齢階層×在院期間区分F2_65歳未満以上[#Headers],0)),0)</f>
        <v>619</v>
      </c>
      <c r="H14" s="156">
        <f>IFERROR(G14/$G$13,"-")</f>
        <v>0.52951240376390074</v>
      </c>
      <c r="I14" s="185">
        <f>IFERROR(INDEX(年齢階層×在院期間区分F2_65歳未満以上[#All],MATCH($AH14,年齢階層×在院期間区分F2_65歳未満以上[[#All],[列1]],0),MATCH($AW$3,年齢階層×在院期間区分F2_65歳未満以上[#Headers],0)),0)+IFERROR(INDEX(年齢階層×在院期間区分F2_65歳未満以上[#All],MATCH($AH14,年齢階層×在院期間区分F2_65歳未満以上[[#All],[列1]],0),MATCH($AX$3,年齢階層×在院期間区分F2_65歳未満以上[#Headers],0)),0)</f>
        <v>743</v>
      </c>
      <c r="J14" s="156">
        <f>IFERROR(I14/$I$13,"-")</f>
        <v>0.44678292242934453</v>
      </c>
      <c r="K14" s="185">
        <f>C14+E14+G14+I14</f>
        <v>3605</v>
      </c>
      <c r="L14" s="156">
        <f>IFERROR(K14/$K$13,"-")</f>
        <v>0.53558163720101026</v>
      </c>
      <c r="O14" s="53" t="s">
        <v>306</v>
      </c>
      <c r="P14" s="61">
        <v>398</v>
      </c>
      <c r="Q14" s="399">
        <v>449</v>
      </c>
      <c r="R14" s="61">
        <v>222</v>
      </c>
      <c r="S14" s="61">
        <v>282</v>
      </c>
      <c r="T14" s="61">
        <v>201</v>
      </c>
      <c r="U14" s="61">
        <v>142</v>
      </c>
      <c r="V14" s="61">
        <v>204</v>
      </c>
      <c r="W14" s="61">
        <v>173</v>
      </c>
      <c r="X14" s="61">
        <v>172</v>
      </c>
      <c r="Y14" s="61">
        <v>156</v>
      </c>
      <c r="Z14" s="61">
        <v>145</v>
      </c>
      <c r="AA14" s="61">
        <v>113</v>
      </c>
      <c r="AB14" s="61">
        <v>101</v>
      </c>
      <c r="AC14" s="61">
        <v>104</v>
      </c>
      <c r="AD14" s="61">
        <v>505</v>
      </c>
      <c r="AE14" s="61">
        <v>238</v>
      </c>
      <c r="AF14" s="554"/>
      <c r="AH14" s="67" t="s">
        <v>156</v>
      </c>
    </row>
    <row r="15" spans="2:50" s="21" customFormat="1" ht="18.75" customHeight="1" x14ac:dyDescent="0.2">
      <c r="B15" s="186" t="s">
        <v>89</v>
      </c>
      <c r="C15" s="185">
        <f>IFERROR(INDEX(年齢階層×在院期間区分F2_65歳未満以上[#All],MATCH($AH15,年齢階層×在院期間区分F2_65歳未満以上[[#All],[列1]],0),MATCH($AI$3,年齢階層×在院期間区分F2_65歳未満以上[#Headers],0)),0)+IFERROR(INDEX(年齢階層×在院期間区分F2_65歳未満以上[#All],MATCH($AH15,年齢階層×在院期間区分F2_65歳未満以上[[#All],[列1]],0),MATCH($AJ$3,年齢階層×在院期間区分F2_65歳未満以上[#Headers],0)),0)+IFERROR(INDEX(年齢階層×在院期間区分F2_65歳未満以上[#All],MATCH($AH15,年齢階層×在院期間区分F2_65歳未満以上[[#All],[列1]],0),MATCH($AK$3,年齢階層×在院期間区分F2_65歳未満以上[#Headers],0)),0)+IFERROR(INDEX(年齢階層×在院期間区分F2_65歳未満以上[#All],MATCH($AH15,年齢階層×在院期間区分F2_65歳未満以上[[#All],[列1]],0),MATCH($AL$3,年齢階層×在院期間区分F2_65歳未満以上[#Headers],0)),0)</f>
        <v>764</v>
      </c>
      <c r="D15" s="187">
        <f>IFERROR(C15/$C$13,"-")</f>
        <v>0.3612293144208038</v>
      </c>
      <c r="E15" s="185">
        <f>IFERROR(INDEX(年齢階層×在院期間区分F2_65歳未満以上[#All],MATCH($AH15,年齢階層×在院期間区分F2_65歳未満以上[[#All],[列1]],0),MATCH($AM$3,年齢階層×在院期間区分F2_65歳未満以上[#Headers],0)),0)+IFERROR(INDEX(年齢階層×在院期間区分F2_65歳未満以上[#All],MATCH($AH15,年齢階層×在院期間区分F2_65歳未満以上[[#All],[列1]],0),MATCH($AN$3,年齢階層×在院期間区分F2_65歳未満以上[#Headers],0)),0)+IFERROR(INDEX(年齢階層×在院期間区分F2_65歳未満以上[#All],MATCH($AH15,年齢階層×在院期間区分F2_65歳未満以上[[#All],[列1]],0),MATCH($AO$3,年齢階層×在院期間区分F2_65歳未満以上[#Headers],0)),0)+IFERROR(INDEX(年齢階層×在院期間区分F2_65歳未満以上[#All],MATCH($AH15,年齢階層×在院期間区分F2_65歳未満以上[[#All],[列1]],0),MATCH($AP$3,年齢階層×在院期間区分F2_65歳未満以上[#Headers],0)),0)+IFERROR(INDEX(年齢階層×在院期間区分F2_65歳未満以上[#All],MATCH($AH15,年齢階層×在院期間区分F2_65歳未満以上[[#All],[列1]],0),MATCH($AQ$3,年齢階層×在院期間区分F2_65歳未満以上[#Headers],0)),0)</f>
        <v>892</v>
      </c>
      <c r="F15" s="187">
        <f>IFERROR(E15/$E$13,"-")</f>
        <v>0.5</v>
      </c>
      <c r="G15" s="185">
        <f>IFERROR(INDEX(年齢階層×在院期間区分F2_65歳未満以上[#All],MATCH($AH15,年齢階層×在院期間区分F2_65歳未満以上[[#All],[列1]],0),MATCH($AR$3,年齢階層×在院期間区分F2_65歳未満以上[#Headers],0)),0)+IFERROR(INDEX(年齢階層×在院期間区分F2_65歳未満以上[#All],MATCH($AH15,年齢階層×在院期間区分F2_65歳未満以上[[#All],[列1]],0),MATCH($AS$3,年齢階層×在院期間区分F2_65歳未満以上[#Headers],0)),0)+IFERROR(INDEX(年齢階層×在院期間区分F2_65歳未満以上[#All],MATCH($AH15,年齢階層×在院期間区分F2_65歳未満以上[[#All],[列1]],0),MATCH($AT$3,年齢階層×在院期間区分F2_65歳未満以上[#Headers],0)),0)+IFERROR(INDEX(年齢階層×在院期間区分F2_65歳未満以上[#All],MATCH($AH15,年齢階層×在院期間区分F2_65歳未満以上[[#All],[列1]],0),MATCH($AU$3,年齢階層×在院期間区分F2_65歳未満以上[#Headers],0)),0)+IFERROR(INDEX(年齢階層×在院期間区分F2_65歳未満以上[#All],MATCH($AH15,年齢階層×在院期間区分F2_65歳未満以上[[#All],[列1]],0),MATCH($AV$3,年齢階層×在院期間区分F2_65歳未満以上[#Headers],0)),0)</f>
        <v>550</v>
      </c>
      <c r="H15" s="187">
        <f>IFERROR(G15/$G$13,"-")</f>
        <v>0.4704875962360992</v>
      </c>
      <c r="I15" s="185">
        <f>IFERROR(INDEX(年齢階層×在院期間区分F2_65歳未満以上[#All],MATCH($AH15,年齢階層×在院期間区分F2_65歳未満以上[[#All],[列1]],0),MATCH($AW$3,年齢階層×在院期間区分F2_65歳未満以上[#Headers],0)),0)+IFERROR(INDEX(年齢階層×在院期間区分F2_65歳未満以上[#All],MATCH($AH15,年齢階層×在院期間区分F2_65歳未満以上[[#All],[列1]],0),MATCH($AX$3,年齢階層×在院期間区分F2_65歳未満以上[#Headers],0)),0)</f>
        <v>920</v>
      </c>
      <c r="J15" s="187">
        <f>IFERROR(I15/$I$13,"-")</f>
        <v>0.55321707757065541</v>
      </c>
      <c r="K15" s="185">
        <f>C15+E15+G15+I15</f>
        <v>3126</v>
      </c>
      <c r="L15" s="187">
        <f>IFERROR(K15/$K$13,"-")</f>
        <v>0.46441836279898974</v>
      </c>
      <c r="O15" s="53" t="s">
        <v>307</v>
      </c>
      <c r="P15" s="61">
        <v>170</v>
      </c>
      <c r="Q15" s="399">
        <v>232</v>
      </c>
      <c r="R15" s="61">
        <v>150</v>
      </c>
      <c r="S15" s="61">
        <v>212</v>
      </c>
      <c r="T15" s="61">
        <v>178</v>
      </c>
      <c r="U15" s="61">
        <v>135</v>
      </c>
      <c r="V15" s="61">
        <v>212</v>
      </c>
      <c r="W15" s="61">
        <v>195</v>
      </c>
      <c r="X15" s="61">
        <v>172</v>
      </c>
      <c r="Y15" s="61">
        <v>139</v>
      </c>
      <c r="Z15" s="61">
        <v>139</v>
      </c>
      <c r="AA15" s="61">
        <v>102</v>
      </c>
      <c r="AB15" s="61">
        <v>92</v>
      </c>
      <c r="AC15" s="61">
        <v>78</v>
      </c>
      <c r="AD15" s="61">
        <v>473</v>
      </c>
      <c r="AE15" s="61">
        <v>447</v>
      </c>
      <c r="AF15" s="555"/>
      <c r="AH15" s="67" t="s">
        <v>88</v>
      </c>
    </row>
    <row r="16" spans="2:50" ht="18.75" customHeight="1" x14ac:dyDescent="0.2"/>
    <row r="17" spans="2:38" ht="18.75" customHeight="1" x14ac:dyDescent="0.2">
      <c r="B17" s="2" t="s">
        <v>75</v>
      </c>
    </row>
    <row r="18" spans="2:38" ht="18.75" customHeight="1" thickBot="1" x14ac:dyDescent="0.25">
      <c r="B18" s="996" t="s">
        <v>65</v>
      </c>
      <c r="C18" s="998" t="s">
        <v>64</v>
      </c>
      <c r="D18" s="999"/>
      <c r="E18" s="999"/>
      <c r="F18" s="999"/>
      <c r="G18" s="999"/>
      <c r="H18" s="999"/>
      <c r="I18" s="999"/>
      <c r="J18" s="999"/>
      <c r="K18" s="999"/>
      <c r="L18" s="1000"/>
      <c r="O18" s="33" t="s">
        <v>63</v>
      </c>
    </row>
    <row r="19" spans="2:38" ht="18.75" customHeight="1" thickTop="1" thickBot="1" x14ac:dyDescent="0.25">
      <c r="B19" s="997"/>
      <c r="C19" s="1001" t="s">
        <v>69</v>
      </c>
      <c r="D19" s="1002"/>
      <c r="E19" s="1001" t="s">
        <v>70</v>
      </c>
      <c r="F19" s="1002"/>
      <c r="G19" s="1001" t="s">
        <v>71</v>
      </c>
      <c r="H19" s="1002"/>
      <c r="I19" s="1001" t="s">
        <v>72</v>
      </c>
      <c r="J19" s="1002"/>
      <c r="K19" s="1001" t="s">
        <v>62</v>
      </c>
      <c r="L19" s="1002"/>
      <c r="O19" s="298" t="s">
        <v>372</v>
      </c>
      <c r="P19" s="348" t="s">
        <v>182</v>
      </c>
      <c r="Q19" s="60" t="s">
        <v>183</v>
      </c>
      <c r="R19" s="60" t="s">
        <v>184</v>
      </c>
      <c r="S19" s="60" t="s">
        <v>185</v>
      </c>
      <c r="T19" s="60" t="s">
        <v>186</v>
      </c>
      <c r="U19" s="60" t="s">
        <v>187</v>
      </c>
      <c r="V19" s="60" t="s">
        <v>188</v>
      </c>
      <c r="W19" s="60" t="s">
        <v>189</v>
      </c>
      <c r="X19" s="60" t="s">
        <v>190</v>
      </c>
      <c r="Y19" s="60" t="s">
        <v>191</v>
      </c>
      <c r="Z19" s="60" t="s">
        <v>192</v>
      </c>
      <c r="AA19" s="60" t="s">
        <v>193</v>
      </c>
      <c r="AB19" s="60" t="s">
        <v>194</v>
      </c>
      <c r="AC19" s="60" t="s">
        <v>195</v>
      </c>
      <c r="AD19" s="60" t="s">
        <v>196</v>
      </c>
      <c r="AE19" s="247" t="s">
        <v>197</v>
      </c>
    </row>
    <row r="20" spans="2:38" s="21" customFormat="1" ht="18.75" customHeight="1" thickTop="1" x14ac:dyDescent="0.2">
      <c r="B20" s="174" t="s">
        <v>2</v>
      </c>
      <c r="C20" s="175">
        <f>IFERROR(INDEX(年齢階層×在院期間区分F2＿寛解・院内寛解[#All],MATCH($AH4,年齢階層×在院期間区分F2＿寛解・院内寛解[[#All],[行ラベル]],0),MATCH($AI$3,年齢階層×在院期間区分F2＿寛解・院内寛解[#Headers],0)),0)+IFERROR(INDEX(年齢階層×在院期間区分F2＿寛解・院内寛解[#All],MATCH($AH4,年齢階層×在院期間区分F2＿寛解・院内寛解[[#All],[行ラベル]],0),MATCH($AJ$3,年齢階層×在院期間区分F2＿寛解・院内寛解[#Headers],0)),0)+IFERROR(INDEX(年齢階層×在院期間区分F2＿寛解・院内寛解[#All],MATCH($AH4,年齢階層×在院期間区分F2＿寛解・院内寛解[[#All],[行ラベル]],0),MATCH($AK$3,年齢階層×在院期間区分F2＿寛解・院内寛解[#Headers],0)),0)+IFERROR(INDEX(年齢階層×在院期間区分F2＿寛解・院内寛解[#All],MATCH($AH4,年齢階層×在院期間区分F2＿寛解・院内寛解[[#All],[行ラベル]],0),MATCH($AL$3,年齢階層×在院期間区分F2＿寛解・院内寛解[#Headers],0)),0)</f>
        <v>1</v>
      </c>
      <c r="D20" s="188">
        <f t="shared" ref="D20:D28" si="7">IFERROR(C20/$C$29,"-")</f>
        <v>2.3752969121140144E-3</v>
      </c>
      <c r="E20" s="175">
        <f>IFERROR(INDEX(年齢階層×在院期間区分F2＿寛解・院内寛解[#All],MATCH($AH4,年齢階層×在院期間区分F2＿寛解・院内寛解[[#All],[行ラベル]],0),MATCH($AM$3,年齢階層×在院期間区分F2＿寛解・院内寛解[#Headers],0)),0)+IFERROR(INDEX(年齢階層×在院期間区分F2＿寛解・院内寛解[#All],MATCH($AH4,年齢階層×在院期間区分F2＿寛解・院内寛解[[#All],[行ラベル]],0),MATCH($AN$3,年齢階層×在院期間区分F2＿寛解・院内寛解[#Headers],0)),0)+IFERROR(INDEX(年齢階層×在院期間区分F2＿寛解・院内寛解[#All],MATCH($AH4,年齢階層×在院期間区分F2＿寛解・院内寛解[[#All],[行ラベル]],0),MATCH($AO$3,年齢階層×在院期間区分F2＿寛解・院内寛解[#Headers],0)),0)+IFERROR(INDEX(年齢階層×在院期間区分F2＿寛解・院内寛解[#All],MATCH($AH4,年齢階層×在院期間区分F2＿寛解・院内寛解[[#All],[行ラベル]],0),MATCH($AP$3,年齢階層×在院期間区分F2＿寛解・院内寛解[#Headers],0)),0)+IFERROR(INDEX(年齢階層×在院期間区分F2＿寛解・院内寛解[#All],MATCH($AH4,年齢階層×在院期間区分F2＿寛解・院内寛解[[#All],[行ラベル]],0),MATCH($AQ$3,年齢階層×在院期間区分F2＿寛解・院内寛解[#Headers],0)),0)</f>
        <v>0</v>
      </c>
      <c r="F20" s="188">
        <f t="shared" ref="F20:F28" si="8">IFERROR(E20/$E$29,"-")</f>
        <v>0</v>
      </c>
      <c r="G20" s="169">
        <f>IFERROR(INDEX(年齢階層×在院期間区分F2＿寛解・院内寛解[#All],MATCH($AH4,年齢階層×在院期間区分F2＿寛解・院内寛解[[#All],[行ラベル]],0),MATCH($AR$3,年齢階層×在院期間区分F2＿寛解・院内寛解[#Headers],0)),0)+IFERROR(INDEX(年齢階層×在院期間区分F2＿寛解・院内寛解[#All],MATCH($AH4,年齢階層×在院期間区分F2＿寛解・院内寛解[[#All],[行ラベル]],0),MATCH($AS$3,年齢階層×在院期間区分F2＿寛解・院内寛解[#Headers],0)),0)+IFERROR(INDEX(年齢階層×在院期間区分F2＿寛解・院内寛解[#All],MATCH($AH4,年齢階層×在院期間区分F2＿寛解・院内寛解[[#All],[行ラベル]],0),MATCH($AT$3,年齢階層×在院期間区分F2＿寛解・院内寛解[#Headers],0)),0)+IFERROR(INDEX(年齢階層×在院期間区分F2＿寛解・院内寛解[#All],MATCH($AH4,年齢階層×在院期間区分F2＿寛解・院内寛解[[#All],[行ラベル]],0),MATCH($AU$3,年齢階層×在院期間区分F2＿寛解・院内寛解[#Headers],0)),0)+IFERROR(INDEX(年齢階層×在院期間区分F2＿寛解・院内寛解[#All],MATCH($AH4,年齢階層×在院期間区分F2＿寛解・院内寛解[[#All],[行ラベル]],0),MATCH($AV$3,年齢階層×在院期間区分F2＿寛解・院内寛解[#Headers],0)),0)</f>
        <v>0</v>
      </c>
      <c r="H20" s="188">
        <f t="shared" ref="H20:H28" si="9">IFERROR(G20/$G$29,"-")</f>
        <v>0</v>
      </c>
      <c r="I20" s="175">
        <f>IFERROR(INDEX(年齢階層×在院期間区分F2＿寛解・院内寛解[#All],MATCH($AH4,年齢階層×在院期間区分F2＿寛解・院内寛解[[#All],[行ラベル]],0),MATCH($AW$3,年齢階層×在院期間区分F2＿寛解・院内寛解[#Headers],0)),0)+IFERROR(INDEX(年齢階層×在院期間区分F2＿寛解・院内寛解[#All],MATCH($AH4,年齢階層×在院期間区分F2＿寛解・院内寛解[[#All],[行ラベル]],0),MATCH($AX$3,年齢階層×在院期間区分F2＿寛解・院内寛解[#Headers],0)),0)</f>
        <v>0</v>
      </c>
      <c r="J20" s="188">
        <f t="shared" ref="J20:J28" si="10">IFERROR(I20/$I$29,"-")</f>
        <v>0</v>
      </c>
      <c r="K20" s="169">
        <f t="shared" ref="K20:K28" si="11">SUM(C20,E20,G20,I20)</f>
        <v>1</v>
      </c>
      <c r="L20" s="188">
        <f t="shared" ref="L20:L28" si="12">IFERROR(K20/$K$29,"-")</f>
        <v>1.3297872340425532E-3</v>
      </c>
      <c r="O20" s="53" t="s">
        <v>2</v>
      </c>
      <c r="P20" s="61">
        <v>0</v>
      </c>
      <c r="Q20" s="61">
        <v>1</v>
      </c>
      <c r="R20" s="61">
        <v>0</v>
      </c>
      <c r="S20" s="61">
        <v>0</v>
      </c>
      <c r="T20" s="61">
        <v>0</v>
      </c>
      <c r="U20" s="61">
        <v>0</v>
      </c>
      <c r="V20" s="61">
        <v>0</v>
      </c>
      <c r="W20" s="61">
        <v>0</v>
      </c>
      <c r="X20" s="61">
        <v>0</v>
      </c>
      <c r="Y20" s="61">
        <v>0</v>
      </c>
      <c r="Z20" s="61">
        <v>0</v>
      </c>
      <c r="AA20" s="61">
        <v>0</v>
      </c>
      <c r="AB20" s="61">
        <v>0</v>
      </c>
      <c r="AC20" s="61">
        <v>0</v>
      </c>
      <c r="AD20" s="61">
        <v>0</v>
      </c>
      <c r="AE20" s="61">
        <v>0</v>
      </c>
      <c r="AH20" s="53" t="s">
        <v>2</v>
      </c>
    </row>
    <row r="21" spans="2:38" s="21" customFormat="1" ht="18.75" customHeight="1" x14ac:dyDescent="0.2">
      <c r="B21" s="176" t="s">
        <v>3</v>
      </c>
      <c r="C21" s="177">
        <f>IFERROR(INDEX(年齢階層×在院期間区分F2＿寛解・院内寛解[#All],MATCH($AH5,年齢階層×在院期間区分F2＿寛解・院内寛解[[#All],[行ラベル]],0),MATCH($AI$3,年齢階層×在院期間区分F2＿寛解・院内寛解[#Headers],0)),0)+IFERROR(INDEX(年齢階層×在院期間区分F2＿寛解・院内寛解[#All],MATCH($AH5,年齢階層×在院期間区分F2＿寛解・院内寛解[[#All],[行ラベル]],0),MATCH($AJ$3,年齢階層×在院期間区分F2＿寛解・院内寛解[#Headers],0)),0)+IFERROR(INDEX(年齢階層×在院期間区分F2＿寛解・院内寛解[#All],MATCH($AH5,年齢階層×在院期間区分F2＿寛解・院内寛解[[#All],[行ラベル]],0),MATCH($AK$3,年齢階層×在院期間区分F2＿寛解・院内寛解[#Headers],0)),0)+IFERROR(INDEX(年齢階層×在院期間区分F2＿寛解・院内寛解[#All],MATCH($AH5,年齢階層×在院期間区分F2＿寛解・院内寛解[[#All],[行ラベル]],0),MATCH($AL$3,年齢階層×在院期間区分F2＿寛解・院内寛解[#Headers],0)),0)</f>
        <v>26</v>
      </c>
      <c r="D21" s="155">
        <f t="shared" si="7"/>
        <v>6.1757719714964368E-2</v>
      </c>
      <c r="E21" s="177">
        <f>IFERROR(INDEX(年齢階層×在院期間区分F2＿寛解・院内寛解[#All],MATCH($AH5,年齢階層×在院期間区分F2＿寛解・院内寛解[[#All],[行ラベル]],0),MATCH($AM$3,年齢階層×在院期間区分F2＿寛解・院内寛解[#Headers],0)),0)+IFERROR(INDEX(年齢階層×在院期間区分F2＿寛解・院内寛解[#All],MATCH($AH5,年齢階層×在院期間区分F2＿寛解・院内寛解[[#All],[行ラベル]],0),MATCH($AN$3,年齢階層×在院期間区分F2＿寛解・院内寛解[#Headers],0)),0)+IFERROR(INDEX(年齢階層×在院期間区分F2＿寛解・院内寛解[#All],MATCH($AH5,年齢階層×在院期間区分F2＿寛解・院内寛解[[#All],[行ラベル]],0),MATCH($AO$3,年齢階層×在院期間区分F2＿寛解・院内寛解[#Headers],0)),0)+IFERROR(INDEX(年齢階層×在院期間区分F2＿寛解・院内寛解[#All],MATCH($AH5,年齢階層×在院期間区分F2＿寛解・院内寛解[[#All],[行ラベル]],0),MATCH($AP$3,年齢階層×在院期間区分F2＿寛解・院内寛解[#Headers],0)),0)+IFERROR(INDEX(年齢階層×在院期間区分F2＿寛解・院内寛解[#All],MATCH($AH5,年齢階層×在院期間区分F2＿寛解・院内寛解[[#All],[行ラベル]],0),MATCH($AQ$3,年齢階層×在院期間区分F2＿寛解・院内寛解[#Headers],0)),0)</f>
        <v>1</v>
      </c>
      <c r="F21" s="155">
        <f t="shared" si="8"/>
        <v>6.8493150684931503E-3</v>
      </c>
      <c r="G21" s="154">
        <f>IFERROR(INDEX(年齢階層×在院期間区分F2＿寛解・院内寛解[#All],MATCH($AH5,年齢階層×在院期間区分F2＿寛解・院内寛解[[#All],[行ラベル]],0),MATCH($AR$3,年齢階層×在院期間区分F2＿寛解・院内寛解[#Headers],0)),0)+IFERROR(INDEX(年齢階層×在院期間区分F2＿寛解・院内寛解[#All],MATCH($AH5,年齢階層×在院期間区分F2＿寛解・院内寛解[[#All],[行ラベル]],0),MATCH($AS$3,年齢階層×在院期間区分F2＿寛解・院内寛解[#Headers],0)),0)+IFERROR(INDEX(年齢階層×在院期間区分F2＿寛解・院内寛解[#All],MATCH($AH5,年齢階層×在院期間区分F2＿寛解・院内寛解[[#All],[行ラベル]],0),MATCH($AT$3,年齢階層×在院期間区分F2＿寛解・院内寛解[#Headers],0)),0)+IFERROR(INDEX(年齢階層×在院期間区分F2＿寛解・院内寛解[#All],MATCH($AH5,年齢階層×在院期間区分F2＿寛解・院内寛解[[#All],[行ラベル]],0),MATCH($AU$3,年齢階層×在院期間区分F2＿寛解・院内寛解[#Headers],0)),0)+IFERROR(INDEX(年齢階層×在院期間区分F2＿寛解・院内寛解[#All],MATCH($AH5,年齢階層×在院期間区分F2＿寛解・院内寛解[[#All],[行ラベル]],0),MATCH($AV$3,年齢階層×在院期間区分F2＿寛解・院内寛解[#Headers],0)),0)</f>
        <v>0</v>
      </c>
      <c r="H21" s="155">
        <f t="shared" si="9"/>
        <v>0</v>
      </c>
      <c r="I21" s="177">
        <f>IFERROR(INDEX(年齢階層×在院期間区分F2＿寛解・院内寛解[#All],MATCH($AH5,年齢階層×在院期間区分F2＿寛解・院内寛解[[#All],[行ラベル]],0),MATCH($AW$3,年齢階層×在院期間区分F2＿寛解・院内寛解[#Headers],0)),0)+IFERROR(INDEX(年齢階層×在院期間区分F2＿寛解・院内寛解[#All],MATCH($AH5,年齢階層×在院期間区分F2＿寛解・院内寛解[[#All],[行ラベル]],0),MATCH($AX$3,年齢階層×在院期間区分F2＿寛解・院内寛解[#Headers],0)),0)</f>
        <v>0</v>
      </c>
      <c r="J21" s="155">
        <f t="shared" si="10"/>
        <v>0</v>
      </c>
      <c r="K21" s="154">
        <f t="shared" si="11"/>
        <v>27</v>
      </c>
      <c r="L21" s="155">
        <f t="shared" si="12"/>
        <v>3.5904255319148939E-2</v>
      </c>
      <c r="O21" s="53" t="s">
        <v>3</v>
      </c>
      <c r="P21" s="61">
        <v>8</v>
      </c>
      <c r="Q21" s="61">
        <v>9</v>
      </c>
      <c r="R21" s="61">
        <v>4</v>
      </c>
      <c r="S21" s="61">
        <v>5</v>
      </c>
      <c r="T21" s="61">
        <v>1</v>
      </c>
      <c r="U21" s="61">
        <v>0</v>
      </c>
      <c r="V21" s="61">
        <v>0</v>
      </c>
      <c r="W21" s="61">
        <v>0</v>
      </c>
      <c r="X21" s="61">
        <v>0</v>
      </c>
      <c r="Y21" s="61">
        <v>0</v>
      </c>
      <c r="Z21" s="61">
        <v>0</v>
      </c>
      <c r="AA21" s="61">
        <v>0</v>
      </c>
      <c r="AB21" s="61">
        <v>0</v>
      </c>
      <c r="AC21" s="61">
        <v>0</v>
      </c>
      <c r="AD21" s="61">
        <v>0</v>
      </c>
      <c r="AE21" s="61">
        <v>0</v>
      </c>
      <c r="AH21" s="53" t="s">
        <v>3</v>
      </c>
    </row>
    <row r="22" spans="2:38" s="21" customFormat="1" ht="18.75" customHeight="1" x14ac:dyDescent="0.2">
      <c r="B22" s="176" t="s">
        <v>4</v>
      </c>
      <c r="C22" s="154">
        <f>IFERROR(INDEX(年齢階層×在院期間区分F2＿寛解・院内寛解[#All],MATCH($AH6,年齢階層×在院期間区分F2＿寛解・院内寛解[[#All],[行ラベル]],0),MATCH($AI$3,年齢階層×在院期間区分F2＿寛解・院内寛解[#Headers],0)),0)+IFERROR(INDEX(年齢階層×在院期間区分F2＿寛解・院内寛解[#All],MATCH($AH6,年齢階層×在院期間区分F2＿寛解・院内寛解[[#All],[行ラベル]],0),MATCH($AJ$3,年齢階層×在院期間区分F2＿寛解・院内寛解[#Headers],0)),0)+IFERROR(INDEX(年齢階層×在院期間区分F2＿寛解・院内寛解[#All],MATCH($AH6,年齢階層×在院期間区分F2＿寛解・院内寛解[[#All],[行ラベル]],0),MATCH($AK$3,年齢階層×在院期間区分F2＿寛解・院内寛解[#Headers],0)),0)+IFERROR(INDEX(年齢階層×在院期間区分F2＿寛解・院内寛解[#All],MATCH($AH6,年齢階層×在院期間区分F2＿寛解・院内寛解[[#All],[行ラベル]],0),MATCH($AL$3,年齢階層×在院期間区分F2＿寛解・院内寛解[#Headers],0)),0)</f>
        <v>38</v>
      </c>
      <c r="D22" s="155">
        <f t="shared" si="7"/>
        <v>9.0261282660332537E-2</v>
      </c>
      <c r="E22" s="177">
        <f>IFERROR(INDEX(年齢階層×在院期間区分F2＿寛解・院内寛解[#All],MATCH($AH6,年齢階層×在院期間区分F2＿寛解・院内寛解[[#All],[行ラベル]],0),MATCH($AM$3,年齢階層×在院期間区分F2＿寛解・院内寛解[#Headers],0)),0)+IFERROR(INDEX(年齢階層×在院期間区分F2＿寛解・院内寛解[#All],MATCH($AH6,年齢階層×在院期間区分F2＿寛解・院内寛解[[#All],[行ラベル]],0),MATCH($AN$3,年齢階層×在院期間区分F2＿寛解・院内寛解[#Headers],0)),0)+IFERROR(INDEX(年齢階層×在院期間区分F2＿寛解・院内寛解[#All],MATCH($AH6,年齢階層×在院期間区分F2＿寛解・院内寛解[[#All],[行ラベル]],0),MATCH($AO$3,年齢階層×在院期間区分F2＿寛解・院内寛解[#Headers],0)),0)+IFERROR(INDEX(年齢階層×在院期間区分F2＿寛解・院内寛解[#All],MATCH($AH6,年齢階層×在院期間区分F2＿寛解・院内寛解[[#All],[行ラベル]],0),MATCH($AP$3,年齢階層×在院期間区分F2＿寛解・院内寛解[#Headers],0)),0)+IFERROR(INDEX(年齢階層×在院期間区分F2＿寛解・院内寛解[#All],MATCH($AH6,年齢階層×在院期間区分F2＿寛解・院内寛解[[#All],[行ラベル]],0),MATCH($AQ$3,年齢階層×在院期間区分F2＿寛解・院内寛解[#Headers],0)),0)</f>
        <v>14</v>
      </c>
      <c r="F22" s="155">
        <f t="shared" si="8"/>
        <v>9.5890410958904104E-2</v>
      </c>
      <c r="G22" s="178">
        <f>IFERROR(INDEX(年齢階層×在院期間区分F2＿寛解・院内寛解[#All],MATCH($AH6,年齢階層×在院期間区分F2＿寛解・院内寛解[[#All],[行ラベル]],0),MATCH($AR$3,年齢階層×在院期間区分F2＿寛解・院内寛解[#Headers],0)),0)+IFERROR(INDEX(年齢階層×在院期間区分F2＿寛解・院内寛解[#All],MATCH($AH6,年齢階層×在院期間区分F2＿寛解・院内寛解[[#All],[行ラベル]],0),MATCH($AS$3,年齢階層×在院期間区分F2＿寛解・院内寛解[#Headers],0)),0)+IFERROR(INDEX(年齢階層×在院期間区分F2＿寛解・院内寛解[#All],MATCH($AH6,年齢階層×在院期間区分F2＿寛解・院内寛解[[#All],[行ラベル]],0),MATCH($AT$3,年齢階層×在院期間区分F2＿寛解・院内寛解[#Headers],0)),0)+IFERROR(INDEX(年齢階層×在院期間区分F2＿寛解・院内寛解[#All],MATCH($AH6,年齢階層×在院期間区分F2＿寛解・院内寛解[[#All],[行ラベル]],0),MATCH($AU$3,年齢階層×在院期間区分F2＿寛解・院内寛解[#Headers],0)),0)+IFERROR(INDEX(年齢階層×在院期間区分F2＿寛解・院内寛解[#All],MATCH($AH6,年齢階層×在院期間区分F2＿寛解・院内寛解[[#All],[行ラベル]],0),MATCH($AV$3,年齢階層×在院期間区分F2＿寛解・院内寛解[#Headers],0)),0)</f>
        <v>6</v>
      </c>
      <c r="H22" s="155">
        <f t="shared" si="9"/>
        <v>6.1855670103092786E-2</v>
      </c>
      <c r="I22" s="154">
        <f>IFERROR(INDEX(年齢階層×在院期間区分F2＿寛解・院内寛解[#All],MATCH($AH6,年齢階層×在院期間区分F2＿寛解・院内寛解[[#All],[行ラベル]],0),MATCH($AW$3,年齢階層×在院期間区分F2＿寛解・院内寛解[#Headers],0)),0)+IFERROR(INDEX(年齢階層×在院期間区分F2＿寛解・院内寛解[#All],MATCH($AH6,年齢階層×在院期間区分F2＿寛解・院内寛解[[#All],[行ラベル]],0),MATCH($AX$3,年齢階層×在院期間区分F2＿寛解・院内寛解[#Headers],0)),0)</f>
        <v>1</v>
      </c>
      <c r="J22" s="155">
        <f t="shared" si="10"/>
        <v>1.1363636363636364E-2</v>
      </c>
      <c r="K22" s="154">
        <f t="shared" si="11"/>
        <v>59</v>
      </c>
      <c r="L22" s="155">
        <f t="shared" si="12"/>
        <v>7.8457446808510634E-2</v>
      </c>
      <c r="O22" s="53" t="s">
        <v>4</v>
      </c>
      <c r="P22" s="61">
        <v>20</v>
      </c>
      <c r="Q22" s="61">
        <v>10</v>
      </c>
      <c r="R22" s="61">
        <v>5</v>
      </c>
      <c r="S22" s="61">
        <v>3</v>
      </c>
      <c r="T22" s="61">
        <v>3</v>
      </c>
      <c r="U22" s="61">
        <v>3</v>
      </c>
      <c r="V22" s="61">
        <v>2</v>
      </c>
      <c r="W22" s="61">
        <v>2</v>
      </c>
      <c r="X22" s="61">
        <v>4</v>
      </c>
      <c r="Y22" s="61">
        <v>4</v>
      </c>
      <c r="Z22" s="61">
        <v>0</v>
      </c>
      <c r="AA22" s="61">
        <v>1</v>
      </c>
      <c r="AB22" s="61">
        <v>0</v>
      </c>
      <c r="AC22" s="61">
        <v>1</v>
      </c>
      <c r="AD22" s="61">
        <v>1</v>
      </c>
      <c r="AE22" s="61">
        <v>0</v>
      </c>
      <c r="AH22" s="53" t="s">
        <v>4</v>
      </c>
    </row>
    <row r="23" spans="2:38" s="21" customFormat="1" ht="18.75" customHeight="1" x14ac:dyDescent="0.2">
      <c r="B23" s="176" t="s">
        <v>5</v>
      </c>
      <c r="C23" s="154">
        <f>IFERROR(INDEX(年齢階層×在院期間区分F2＿寛解・院内寛解[#All],MATCH($AH7,年齢階層×在院期間区分F2＿寛解・院内寛解[[#All],[行ラベル]],0),MATCH($AI$3,年齢階層×在院期間区分F2＿寛解・院内寛解[#Headers],0)),0)+IFERROR(INDEX(年齢階層×在院期間区分F2＿寛解・院内寛解[#All],MATCH($AH7,年齢階層×在院期間区分F2＿寛解・院内寛解[[#All],[行ラベル]],0),MATCH($AJ$3,年齢階層×在院期間区分F2＿寛解・院内寛解[#Headers],0)),0)+IFERROR(INDEX(年齢階層×在院期間区分F2＿寛解・院内寛解[#All],MATCH($AH7,年齢階層×在院期間区分F2＿寛解・院内寛解[[#All],[行ラベル]],0),MATCH($AK$3,年齢階層×在院期間区分F2＿寛解・院内寛解[#Headers],0)),0)+IFERROR(INDEX(年齢階層×在院期間区分F2＿寛解・院内寛解[#All],MATCH($AH7,年齢階層×在院期間区分F2＿寛解・院内寛解[[#All],[行ラベル]],0),MATCH($AL$3,年齢階層×在院期間区分F2＿寛解・院内寛解[#Headers],0)),0)</f>
        <v>76</v>
      </c>
      <c r="D23" s="155">
        <f t="shared" si="7"/>
        <v>0.18052256532066507</v>
      </c>
      <c r="E23" s="154">
        <f>IFERROR(INDEX(年齢階層×在院期間区分F2＿寛解・院内寛解[#All],MATCH($AH7,年齢階層×在院期間区分F2＿寛解・院内寛解[[#All],[行ラベル]],0),MATCH($AM$3,年齢階層×在院期間区分F2＿寛解・院内寛解[#Headers],0)),0)+IFERROR(INDEX(年齢階層×在院期間区分F2＿寛解・院内寛解[#All],MATCH($AH7,年齢階層×在院期間区分F2＿寛解・院内寛解[[#All],[行ラベル]],0),MATCH($AN$3,年齢階層×在院期間区分F2＿寛解・院内寛解[#Headers],0)),0)+IFERROR(INDEX(年齢階層×在院期間区分F2＿寛解・院内寛解[#All],MATCH($AH7,年齢階層×在院期間区分F2＿寛解・院内寛解[[#All],[行ラベル]],0),MATCH($AO$3,年齢階層×在院期間区分F2＿寛解・院内寛解[#Headers],0)),0)+IFERROR(INDEX(年齢階層×在院期間区分F2＿寛解・院内寛解[#All],MATCH($AH7,年齢階層×在院期間区分F2＿寛解・院内寛解[[#All],[行ラベル]],0),MATCH($AP$3,年齢階層×在院期間区分F2＿寛解・院内寛解[#Headers],0)),0)+IFERROR(INDEX(年齢階層×在院期間区分F2＿寛解・院内寛解[#All],MATCH($AH7,年齢階層×在院期間区分F2＿寛解・院内寛解[[#All],[行ラベル]],0),MATCH($AQ$3,年齢階層×在院期間区分F2＿寛解・院内寛解[#Headers],0)),0)</f>
        <v>14</v>
      </c>
      <c r="F23" s="155">
        <f t="shared" si="8"/>
        <v>9.5890410958904104E-2</v>
      </c>
      <c r="G23" s="154">
        <f>IFERROR(INDEX(年齢階層×在院期間区分F2＿寛解・院内寛解[#All],MATCH($AH7,年齢階層×在院期間区分F2＿寛解・院内寛解[[#All],[行ラベル]],0),MATCH($AR$3,年齢階層×在院期間区分F2＿寛解・院内寛解[#Headers],0)),0)+IFERROR(INDEX(年齢階層×在院期間区分F2＿寛解・院内寛解[#All],MATCH($AH7,年齢階層×在院期間区分F2＿寛解・院内寛解[[#All],[行ラベル]],0),MATCH($AS$3,年齢階層×在院期間区分F2＿寛解・院内寛解[#Headers],0)),0)+IFERROR(INDEX(年齢階層×在院期間区分F2＿寛解・院内寛解[#All],MATCH($AH7,年齢階層×在院期間区分F2＿寛解・院内寛解[[#All],[行ラベル]],0),MATCH($AT$3,年齢階層×在院期間区分F2＿寛解・院内寛解[#Headers],0)),0)+IFERROR(INDEX(年齢階層×在院期間区分F2＿寛解・院内寛解[#All],MATCH($AH7,年齢階層×在院期間区分F2＿寛解・院内寛解[[#All],[行ラベル]],0),MATCH($AU$3,年齢階層×在院期間区分F2＿寛解・院内寛解[#Headers],0)),0)+IFERROR(INDEX(年齢階層×在院期間区分F2＿寛解・院内寛解[#All],MATCH($AH7,年齢階層×在院期間区分F2＿寛解・院内寛解[[#All],[行ラベル]],0),MATCH($AV$3,年齢階層×在院期間区分F2＿寛解・院内寛解[#Headers],0)),0)</f>
        <v>13</v>
      </c>
      <c r="H23" s="155">
        <f t="shared" si="9"/>
        <v>0.13402061855670103</v>
      </c>
      <c r="I23" s="154">
        <f>IFERROR(INDEX(年齢階層×在院期間区分F2＿寛解・院内寛解[#All],MATCH($AH7,年齢階層×在院期間区分F2＿寛解・院内寛解[[#All],[行ラベル]],0),MATCH($AW$3,年齢階層×在院期間区分F2＿寛解・院内寛解[#Headers],0)),0)+IFERROR(INDEX(年齢階層×在院期間区分F2＿寛解・院内寛解[#All],MATCH($AH7,年齢階層×在院期間区分F2＿寛解・院内寛解[[#All],[行ラベル]],0),MATCH($AX$3,年齢階層×在院期間区分F2＿寛解・院内寛解[#Headers],0)),0)</f>
        <v>3</v>
      </c>
      <c r="J23" s="155">
        <f t="shared" si="10"/>
        <v>3.4090909090909088E-2</v>
      </c>
      <c r="K23" s="154">
        <f t="shared" si="11"/>
        <v>106</v>
      </c>
      <c r="L23" s="155">
        <f t="shared" si="12"/>
        <v>0.14095744680851063</v>
      </c>
      <c r="O23" s="53" t="s">
        <v>5</v>
      </c>
      <c r="P23" s="61">
        <v>21</v>
      </c>
      <c r="Q23" s="61">
        <v>30</v>
      </c>
      <c r="R23" s="61">
        <v>17</v>
      </c>
      <c r="S23" s="61">
        <v>8</v>
      </c>
      <c r="T23" s="61">
        <v>9</v>
      </c>
      <c r="U23" s="61">
        <v>0</v>
      </c>
      <c r="V23" s="61">
        <v>1</v>
      </c>
      <c r="W23" s="61">
        <v>3</v>
      </c>
      <c r="X23" s="61">
        <v>1</v>
      </c>
      <c r="Y23" s="61">
        <v>1</v>
      </c>
      <c r="Z23" s="61">
        <v>5</v>
      </c>
      <c r="AA23" s="61">
        <v>5</v>
      </c>
      <c r="AB23" s="61">
        <v>2</v>
      </c>
      <c r="AC23" s="61">
        <v>0</v>
      </c>
      <c r="AD23" s="61">
        <v>3</v>
      </c>
      <c r="AE23" s="61">
        <v>0</v>
      </c>
      <c r="AH23" s="53" t="s">
        <v>5</v>
      </c>
    </row>
    <row r="24" spans="2:38" s="21" customFormat="1" ht="18.75" customHeight="1" x14ac:dyDescent="0.2">
      <c r="B24" s="176" t="s">
        <v>6</v>
      </c>
      <c r="C24" s="178">
        <f>IFERROR(INDEX(年齢階層×在院期間区分F2＿寛解・院内寛解[#All],MATCH($AH8,年齢階層×在院期間区分F2＿寛解・院内寛解[[#All],[行ラベル]],0),MATCH($AI$3,年齢階層×在院期間区分F2＿寛解・院内寛解[#Headers],0)),0)+IFERROR(INDEX(年齢階層×在院期間区分F2＿寛解・院内寛解[#All],MATCH($AH8,年齢階層×在院期間区分F2＿寛解・院内寛解[[#All],[行ラベル]],0),MATCH($AJ$3,年齢階層×在院期間区分F2＿寛解・院内寛解[#Headers],0)),0)+IFERROR(INDEX(年齢階層×在院期間区分F2＿寛解・院内寛解[#All],MATCH($AH8,年齢階層×在院期間区分F2＿寛解・院内寛解[[#All],[行ラベル]],0),MATCH($AK$3,年齢階層×在院期間区分F2＿寛解・院内寛解[#Headers],0)),0)+IFERROR(INDEX(年齢階層×在院期間区分F2＿寛解・院内寛解[#All],MATCH($AH8,年齢階層×在院期間区分F2＿寛解・院内寛解[[#All],[行ラベル]],0),MATCH($AL$3,年齢階層×在院期間区分F2＿寛解・院内寛解[#Headers],0)),0)</f>
        <v>123</v>
      </c>
      <c r="D24" s="155">
        <f t="shared" si="7"/>
        <v>0.29216152019002373</v>
      </c>
      <c r="E24" s="154">
        <f>IFERROR(INDEX(年齢階層×在院期間区分F2＿寛解・院内寛解[#All],MATCH($AH8,年齢階層×在院期間区分F2＿寛解・院内寛解[[#All],[行ラベル]],0),MATCH($AM$3,年齢階層×在院期間区分F2＿寛解・院内寛解[#Headers],0)),0)+IFERROR(INDEX(年齢階層×在院期間区分F2＿寛解・院内寛解[#All],MATCH($AH8,年齢階層×在院期間区分F2＿寛解・院内寛解[[#All],[行ラベル]],0),MATCH($AN$3,年齢階層×在院期間区分F2＿寛解・院内寛解[#Headers],0)),0)+IFERROR(INDEX(年齢階層×在院期間区分F2＿寛解・院内寛解[#All],MATCH($AH8,年齢階層×在院期間区分F2＿寛解・院内寛解[[#All],[行ラベル]],0),MATCH($AO$3,年齢階層×在院期間区分F2＿寛解・院内寛解[#Headers],0)),0)+IFERROR(INDEX(年齢階層×在院期間区分F2＿寛解・院内寛解[#All],MATCH($AH8,年齢階層×在院期間区分F2＿寛解・院内寛解[[#All],[行ラベル]],0),MATCH($AP$3,年齢階層×在院期間区分F2＿寛解・院内寛解[#Headers],0)),0)+IFERROR(INDEX(年齢階層×在院期間区分F2＿寛解・院内寛解[#All],MATCH($AH8,年齢階層×在院期間区分F2＿寛解・院内寛解[[#All],[行ラベル]],0),MATCH($AQ$3,年齢階層×在院期間区分F2＿寛解・院内寛解[#Headers],0)),0)</f>
        <v>25</v>
      </c>
      <c r="F24" s="155">
        <f t="shared" si="8"/>
        <v>0.17123287671232876</v>
      </c>
      <c r="G24" s="178">
        <f>IFERROR(INDEX(年齢階層×在院期間区分F2＿寛解・院内寛解[#All],MATCH($AH8,年齢階層×在院期間区分F2＿寛解・院内寛解[[#All],[行ラベル]],0),MATCH($AR$3,年齢階層×在院期間区分F2＿寛解・院内寛解[#Headers],0)),0)+IFERROR(INDEX(年齢階層×在院期間区分F2＿寛解・院内寛解[#All],MATCH($AH8,年齢階層×在院期間区分F2＿寛解・院内寛解[[#All],[行ラベル]],0),MATCH($AS$3,年齢階層×在院期間区分F2＿寛解・院内寛解[#Headers],0)),0)+IFERROR(INDEX(年齢階層×在院期間区分F2＿寛解・院内寛解[#All],MATCH($AH8,年齢階層×在院期間区分F2＿寛解・院内寛解[[#All],[行ラベル]],0),MATCH($AT$3,年齢階層×在院期間区分F2＿寛解・院内寛解[#Headers],0)),0)+IFERROR(INDEX(年齢階層×在院期間区分F2＿寛解・院内寛解[#All],MATCH($AH8,年齢階層×在院期間区分F2＿寛解・院内寛解[[#All],[行ラベル]],0),MATCH($AU$3,年齢階層×在院期間区分F2＿寛解・院内寛解[#Headers],0)),0)+IFERROR(INDEX(年齢階層×在院期間区分F2＿寛解・院内寛解[#All],MATCH($AH8,年齢階層×在院期間区分F2＿寛解・院内寛解[[#All],[行ラベル]],0),MATCH($AV$3,年齢階層×在院期間区分F2＿寛解・院内寛解[#Headers],0)),0)</f>
        <v>21</v>
      </c>
      <c r="H24" s="155">
        <f t="shared" si="9"/>
        <v>0.21649484536082475</v>
      </c>
      <c r="I24" s="154">
        <f>IFERROR(INDEX(年齢階層×在院期間区分F2＿寛解・院内寛解[#All],MATCH($AH8,年齢階層×在院期間区分F2＿寛解・院内寛解[[#All],[行ラベル]],0),MATCH($AW$3,年齢階層×在院期間区分F2＿寛解・院内寛解[#Headers],0)),0)+IFERROR(INDEX(年齢階層×在院期間区分F2＿寛解・院内寛解[#All],MATCH($AH8,年齢階層×在院期間区分F2＿寛解・院内寛解[[#All],[行ラベル]],0),MATCH($AX$3,年齢階層×在院期間区分F2＿寛解・院内寛解[#Headers],0)),0)</f>
        <v>22</v>
      </c>
      <c r="J24" s="155">
        <f t="shared" si="10"/>
        <v>0.25</v>
      </c>
      <c r="K24" s="154">
        <f t="shared" si="11"/>
        <v>191</v>
      </c>
      <c r="L24" s="155">
        <f t="shared" si="12"/>
        <v>0.25398936170212766</v>
      </c>
      <c r="O24" s="53" t="s">
        <v>6</v>
      </c>
      <c r="P24" s="61">
        <v>38</v>
      </c>
      <c r="Q24" s="61">
        <v>52</v>
      </c>
      <c r="R24" s="61">
        <v>20</v>
      </c>
      <c r="S24" s="61">
        <v>13</v>
      </c>
      <c r="T24" s="61">
        <v>8</v>
      </c>
      <c r="U24" s="61">
        <v>3</v>
      </c>
      <c r="V24" s="61">
        <v>8</v>
      </c>
      <c r="W24" s="61">
        <v>3</v>
      </c>
      <c r="X24" s="61">
        <v>3</v>
      </c>
      <c r="Y24" s="61">
        <v>6</v>
      </c>
      <c r="Z24" s="61">
        <v>4</v>
      </c>
      <c r="AA24" s="61">
        <v>5</v>
      </c>
      <c r="AB24" s="61">
        <v>3</v>
      </c>
      <c r="AC24" s="61">
        <v>3</v>
      </c>
      <c r="AD24" s="61">
        <v>17</v>
      </c>
      <c r="AE24" s="61">
        <v>5</v>
      </c>
      <c r="AH24" s="53" t="s">
        <v>6</v>
      </c>
    </row>
    <row r="25" spans="2:38" s="21" customFormat="1" ht="18.75" customHeight="1" x14ac:dyDescent="0.2">
      <c r="B25" s="176" t="s">
        <v>7</v>
      </c>
      <c r="C25" s="177">
        <f>IFERROR(INDEX(年齢階層×在院期間区分F2＿寛解・院内寛解[#All],MATCH($AH9,年齢階層×在院期間区分F2＿寛解・院内寛解[[#All],[行ラベル]],0),MATCH($AI$3,年齢階層×在院期間区分F2＿寛解・院内寛解[#Headers],0)),0)+IFERROR(INDEX(年齢階層×在院期間区分F2＿寛解・院内寛解[#All],MATCH($AH9,年齢階層×在院期間区分F2＿寛解・院内寛解[[#All],[行ラベル]],0),MATCH($AJ$3,年齢階層×在院期間区分F2＿寛解・院内寛解[#Headers],0)),0)+IFERROR(INDEX(年齢階層×在院期間区分F2＿寛解・院内寛解[#All],MATCH($AH9,年齢階層×在院期間区分F2＿寛解・院内寛解[[#All],[行ラベル]],0),MATCH($AK$3,年齢階層×在院期間区分F2＿寛解・院内寛解[#Headers],0)),0)+IFERROR(INDEX(年齢階層×在院期間区分F2＿寛解・院内寛解[#All],MATCH($AH9,年齢階層×在院期間区分F2＿寛解・院内寛解[[#All],[行ラベル]],0),MATCH($AL$3,年齢階層×在院期間区分F2＿寛解・院内寛解[#Headers],0)),0)</f>
        <v>70</v>
      </c>
      <c r="D25" s="155">
        <f t="shared" si="7"/>
        <v>0.166270783847981</v>
      </c>
      <c r="E25" s="154">
        <f>IFERROR(INDEX(年齢階層×在院期間区分F2＿寛解・院内寛解[#All],MATCH($AH9,年齢階層×在院期間区分F2＿寛解・院内寛解[[#All],[行ラベル]],0),MATCH($AM$3,年齢階層×在院期間区分F2＿寛解・院内寛解[#Headers],0)),0)+IFERROR(INDEX(年齢階層×在院期間区分F2＿寛解・院内寛解[#All],MATCH($AH9,年齢階層×在院期間区分F2＿寛解・院内寛解[[#All],[行ラベル]],0),MATCH($AN$3,年齢階層×在院期間区分F2＿寛解・院内寛解[#Headers],0)),0)+IFERROR(INDEX(年齢階層×在院期間区分F2＿寛解・院内寛解[#All],MATCH($AH9,年齢階層×在院期間区分F2＿寛解・院内寛解[[#All],[行ラベル]],0),MATCH($AO$3,年齢階層×在院期間区分F2＿寛解・院内寛解[#Headers],0)),0)+IFERROR(INDEX(年齢階層×在院期間区分F2＿寛解・院内寛解[#All],MATCH($AH9,年齢階層×在院期間区分F2＿寛解・院内寛解[[#All],[行ラベル]],0),MATCH($AP$3,年齢階層×在院期間区分F2＿寛解・院内寛解[#Headers],0)),0)+IFERROR(INDEX(年齢階層×在院期間区分F2＿寛解・院内寛解[#All],MATCH($AH9,年齢階層×在院期間区分F2＿寛解・院内寛解[[#All],[行ラベル]],0),MATCH($AQ$3,年齢階層×在院期間区分F2＿寛解・院内寛解[#Headers],0)),0)</f>
        <v>32</v>
      </c>
      <c r="F25" s="155">
        <f t="shared" si="8"/>
        <v>0.21917808219178081</v>
      </c>
      <c r="G25" s="177">
        <f>IFERROR(INDEX(年齢階層×在院期間区分F2＿寛解・院内寛解[#All],MATCH($AH9,年齢階層×在院期間区分F2＿寛解・院内寛解[[#All],[行ラベル]],0),MATCH($AR$3,年齢階層×在院期間区分F2＿寛解・院内寛解[#Headers],0)),0)+IFERROR(INDEX(年齢階層×在院期間区分F2＿寛解・院内寛解[#All],MATCH($AH9,年齢階層×在院期間区分F2＿寛解・院内寛解[[#All],[行ラベル]],0),MATCH($AS$3,年齢階層×在院期間区分F2＿寛解・院内寛解[#Headers],0)),0)+IFERROR(INDEX(年齢階層×在院期間区分F2＿寛解・院内寛解[#All],MATCH($AH9,年齢階層×在院期間区分F2＿寛解・院内寛解[[#All],[行ラベル]],0),MATCH($AT$3,年齢階層×在院期間区分F2＿寛解・院内寛解[#Headers],0)),0)+IFERROR(INDEX(年齢階層×在院期間区分F2＿寛解・院内寛解[#All],MATCH($AH9,年齢階層×在院期間区分F2＿寛解・院内寛解[[#All],[行ラベル]],0),MATCH($AU$3,年齢階層×在院期間区分F2＿寛解・院内寛解[#Headers],0)),0)+IFERROR(INDEX(年齢階層×在院期間区分F2＿寛解・院内寛解[#All],MATCH($AH9,年齢階層×在院期間区分F2＿寛解・院内寛解[[#All],[行ラベル]],0),MATCH($AV$3,年齢階層×在院期間区分F2＿寛解・院内寛解[#Headers],0)),0)</f>
        <v>19</v>
      </c>
      <c r="H25" s="155">
        <f t="shared" si="9"/>
        <v>0.19587628865979381</v>
      </c>
      <c r="I25" s="154">
        <f>IFERROR(INDEX(年齢階層×在院期間区分F2＿寛解・院内寛解[#All],MATCH($AH9,年齢階層×在院期間区分F2＿寛解・院内寛解[[#All],[行ラベル]],0),MATCH($AW$3,年齢階層×在院期間区分F2＿寛解・院内寛解[#Headers],0)),0)+IFERROR(INDEX(年齢階層×在院期間区分F2＿寛解・院内寛解[#All],MATCH($AH9,年齢階層×在院期間区分F2＿寛解・院内寛解[[#All],[行ラベル]],0),MATCH($AX$3,年齢階層×在院期間区分F2＿寛解・院内寛解[#Headers],0)),0)</f>
        <v>22</v>
      </c>
      <c r="J25" s="155">
        <f t="shared" si="10"/>
        <v>0.25</v>
      </c>
      <c r="K25" s="154">
        <f t="shared" si="11"/>
        <v>143</v>
      </c>
      <c r="L25" s="155">
        <f t="shared" si="12"/>
        <v>0.1901595744680851</v>
      </c>
      <c r="O25" s="53" t="s">
        <v>7</v>
      </c>
      <c r="P25" s="61">
        <v>17</v>
      </c>
      <c r="Q25" s="61">
        <v>29</v>
      </c>
      <c r="R25" s="61">
        <v>14</v>
      </c>
      <c r="S25" s="61">
        <v>10</v>
      </c>
      <c r="T25" s="61">
        <v>10</v>
      </c>
      <c r="U25" s="61">
        <v>5</v>
      </c>
      <c r="V25" s="61">
        <v>5</v>
      </c>
      <c r="W25" s="61">
        <v>2</v>
      </c>
      <c r="X25" s="61">
        <v>10</v>
      </c>
      <c r="Y25" s="61">
        <v>7</v>
      </c>
      <c r="Z25" s="61">
        <v>2</v>
      </c>
      <c r="AA25" s="61">
        <v>6</v>
      </c>
      <c r="AB25" s="61">
        <v>3</v>
      </c>
      <c r="AC25" s="61">
        <v>1</v>
      </c>
      <c r="AD25" s="61">
        <v>15</v>
      </c>
      <c r="AE25" s="61">
        <v>7</v>
      </c>
      <c r="AH25" s="53" t="s">
        <v>7</v>
      </c>
    </row>
    <row r="26" spans="2:38" s="21" customFormat="1" ht="18.75" customHeight="1" x14ac:dyDescent="0.2">
      <c r="B26" s="176" t="s">
        <v>8</v>
      </c>
      <c r="C26" s="154">
        <f>IFERROR(INDEX(年齢階層×在院期間区分F2＿寛解・院内寛解[#All],MATCH($AH10,年齢階層×在院期間区分F2＿寛解・院内寛解[[#All],[行ラベル]],0),MATCH($AI$3,年齢階層×在院期間区分F2＿寛解・院内寛解[#Headers],0)),0)+IFERROR(INDEX(年齢階層×在院期間区分F2＿寛解・院内寛解[#All],MATCH($AH10,年齢階層×在院期間区分F2＿寛解・院内寛解[[#All],[行ラベル]],0),MATCH($AJ$3,年齢階層×在院期間区分F2＿寛解・院内寛解[#Headers],0)),0)+IFERROR(INDEX(年齢階層×在院期間区分F2＿寛解・院内寛解[#All],MATCH($AH10,年齢階層×在院期間区分F2＿寛解・院内寛解[[#All],[行ラベル]],0),MATCH($AK$3,年齢階層×在院期間区分F2＿寛解・院内寛解[#Headers],0)),0)+IFERROR(INDEX(年齢階層×在院期間区分F2＿寛解・院内寛解[#All],MATCH($AH10,年齢階層×在院期間区分F2＿寛解・院内寛解[[#All],[行ラベル]],0),MATCH($AL$3,年齢階層×在院期間区分F2＿寛解・院内寛解[#Headers],0)),0)</f>
        <v>54</v>
      </c>
      <c r="D26" s="155">
        <f t="shared" si="7"/>
        <v>0.12826603325415678</v>
      </c>
      <c r="E26" s="154">
        <f>IFERROR(INDEX(年齢階層×在院期間区分F2＿寛解・院内寛解[#All],MATCH($AH10,年齢階層×在院期間区分F2＿寛解・院内寛解[[#All],[行ラベル]],0),MATCH($AM$3,年齢階層×在院期間区分F2＿寛解・院内寛解[#Headers],0)),0)+IFERROR(INDEX(年齢階層×在院期間区分F2＿寛解・院内寛解[#All],MATCH($AH10,年齢階層×在院期間区分F2＿寛解・院内寛解[[#All],[行ラベル]],0),MATCH($AN$3,年齢階層×在院期間区分F2＿寛解・院内寛解[#Headers],0)),0)+IFERROR(INDEX(年齢階層×在院期間区分F2＿寛解・院内寛解[#All],MATCH($AH10,年齢階層×在院期間区分F2＿寛解・院内寛解[[#All],[行ラベル]],0),MATCH($AO$3,年齢階層×在院期間区分F2＿寛解・院内寛解[#Headers],0)),0)+IFERROR(INDEX(年齢階層×在院期間区分F2＿寛解・院内寛解[#All],MATCH($AH10,年齢階層×在院期間区分F2＿寛解・院内寛解[[#All],[行ラベル]],0),MATCH($AP$3,年齢階層×在院期間区分F2＿寛解・院内寛解[#Headers],0)),0)+IFERROR(INDEX(年齢階層×在院期間区分F2＿寛解・院内寛解[#All],MATCH($AH10,年齢階層×在院期間区分F2＿寛解・院内寛解[[#All],[行ラベル]],0),MATCH($AQ$3,年齢階層×在院期間区分F2＿寛解・院内寛解[#Headers],0)),0)</f>
        <v>43</v>
      </c>
      <c r="F26" s="155">
        <f t="shared" si="8"/>
        <v>0.29452054794520549</v>
      </c>
      <c r="G26" s="177">
        <f>IFERROR(INDEX(年齢階層×在院期間区分F2＿寛解・院内寛解[#All],MATCH($AH10,年齢階層×在院期間区分F2＿寛解・院内寛解[[#All],[行ラベル]],0),MATCH($AR$3,年齢階層×在院期間区分F2＿寛解・院内寛解[#Headers],0)),0)+IFERROR(INDEX(年齢階層×在院期間区分F2＿寛解・院内寛解[#All],MATCH($AH10,年齢階層×在院期間区分F2＿寛解・院内寛解[[#All],[行ラベル]],0),MATCH($AS$3,年齢階層×在院期間区分F2＿寛解・院内寛解[#Headers],0)),0)+IFERROR(INDEX(年齢階層×在院期間区分F2＿寛解・院内寛解[#All],MATCH($AH10,年齢階層×在院期間区分F2＿寛解・院内寛解[[#All],[行ラベル]],0),MATCH($AT$3,年齢階層×在院期間区分F2＿寛解・院内寛解[#Headers],0)),0)+IFERROR(INDEX(年齢階層×在院期間区分F2＿寛解・院内寛解[#All],MATCH($AH10,年齢階層×在院期間区分F2＿寛解・院内寛解[[#All],[行ラベル]],0),MATCH($AU$3,年齢階層×在院期間区分F2＿寛解・院内寛解[#Headers],0)),0)+IFERROR(INDEX(年齢階層×在院期間区分F2＿寛解・院内寛解[#All],MATCH($AH10,年齢階層×在院期間区分F2＿寛解・院内寛解[[#All],[行ラベル]],0),MATCH($AV$3,年齢階層×在院期間区分F2＿寛解・院内寛解[#Headers],0)),0)</f>
        <v>27</v>
      </c>
      <c r="H26" s="155">
        <f t="shared" si="9"/>
        <v>0.27835051546391754</v>
      </c>
      <c r="I26" s="154">
        <f>IFERROR(INDEX(年齢階層×在院期間区分F2＿寛解・院内寛解[#All],MATCH($AH10,年齢階層×在院期間区分F2＿寛解・院内寛解[[#All],[行ラベル]],0),MATCH($AW$3,年齢階層×在院期間区分F2＿寛解・院内寛解[#Headers],0)),0)+IFERROR(INDEX(年齢階層×在院期間区分F2＿寛解・院内寛解[#All],MATCH($AH10,年齢階層×在院期間区分F2＿寛解・院内寛解[[#All],[行ラベル]],0),MATCH($AX$3,年齢階層×在院期間区分F2＿寛解・院内寛解[#Headers],0)),0)</f>
        <v>24</v>
      </c>
      <c r="J26" s="155">
        <f t="shared" si="10"/>
        <v>0.27272727272727271</v>
      </c>
      <c r="K26" s="154">
        <f t="shared" si="11"/>
        <v>148</v>
      </c>
      <c r="L26" s="155">
        <f t="shared" si="12"/>
        <v>0.19680851063829788</v>
      </c>
      <c r="O26" s="53" t="s">
        <v>8</v>
      </c>
      <c r="P26" s="61">
        <v>12</v>
      </c>
      <c r="Q26" s="61">
        <v>24</v>
      </c>
      <c r="R26" s="61">
        <v>8</v>
      </c>
      <c r="S26" s="61">
        <v>10</v>
      </c>
      <c r="T26" s="61">
        <v>11</v>
      </c>
      <c r="U26" s="61">
        <v>5</v>
      </c>
      <c r="V26" s="61">
        <v>12</v>
      </c>
      <c r="W26" s="61">
        <v>7</v>
      </c>
      <c r="X26" s="61">
        <v>8</v>
      </c>
      <c r="Y26" s="61">
        <v>6</v>
      </c>
      <c r="Z26" s="61">
        <v>6</v>
      </c>
      <c r="AA26" s="61">
        <v>5</v>
      </c>
      <c r="AB26" s="61">
        <v>4</v>
      </c>
      <c r="AC26" s="61">
        <v>6</v>
      </c>
      <c r="AD26" s="61">
        <v>15</v>
      </c>
      <c r="AE26" s="61">
        <v>9</v>
      </c>
      <c r="AH26" s="53" t="s">
        <v>8</v>
      </c>
    </row>
    <row r="27" spans="2:38" s="21" customFormat="1" ht="18.75" customHeight="1" x14ac:dyDescent="0.2">
      <c r="B27" s="176" t="s">
        <v>9</v>
      </c>
      <c r="C27" s="178">
        <f>IFERROR(INDEX(年齢階層×在院期間区分F2＿寛解・院内寛解[#All],MATCH($AH11,年齢階層×在院期間区分F2＿寛解・院内寛解[[#All],[行ラベル]],0),MATCH($AI$3,年齢階層×在院期間区分F2＿寛解・院内寛解[#Headers],0)),0)+IFERROR(INDEX(年齢階層×在院期間区分F2＿寛解・院内寛解[#All],MATCH($AH11,年齢階層×在院期間区分F2＿寛解・院内寛解[[#All],[行ラベル]],0),MATCH($AJ$3,年齢階層×在院期間区分F2＿寛解・院内寛解[#Headers],0)),0)+IFERROR(INDEX(年齢階層×在院期間区分F2＿寛解・院内寛解[#All],MATCH($AH11,年齢階層×在院期間区分F2＿寛解・院内寛解[[#All],[行ラベル]],0),MATCH($AK$3,年齢階層×在院期間区分F2＿寛解・院内寛解[#Headers],0)),0)+IFERROR(INDEX(年齢階層×在院期間区分F2＿寛解・院内寛解[#All],MATCH($AH11,年齢階層×在院期間区分F2＿寛解・院内寛解[[#All],[行ラベル]],0),MATCH($AL$3,年齢階層×在院期間区分F2＿寛解・院内寛解[#Headers],0)),0)</f>
        <v>31</v>
      </c>
      <c r="D27" s="155">
        <f t="shared" si="7"/>
        <v>7.3634204275534437E-2</v>
      </c>
      <c r="E27" s="178">
        <f>IFERROR(INDEX(年齢階層×在院期間区分F2＿寛解・院内寛解[#All],MATCH($AH11,年齢階層×在院期間区分F2＿寛解・院内寛解[[#All],[行ラベル]],0),MATCH($AM$3,年齢階層×在院期間区分F2＿寛解・院内寛解[#Headers],0)),0)+IFERROR(INDEX(年齢階層×在院期間区分F2＿寛解・院内寛解[#All],MATCH($AH11,年齢階層×在院期間区分F2＿寛解・院内寛解[[#All],[行ラベル]],0),MATCH($AN$3,年齢階層×在院期間区分F2＿寛解・院内寛解[#Headers],0)),0)+IFERROR(INDEX(年齢階層×在院期間区分F2＿寛解・院内寛解[#All],MATCH($AH11,年齢階層×在院期間区分F2＿寛解・院内寛解[[#All],[行ラベル]],0),MATCH($AO$3,年齢階層×在院期間区分F2＿寛解・院内寛解[#Headers],0)),0)+IFERROR(INDEX(年齢階層×在院期間区分F2＿寛解・院内寛解[#All],MATCH($AH11,年齢階層×在院期間区分F2＿寛解・院内寛解[[#All],[行ラベル]],0),MATCH($AP$3,年齢階層×在院期間区分F2＿寛解・院内寛解[#Headers],0)),0)+IFERROR(INDEX(年齢階層×在院期間区分F2＿寛解・院内寛解[#All],MATCH($AH11,年齢階層×在院期間区分F2＿寛解・院内寛解[[#All],[行ラベル]],0),MATCH($AQ$3,年齢階層×在院期間区分F2＿寛解・院内寛解[#Headers],0)),0)</f>
        <v>16</v>
      </c>
      <c r="F27" s="155">
        <f t="shared" si="8"/>
        <v>0.1095890410958904</v>
      </c>
      <c r="G27" s="154">
        <f>IFERROR(INDEX(年齢階層×在院期間区分F2＿寛解・院内寛解[#All],MATCH($AH11,年齢階層×在院期間区分F2＿寛解・院内寛解[[#All],[行ラベル]],0),MATCH($AR$3,年齢階層×在院期間区分F2＿寛解・院内寛解[#Headers],0)),0)+IFERROR(INDEX(年齢階層×在院期間区分F2＿寛解・院内寛解[#All],MATCH($AH11,年齢階層×在院期間区分F2＿寛解・院内寛解[[#All],[行ラベル]],0),MATCH($AS$3,年齢階層×在院期間区分F2＿寛解・院内寛解[#Headers],0)),0)+IFERROR(INDEX(年齢階層×在院期間区分F2＿寛解・院内寛解[#All],MATCH($AH11,年齢階層×在院期間区分F2＿寛解・院内寛解[[#All],[行ラベル]],0),MATCH($AT$3,年齢階層×在院期間区分F2＿寛解・院内寛解[#Headers],0)),0)+IFERROR(INDEX(年齢階層×在院期間区分F2＿寛解・院内寛解[#All],MATCH($AH11,年齢階層×在院期間区分F2＿寛解・院内寛解[[#All],[行ラベル]],0),MATCH($AU$3,年齢階層×在院期間区分F2＿寛解・院内寛解[#Headers],0)),0)+IFERROR(INDEX(年齢階層×在院期間区分F2＿寛解・院内寛解[#All],MATCH($AH11,年齢階層×在院期間区分F2＿寛解・院内寛解[[#All],[行ラベル]],0),MATCH($AV$3,年齢階層×在院期間区分F2＿寛解・院内寛解[#Headers],0)),0)</f>
        <v>10</v>
      </c>
      <c r="H27" s="155">
        <f t="shared" si="9"/>
        <v>0.10309278350515463</v>
      </c>
      <c r="I27" s="154">
        <f>IFERROR(INDEX(年齢階層×在院期間区分F2＿寛解・院内寛解[#All],MATCH($AH11,年齢階層×在院期間区分F2＿寛解・院内寛解[[#All],[行ラベル]],0),MATCH($AW$3,年齢階層×在院期間区分F2＿寛解・院内寛解[#Headers],0)),0)+IFERROR(INDEX(年齢階層×在院期間区分F2＿寛解・院内寛解[#All],MATCH($AH11,年齢階層×在院期間区分F2＿寛解・院内寛解[[#All],[行ラベル]],0),MATCH($AX$3,年齢階層×在院期間区分F2＿寛解・院内寛解[#Headers],0)),0)</f>
        <v>15</v>
      </c>
      <c r="J27" s="155">
        <f t="shared" si="10"/>
        <v>0.17045454545454544</v>
      </c>
      <c r="K27" s="154">
        <f t="shared" si="11"/>
        <v>72</v>
      </c>
      <c r="L27" s="155">
        <f t="shared" si="12"/>
        <v>9.5744680851063829E-2</v>
      </c>
      <c r="O27" s="53" t="s">
        <v>9</v>
      </c>
      <c r="P27" s="61">
        <v>10</v>
      </c>
      <c r="Q27" s="61">
        <v>15</v>
      </c>
      <c r="R27" s="61">
        <v>5</v>
      </c>
      <c r="S27" s="61">
        <v>1</v>
      </c>
      <c r="T27" s="61">
        <v>2</v>
      </c>
      <c r="U27" s="61">
        <v>1</v>
      </c>
      <c r="V27" s="61">
        <v>6</v>
      </c>
      <c r="W27" s="61">
        <v>4</v>
      </c>
      <c r="X27" s="61">
        <v>3</v>
      </c>
      <c r="Y27" s="61">
        <v>4</v>
      </c>
      <c r="Z27" s="61">
        <v>3</v>
      </c>
      <c r="AA27" s="61">
        <v>2</v>
      </c>
      <c r="AB27" s="61">
        <v>1</v>
      </c>
      <c r="AC27" s="61">
        <v>0</v>
      </c>
      <c r="AD27" s="61">
        <v>10</v>
      </c>
      <c r="AE27" s="61">
        <v>5</v>
      </c>
      <c r="AH27" s="53" t="s">
        <v>9</v>
      </c>
    </row>
    <row r="28" spans="2:38" s="21" customFormat="1" ht="18.75" customHeight="1" thickBot="1" x14ac:dyDescent="0.25">
      <c r="B28" s="179" t="s">
        <v>10</v>
      </c>
      <c r="C28" s="157">
        <f>IFERROR(INDEX(年齢階層×在院期間区分F2＿寛解・院内寛解[#All],MATCH($AH12,年齢階層×在院期間区分F2＿寛解・院内寛解[[#All],[行ラベル]],0),MATCH($AI$3,年齢階層×在院期間区分F2＿寛解・院内寛解[#Headers],0)),0)+IFERROR(INDEX(年齢階層×在院期間区分F2＿寛解・院内寛解[#All],MATCH($AH12,年齢階層×在院期間区分F2＿寛解・院内寛解[[#All],[行ラベル]],0),MATCH($AJ$3,年齢階層×在院期間区分F2＿寛解・院内寛解[#Headers],0)),0)+IFERROR(INDEX(年齢階層×在院期間区分F2＿寛解・院内寛解[#All],MATCH($AH12,年齢階層×在院期間区分F2＿寛解・院内寛解[[#All],[行ラベル]],0),MATCH($AK$3,年齢階層×在院期間区分F2＿寛解・院内寛解[#Headers],0)),0)+IFERROR(INDEX(年齢階層×在院期間区分F2＿寛解・院内寛解[#All],MATCH($AH12,年齢階層×在院期間区分F2＿寛解・院内寛解[[#All],[行ラベル]],0),MATCH($AL$3,年齢階層×在院期間区分F2＿寛解・院内寛解[#Headers],0)),0)</f>
        <v>2</v>
      </c>
      <c r="D28" s="159">
        <f t="shared" si="7"/>
        <v>4.7505938242280287E-3</v>
      </c>
      <c r="E28" s="157">
        <f>IFERROR(INDEX(年齢階層×在院期間区分F2＿寛解・院内寛解[#All],MATCH($AH12,年齢階層×在院期間区分F2＿寛解・院内寛解[[#All],[行ラベル]],0),MATCH($AM$3,年齢階層×在院期間区分F2＿寛解・院内寛解[#Headers],0)),0)+IFERROR(INDEX(年齢階層×在院期間区分F2＿寛解・院内寛解[#All],MATCH($AH12,年齢階層×在院期間区分F2＿寛解・院内寛解[[#All],[行ラベル]],0),MATCH($AN$3,年齢階層×在院期間区分F2＿寛解・院内寛解[#Headers],0)),0)+IFERROR(INDEX(年齢階層×在院期間区分F2＿寛解・院内寛解[#All],MATCH($AH12,年齢階層×在院期間区分F2＿寛解・院内寛解[[#All],[行ラベル]],0),MATCH($AO$3,年齢階層×在院期間区分F2＿寛解・院内寛解[#Headers],0)),0)+IFERROR(INDEX(年齢階層×在院期間区分F2＿寛解・院内寛解[#All],MATCH($AH12,年齢階層×在院期間区分F2＿寛解・院内寛解[[#All],[行ラベル]],0),MATCH($AP$3,年齢階層×在院期間区分F2＿寛解・院内寛解[#Headers],0)),0)+IFERROR(INDEX(年齢階層×在院期間区分F2＿寛解・院内寛解[#All],MATCH($AH12,年齢階層×在院期間区分F2＿寛解・院内寛解[[#All],[行ラベル]],0),MATCH($AQ$3,年齢階層×在院期間区分F2＿寛解・院内寛解[#Headers],0)),0)</f>
        <v>1</v>
      </c>
      <c r="F28" s="159">
        <f t="shared" si="8"/>
        <v>6.8493150684931503E-3</v>
      </c>
      <c r="G28" s="180">
        <f>IFERROR(INDEX(年齢階層×在院期間区分F2＿寛解・院内寛解[#All],MATCH($AH12,年齢階層×在院期間区分F2＿寛解・院内寛解[[#All],[行ラベル]],0),MATCH($AR$3,年齢階層×在院期間区分F2＿寛解・院内寛解[#Headers],0)),0)+IFERROR(INDEX(年齢階層×在院期間区分F2＿寛解・院内寛解[#All],MATCH($AH12,年齢階層×在院期間区分F2＿寛解・院内寛解[[#All],[行ラベル]],0),MATCH($AS$3,年齢階層×在院期間区分F2＿寛解・院内寛解[#Headers],0)),0)+IFERROR(INDEX(年齢階層×在院期間区分F2＿寛解・院内寛解[#All],MATCH($AH12,年齢階層×在院期間区分F2＿寛解・院内寛解[[#All],[行ラベル]],0),MATCH($AT$3,年齢階層×在院期間区分F2＿寛解・院内寛解[#Headers],0)),0)+IFERROR(INDEX(年齢階層×在院期間区分F2＿寛解・院内寛解[#All],MATCH($AH12,年齢階層×在院期間区分F2＿寛解・院内寛解[[#All],[行ラベル]],0),MATCH($AU$3,年齢階層×在院期間区分F2＿寛解・院内寛解[#Headers],0)),0)+IFERROR(INDEX(年齢階層×在院期間区分F2＿寛解・院内寛解[#All],MATCH($AH12,年齢階層×在院期間区分F2＿寛解・院内寛解[[#All],[行ラベル]],0),MATCH($AV$3,年齢階層×在院期間区分F2＿寛解・院内寛解[#Headers],0)),0)</f>
        <v>1</v>
      </c>
      <c r="H28" s="159">
        <f t="shared" si="9"/>
        <v>1.0309278350515464E-2</v>
      </c>
      <c r="I28" s="180">
        <f>IFERROR(INDEX(年齢階層×在院期間区分F2＿寛解・院内寛解[#All],MATCH($AH12,年齢階層×在院期間区分F2＿寛解・院内寛解[[#All],[行ラベル]],0),MATCH($AW$3,年齢階層×在院期間区分F2＿寛解・院内寛解[#Headers],0)),0)+IFERROR(INDEX(年齢階層×在院期間区分F2＿寛解・院内寛解[#All],MATCH($AH12,年齢階層×在院期間区分F2＿寛解・院内寛解[[#All],[行ラベル]],0),MATCH($AX$3,年齢階層×在院期間区分F2＿寛解・院内寛解[#Headers],0)),0)</f>
        <v>1</v>
      </c>
      <c r="J28" s="159">
        <f t="shared" si="10"/>
        <v>1.1363636363636364E-2</v>
      </c>
      <c r="K28" s="157">
        <f t="shared" si="11"/>
        <v>5</v>
      </c>
      <c r="L28" s="159">
        <f t="shared" si="12"/>
        <v>6.648936170212766E-3</v>
      </c>
      <c r="M28" s="63"/>
      <c r="O28" s="53" t="s">
        <v>10</v>
      </c>
      <c r="P28" s="61">
        <v>1</v>
      </c>
      <c r="Q28" s="61">
        <v>1</v>
      </c>
      <c r="R28" s="61">
        <v>0</v>
      </c>
      <c r="S28" s="61">
        <v>0</v>
      </c>
      <c r="T28" s="61">
        <v>1</v>
      </c>
      <c r="U28" s="61">
        <v>0</v>
      </c>
      <c r="V28" s="61">
        <v>0</v>
      </c>
      <c r="W28" s="61">
        <v>0</v>
      </c>
      <c r="X28" s="61">
        <v>0</v>
      </c>
      <c r="Y28" s="61">
        <v>0</v>
      </c>
      <c r="Z28" s="61">
        <v>1</v>
      </c>
      <c r="AA28" s="61">
        <v>0</v>
      </c>
      <c r="AB28" s="61">
        <v>0</v>
      </c>
      <c r="AC28" s="61">
        <v>0</v>
      </c>
      <c r="AD28" s="61">
        <v>1</v>
      </c>
      <c r="AE28" s="61">
        <v>0</v>
      </c>
      <c r="AH28" s="53" t="s">
        <v>10</v>
      </c>
    </row>
    <row r="29" spans="2:38" s="21" customFormat="1" ht="18.75" customHeight="1" thickTop="1" thickBot="1" x14ac:dyDescent="0.25">
      <c r="B29" s="181" t="s">
        <v>161</v>
      </c>
      <c r="C29" s="182">
        <f t="shared" ref="C29:L29" si="13">SUM(C20:C28)</f>
        <v>421</v>
      </c>
      <c r="D29" s="189">
        <f t="shared" si="13"/>
        <v>1</v>
      </c>
      <c r="E29" s="182">
        <f t="shared" si="13"/>
        <v>146</v>
      </c>
      <c r="F29" s="189">
        <f t="shared" si="13"/>
        <v>1</v>
      </c>
      <c r="G29" s="182">
        <f t="shared" si="13"/>
        <v>97</v>
      </c>
      <c r="H29" s="189">
        <f t="shared" si="13"/>
        <v>0.99999999999999989</v>
      </c>
      <c r="I29" s="182">
        <f t="shared" si="13"/>
        <v>88</v>
      </c>
      <c r="J29" s="189">
        <f t="shared" si="13"/>
        <v>0.99999999999999989</v>
      </c>
      <c r="K29" s="182">
        <f t="shared" si="13"/>
        <v>752</v>
      </c>
      <c r="L29" s="189">
        <f t="shared" si="13"/>
        <v>1</v>
      </c>
      <c r="O29" s="298" t="s">
        <v>308</v>
      </c>
      <c r="P29" s="348" t="s">
        <v>182</v>
      </c>
      <c r="Q29" s="60" t="s">
        <v>183</v>
      </c>
      <c r="R29" s="60" t="s">
        <v>184</v>
      </c>
      <c r="S29" s="60" t="s">
        <v>185</v>
      </c>
      <c r="T29" s="60" t="s">
        <v>186</v>
      </c>
      <c r="U29" s="60" t="s">
        <v>187</v>
      </c>
      <c r="V29" s="60" t="s">
        <v>188</v>
      </c>
      <c r="W29" s="60" t="s">
        <v>189</v>
      </c>
      <c r="X29" s="60" t="s">
        <v>190</v>
      </c>
      <c r="Y29" s="60" t="s">
        <v>191</v>
      </c>
      <c r="Z29" s="60" t="s">
        <v>192</v>
      </c>
      <c r="AA29" s="60" t="s">
        <v>193</v>
      </c>
      <c r="AB29" s="60" t="s">
        <v>194</v>
      </c>
      <c r="AC29" s="60" t="s">
        <v>195</v>
      </c>
      <c r="AD29" s="60" t="s">
        <v>196</v>
      </c>
      <c r="AE29" s="247" t="s">
        <v>197</v>
      </c>
      <c r="AL29" s="57"/>
    </row>
    <row r="30" spans="2:38" s="21" customFormat="1" ht="18.75" customHeight="1" thickTop="1" x14ac:dyDescent="0.2">
      <c r="B30" s="184" t="s">
        <v>93</v>
      </c>
      <c r="C30" s="185">
        <f>IFERROR(INDEX(年齢階層×在院期間区分F2_65歳未満以上＿寛解・院内寛解[#All],MATCH($AH30,年齢階層×在院期間区分F2_65歳未満以上＿寛解・院内寛解[[#All],[列1]],0),MATCH($AI$3,年齢階層×在院期間区分F2_65歳未満以上＿寛解・院内寛解[#Headers],0)),0)+IFERROR(INDEX(年齢階層×在院期間区分F2_65歳未満以上＿寛解・院内寛解[#All],MATCH($AH30,年齢階層×在院期間区分F2_65歳未満以上＿寛解・院内寛解[[#All],[列1]],0),MATCH($AJ$3,年齢階層×在院期間区分F2_65歳未満以上＿寛解・院内寛解[#Headers],0)),0)+IFERROR(INDEX(年齢階層×在院期間区分F2_65歳未満以上＿寛解・院内寛解[#All],MATCH($AH30,年齢階層×在院期間区分F2_65歳未満以上＿寛解・院内寛解[[#All],[列1]],0),MATCH($AK$3,年齢階層×在院期間区分F2_65歳未満以上＿寛解・院内寛解[#Headers],0)),0)+IFERROR(INDEX(年齢階層×在院期間区分F2_65歳未満以上＿寛解・院内寛解[#All],MATCH($AH30,年齢階層×在院期間区分F2_65歳未満以上＿寛解・院内寛解[[#All],[列1]],0),MATCH($AL$3,年齢階層×在院期間区分F2_65歳未満以上＿寛解・院内寛解[#Headers],0)),0)</f>
        <v>306</v>
      </c>
      <c r="D30" s="170">
        <f>IFERROR(C30/$C$29,"-")</f>
        <v>0.72684085510688834</v>
      </c>
      <c r="E30" s="185">
        <f>IFERROR(INDEX(年齢階層×在院期間区分F2_65歳未満以上＿寛解・院内寛解[#All],MATCH($AH30,年齢階層×在院期間区分F2_65歳未満以上＿寛解・院内寛解[[#All],[列1]],0),MATCH($AM$3,年齢階層×在院期間区分F2_65歳未満以上＿寛解・院内寛解[#Headers],0)),0)+IFERROR(INDEX(年齢階層×在院期間区分F2_65歳未満以上＿寛解・院内寛解[#All],MATCH($AH30,年齢階層×在院期間区分F2_65歳未満以上＿寛解・院内寛解[[#All],[列1]],0),MATCH($AN$3,年齢階層×在院期間区分F2_65歳未満以上＿寛解・院内寛解[#Headers],0)),0)+IFERROR(INDEX(年齢階層×在院期間区分F2_65歳未満以上＿寛解・院内寛解[#All],MATCH($AH30,年齢階層×在院期間区分F2_65歳未満以上＿寛解・院内寛解[[#All],[列1]],0),MATCH($AO$3,年齢階層×在院期間区分F2_65歳未満以上＿寛解・院内寛解[#Headers],0)),0)+IFERROR(INDEX(年齢階層×在院期間区分F2_65歳未満以上＿寛解・院内寛解[#All],MATCH($AH30,年齢階層×在院期間区分F2_65歳未満以上＿寛解・院内寛解[[#All],[列1]],0),MATCH($AP$3,年齢階層×在院期間区分F2_65歳未満以上＿寛解・院内寛解[#Headers],0)),0)+IFERROR(INDEX(年齢階層×在院期間区分F2_65歳未満以上＿寛解・院内寛解[#All],MATCH($AH30,年齢階層×在院期間区分F2_65歳未満以上＿寛解・院内寛解[[#All],[列1]],0),MATCH($AQ$3,年齢階層×在院期間区分F2_65歳未満以上＿寛解・院内寛解[#Headers],0)),0)</f>
        <v>69</v>
      </c>
      <c r="F30" s="170">
        <f>IFERROR(E30/$E$29,"-")</f>
        <v>0.4726027397260274</v>
      </c>
      <c r="G30" s="185">
        <f>IFERROR(INDEX(年齢階層×在院期間区分F2_65歳未満以上＿寛解・院内寛解[#All],MATCH($AH30,年齢階層×在院期間区分F2_65歳未満以上＿寛解・院内寛解[[#All],[列1]],0),MATCH($AR$3,年齢階層×在院期間区分F2_65歳未満以上＿寛解・院内寛解[#Headers],0)),0)+IFERROR(INDEX(年齢階層×在院期間区分F2_65歳未満以上＿寛解・院内寛解[#All],MATCH($AH30,年齢階層×在院期間区分F2_65歳未満以上＿寛解・院内寛解[[#All],[列1]],0),MATCH($AS$3,年齢階層×在院期間区分F2_65歳未満以上＿寛解・院内寛解[#Headers],0)),0)+IFERROR(INDEX(年齢階層×在院期間区分F2_65歳未満以上＿寛解・院内寛解[#All],MATCH($AH30,年齢階層×在院期間区分F2_65歳未満以上＿寛解・院内寛解[[#All],[列1]],0),MATCH($AT$3,年齢階層×在院期間区分F2_65歳未満以上＿寛解・院内寛解[#Headers],0)),0)+IFERROR(INDEX(年齢階層×在院期間区分F2_65歳未満以上＿寛解・院内寛解[#All],MATCH($AH30,年齢階層×在院期間区分F2_65歳未満以上＿寛解・院内寛解[[#All],[列1]],0),MATCH($AU$3,年齢階層×在院期間区分F2_65歳未満以上＿寛解・院内寛解[#Headers],0)),0)+IFERROR(INDEX(年齢階層×在院期間区分F2_65歳未満以上＿寛解・院内寛解[#All],MATCH($AH30,年齢階層×在院期間区分F2_65歳未満以上＿寛解・院内寛解[[#All],[列1]],0),MATCH($AV$3,年齢階層×在院期間区分F2_65歳未満以上＿寛解・院内寛解[#Headers],0)),0)</f>
        <v>48</v>
      </c>
      <c r="H30" s="170">
        <f>IFERROR(G30/$G$29,"-")</f>
        <v>0.49484536082474229</v>
      </c>
      <c r="I30" s="185">
        <f>IFERROR(INDEX(年齢階層×在院期間区分F2_65歳未満以上＿寛解・院内寛解[#All],MATCH($AH30,年齢階層×在院期間区分F2_65歳未満以上＿寛解・院内寛解[[#All],[列1]],0),MATCH($AW$3,年齢階層×在院期間区分F2_65歳未満以上＿寛解・院内寛解[#Headers],0)),0)+IFERROR(INDEX(年齢階層×在院期間区分F2_65歳未満以上＿寛解・院内寛解[#All],MATCH($AH30,年齢階層×在院期間区分F2_65歳未満以上＿寛解・院内寛解[[#All],[列1]],0),MATCH($AX$3,年齢階層×在院期間区分F2_65歳未満以上＿寛解・院内寛解[#Headers],0)),0)</f>
        <v>36</v>
      </c>
      <c r="J30" s="170">
        <f>IFERROR(I30/$I$29,"-")</f>
        <v>0.40909090909090912</v>
      </c>
      <c r="K30" s="185">
        <f>C30+E30+G30+I30</f>
        <v>459</v>
      </c>
      <c r="L30" s="170">
        <f>IFERROR(K30/$K$29,"-")</f>
        <v>0.6103723404255319</v>
      </c>
      <c r="O30" s="53" t="s">
        <v>306</v>
      </c>
      <c r="P30" s="61">
        <v>98</v>
      </c>
      <c r="Q30" s="61">
        <v>117</v>
      </c>
      <c r="R30" s="61">
        <v>53</v>
      </c>
      <c r="S30" s="61">
        <v>38</v>
      </c>
      <c r="T30" s="61">
        <v>25</v>
      </c>
      <c r="U30" s="61">
        <v>8</v>
      </c>
      <c r="V30" s="61">
        <v>13</v>
      </c>
      <c r="W30" s="61">
        <v>9</v>
      </c>
      <c r="X30" s="61">
        <v>14</v>
      </c>
      <c r="Y30" s="61">
        <v>13</v>
      </c>
      <c r="Z30" s="61">
        <v>11</v>
      </c>
      <c r="AA30" s="61">
        <v>12</v>
      </c>
      <c r="AB30" s="61">
        <v>7</v>
      </c>
      <c r="AC30" s="61">
        <v>5</v>
      </c>
      <c r="AD30" s="61">
        <v>28</v>
      </c>
      <c r="AE30" s="61">
        <v>8</v>
      </c>
      <c r="AH30" s="67" t="s">
        <v>156</v>
      </c>
    </row>
    <row r="31" spans="2:38" ht="18.75" customHeight="1" x14ac:dyDescent="0.2">
      <c r="B31" s="186" t="s">
        <v>89</v>
      </c>
      <c r="C31" s="185">
        <f>IFERROR(INDEX(年齢階層×在院期間区分F2_65歳未満以上＿寛解・院内寛解[#All],MATCH($AH31,年齢階層×在院期間区分F2_65歳未満以上＿寛解・院内寛解[[#All],[列1]],0),MATCH($AI$3,年齢階層×在院期間区分F2_65歳未満以上＿寛解・院内寛解[#Headers],0)),0)+IFERROR(INDEX(年齢階層×在院期間区分F2_65歳未満以上＿寛解・院内寛解[#All],MATCH($AH31,年齢階層×在院期間区分F2_65歳未満以上＿寛解・院内寛解[[#All],[列1]],0),MATCH($AJ$3,年齢階層×在院期間区分F2_65歳未満以上＿寛解・院内寛解[#Headers],0)),0)+IFERROR(INDEX(年齢階層×在院期間区分F2_65歳未満以上＿寛解・院内寛解[#All],MATCH($AH31,年齢階層×在院期間区分F2_65歳未満以上＿寛解・院内寛解[[#All],[列1]],0),MATCH($AK$3,年齢階層×在院期間区分F2_65歳未満以上＿寛解・院内寛解[#Headers],0)),0)+IFERROR(INDEX(年齢階層×在院期間区分F2_65歳未満以上＿寛解・院内寛解[#All],MATCH($AH31,年齢階層×在院期間区分F2_65歳未満以上＿寛解・院内寛解[[#All],[列1]],0),MATCH($AL$3,年齢階層×在院期間区分F2_65歳未満以上＿寛解・院内寛解[#Headers],0)),0)</f>
        <v>115</v>
      </c>
      <c r="D31" s="187">
        <f>IFERROR(C31/$C$29,"-")</f>
        <v>0.27315914489311166</v>
      </c>
      <c r="E31" s="185">
        <f>IFERROR(INDEX(年齢階層×在院期間区分F2_65歳未満以上＿寛解・院内寛解[#All],MATCH($AH31,年齢階層×在院期間区分F2_65歳未満以上＿寛解・院内寛解[[#All],[列1]],0),MATCH($AM$3,年齢階層×在院期間区分F2_65歳未満以上＿寛解・院内寛解[#Headers],0)),0)+IFERROR(INDEX(年齢階層×在院期間区分F2_65歳未満以上＿寛解・院内寛解[#All],MATCH($AH31,年齢階層×在院期間区分F2_65歳未満以上＿寛解・院内寛解[[#All],[列1]],0),MATCH($AN$3,年齢階層×在院期間区分F2_65歳未満以上＿寛解・院内寛解[#Headers],0)),0)+IFERROR(INDEX(年齢階層×在院期間区分F2_65歳未満以上＿寛解・院内寛解[#All],MATCH($AH31,年齢階層×在院期間区分F2_65歳未満以上＿寛解・院内寛解[[#All],[列1]],0),MATCH($AO$3,年齢階層×在院期間区分F2_65歳未満以上＿寛解・院内寛解[#Headers],0)),0)+IFERROR(INDEX(年齢階層×在院期間区分F2_65歳未満以上＿寛解・院内寛解[#All],MATCH($AH31,年齢階層×在院期間区分F2_65歳未満以上＿寛解・院内寛解[[#All],[列1]],0),MATCH($AP$3,年齢階層×在院期間区分F2_65歳未満以上＿寛解・院内寛解[#Headers],0)),0)+IFERROR(INDEX(年齢階層×在院期間区分F2_65歳未満以上＿寛解・院内寛解[#All],MATCH($AH31,年齢階層×在院期間区分F2_65歳未満以上＿寛解・院内寛解[[#All],[列1]],0),MATCH($AQ$3,年齢階層×在院期間区分F2_65歳未満以上＿寛解・院内寛解[#Headers],0)),0)</f>
        <v>77</v>
      </c>
      <c r="F31" s="187">
        <f>IFERROR(E31/$E$29,"-")</f>
        <v>0.5273972602739726</v>
      </c>
      <c r="G31" s="185">
        <f>IFERROR(INDEX(年齢階層×在院期間区分F2_65歳未満以上＿寛解・院内寛解[#All],MATCH($AH31,年齢階層×在院期間区分F2_65歳未満以上＿寛解・院内寛解[[#All],[列1]],0),MATCH($AR$3,年齢階層×在院期間区分F2_65歳未満以上＿寛解・院内寛解[#Headers],0)),0)+IFERROR(INDEX(年齢階層×在院期間区分F2_65歳未満以上＿寛解・院内寛解[#All],MATCH($AH31,年齢階層×在院期間区分F2_65歳未満以上＿寛解・院内寛解[[#All],[列1]],0),MATCH($AS$3,年齢階層×在院期間区分F2_65歳未満以上＿寛解・院内寛解[#Headers],0)),0)+IFERROR(INDEX(年齢階層×在院期間区分F2_65歳未満以上＿寛解・院内寛解[#All],MATCH($AH31,年齢階層×在院期間区分F2_65歳未満以上＿寛解・院内寛解[[#All],[列1]],0),MATCH($AT$3,年齢階層×在院期間区分F2_65歳未満以上＿寛解・院内寛解[#Headers],0)),0)+IFERROR(INDEX(年齢階層×在院期間区分F2_65歳未満以上＿寛解・院内寛解[#All],MATCH($AH31,年齢階層×在院期間区分F2_65歳未満以上＿寛解・院内寛解[[#All],[列1]],0),MATCH($AU$3,年齢階層×在院期間区分F2_65歳未満以上＿寛解・院内寛解[#Headers],0)),0)+IFERROR(INDEX(年齢階層×在院期間区分F2_65歳未満以上＿寛解・院内寛解[#All],MATCH($AH31,年齢階層×在院期間区分F2_65歳未満以上＿寛解・院内寛解[[#All],[列1]],0),MATCH($AV$3,年齢階層×在院期間区分F2_65歳未満以上＿寛解・院内寛解[#Headers],0)),0)</f>
        <v>49</v>
      </c>
      <c r="H31" s="187">
        <f>IFERROR(G31/$G$29,"-")</f>
        <v>0.50515463917525771</v>
      </c>
      <c r="I31" s="185">
        <f>IFERROR(INDEX(年齢階層×在院期間区分F2_65歳未満以上＿寛解・院内寛解[#All],MATCH($AH31,年齢階層×在院期間区分F2_65歳未満以上＿寛解・院内寛解[[#All],[列1]],0),MATCH($AW$3,年齢階層×在院期間区分F2_65歳未満以上＿寛解・院内寛解[#Headers],0)),0)+IFERROR(INDEX(年齢階層×在院期間区分F2_65歳未満以上＿寛解・院内寛解[#All],MATCH($AH31,年齢階層×在院期間区分F2_65歳未満以上＿寛解・院内寛解[[#All],[列1]],0),MATCH($AX$3,年齢階層×在院期間区分F2_65歳未満以上＿寛解・院内寛解[#Headers],0)),0)</f>
        <v>52</v>
      </c>
      <c r="J31" s="187">
        <f>IFERROR(I31/$I$29,"-")</f>
        <v>0.59090909090909094</v>
      </c>
      <c r="K31" s="185">
        <f>C31+E31+G31+I31</f>
        <v>293</v>
      </c>
      <c r="L31" s="187">
        <f>IFERROR(K31/$K$29,"-")</f>
        <v>0.3896276595744681</v>
      </c>
      <c r="O31" s="53" t="s">
        <v>307</v>
      </c>
      <c r="P31" s="61">
        <v>29</v>
      </c>
      <c r="Q31" s="61">
        <v>54</v>
      </c>
      <c r="R31" s="61">
        <v>20</v>
      </c>
      <c r="S31" s="61">
        <v>12</v>
      </c>
      <c r="T31" s="61">
        <v>20</v>
      </c>
      <c r="U31" s="61">
        <v>9</v>
      </c>
      <c r="V31" s="61">
        <v>21</v>
      </c>
      <c r="W31" s="61">
        <v>12</v>
      </c>
      <c r="X31" s="61">
        <v>15</v>
      </c>
      <c r="Y31" s="61">
        <v>15</v>
      </c>
      <c r="Z31" s="61">
        <v>10</v>
      </c>
      <c r="AA31" s="61">
        <v>12</v>
      </c>
      <c r="AB31" s="61">
        <v>6</v>
      </c>
      <c r="AC31" s="61">
        <v>6</v>
      </c>
      <c r="AD31" s="61">
        <v>34</v>
      </c>
      <c r="AE31" s="61">
        <v>18</v>
      </c>
      <c r="AH31" s="67" t="s">
        <v>88</v>
      </c>
    </row>
    <row r="32" spans="2:38" x14ac:dyDescent="0.2">
      <c r="F32" s="62"/>
      <c r="H32" s="62"/>
      <c r="J32" s="62"/>
      <c r="K32" s="44"/>
    </row>
    <row r="34" spans="2:49" x14ac:dyDescent="0.2">
      <c r="C34" s="52"/>
      <c r="D34" s="60"/>
      <c r="E34" s="60"/>
      <c r="F34" s="60"/>
      <c r="G34" s="60"/>
      <c r="H34" s="60"/>
      <c r="I34" s="60"/>
      <c r="J34" s="60"/>
      <c r="K34" s="60"/>
      <c r="L34" s="60"/>
      <c r="M34" s="60"/>
      <c r="N34" s="60"/>
      <c r="O34" s="60"/>
      <c r="P34" s="60"/>
      <c r="Q34" s="60"/>
      <c r="R34" s="68"/>
    </row>
    <row r="35" spans="2:49" x14ac:dyDescent="0.2">
      <c r="B35" s="37"/>
      <c r="C35" s="22"/>
      <c r="D35" s="22"/>
      <c r="E35" s="22"/>
      <c r="F35" s="22"/>
      <c r="G35" s="22"/>
      <c r="H35" s="22"/>
      <c r="I35" s="22"/>
      <c r="J35" s="22"/>
      <c r="K35" s="22"/>
      <c r="L35" s="22"/>
      <c r="M35" s="22"/>
      <c r="N35" s="22"/>
      <c r="O35" s="22"/>
      <c r="P35" s="22"/>
      <c r="Q35" s="22"/>
      <c r="R35" s="22"/>
      <c r="S35" s="22"/>
    </row>
    <row r="36" spans="2:49" x14ac:dyDescent="0.2">
      <c r="B36" s="37"/>
      <c r="C36" s="22"/>
      <c r="D36" s="22"/>
      <c r="E36" s="22"/>
      <c r="F36" s="22"/>
      <c r="G36" s="22"/>
      <c r="H36" s="22"/>
      <c r="I36" s="22"/>
      <c r="J36" s="22"/>
      <c r="K36" s="22"/>
      <c r="L36" s="22"/>
      <c r="M36" s="22"/>
      <c r="N36" s="22"/>
      <c r="O36" s="22"/>
      <c r="P36" s="22"/>
      <c r="Q36" s="22"/>
      <c r="R36" s="22"/>
      <c r="S36" s="22"/>
    </row>
    <row r="37" spans="2:49" x14ac:dyDescent="0.2">
      <c r="B37" s="49"/>
      <c r="C37" s="69"/>
      <c r="D37" s="69"/>
      <c r="E37" s="69"/>
      <c r="F37" s="69"/>
      <c r="G37" s="69"/>
      <c r="H37" s="69"/>
      <c r="I37" s="69"/>
      <c r="J37" s="69"/>
      <c r="K37" s="69"/>
      <c r="L37" s="69"/>
      <c r="M37" s="69"/>
      <c r="N37" s="69"/>
      <c r="O37" s="69"/>
      <c r="P37" s="69"/>
      <c r="Q37" s="69"/>
      <c r="R37" s="69"/>
      <c r="S37" s="69"/>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2:49" ht="35.25" customHeight="1" x14ac:dyDescent="0.2">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row>
    <row r="39" spans="2:49" x14ac:dyDescent="0.2">
      <c r="B39" s="7"/>
      <c r="C39" s="70"/>
      <c r="D39" s="70"/>
      <c r="E39" s="70"/>
      <c r="F39" s="70"/>
      <c r="G39" s="70"/>
      <c r="H39" s="70"/>
      <c r="I39" s="70"/>
      <c r="J39" s="70"/>
      <c r="K39" s="70"/>
      <c r="L39" s="70"/>
      <c r="M39" s="70"/>
      <c r="N39" s="70"/>
      <c r="O39" s="70"/>
      <c r="P39" s="70"/>
      <c r="Q39" s="70"/>
      <c r="R39" s="70"/>
      <c r="S39" s="70"/>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row>
    <row r="40" spans="2:49" x14ac:dyDescent="0.2">
      <c r="B40" s="7"/>
      <c r="C40" s="70"/>
      <c r="D40" s="70"/>
      <c r="E40" s="70"/>
      <c r="F40" s="70"/>
      <c r="G40" s="70"/>
      <c r="H40" s="70"/>
      <c r="I40" s="70"/>
      <c r="J40" s="70"/>
      <c r="K40" s="70"/>
      <c r="L40" s="70"/>
      <c r="M40" s="70"/>
      <c r="N40" s="70"/>
      <c r="O40" s="70"/>
      <c r="P40" s="70"/>
      <c r="Q40" s="70"/>
      <c r="R40" s="70"/>
      <c r="S40" s="70"/>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row>
    <row r="41" spans="2:49" x14ac:dyDescent="0.2">
      <c r="B41" s="7"/>
      <c r="C41" s="70"/>
      <c r="D41" s="70"/>
      <c r="E41" s="70"/>
      <c r="F41" s="70"/>
      <c r="G41" s="70"/>
      <c r="H41" s="70"/>
      <c r="I41" s="70"/>
      <c r="J41" s="70"/>
      <c r="K41" s="70"/>
      <c r="L41" s="70"/>
      <c r="M41" s="70"/>
      <c r="N41" s="70"/>
      <c r="O41" s="70"/>
      <c r="P41" s="70"/>
      <c r="Q41" s="70"/>
      <c r="R41" s="70"/>
      <c r="S41" s="70"/>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row>
    <row r="42" spans="2:49" x14ac:dyDescent="0.2">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2:49" x14ac:dyDescent="0.2">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2:49" x14ac:dyDescent="0.2">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2:49" x14ac:dyDescent="0.2">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2:49" x14ac:dyDescent="0.2">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2:49" x14ac:dyDescent="0.2">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2:49" x14ac:dyDescent="0.2">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2:49" x14ac:dyDescent="0.2">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2:49" x14ac:dyDescent="0.2">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2:49" x14ac:dyDescent="0.2">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2:49" x14ac:dyDescent="0.2">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2:49" x14ac:dyDescent="0.2">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2:49" x14ac:dyDescent="0.2">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2:49" x14ac:dyDescent="0.2">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2:49" x14ac:dyDescent="0.2">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2:49" x14ac:dyDescent="0.2">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2:49" x14ac:dyDescent="0.2">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2:49" x14ac:dyDescent="0.2">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2:49" x14ac:dyDescent="0.2">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2:49" x14ac:dyDescent="0.2">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2:49" x14ac:dyDescent="0.2">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2:49" x14ac:dyDescent="0.2">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2:49" x14ac:dyDescent="0.2">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2:49" x14ac:dyDescent="0.2">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2:49" x14ac:dyDescent="0.2">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2:49" x14ac:dyDescent="0.2">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row>
    <row r="68" spans="2:49" x14ac:dyDescent="0.2">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2:49" x14ac:dyDescent="0.2">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row>
    <row r="70" spans="2:49" x14ac:dyDescent="0.2">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2:49" x14ac:dyDescent="0.2">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2:49" x14ac:dyDescent="0.2">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2:49" x14ac:dyDescent="0.2">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2:49" x14ac:dyDescent="0.2">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2:49" x14ac:dyDescent="0.2">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2:49" x14ac:dyDescent="0.2">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2:49" x14ac:dyDescent="0.2">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row>
    <row r="78" spans="2:49" x14ac:dyDescent="0.2">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2:49" x14ac:dyDescent="0.2">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row>
    <row r="80" spans="2:49" x14ac:dyDescent="0.2">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2:49" x14ac:dyDescent="0.2">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2:49" x14ac:dyDescent="0.2">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2:49" x14ac:dyDescent="0.2">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2:49" x14ac:dyDescent="0.2">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2:49" x14ac:dyDescent="0.2">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2:49" x14ac:dyDescent="0.2">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2:49" x14ac:dyDescent="0.2">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2:49" x14ac:dyDescent="0.2">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2:49" x14ac:dyDescent="0.2">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2:49" x14ac:dyDescent="0.2">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2:49" x14ac:dyDescent="0.2">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2:49" x14ac:dyDescent="0.2">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2:49" x14ac:dyDescent="0.2">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row>
    <row r="94" spans="2:49" x14ac:dyDescent="0.2">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2:49" x14ac:dyDescent="0.2">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row>
    <row r="96" spans="2:49" x14ac:dyDescent="0.2">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2:49" x14ac:dyDescent="0.2">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2:49" x14ac:dyDescent="0.2">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2:49" x14ac:dyDescent="0.2">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2:49" x14ac:dyDescent="0.2">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row>
    <row r="101" spans="2:49" x14ac:dyDescent="0.2">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row>
    <row r="102" spans="2:49" x14ac:dyDescent="0.2">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row>
    <row r="103" spans="2:49" x14ac:dyDescent="0.2">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row>
    <row r="104" spans="2:49" x14ac:dyDescent="0.2">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row>
    <row r="105" spans="2:49" x14ac:dyDescent="0.2">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row>
    <row r="106" spans="2:49" x14ac:dyDescent="0.2">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row>
    <row r="107" spans="2:49" x14ac:dyDescent="0.2">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row>
    <row r="108" spans="2:49" x14ac:dyDescent="0.2">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2:49" x14ac:dyDescent="0.2">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row>
    <row r="110" spans="2:49" x14ac:dyDescent="0.2">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2:49" x14ac:dyDescent="0.2">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2:49" x14ac:dyDescent="0.2">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2:49" x14ac:dyDescent="0.2">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row>
    <row r="114" spans="2:49" x14ac:dyDescent="0.2">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2:49" x14ac:dyDescent="0.2">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row>
    <row r="116" spans="2:49" x14ac:dyDescent="0.2">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row>
    <row r="117" spans="2:49" x14ac:dyDescent="0.2">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row>
    <row r="118" spans="2:49" x14ac:dyDescent="0.2">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row>
    <row r="119" spans="2:49" x14ac:dyDescent="0.2">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row>
    <row r="120" spans="2:49" x14ac:dyDescent="0.2">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row>
    <row r="121" spans="2:49" x14ac:dyDescent="0.2">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row>
    <row r="122" spans="2:49" x14ac:dyDescent="0.2">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row>
    <row r="123" spans="2:49" x14ac:dyDescent="0.2">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row>
    <row r="124" spans="2:49" x14ac:dyDescent="0.2">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row>
    <row r="125" spans="2:49" x14ac:dyDescent="0.2">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row>
    <row r="126" spans="2:49" x14ac:dyDescent="0.2">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row>
    <row r="127" spans="2:49" x14ac:dyDescent="0.2">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row>
    <row r="128" spans="2:49" x14ac:dyDescent="0.2">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row>
    <row r="129" spans="2:49" x14ac:dyDescent="0.2">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row>
    <row r="130" spans="2:49" x14ac:dyDescent="0.2">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row>
    <row r="131" spans="2:49" x14ac:dyDescent="0.2">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row>
    <row r="132" spans="2:49" x14ac:dyDescent="0.2">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row>
    <row r="133" spans="2:49" x14ac:dyDescent="0.2">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row>
    <row r="134" spans="2:49" x14ac:dyDescent="0.2">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row>
    <row r="135" spans="2:49" x14ac:dyDescent="0.2">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row>
    <row r="136" spans="2:49" x14ac:dyDescent="0.2">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row>
    <row r="137" spans="2:49" x14ac:dyDescent="0.2">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row>
    <row r="138" spans="2:49" x14ac:dyDescent="0.2">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row>
    <row r="139" spans="2:49" x14ac:dyDescent="0.2">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row>
    <row r="140" spans="2:49" x14ac:dyDescent="0.2">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row>
    <row r="141" spans="2:49" x14ac:dyDescent="0.2">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row>
    <row r="142" spans="2:49" x14ac:dyDescent="0.2">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row>
    <row r="143" spans="2:49" x14ac:dyDescent="0.2">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row>
    <row r="144" spans="2:49" x14ac:dyDescent="0.2">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row>
    <row r="145" spans="2:49" x14ac:dyDescent="0.2">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row>
    <row r="146" spans="2:49" x14ac:dyDescent="0.2">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row>
    <row r="147" spans="2:49" x14ac:dyDescent="0.2">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row>
    <row r="148" spans="2:49" x14ac:dyDescent="0.2">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row>
    <row r="149" spans="2:49" x14ac:dyDescent="0.2">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row>
    <row r="150" spans="2:49" x14ac:dyDescent="0.2">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row>
    <row r="151" spans="2:49" x14ac:dyDescent="0.2">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row>
    <row r="152" spans="2:49" x14ac:dyDescent="0.2">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row>
    <row r="153" spans="2:49" x14ac:dyDescent="0.2">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row>
    <row r="154" spans="2:49" x14ac:dyDescent="0.2">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row>
    <row r="155" spans="2:49" x14ac:dyDescent="0.2">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row>
    <row r="156" spans="2:49" x14ac:dyDescent="0.2">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row>
    <row r="157" spans="2:49" x14ac:dyDescent="0.2">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row>
    <row r="158" spans="2:49" x14ac:dyDescent="0.2">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row>
    <row r="159" spans="2:49" x14ac:dyDescent="0.2">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row>
    <row r="160" spans="2:49" x14ac:dyDescent="0.2">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row>
    <row r="161" spans="2:49" x14ac:dyDescent="0.2">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row>
    <row r="162" spans="2:49" x14ac:dyDescent="0.2">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row>
    <row r="163" spans="2:49" x14ac:dyDescent="0.2">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row>
    <row r="164" spans="2:49" x14ac:dyDescent="0.2">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row>
    <row r="165" spans="2:49" x14ac:dyDescent="0.2">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row>
    <row r="166" spans="2:49" x14ac:dyDescent="0.2">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row>
    <row r="167" spans="2:49" x14ac:dyDescent="0.2">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row>
    <row r="168" spans="2:49" x14ac:dyDescent="0.2">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row>
    <row r="169" spans="2:49" x14ac:dyDescent="0.2">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row>
    <row r="170" spans="2:49" x14ac:dyDescent="0.2">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row>
    <row r="171" spans="2:49" x14ac:dyDescent="0.2">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row>
    <row r="172" spans="2:49" x14ac:dyDescent="0.2">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row>
    <row r="173" spans="2:49" x14ac:dyDescent="0.2">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row>
    <row r="174" spans="2:49" x14ac:dyDescent="0.2">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row>
    <row r="175" spans="2:49" x14ac:dyDescent="0.2">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row>
    <row r="176" spans="2:49" x14ac:dyDescent="0.2">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row>
    <row r="177" spans="2:49" x14ac:dyDescent="0.2">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row>
    <row r="178" spans="2:49" x14ac:dyDescent="0.2">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row>
    <row r="179" spans="2:49" x14ac:dyDescent="0.2">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row>
    <row r="180" spans="2:49" x14ac:dyDescent="0.2">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row>
    <row r="181" spans="2:49" x14ac:dyDescent="0.2">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row>
    <row r="182" spans="2:49" x14ac:dyDescent="0.2">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row>
    <row r="183" spans="2:49" x14ac:dyDescent="0.2">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row>
    <row r="184" spans="2:49" x14ac:dyDescent="0.2">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row>
    <row r="185" spans="2:49" x14ac:dyDescent="0.2">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row>
    <row r="186" spans="2:49" x14ac:dyDescent="0.2">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row>
    <row r="187" spans="2:49" x14ac:dyDescent="0.2">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row>
    <row r="188" spans="2:49" x14ac:dyDescent="0.2">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row>
    <row r="189" spans="2:49" x14ac:dyDescent="0.2">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row>
    <row r="190" spans="2:49" x14ac:dyDescent="0.2">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row>
    <row r="191" spans="2:49" x14ac:dyDescent="0.2">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row>
    <row r="192" spans="2:49" x14ac:dyDescent="0.2">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row>
    <row r="193" spans="2:49" x14ac:dyDescent="0.2">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row>
    <row r="194" spans="2:49" x14ac:dyDescent="0.2">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row>
    <row r="195" spans="2:49" x14ac:dyDescent="0.2">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row>
    <row r="196" spans="2:49" x14ac:dyDescent="0.2">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row>
    <row r="197" spans="2:49" x14ac:dyDescent="0.2">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row>
    <row r="198" spans="2:49" x14ac:dyDescent="0.2">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row>
    <row r="199" spans="2:49" x14ac:dyDescent="0.2">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row>
    <row r="200" spans="2:49" x14ac:dyDescent="0.2">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row>
    <row r="201" spans="2:49" x14ac:dyDescent="0.2">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row>
    <row r="202" spans="2:49" x14ac:dyDescent="0.2">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row>
    <row r="203" spans="2:49" x14ac:dyDescent="0.2">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row>
    <row r="204" spans="2:49" x14ac:dyDescent="0.2">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row>
    <row r="205" spans="2:49" x14ac:dyDescent="0.2">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row>
    <row r="206" spans="2:49" x14ac:dyDescent="0.2">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row>
    <row r="207" spans="2:49" x14ac:dyDescent="0.2">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row>
    <row r="208" spans="2:49" x14ac:dyDescent="0.2">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row>
    <row r="209" spans="2:49" x14ac:dyDescent="0.2">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row>
    <row r="210" spans="2:49" x14ac:dyDescent="0.2">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row>
    <row r="211" spans="2:49" x14ac:dyDescent="0.2">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row>
    <row r="212" spans="2:49" x14ac:dyDescent="0.2">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row>
    <row r="213" spans="2:49" x14ac:dyDescent="0.2">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row>
    <row r="214" spans="2:49" x14ac:dyDescent="0.2">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row>
    <row r="215" spans="2:49" x14ac:dyDescent="0.2">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row>
    <row r="216" spans="2:49" x14ac:dyDescent="0.2">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row>
    <row r="217" spans="2:49" x14ac:dyDescent="0.2">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row>
    <row r="218" spans="2:49" x14ac:dyDescent="0.2">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row>
    <row r="219" spans="2:49" x14ac:dyDescent="0.2">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row>
    <row r="220" spans="2:49" x14ac:dyDescent="0.2">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row>
    <row r="221" spans="2:49" x14ac:dyDescent="0.2">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row>
    <row r="222" spans="2:49" x14ac:dyDescent="0.2">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row>
    <row r="223" spans="2:49" x14ac:dyDescent="0.2">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row>
    <row r="224" spans="2:49" x14ac:dyDescent="0.2">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row>
    <row r="225" spans="2:49" x14ac:dyDescent="0.2">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row>
    <row r="226" spans="2:49" x14ac:dyDescent="0.2">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row>
    <row r="227" spans="2:49" x14ac:dyDescent="0.2">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row>
    <row r="228" spans="2:49" x14ac:dyDescent="0.2">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row>
    <row r="229" spans="2:49" x14ac:dyDescent="0.2">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row>
    <row r="230" spans="2:49" x14ac:dyDescent="0.2">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row>
  </sheetData>
  <mergeCells count="14">
    <mergeCell ref="B18:B19"/>
    <mergeCell ref="C18:L18"/>
    <mergeCell ref="C19:D19"/>
    <mergeCell ref="E19:F19"/>
    <mergeCell ref="G19:H19"/>
    <mergeCell ref="I19:J19"/>
    <mergeCell ref="K19:L19"/>
    <mergeCell ref="B2:B3"/>
    <mergeCell ref="C2:L2"/>
    <mergeCell ref="C3:D3"/>
    <mergeCell ref="E3:F3"/>
    <mergeCell ref="G3:H3"/>
    <mergeCell ref="I3:J3"/>
    <mergeCell ref="K3:L3"/>
  </mergeCells>
  <phoneticPr fontId="2"/>
  <printOptions horizontalCentered="1"/>
  <pageMargins left="0.70866141732283472" right="0.70866141732283472" top="0.74803149606299213" bottom="0.74803149606299213" header="0.31496062992125984" footer="0.31496062992125984"/>
  <pageSetup paperSize="9" scale="90" orientation="landscape" r:id="rId1"/>
  <drawing r:id="rId2"/>
  <mc:AlternateContent xmlns:mc="http://schemas.openxmlformats.org/markup-compatibility/2006">
    <mc:Choice Requires="v">
      <legacyDrawing r:id="rId3"/>
    </mc:Choice>
  </mc:AlternateContent>
  <controls>
    <control shapeId="37889" r:id="rId4" name="Button 1">
      <controlPr defaultSize="0" print="0" autoFill="0" autoPict="0" macro="[0]!データ削除_年齢階層在院期間区分F2">
        <anchor moveWithCells="1" sizeWithCells="1">
          <from>
            <xdr:col>51</xdr:col>
            <xdr:colOff>198120</xdr:colOff>
            <xdr:row>1</xdr:row>
            <xdr:rowOff>182880</xdr:rowOff>
          </from>
          <to>
            <xdr:col>53</xdr:col>
            <xdr:colOff>579120</xdr:colOff>
            <xdr:row>3</xdr:row>
            <xdr:rowOff>220980</xdr:rowOff>
          </to>
        </anchor>
      </controlPr>
    </control>
  </controls>
  <tableParts count="4">
    <tablePart r:id="rId5"/>
    <tablePart r:id="rId6"/>
    <tablePart r:id="rId7"/>
    <tablePart r:id="rId8"/>
  </tableParts>
</worksheet>
</file>

<file path=xl/worksheets/sheet2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tabColor rgb="FFFF0000"/>
    <pageSetUpPr fitToPage="1"/>
  </sheetPr>
  <dimension ref="B1:BA230"/>
  <sheetViews>
    <sheetView showGridLines="0" view="pageBreakPreview" zoomScale="80" zoomScaleNormal="100" zoomScaleSheetLayoutView="80" workbookViewId="0"/>
  </sheetViews>
  <sheetFormatPr defaultColWidth="9" defaultRowHeight="17.399999999999999" x14ac:dyDescent="0.2"/>
  <cols>
    <col min="1" max="1" width="4" style="1" customWidth="1"/>
    <col min="2" max="2" width="12.44140625" style="1" customWidth="1"/>
    <col min="3" max="12" width="8.77734375" style="1" customWidth="1"/>
    <col min="13" max="13" width="16.44140625" style="1" customWidth="1"/>
    <col min="14" max="14" width="2.44140625" style="1" hidden="1" customWidth="1"/>
    <col min="15" max="15" width="17.77734375" style="1" hidden="1" customWidth="1"/>
    <col min="16" max="31" width="11.109375" style="1" hidden="1" customWidth="1"/>
    <col min="32" max="53" width="9" style="1" hidden="1" customWidth="1"/>
    <col min="54" max="56" width="0" style="1" hidden="1" customWidth="1"/>
    <col min="57" max="16384" width="9" style="1"/>
  </cols>
  <sheetData>
    <row r="1" spans="2:53" ht="19.5" customHeight="1" x14ac:dyDescent="0.2">
      <c r="B1" s="2" t="s">
        <v>163</v>
      </c>
    </row>
    <row r="2" spans="2:53" ht="18.75" customHeight="1" thickBot="1" x14ac:dyDescent="0.25">
      <c r="B2" s="996" t="s">
        <v>65</v>
      </c>
      <c r="C2" s="998" t="s">
        <v>64</v>
      </c>
      <c r="D2" s="999"/>
      <c r="E2" s="999"/>
      <c r="F2" s="999"/>
      <c r="G2" s="999"/>
      <c r="H2" s="999"/>
      <c r="I2" s="999"/>
      <c r="J2" s="999"/>
      <c r="K2" s="999"/>
      <c r="L2" s="1000"/>
      <c r="O2" s="33" t="s">
        <v>63</v>
      </c>
    </row>
    <row r="3" spans="2:53" ht="18.75" customHeight="1" thickTop="1" thickBot="1" x14ac:dyDescent="0.25">
      <c r="B3" s="997"/>
      <c r="C3" s="1001" t="s">
        <v>69</v>
      </c>
      <c r="D3" s="1002"/>
      <c r="E3" s="1001" t="s">
        <v>70</v>
      </c>
      <c r="F3" s="1002"/>
      <c r="G3" s="1001" t="s">
        <v>71</v>
      </c>
      <c r="H3" s="1002"/>
      <c r="I3" s="1001" t="s">
        <v>72</v>
      </c>
      <c r="J3" s="1002"/>
      <c r="K3" s="1001" t="s">
        <v>62</v>
      </c>
      <c r="L3" s="1002"/>
      <c r="O3" s="298" t="s">
        <v>372</v>
      </c>
      <c r="P3" s="348" t="s">
        <v>182</v>
      </c>
      <c r="Q3" s="348" t="s">
        <v>183</v>
      </c>
      <c r="R3" s="348" t="s">
        <v>184</v>
      </c>
      <c r="S3" s="348" t="s">
        <v>185</v>
      </c>
      <c r="T3" s="348" t="s">
        <v>186</v>
      </c>
      <c r="U3" s="348" t="s">
        <v>187</v>
      </c>
      <c r="V3" s="348" t="s">
        <v>188</v>
      </c>
      <c r="W3" s="348" t="s">
        <v>189</v>
      </c>
      <c r="X3" s="348" t="s">
        <v>190</v>
      </c>
      <c r="Y3" s="348" t="s">
        <v>191</v>
      </c>
      <c r="Z3" s="348" t="s">
        <v>192</v>
      </c>
      <c r="AA3" s="348" t="s">
        <v>193</v>
      </c>
      <c r="AB3" s="348" t="s">
        <v>194</v>
      </c>
      <c r="AC3" s="348" t="s">
        <v>195</v>
      </c>
      <c r="AD3" s="348" t="s">
        <v>196</v>
      </c>
      <c r="AE3" s="55" t="s">
        <v>197</v>
      </c>
      <c r="AL3" s="332" t="s">
        <v>182</v>
      </c>
      <c r="AM3" s="333" t="s">
        <v>183</v>
      </c>
      <c r="AN3" s="333" t="s">
        <v>184</v>
      </c>
      <c r="AO3" s="333" t="s">
        <v>185</v>
      </c>
      <c r="AP3" s="333" t="s">
        <v>186</v>
      </c>
      <c r="AQ3" s="333" t="s">
        <v>187</v>
      </c>
      <c r="AR3" s="333" t="s">
        <v>188</v>
      </c>
      <c r="AS3" s="333" t="s">
        <v>189</v>
      </c>
      <c r="AT3" s="333" t="s">
        <v>190</v>
      </c>
      <c r="AU3" s="333" t="s">
        <v>191</v>
      </c>
      <c r="AV3" s="333" t="s">
        <v>192</v>
      </c>
      <c r="AW3" s="333" t="s">
        <v>193</v>
      </c>
      <c r="AX3" s="333" t="s">
        <v>194</v>
      </c>
      <c r="AY3" s="333" t="s">
        <v>195</v>
      </c>
      <c r="AZ3" s="333" t="s">
        <v>196</v>
      </c>
      <c r="BA3" s="332" t="s">
        <v>197</v>
      </c>
    </row>
    <row r="4" spans="2:53" s="21" customFormat="1" ht="18.75" customHeight="1" thickTop="1" x14ac:dyDescent="0.2">
      <c r="B4" s="174" t="s">
        <v>2</v>
      </c>
      <c r="C4" s="175">
        <f>IFERROR(INDEX(年齢階層×在院期間区分F00F01[#All],MATCH($AK4,年齢階層×在院期間区分F00F01[[#All],[行ラベル]],0),MATCH($AL$3,年齢階層×在院期間区分F00F01[#Headers],0)),0)+IFERROR(INDEX(年齢階層×在院期間区分F00F01[#All],MATCH($AK4,年齢階層×在院期間区分F00F01[[#All],[行ラベル]],0),MATCH($AM$3,年齢階層×在院期間区分F00F01[#Headers],0)),0)+IFERROR(INDEX(年齢階層×在院期間区分F00F01[#All],MATCH($AK4,年齢階層×在院期間区分F00F01[[#All],[行ラベル]],0),MATCH($AN$3,年齢階層×在院期間区分F00F01[#Headers],0)),0)+IFERROR(INDEX(年齢階層×在院期間区分F00F01[#All],MATCH($AK4,年齢階層×在院期間区分F00F01[[#All],[行ラベル]],0),MATCH($AO$3,年齢階層×在院期間区分F00F01[#Headers],0)),0)</f>
        <v>0</v>
      </c>
      <c r="D4" s="170">
        <f t="shared" ref="D4:D12" si="0">IFERROR(C4/$C$13,"-")</f>
        <v>0</v>
      </c>
      <c r="E4" s="175">
        <f>IFERROR(INDEX(年齢階層×在院期間区分F00F01[#All],MATCH($AK4,年齢階層×在院期間区分F00F01[[#All],[行ラベル]],0),MATCH($AP$3,年齢階層×在院期間区分F00F01[#Headers],0)),0)+IFERROR(INDEX(年齢階層×在院期間区分F00F01[#All],MATCH($AK4,年齢階層×在院期間区分F00F01[[#All],[行ラベル]],0),MATCH($AQ$3,年齢階層×在院期間区分F00F01[#Headers],0)),0)+IFERROR(INDEX(年齢階層×在院期間区分F00F01[#All],MATCH($AK4,年齢階層×在院期間区分F00F01[[#All],[行ラベル]],0),MATCH($AR$3,年齢階層×在院期間区分F00F01[#Headers],0)),0)+IFERROR(INDEX(年齢階層×在院期間区分F00F01[#All],MATCH($AK4,年齢階層×在院期間区分F00F01[[#All],[行ラベル]],0),MATCH($AS$3,年齢階層×在院期間区分F00F01[#Headers],0)),0)+IFERROR(INDEX(年齢階層×在院期間区分F00F01[#All],MATCH($AK4,年齢階層×在院期間区分F00F01[[#All],[行ラベル]],0),MATCH($AT$3,年齢階層×在院期間区分F00F01[#Headers],0)),0)</f>
        <v>0</v>
      </c>
      <c r="F4" s="170">
        <f t="shared" ref="F4:F12" si="1">IFERROR(E4/$E$13,"-")</f>
        <v>0</v>
      </c>
      <c r="G4" s="175">
        <f>IFERROR(INDEX(年齢階層×在院期間区分F00F01[#All],MATCH($AK4,年齢階層×在院期間区分F00F01[[#All],[行ラベル]],0),MATCH($AU$3,年齢階層×在院期間区分F00F01[#Headers],0)),0)+IFERROR(INDEX(年齢階層×在院期間区分F00F01[#All],MATCH($AK4,年齢階層×在院期間区分F00F01[[#All],[行ラベル]],0),MATCH($AV$3,年齢階層×在院期間区分F00F01[#Headers],0)),0)+IFERROR(INDEX(年齢階層×在院期間区分F00F01[#All],MATCH($AK4,年齢階層×在院期間区分F00F01[[#All],[行ラベル]],0),MATCH($AW$3,年齢階層×在院期間区分F00F01[#Headers],0)),0)+IFERROR(INDEX(年齢階層×在院期間区分F00F01[#All],MATCH($AK4,年齢階層×在院期間区分F00F01[[#All],[行ラベル]],0),MATCH($AX$3,年齢階層×在院期間区分F00F01[#Headers],0)),0)+IFERROR(INDEX(年齢階層×在院期間区分F00F01[#All],MATCH($AK4,年齢階層×在院期間区分F00F01[[#All],[行ラベル]],0),MATCH($AY$3,年齢階層×在院期間区分F00F01[#Headers],0)),0)</f>
        <v>0</v>
      </c>
      <c r="H4" s="170">
        <f t="shared" ref="H4:H12" si="2">IFERROR(G4/$G$13,"-")</f>
        <v>0</v>
      </c>
      <c r="I4" s="169">
        <f>IFERROR(INDEX(年齢階層×在院期間区分F00F01[#All],MATCH($AK4,年齢階層×在院期間区分F00F01[[#All],[行ラベル]],0),MATCH($AZ$3,年齢階層×在院期間区分F00F01[#Headers],0)),0)+IFERROR(INDEX(年齢階層×在院期間区分F00F01[#All],MATCH($AK4,年齢階層×在院期間区分F00F01[[#All],[行ラベル]],0),MATCH($BA$3,年齢階層×在院期間区分F00F01[#Headers],0)),0)</f>
        <v>0</v>
      </c>
      <c r="J4" s="170">
        <f t="shared" ref="J4:J12" si="3">IFERROR(I4/$I$13,"-")</f>
        <v>0</v>
      </c>
      <c r="K4" s="169">
        <f t="shared" ref="K4:K12" si="4">SUM(C4,E4,G4,I4)</f>
        <v>0</v>
      </c>
      <c r="L4" s="170">
        <f t="shared" ref="L4:L12" si="5">IFERROR(K4/$K$13,"-")</f>
        <v>0</v>
      </c>
      <c r="O4" s="53" t="s">
        <v>2</v>
      </c>
      <c r="P4" s="61">
        <v>0</v>
      </c>
      <c r="Q4" s="61">
        <v>0</v>
      </c>
      <c r="R4" s="61">
        <v>0</v>
      </c>
      <c r="S4" s="61">
        <v>0</v>
      </c>
      <c r="T4" s="61">
        <v>0</v>
      </c>
      <c r="U4" s="61">
        <v>0</v>
      </c>
      <c r="V4" s="61">
        <v>0</v>
      </c>
      <c r="W4" s="61">
        <v>0</v>
      </c>
      <c r="X4" s="61">
        <v>0</v>
      </c>
      <c r="Y4" s="61">
        <v>0</v>
      </c>
      <c r="Z4" s="61">
        <v>0</v>
      </c>
      <c r="AA4" s="61">
        <v>0</v>
      </c>
      <c r="AB4" s="61">
        <v>0</v>
      </c>
      <c r="AC4" s="61">
        <v>0</v>
      </c>
      <c r="AD4" s="61">
        <v>0</v>
      </c>
      <c r="AE4" s="61">
        <v>0</v>
      </c>
      <c r="AK4" s="53" t="s">
        <v>2</v>
      </c>
      <c r="AL4" s="62"/>
      <c r="AO4" s="66"/>
    </row>
    <row r="5" spans="2:53" s="21" customFormat="1" ht="18.75" customHeight="1" x14ac:dyDescent="0.2">
      <c r="B5" s="176" t="s">
        <v>3</v>
      </c>
      <c r="C5" s="177">
        <f>IFERROR(INDEX(年齢階層×在院期間区分F00F01[#All],MATCH($AK5,年齢階層×在院期間区分F00F01[[#All],[行ラベル]],0),MATCH($AL$3,年齢階層×在院期間区分F00F01[#Headers],0)),0)+IFERROR(INDEX(年齢階層×在院期間区分F00F01[#All],MATCH($AK5,年齢階層×在院期間区分F00F01[[#All],[行ラベル]],0),MATCH($AM$3,年齢階層×在院期間区分F00F01[#Headers],0)),0)+IFERROR(INDEX(年齢階層×在院期間区分F00F01[#All],MATCH($AK5,年齢階層×在院期間区分F00F01[[#All],[行ラベル]],0),MATCH($AN$3,年齢階層×在院期間区分F00F01[#Headers],0)),0)+IFERROR(INDEX(年齢階層×在院期間区分F00F01[#All],MATCH($AK5,年齢階層×在院期間区分F00F01[[#All],[行ラベル]],0),MATCH($AO$3,年齢階層×在院期間区分F00F01[#Headers],0)),0)</f>
        <v>0</v>
      </c>
      <c r="D5" s="155">
        <f t="shared" si="0"/>
        <v>0</v>
      </c>
      <c r="E5" s="154">
        <f>IFERROR(INDEX(年齢階層×在院期間区分F00F01[#All],MATCH($AK5,年齢階層×在院期間区分F00F01[[#All],[行ラベル]],0),MATCH($AP$3,年齢階層×在院期間区分F00F01[#Headers],0)),0)+IFERROR(INDEX(年齢階層×在院期間区分F00F01[#All],MATCH($AK5,年齢階層×在院期間区分F00F01[[#All],[行ラベル]],0),MATCH($AQ$3,年齢階層×在院期間区分F00F01[#Headers],0)),0)+IFERROR(INDEX(年齢階層×在院期間区分F00F01[#All],MATCH($AK5,年齢階層×在院期間区分F00F01[[#All],[行ラベル]],0),MATCH($AR$3,年齢階層×在院期間区分F00F01[#Headers],0)),0)+IFERROR(INDEX(年齢階層×在院期間区分F00F01[#All],MATCH($AK5,年齢階層×在院期間区分F00F01[[#All],[行ラベル]],0),MATCH($AS$3,年齢階層×在院期間区分F00F01[#Headers],0)),0)+IFERROR(INDEX(年齢階層×在院期間区分F00F01[#All],MATCH($AK5,年齢階層×在院期間区分F00F01[[#All],[行ラベル]],0),MATCH($AT$3,年齢階層×在院期間区分F00F01[#Headers],0)),0)</f>
        <v>0</v>
      </c>
      <c r="F5" s="155">
        <f t="shared" si="1"/>
        <v>0</v>
      </c>
      <c r="G5" s="177">
        <f>IFERROR(INDEX(年齢階層×在院期間区分F00F01[#All],MATCH($AK5,年齢階層×在院期間区分F00F01[[#All],[行ラベル]],0),MATCH($AU$3,年齢階層×在院期間区分F00F01[#Headers],0)),0)+IFERROR(INDEX(年齢階層×在院期間区分F00F01[#All],MATCH($AK5,年齢階層×在院期間区分F00F01[[#All],[行ラベル]],0),MATCH($AV$3,年齢階層×在院期間区分F00F01[#Headers],0)),0)+IFERROR(INDEX(年齢階層×在院期間区分F00F01[#All],MATCH($AK5,年齢階層×在院期間区分F00F01[[#All],[行ラベル]],0),MATCH($AW$3,年齢階層×在院期間区分F00F01[#Headers],0)),0)+IFERROR(INDEX(年齢階層×在院期間区分F00F01[#All],MATCH($AK5,年齢階層×在院期間区分F00F01[[#All],[行ラベル]],0),MATCH($AX$3,年齢階層×在院期間区分F00F01[#Headers],0)),0)+IFERROR(INDEX(年齢階層×在院期間区分F00F01[#All],MATCH($AK5,年齢階層×在院期間区分F00F01[[#All],[行ラベル]],0),MATCH($AY$3,年齢階層×在院期間区分F00F01[#Headers],0)),0)</f>
        <v>0</v>
      </c>
      <c r="H5" s="155">
        <f t="shared" si="2"/>
        <v>0</v>
      </c>
      <c r="I5" s="178">
        <f>IFERROR(INDEX(年齢階層×在院期間区分F00F01[#All],MATCH($AK5,年齢階層×在院期間区分F00F01[[#All],[行ラベル]],0),MATCH($AZ$3,年齢階層×在院期間区分F00F01[#Headers],0)),0)+IFERROR(INDEX(年齢階層×在院期間区分F00F01[#All],MATCH($AK5,年齢階層×在院期間区分F00F01[[#All],[行ラベル]],0),MATCH($BA$3,年齢階層×在院期間区分F00F01[#Headers],0)),0)</f>
        <v>0</v>
      </c>
      <c r="J5" s="155">
        <f t="shared" si="3"/>
        <v>0</v>
      </c>
      <c r="K5" s="154">
        <f t="shared" si="4"/>
        <v>0</v>
      </c>
      <c r="L5" s="155">
        <f t="shared" si="5"/>
        <v>0</v>
      </c>
      <c r="O5" s="53" t="s">
        <v>3</v>
      </c>
      <c r="P5" s="61">
        <v>0</v>
      </c>
      <c r="Q5" s="61">
        <v>0</v>
      </c>
      <c r="R5" s="61">
        <v>0</v>
      </c>
      <c r="S5" s="61">
        <v>0</v>
      </c>
      <c r="T5" s="61">
        <v>0</v>
      </c>
      <c r="U5" s="61">
        <v>0</v>
      </c>
      <c r="V5" s="61">
        <v>0</v>
      </c>
      <c r="W5" s="61">
        <v>0</v>
      </c>
      <c r="X5" s="61">
        <v>0</v>
      </c>
      <c r="Y5" s="61">
        <v>0</v>
      </c>
      <c r="Z5" s="61">
        <v>0</v>
      </c>
      <c r="AA5" s="61">
        <v>0</v>
      </c>
      <c r="AB5" s="61">
        <v>0</v>
      </c>
      <c r="AC5" s="61">
        <v>0</v>
      </c>
      <c r="AD5" s="61">
        <v>0</v>
      </c>
      <c r="AE5" s="61">
        <v>0</v>
      </c>
      <c r="AK5" s="53" t="s">
        <v>3</v>
      </c>
      <c r="AL5" s="62"/>
      <c r="AM5" s="62"/>
      <c r="AO5" s="66"/>
    </row>
    <row r="6" spans="2:53" s="21" customFormat="1" ht="18.75" customHeight="1" x14ac:dyDescent="0.2">
      <c r="B6" s="176" t="s">
        <v>4</v>
      </c>
      <c r="C6" s="177">
        <f>IFERROR(INDEX(年齢階層×在院期間区分F00F01[#All],MATCH($AK6,年齢階層×在院期間区分F00F01[[#All],[行ラベル]],0),MATCH($AL$3,年齢階層×在院期間区分F00F01[#Headers],0)),0)+IFERROR(INDEX(年齢階層×在院期間区分F00F01[#All],MATCH($AK6,年齢階層×在院期間区分F00F01[[#All],[行ラベル]],0),MATCH($AM$3,年齢階層×在院期間区分F00F01[#Headers],0)),0)+IFERROR(INDEX(年齢階層×在院期間区分F00F01[#All],MATCH($AK6,年齢階層×在院期間区分F00F01[[#All],[行ラベル]],0),MATCH($AN$3,年齢階層×在院期間区分F00F01[#Headers],0)),0)+IFERROR(INDEX(年齢階層×在院期間区分F00F01[#All],MATCH($AK6,年齢階層×在院期間区分F00F01[[#All],[行ラベル]],0),MATCH($AO$3,年齢階層×在院期間区分F00F01[#Headers],0)),0)</f>
        <v>0</v>
      </c>
      <c r="D6" s="155">
        <f t="shared" si="0"/>
        <v>0</v>
      </c>
      <c r="E6" s="178">
        <f>IFERROR(INDEX(年齢階層×在院期間区分F00F01[#All],MATCH($AK6,年齢階層×在院期間区分F00F01[[#All],[行ラベル]],0),MATCH($AP$3,年齢階層×在院期間区分F00F01[#Headers],0)),0)+IFERROR(INDEX(年齢階層×在院期間区分F00F01[#All],MATCH($AK6,年齢階層×在院期間区分F00F01[[#All],[行ラベル]],0),MATCH($AQ$3,年齢階層×在院期間区分F00F01[#Headers],0)),0)+IFERROR(INDEX(年齢階層×在院期間区分F00F01[#All],MATCH($AK6,年齢階層×在院期間区分F00F01[[#All],[行ラベル]],0),MATCH($AR$3,年齢階層×在院期間区分F00F01[#Headers],0)),0)+IFERROR(INDEX(年齢階層×在院期間区分F00F01[#All],MATCH($AK6,年齢階層×在院期間区分F00F01[[#All],[行ラベル]],0),MATCH($AS$3,年齢階層×在院期間区分F00F01[#Headers],0)),0)+IFERROR(INDEX(年齢階層×在院期間区分F00F01[#All],MATCH($AK6,年齢階層×在院期間区分F00F01[[#All],[行ラベル]],0),MATCH($AT$3,年齢階層×在院期間区分F00F01[#Headers],0)),0)</f>
        <v>0</v>
      </c>
      <c r="F6" s="155">
        <f t="shared" si="1"/>
        <v>0</v>
      </c>
      <c r="G6" s="177">
        <f>IFERROR(INDEX(年齢階層×在院期間区分F00F01[#All],MATCH($AK6,年齢階層×在院期間区分F00F01[[#All],[行ラベル]],0),MATCH($AU$3,年齢階層×在院期間区分F00F01[#Headers],0)),0)+IFERROR(INDEX(年齢階層×在院期間区分F00F01[#All],MATCH($AK6,年齢階層×在院期間区分F00F01[[#All],[行ラベル]],0),MATCH($AV$3,年齢階層×在院期間区分F00F01[#Headers],0)),0)+IFERROR(INDEX(年齢階層×在院期間区分F00F01[#All],MATCH($AK6,年齢階層×在院期間区分F00F01[[#All],[行ラベル]],0),MATCH($AW$3,年齢階層×在院期間区分F00F01[#Headers],0)),0)+IFERROR(INDEX(年齢階層×在院期間区分F00F01[#All],MATCH($AK6,年齢階層×在院期間区分F00F01[[#All],[行ラベル]],0),MATCH($AX$3,年齢階層×在院期間区分F00F01[#Headers],0)),0)+IFERROR(INDEX(年齢階層×在院期間区分F00F01[#All],MATCH($AK6,年齢階層×在院期間区分F00F01[[#All],[行ラベル]],0),MATCH($AY$3,年齢階層×在院期間区分F00F01[#Headers],0)),0)</f>
        <v>1</v>
      </c>
      <c r="H6" s="155">
        <f t="shared" si="2"/>
        <v>4.830917874396135E-3</v>
      </c>
      <c r="I6" s="154">
        <f>IFERROR(INDEX(年齢階層×在院期間区分F00F01[#All],MATCH($AK6,年齢階層×在院期間区分F00F01[[#All],[行ラベル]],0),MATCH($AZ$3,年齢階層×在院期間区分F00F01[#Headers],0)),0)+IFERROR(INDEX(年齢階層×在院期間区分F00F01[#All],MATCH($AK6,年齢階層×在院期間区分F00F01[[#All],[行ラベル]],0),MATCH($BA$3,年齢階層×在院期間区分F00F01[#Headers],0)),0)</f>
        <v>0</v>
      </c>
      <c r="J6" s="155">
        <f t="shared" si="3"/>
        <v>0</v>
      </c>
      <c r="K6" s="154">
        <f t="shared" si="4"/>
        <v>1</v>
      </c>
      <c r="L6" s="155">
        <f t="shared" si="5"/>
        <v>4.219409282700422E-4</v>
      </c>
      <c r="O6" s="53" t="s">
        <v>4</v>
      </c>
      <c r="P6" s="61">
        <v>0</v>
      </c>
      <c r="Q6" s="61">
        <v>0</v>
      </c>
      <c r="R6" s="61">
        <v>0</v>
      </c>
      <c r="S6" s="61">
        <v>0</v>
      </c>
      <c r="T6" s="61">
        <v>0</v>
      </c>
      <c r="U6" s="61">
        <v>0</v>
      </c>
      <c r="V6" s="61">
        <v>0</v>
      </c>
      <c r="W6" s="61">
        <v>0</v>
      </c>
      <c r="X6" s="61">
        <v>0</v>
      </c>
      <c r="Y6" s="61">
        <v>0</v>
      </c>
      <c r="Z6" s="61">
        <v>1</v>
      </c>
      <c r="AA6" s="61">
        <v>0</v>
      </c>
      <c r="AB6" s="61">
        <v>0</v>
      </c>
      <c r="AC6" s="61">
        <v>0</v>
      </c>
      <c r="AD6" s="61">
        <v>0</v>
      </c>
      <c r="AE6" s="61">
        <v>0</v>
      </c>
      <c r="AK6" s="53" t="s">
        <v>4</v>
      </c>
      <c r="AL6" s="62"/>
      <c r="AM6" s="62"/>
      <c r="AO6" s="66"/>
    </row>
    <row r="7" spans="2:53" s="21" customFormat="1" ht="18.75" customHeight="1" x14ac:dyDescent="0.2">
      <c r="B7" s="176" t="s">
        <v>5</v>
      </c>
      <c r="C7" s="154">
        <f>IFERROR(INDEX(年齢階層×在院期間区分F00F01[#All],MATCH($AK7,年齢階層×在院期間区分F00F01[[#All],[行ラベル]],0),MATCH($AL$3,年齢階層×在院期間区分F00F01[#Headers],0)),0)+IFERROR(INDEX(年齢階層×在院期間区分F00F01[#All],MATCH($AK7,年齢階層×在院期間区分F00F01[[#All],[行ラベル]],0),MATCH($AM$3,年齢階層×在院期間区分F00F01[#Headers],0)),0)+IFERROR(INDEX(年齢階層×在院期間区分F00F01[#All],MATCH($AK7,年齢階層×在院期間区分F00F01[[#All],[行ラベル]],0),MATCH($AN$3,年齢階層×在院期間区分F00F01[#Headers],0)),0)+IFERROR(INDEX(年齢階層×在院期間区分F00F01[#All],MATCH($AK7,年齢階層×在院期間区分F00F01[[#All],[行ラベル]],0),MATCH($AO$3,年齢階層×在院期間区分F00F01[#Headers],0)),0)</f>
        <v>3</v>
      </c>
      <c r="D7" s="155">
        <f t="shared" si="0"/>
        <v>2.4330900243309003E-3</v>
      </c>
      <c r="E7" s="154">
        <f>IFERROR(INDEX(年齢階層×在院期間区分F00F01[#All],MATCH($AK7,年齢階層×在院期間区分F00F01[[#All],[行ラベル]],0),MATCH($AP$3,年齢階層×在院期間区分F00F01[#Headers],0)),0)+IFERROR(INDEX(年齢階層×在院期間区分F00F01[#All],MATCH($AK7,年齢階層×在院期間区分F00F01[[#All],[行ラベル]],0),MATCH($AQ$3,年齢階層×在院期間区分F00F01[#Headers],0)),0)+IFERROR(INDEX(年齢階層×在院期間区分F00F01[#All],MATCH($AK7,年齢階層×在院期間区分F00F01[[#All],[行ラベル]],0),MATCH($AR$3,年齢階層×在院期間区分F00F01[#Headers],0)),0)+IFERROR(INDEX(年齢階層×在院期間区分F00F01[#All],MATCH($AK7,年齢階層×在院期間区分F00F01[[#All],[行ラベル]],0),MATCH($AS$3,年齢階層×在院期間区分F00F01[#Headers],0)),0)+IFERROR(INDEX(年齢階層×在院期間区分F00F01[#All],MATCH($AK7,年齢階層×在院期間区分F00F01[[#All],[行ラベル]],0),MATCH($AT$3,年齢階層×在院期間区分F00F01[#Headers],0)),0)</f>
        <v>2</v>
      </c>
      <c r="F7" s="155">
        <f t="shared" si="1"/>
        <v>2.304147465437788E-3</v>
      </c>
      <c r="G7" s="177">
        <f>IFERROR(INDEX(年齢階層×在院期間区分F00F01[#All],MATCH($AK7,年齢階層×在院期間区分F00F01[[#All],[行ラベル]],0),MATCH($AU$3,年齢階層×在院期間区分F00F01[#Headers],0)),0)+IFERROR(INDEX(年齢階層×在院期間区分F00F01[#All],MATCH($AK7,年齢階層×在院期間区分F00F01[[#All],[行ラベル]],0),MATCH($AV$3,年齢階層×在院期間区分F00F01[#Headers],0)),0)+IFERROR(INDEX(年齢階層×在院期間区分F00F01[#All],MATCH($AK7,年齢階層×在院期間区分F00F01[[#All],[行ラベル]],0),MATCH($AW$3,年齢階層×在院期間区分F00F01[#Headers],0)),0)+IFERROR(INDEX(年齢階層×在院期間区分F00F01[#All],MATCH($AK7,年齢階層×在院期間区分F00F01[[#All],[行ラベル]],0),MATCH($AX$3,年齢階層×在院期間区分F00F01[#Headers],0)),0)+IFERROR(INDEX(年齢階層×在院期間区分F00F01[#All],MATCH($AK7,年齢階層×在院期間区分F00F01[[#All],[行ラベル]],0),MATCH($AY$3,年齢階層×在院期間区分F00F01[#Headers],0)),0)</f>
        <v>0</v>
      </c>
      <c r="H7" s="155">
        <f t="shared" si="2"/>
        <v>0</v>
      </c>
      <c r="I7" s="178">
        <f>IFERROR(INDEX(年齢階層×在院期間区分F00F01[#All],MATCH($AK7,年齢階層×在院期間区分F00F01[[#All],[行ラベル]],0),MATCH($AZ$3,年齢階層×在院期間区分F00F01[#Headers],0)),0)+IFERROR(INDEX(年齢階層×在院期間区分F00F01[#All],MATCH($AK7,年齢階層×在院期間区分F00F01[[#All],[行ラベル]],0),MATCH($BA$3,年齢階層×在院期間区分F00F01[#Headers],0)),0)</f>
        <v>0</v>
      </c>
      <c r="J7" s="155">
        <f t="shared" si="3"/>
        <v>0</v>
      </c>
      <c r="K7" s="154">
        <f t="shared" si="4"/>
        <v>5</v>
      </c>
      <c r="L7" s="155">
        <f t="shared" si="5"/>
        <v>2.1097046413502108E-3</v>
      </c>
      <c r="O7" s="53" t="s">
        <v>5</v>
      </c>
      <c r="P7" s="61">
        <v>1</v>
      </c>
      <c r="Q7" s="61">
        <v>0</v>
      </c>
      <c r="R7" s="61">
        <v>1</v>
      </c>
      <c r="S7" s="61">
        <v>1</v>
      </c>
      <c r="T7" s="61">
        <v>1</v>
      </c>
      <c r="U7" s="61">
        <v>0</v>
      </c>
      <c r="V7" s="61">
        <v>1</v>
      </c>
      <c r="W7" s="61">
        <v>0</v>
      </c>
      <c r="X7" s="61">
        <v>0</v>
      </c>
      <c r="Y7" s="61">
        <v>0</v>
      </c>
      <c r="Z7" s="61">
        <v>0</v>
      </c>
      <c r="AA7" s="61">
        <v>0</v>
      </c>
      <c r="AB7" s="61">
        <v>0</v>
      </c>
      <c r="AC7" s="61">
        <v>0</v>
      </c>
      <c r="AD7" s="61">
        <v>0</v>
      </c>
      <c r="AE7" s="61">
        <v>0</v>
      </c>
      <c r="AK7" s="53" t="s">
        <v>5</v>
      </c>
      <c r="AL7" s="62"/>
      <c r="AM7" s="62"/>
      <c r="AO7" s="66"/>
    </row>
    <row r="8" spans="2:53" s="21" customFormat="1" ht="18.75" customHeight="1" x14ac:dyDescent="0.2">
      <c r="B8" s="176" t="s">
        <v>6</v>
      </c>
      <c r="C8" s="154">
        <f>IFERROR(INDEX(年齢階層×在院期間区分F00F01[#All],MATCH($AK8,年齢階層×在院期間区分F00F01[[#All],[行ラベル]],0),MATCH($AL$3,年齢階層×在院期間区分F00F01[#Headers],0)),0)+IFERROR(INDEX(年齢階層×在院期間区分F00F01[#All],MATCH($AK8,年齢階層×在院期間区分F00F01[[#All],[行ラベル]],0),MATCH($AM$3,年齢階層×在院期間区分F00F01[#Headers],0)),0)+IFERROR(INDEX(年齢階層×在院期間区分F00F01[#All],MATCH($AK8,年齢階層×在院期間区分F00F01[[#All],[行ラベル]],0),MATCH($AN$3,年齢階層×在院期間区分F00F01[#Headers],0)),0)+IFERROR(INDEX(年齢階層×在院期間区分F00F01[#All],MATCH($AK8,年齢階層×在院期間区分F00F01[[#All],[行ラベル]],0),MATCH($AO$3,年齢階層×在院期間区分F00F01[#Headers],0)),0)</f>
        <v>23</v>
      </c>
      <c r="D8" s="155">
        <f>IFERROR(C8/$C$13,"-")</f>
        <v>1.8653690186536901E-2</v>
      </c>
      <c r="E8" s="154">
        <f>IFERROR(INDEX(年齢階層×在院期間区分F00F01[#All],MATCH($AK8,年齢階層×在院期間区分F00F01[[#All],[行ラベル]],0),MATCH($AP$3,年齢階層×在院期間区分F00F01[#Headers],0)),0)+IFERROR(INDEX(年齢階層×在院期間区分F00F01[#All],MATCH($AK8,年齢階層×在院期間区分F00F01[[#All],[行ラベル]],0),MATCH($AQ$3,年齢階層×在院期間区分F00F01[#Headers],0)),0)+IFERROR(INDEX(年齢階層×在院期間区分F00F01[#All],MATCH($AK8,年齢階層×在院期間区分F00F01[[#All],[行ラベル]],0),MATCH($AR$3,年齢階層×在院期間区分F00F01[#Headers],0)),0)+IFERROR(INDEX(年齢階層×在院期間区分F00F01[#All],MATCH($AK8,年齢階層×在院期間区分F00F01[[#All],[行ラベル]],0),MATCH($AS$3,年齢階層×在院期間区分F00F01[#Headers],0)),0)+IFERROR(INDEX(年齢階層×在院期間区分F00F01[#All],MATCH($AK8,年齢階層×在院期間区分F00F01[[#All],[行ラベル]],0),MATCH($AT$3,年齢階層×在院期間区分F00F01[#Headers],0)),0)</f>
        <v>10</v>
      </c>
      <c r="F8" s="155">
        <f t="shared" si="1"/>
        <v>1.1520737327188941E-2</v>
      </c>
      <c r="G8" s="177">
        <f>IFERROR(INDEX(年齢階層×在院期間区分F00F01[#All],MATCH($AK8,年齢階層×在院期間区分F00F01[[#All],[行ラベル]],0),MATCH($AU$3,年齢階層×在院期間区分F00F01[#Headers],0)),0)+IFERROR(INDEX(年齢階層×在院期間区分F00F01[#All],MATCH($AK8,年齢階層×在院期間区分F00F01[[#All],[行ラベル]],0),MATCH($AV$3,年齢階層×在院期間区分F00F01[#Headers],0)),0)+IFERROR(INDEX(年齢階層×在院期間区分F00F01[#All],MATCH($AK8,年齢階層×在院期間区分F00F01[[#All],[行ラベル]],0),MATCH($AW$3,年齢階層×在院期間区分F00F01[#Headers],0)),0)+IFERROR(INDEX(年齢階層×在院期間区分F00F01[#All],MATCH($AK8,年齢階層×在院期間区分F00F01[[#All],[行ラベル]],0),MATCH($AX$3,年齢階層×在院期間区分F00F01[#Headers],0)),0)+IFERROR(INDEX(年齢階層×在院期間区分F00F01[#All],MATCH($AK8,年齢階層×在院期間区分F00F01[[#All],[行ラベル]],0),MATCH($AY$3,年齢階層×在院期間区分F00F01[#Headers],0)),0)</f>
        <v>1</v>
      </c>
      <c r="H8" s="155">
        <f t="shared" si="2"/>
        <v>4.830917874396135E-3</v>
      </c>
      <c r="I8" s="177">
        <f>IFERROR(INDEX(年齢階層×在院期間区分F00F01[#All],MATCH($AK8,年齢階層×在院期間区分F00F01[[#All],[行ラベル]],0),MATCH($AZ$3,年齢階層×在院期間区分F00F01[#Headers],0)),0)+IFERROR(INDEX(年齢階層×在院期間区分F00F01[#All],MATCH($AK8,年齢階層×在院期間区分F00F01[[#All],[行ラベル]],0),MATCH($BA$3,年齢階層×在院期間区分F00F01[#Headers],0)),0)</f>
        <v>2</v>
      </c>
      <c r="J8" s="155">
        <f t="shared" si="3"/>
        <v>3.2258064516129031E-2</v>
      </c>
      <c r="K8" s="154">
        <f t="shared" si="4"/>
        <v>36</v>
      </c>
      <c r="L8" s="155">
        <f t="shared" si="5"/>
        <v>1.5189873417721518E-2</v>
      </c>
      <c r="O8" s="53" t="s">
        <v>6</v>
      </c>
      <c r="P8" s="61">
        <v>4</v>
      </c>
      <c r="Q8" s="61">
        <v>7</v>
      </c>
      <c r="R8" s="61">
        <v>4</v>
      </c>
      <c r="S8" s="61">
        <v>8</v>
      </c>
      <c r="T8" s="61">
        <v>2</v>
      </c>
      <c r="U8" s="61">
        <v>1</v>
      </c>
      <c r="V8" s="61">
        <v>5</v>
      </c>
      <c r="W8" s="61">
        <v>1</v>
      </c>
      <c r="X8" s="61">
        <v>1</v>
      </c>
      <c r="Y8" s="61">
        <v>0</v>
      </c>
      <c r="Z8" s="61">
        <v>0</v>
      </c>
      <c r="AA8" s="61">
        <v>0</v>
      </c>
      <c r="AB8" s="61">
        <v>0</v>
      </c>
      <c r="AC8" s="61">
        <v>1</v>
      </c>
      <c r="AD8" s="61">
        <v>1</v>
      </c>
      <c r="AE8" s="61">
        <v>1</v>
      </c>
      <c r="AK8" s="53" t="s">
        <v>6</v>
      </c>
      <c r="AL8" s="62"/>
      <c r="AM8" s="62"/>
      <c r="AO8" s="66"/>
    </row>
    <row r="9" spans="2:53" s="21" customFormat="1" ht="18.75" customHeight="1" x14ac:dyDescent="0.2">
      <c r="B9" s="176" t="s">
        <v>7</v>
      </c>
      <c r="C9" s="154">
        <f>IFERROR(INDEX(年齢階層×在院期間区分F00F01[#All],MATCH($AK9,年齢階層×在院期間区分F00F01[[#All],[行ラベル]],0),MATCH($AL$3,年齢階層×在院期間区分F00F01[#Headers],0)),0)+IFERROR(INDEX(年齢階層×在院期間区分F00F01[#All],MATCH($AK9,年齢階層×在院期間区分F00F01[[#All],[行ラベル]],0),MATCH($AM$3,年齢階層×在院期間区分F00F01[#Headers],0)),0)+IFERROR(INDEX(年齢階層×在院期間区分F00F01[#All],MATCH($AK9,年齢階層×在院期間区分F00F01[[#All],[行ラベル]],0),MATCH($AN$3,年齢階層×在院期間区分F00F01[#Headers],0)),0)+IFERROR(INDEX(年齢階層×在院期間区分F00F01[#All],MATCH($AK9,年齢階層×在院期間区分F00F01[[#All],[行ラベル]],0),MATCH($AO$3,年齢階層×在院期間区分F00F01[#Headers],0)),0)</f>
        <v>46</v>
      </c>
      <c r="D9" s="155">
        <f t="shared" si="0"/>
        <v>3.7307380373073802E-2</v>
      </c>
      <c r="E9" s="178">
        <f>IFERROR(INDEX(年齢階層×在院期間区分F00F01[#All],MATCH($AK9,年齢階層×在院期間区分F00F01[[#All],[行ラベル]],0),MATCH($AP$3,年齢階層×在院期間区分F00F01[#Headers],0)),0)+IFERROR(INDEX(年齢階層×在院期間区分F00F01[#All],MATCH($AK9,年齢階層×在院期間区分F00F01[[#All],[行ラベル]],0),MATCH($AQ$3,年齢階層×在院期間区分F00F01[#Headers],0)),0)+IFERROR(INDEX(年齢階層×在院期間区分F00F01[#All],MATCH($AK9,年齢階層×在院期間区分F00F01[[#All],[行ラベル]],0),MATCH($AR$3,年齢階層×在院期間区分F00F01[#Headers],0)),0)+IFERROR(INDEX(年齢階層×在院期間区分F00F01[#All],MATCH($AK9,年齢階層×在院期間区分F00F01[[#All],[行ラベル]],0),MATCH($AS$3,年齢階層×在院期間区分F00F01[#Headers],0)),0)+IFERROR(INDEX(年齢階層×在院期間区分F00F01[#All],MATCH($AK9,年齢階層×在院期間区分F00F01[[#All],[行ラベル]],0),MATCH($AT$3,年齢階層×在院期間区分F00F01[#Headers],0)),0)</f>
        <v>38</v>
      </c>
      <c r="F9" s="155">
        <f t="shared" si="1"/>
        <v>4.377880184331797E-2</v>
      </c>
      <c r="G9" s="177">
        <f>IFERROR(INDEX(年齢階層×在院期間区分F00F01[#All],MATCH($AK9,年齢階層×在院期間区分F00F01[[#All],[行ラベル]],0),MATCH($AU$3,年齢階層×在院期間区分F00F01[#Headers],0)),0)+IFERROR(INDEX(年齢階層×在院期間区分F00F01[#All],MATCH($AK9,年齢階層×在院期間区分F00F01[[#All],[行ラベル]],0),MATCH($AV$3,年齢階層×在院期間区分F00F01[#Headers],0)),0)+IFERROR(INDEX(年齢階層×在院期間区分F00F01[#All],MATCH($AK9,年齢階層×在院期間区分F00F01[[#All],[行ラベル]],0),MATCH($AW$3,年齢階層×在院期間区分F00F01[#Headers],0)),0)+IFERROR(INDEX(年齢階層×在院期間区分F00F01[#All],MATCH($AK9,年齢階層×在院期間区分F00F01[[#All],[行ラベル]],0),MATCH($AX$3,年齢階層×在院期間区分F00F01[#Headers],0)),0)+IFERROR(INDEX(年齢階層×在院期間区分F00F01[#All],MATCH($AK9,年齢階層×在院期間区分F00F01[[#All],[行ラベル]],0),MATCH($AY$3,年齢階層×在院期間区分F00F01[#Headers],0)),0)</f>
        <v>11</v>
      </c>
      <c r="H9" s="155">
        <f t="shared" si="2"/>
        <v>5.3140096618357488E-2</v>
      </c>
      <c r="I9" s="154">
        <f>IFERROR(INDEX(年齢階層×在院期間区分F00F01[#All],MATCH($AK9,年齢階層×在院期間区分F00F01[[#All],[行ラベル]],0),MATCH($AZ$3,年齢階層×在院期間区分F00F01[#Headers],0)),0)+IFERROR(INDEX(年齢階層×在院期間区分F00F01[#All],MATCH($AK9,年齢階層×在院期間区分F00F01[[#All],[行ラベル]],0),MATCH($BA$3,年齢階層×在院期間区分F00F01[#Headers],0)),0)</f>
        <v>0</v>
      </c>
      <c r="J9" s="155">
        <f t="shared" si="3"/>
        <v>0</v>
      </c>
      <c r="K9" s="154">
        <f t="shared" si="4"/>
        <v>95</v>
      </c>
      <c r="L9" s="155">
        <f t="shared" si="5"/>
        <v>4.0084388185654012E-2</v>
      </c>
      <c r="O9" s="53" t="s">
        <v>7</v>
      </c>
      <c r="P9" s="61">
        <v>8</v>
      </c>
      <c r="Q9" s="61">
        <v>17</v>
      </c>
      <c r="R9" s="61">
        <v>10</v>
      </c>
      <c r="S9" s="61">
        <v>11</v>
      </c>
      <c r="T9" s="61">
        <v>7</v>
      </c>
      <c r="U9" s="61">
        <v>5</v>
      </c>
      <c r="V9" s="61">
        <v>16</v>
      </c>
      <c r="W9" s="61">
        <v>7</v>
      </c>
      <c r="X9" s="61">
        <v>3</v>
      </c>
      <c r="Y9" s="61">
        <v>5</v>
      </c>
      <c r="Z9" s="61">
        <v>4</v>
      </c>
      <c r="AA9" s="61">
        <v>0</v>
      </c>
      <c r="AB9" s="61">
        <v>2</v>
      </c>
      <c r="AC9" s="61">
        <v>0</v>
      </c>
      <c r="AD9" s="61">
        <v>0</v>
      </c>
      <c r="AE9" s="61">
        <v>0</v>
      </c>
      <c r="AK9" s="53" t="s">
        <v>7</v>
      </c>
      <c r="AL9" s="62"/>
      <c r="AM9" s="62"/>
      <c r="AO9" s="66"/>
    </row>
    <row r="10" spans="2:53" s="21" customFormat="1" ht="18.75" customHeight="1" x14ac:dyDescent="0.2">
      <c r="B10" s="176" t="s">
        <v>8</v>
      </c>
      <c r="C10" s="178">
        <f>IFERROR(INDEX(年齢階層×在院期間区分F00F01[#All],MATCH($AK10,年齢階層×在院期間区分F00F01[[#All],[行ラベル]],0),MATCH($AL$3,年齢階層×在院期間区分F00F01[#Headers],0)),0)+IFERROR(INDEX(年齢階層×在院期間区分F00F01[#All],MATCH($AK10,年齢階層×在院期間区分F00F01[[#All],[行ラベル]],0),MATCH($AM$3,年齢階層×在院期間区分F00F01[#Headers],0)),0)+IFERROR(INDEX(年齢階層×在院期間区分F00F01[#All],MATCH($AK10,年齢階層×在院期間区分F00F01[[#All],[行ラベル]],0),MATCH($AN$3,年齢階層×在院期間区分F00F01[#Headers],0)),0)+IFERROR(INDEX(年齢階層×在院期間区分F00F01[#All],MATCH($AK10,年齢階層×在院期間区分F00F01[[#All],[行ラベル]],0),MATCH($AO$3,年齢階層×在院期間区分F00F01[#Headers],0)),0)</f>
        <v>320</v>
      </c>
      <c r="D10" s="155">
        <f t="shared" si="0"/>
        <v>0.25952960259529601</v>
      </c>
      <c r="E10" s="177">
        <f>IFERROR(INDEX(年齢階層×在院期間区分F00F01[#All],MATCH($AK10,年齢階層×在院期間区分F00F01[[#All],[行ラベル]],0),MATCH($AP$3,年齢階層×在院期間区分F00F01[#Headers],0)),0)+IFERROR(INDEX(年齢階層×在院期間区分F00F01[#All],MATCH($AK10,年齢階層×在院期間区分F00F01[[#All],[行ラベル]],0),MATCH($AQ$3,年齢階層×在院期間区分F00F01[#Headers],0)),0)+IFERROR(INDEX(年齢階層×在院期間区分F00F01[#All],MATCH($AK10,年齢階層×在院期間区分F00F01[[#All],[行ラベル]],0),MATCH($AR$3,年齢階層×在院期間区分F00F01[#Headers],0)),0)+IFERROR(INDEX(年齢階層×在院期間区分F00F01[#All],MATCH($AK10,年齢階層×在院期間区分F00F01[[#All],[行ラベル]],0),MATCH($AS$3,年齢階層×在院期間区分F00F01[#Headers],0)),0)+IFERROR(INDEX(年齢階層×在院期間区分F00F01[#All],MATCH($AK10,年齢階層×在院期間区分F00F01[[#All],[行ラベル]],0),MATCH($AT$3,年齢階層×在院期間区分F00F01[#Headers],0)),0)</f>
        <v>206</v>
      </c>
      <c r="F10" s="155">
        <f t="shared" si="1"/>
        <v>0.23732718894009217</v>
      </c>
      <c r="G10" s="177">
        <f>IFERROR(INDEX(年齢階層×在院期間区分F00F01[#All],MATCH($AK10,年齢階層×在院期間区分F00F01[[#All],[行ラベル]],0),MATCH($AU$3,年齢階層×在院期間区分F00F01[#Headers],0)),0)+IFERROR(INDEX(年齢階層×在院期間区分F00F01[#All],MATCH($AK10,年齢階層×在院期間区分F00F01[[#All],[行ラベル]],0),MATCH($AV$3,年齢階層×在院期間区分F00F01[#Headers],0)),0)+IFERROR(INDEX(年齢階層×在院期間区分F00F01[#All],MATCH($AK10,年齢階層×在院期間区分F00F01[[#All],[行ラベル]],0),MATCH($AW$3,年齢階層×在院期間区分F00F01[#Headers],0)),0)+IFERROR(INDEX(年齢階層×在院期間区分F00F01[#All],MATCH($AK10,年齢階層×在院期間区分F00F01[[#All],[行ラベル]],0),MATCH($AX$3,年齢階層×在院期間区分F00F01[#Headers],0)),0)+IFERROR(INDEX(年齢階層×在院期間区分F00F01[#All],MATCH($AK10,年齢階層×在院期間区分F00F01[[#All],[行ラベル]],0),MATCH($AY$3,年齢階層×在院期間区分F00F01[#Headers],0)),0)</f>
        <v>44</v>
      </c>
      <c r="H10" s="155">
        <f t="shared" si="2"/>
        <v>0.21256038647342995</v>
      </c>
      <c r="I10" s="154">
        <f>IFERROR(INDEX(年齢階層×在院期間区分F00F01[#All],MATCH($AK10,年齢階層×在院期間区分F00F01[[#All],[行ラベル]],0),MATCH($AZ$3,年齢階層×在院期間区分F00F01[#Headers],0)),0)+IFERROR(INDEX(年齢階層×在院期間区分F00F01[#All],MATCH($AK10,年齢階層×在院期間区分F00F01[[#All],[行ラベル]],0),MATCH($BA$3,年齢階層×在院期間区分F00F01[#Headers],0)),0)</f>
        <v>18</v>
      </c>
      <c r="J10" s="155">
        <f t="shared" si="3"/>
        <v>0.29032258064516131</v>
      </c>
      <c r="K10" s="154">
        <f t="shared" si="4"/>
        <v>588</v>
      </c>
      <c r="L10" s="155">
        <f t="shared" si="5"/>
        <v>0.2481012658227848</v>
      </c>
      <c r="O10" s="53" t="s">
        <v>8</v>
      </c>
      <c r="P10" s="61">
        <v>52</v>
      </c>
      <c r="Q10" s="61">
        <v>93</v>
      </c>
      <c r="R10" s="61">
        <v>78</v>
      </c>
      <c r="S10" s="61">
        <v>97</v>
      </c>
      <c r="T10" s="61">
        <v>64</v>
      </c>
      <c r="U10" s="61">
        <v>37</v>
      </c>
      <c r="V10" s="61">
        <v>51</v>
      </c>
      <c r="W10" s="61">
        <v>30</v>
      </c>
      <c r="X10" s="61">
        <v>24</v>
      </c>
      <c r="Y10" s="61">
        <v>19</v>
      </c>
      <c r="Z10" s="61">
        <v>10</v>
      </c>
      <c r="AA10" s="61">
        <v>7</v>
      </c>
      <c r="AB10" s="61">
        <v>4</v>
      </c>
      <c r="AC10" s="61">
        <v>4</v>
      </c>
      <c r="AD10" s="61">
        <v>12</v>
      </c>
      <c r="AE10" s="61">
        <v>6</v>
      </c>
      <c r="AK10" s="53" t="s">
        <v>8</v>
      </c>
      <c r="AL10" s="62"/>
      <c r="AM10" s="62"/>
      <c r="AO10" s="66"/>
    </row>
    <row r="11" spans="2:53" s="21" customFormat="1" ht="18.75" customHeight="1" x14ac:dyDescent="0.2">
      <c r="B11" s="176" t="s">
        <v>9</v>
      </c>
      <c r="C11" s="154">
        <f>IFERROR(INDEX(年齢階層×在院期間区分F00F01[#All],MATCH($AK11,年齢階層×在院期間区分F00F01[[#All],[行ラベル]],0),MATCH($AL$3,年齢階層×在院期間区分F00F01[#Headers],0)),0)+IFERROR(INDEX(年齢階層×在院期間区分F00F01[#All],MATCH($AK11,年齢階層×在院期間区分F00F01[[#All],[行ラベル]],0),MATCH($AM$3,年齢階層×在院期間区分F00F01[#Headers],0)),0)+IFERROR(INDEX(年齢階層×在院期間区分F00F01[#All],MATCH($AK11,年齢階層×在院期間区分F00F01[[#All],[行ラベル]],0),MATCH($AN$3,年齢階層×在院期間区分F00F01[#Headers],0)),0)+IFERROR(INDEX(年齢階層×在院期間区分F00F01[#All],MATCH($AK11,年齢階層×在院期間区分F00F01[[#All],[行ラベル]],0),MATCH($AO$3,年齢階層×在院期間区分F00F01[#Headers],0)),0)</f>
        <v>670</v>
      </c>
      <c r="D11" s="155">
        <f t="shared" si="0"/>
        <v>0.54339010543390109</v>
      </c>
      <c r="E11" s="177">
        <f>IFERROR(INDEX(年齢階層×在院期間区分F00F01[#All],MATCH($AK11,年齢階層×在院期間区分F00F01[[#All],[行ラベル]],0),MATCH($AP$3,年齢階層×在院期間区分F00F01[#Headers],0)),0)+IFERROR(INDEX(年齢階層×在院期間区分F00F01[#All],MATCH($AK11,年齢階層×在院期間区分F00F01[[#All],[行ラベル]],0),MATCH($AQ$3,年齢階層×在院期間区分F00F01[#Headers],0)),0)+IFERROR(INDEX(年齢階層×在院期間区分F00F01[#All],MATCH($AK11,年齢階層×在院期間区分F00F01[[#All],[行ラベル]],0),MATCH($AR$3,年齢階層×在院期間区分F00F01[#Headers],0)),0)+IFERROR(INDEX(年齢階層×在院期間区分F00F01[#All],MATCH($AK11,年齢階層×在院期間区分F00F01[[#All],[行ラベル]],0),MATCH($AS$3,年齢階層×在院期間区分F00F01[#Headers],0)),0)+IFERROR(INDEX(年齢階層×在院期間区分F00F01[#All],MATCH($AK11,年齢階層×在院期間区分F00F01[[#All],[行ラベル]],0),MATCH($AT$3,年齢階層×在院期間区分F00F01[#Headers],0)),0)</f>
        <v>446</v>
      </c>
      <c r="F11" s="155">
        <f t="shared" si="1"/>
        <v>0.51382488479262678</v>
      </c>
      <c r="G11" s="177">
        <f>IFERROR(INDEX(年齢階層×在院期間区分F00F01[#All],MATCH($AK11,年齢階層×在院期間区分F00F01[[#All],[行ラベル]],0),MATCH($AU$3,年齢階層×在院期間区分F00F01[#Headers],0)),0)+IFERROR(INDEX(年齢階層×在院期間区分F00F01[#All],MATCH($AK11,年齢階層×在院期間区分F00F01[[#All],[行ラベル]],0),MATCH($AV$3,年齢階層×在院期間区分F00F01[#Headers],0)),0)+IFERROR(INDEX(年齢階層×在院期間区分F00F01[#All],MATCH($AK11,年齢階層×在院期間区分F00F01[[#All],[行ラベル]],0),MATCH($AW$3,年齢階層×在院期間区分F00F01[#Headers],0)),0)+IFERROR(INDEX(年齢階層×在院期間区分F00F01[#All],MATCH($AK11,年齢階層×在院期間区分F00F01[[#All],[行ラベル]],0),MATCH($AX$3,年齢階層×在院期間区分F00F01[#Headers],0)),0)+IFERROR(INDEX(年齢階層×在院期間区分F00F01[#All],MATCH($AK11,年齢階層×在院期間区分F00F01[[#All],[行ラベル]],0),MATCH($AY$3,年齢階層×在院期間区分F00F01[#Headers],0)),0)</f>
        <v>94</v>
      </c>
      <c r="H11" s="155">
        <f t="shared" si="2"/>
        <v>0.45410628019323673</v>
      </c>
      <c r="I11" s="178">
        <f>IFERROR(INDEX(年齢階層×在院期間区分F00F01[#All],MATCH($AK11,年齢階層×在院期間区分F00F01[[#All],[行ラベル]],0),MATCH($AZ$3,年齢階層×在院期間区分F00F01[#Headers],0)),0)+IFERROR(INDEX(年齢階層×在院期間区分F00F01[#All],MATCH($AK11,年齢階層×在院期間区分F00F01[[#All],[行ラベル]],0),MATCH($BA$3,年齢階層×在院期間区分F00F01[#Headers],0)),0)</f>
        <v>25</v>
      </c>
      <c r="J11" s="155">
        <f t="shared" si="3"/>
        <v>0.40322580645161288</v>
      </c>
      <c r="K11" s="154">
        <f t="shared" si="4"/>
        <v>1235</v>
      </c>
      <c r="L11" s="155">
        <f t="shared" si="5"/>
        <v>0.52109704641350207</v>
      </c>
      <c r="O11" s="53" t="s">
        <v>9</v>
      </c>
      <c r="P11" s="61">
        <v>129</v>
      </c>
      <c r="Q11" s="61">
        <v>211</v>
      </c>
      <c r="R11" s="61">
        <v>175</v>
      </c>
      <c r="S11" s="61">
        <v>155</v>
      </c>
      <c r="T11" s="61">
        <v>124</v>
      </c>
      <c r="U11" s="61">
        <v>91</v>
      </c>
      <c r="V11" s="61">
        <v>115</v>
      </c>
      <c r="W11" s="61">
        <v>69</v>
      </c>
      <c r="X11" s="61">
        <v>47</v>
      </c>
      <c r="Y11" s="61">
        <v>48</v>
      </c>
      <c r="Z11" s="61">
        <v>21</v>
      </c>
      <c r="AA11" s="61">
        <v>14</v>
      </c>
      <c r="AB11" s="61">
        <v>5</v>
      </c>
      <c r="AC11" s="61">
        <v>6</v>
      </c>
      <c r="AD11" s="61">
        <v>23</v>
      </c>
      <c r="AE11" s="61">
        <v>2</v>
      </c>
      <c r="AK11" s="53" t="s">
        <v>9</v>
      </c>
      <c r="AL11" s="62"/>
      <c r="AM11" s="62"/>
      <c r="AO11" s="66"/>
    </row>
    <row r="12" spans="2:53" s="21" customFormat="1" ht="18.75" customHeight="1" thickBot="1" x14ac:dyDescent="0.25">
      <c r="B12" s="179" t="s">
        <v>10</v>
      </c>
      <c r="C12" s="180">
        <f>IFERROR(INDEX(年齢階層×在院期間区分F00F01[#All],MATCH($AK12,年齢階層×在院期間区分F00F01[[#All],[行ラベル]],0),MATCH($AL$3,年齢階層×在院期間区分F00F01[#Headers],0)),0)+IFERROR(INDEX(年齢階層×在院期間区分F00F01[#All],MATCH($AK12,年齢階層×在院期間区分F00F01[[#All],[行ラベル]],0),MATCH($AM$3,年齢階層×在院期間区分F00F01[#Headers],0)),0)+IFERROR(INDEX(年齢階層×在院期間区分F00F01[#All],MATCH($AK12,年齢階層×在院期間区分F00F01[[#All],[行ラベル]],0),MATCH($AN$3,年齢階層×在院期間区分F00F01[#Headers],0)),0)+IFERROR(INDEX(年齢階層×在院期間区分F00F01[#All],MATCH($AK12,年齢階層×在院期間区分F00F01[[#All],[行ラベル]],0),MATCH($AO$3,年齢階層×在院期間区分F00F01[#Headers],0)),0)</f>
        <v>171</v>
      </c>
      <c r="D12" s="171">
        <f t="shared" si="0"/>
        <v>0.13868613138686131</v>
      </c>
      <c r="E12" s="157">
        <f>IFERROR(INDEX(年齢階層×在院期間区分F00F01[#All],MATCH($AK12,年齢階層×在院期間区分F00F01[[#All],[行ラベル]],0),MATCH($AP$3,年齢階層×在院期間区分F00F01[#Headers],0)),0)+IFERROR(INDEX(年齢階層×在院期間区分F00F01[#All],MATCH($AK12,年齢階層×在院期間区分F00F01[[#All],[行ラベル]],0),MATCH($AQ$3,年齢階層×在院期間区分F00F01[#Headers],0)),0)+IFERROR(INDEX(年齢階層×在院期間区分F00F01[#All],MATCH($AK12,年齢階層×在院期間区分F00F01[[#All],[行ラベル]],0),MATCH($AR$3,年齢階層×在院期間区分F00F01[#Headers],0)),0)+IFERROR(INDEX(年齢階層×在院期間区分F00F01[#All],MATCH($AK12,年齢階層×在院期間区分F00F01[[#All],[行ラベル]],0),MATCH($AS$3,年齢階層×在院期間区分F00F01[#Headers],0)),0)+IFERROR(INDEX(年齢階層×在院期間区分F00F01[#All],MATCH($AK12,年齢階層×在院期間区分F00F01[[#All],[行ラベル]],0),MATCH($AT$3,年齢階層×在院期間区分F00F01[#Headers],0)),0)</f>
        <v>166</v>
      </c>
      <c r="F12" s="171">
        <f t="shared" si="1"/>
        <v>0.19124423963133641</v>
      </c>
      <c r="G12" s="157">
        <f>IFERROR(INDEX(年齢階層×在院期間区分F00F01[#All],MATCH($AK12,年齢階層×在院期間区分F00F01[[#All],[行ラベル]],0),MATCH($AU$3,年齢階層×在院期間区分F00F01[#Headers],0)),0)+IFERROR(INDEX(年齢階層×在院期間区分F00F01[#All],MATCH($AK12,年齢階層×在院期間区分F00F01[[#All],[行ラベル]],0),MATCH($AV$3,年齢階層×在院期間区分F00F01[#Headers],0)),0)+IFERROR(INDEX(年齢階層×在院期間区分F00F01[#All],MATCH($AK12,年齢階層×在院期間区分F00F01[[#All],[行ラベル]],0),MATCH($AW$3,年齢階層×在院期間区分F00F01[#Headers],0)),0)+IFERROR(INDEX(年齢階層×在院期間区分F00F01[#All],MATCH($AK12,年齢階層×在院期間区分F00F01[[#All],[行ラベル]],0),MATCH($AX$3,年齢階層×在院期間区分F00F01[#Headers],0)),0)+IFERROR(INDEX(年齢階層×在院期間区分F00F01[#All],MATCH($AK12,年齢階層×在院期間区分F00F01[[#All],[行ラベル]],0),MATCH($AY$3,年齢階層×在院期間区分F00F01[#Headers],0)),0)</f>
        <v>56</v>
      </c>
      <c r="H12" s="171">
        <f t="shared" si="2"/>
        <v>0.27053140096618356</v>
      </c>
      <c r="I12" s="157">
        <f>IFERROR(INDEX(年齢階層×在院期間区分F00F01[#All],MATCH($AK12,年齢階層×在院期間区分F00F01[[#All],[行ラベル]],0),MATCH($AZ$3,年齢階層×在院期間区分F00F01[#Headers],0)),0)+IFERROR(INDEX(年齢階層×在院期間区分F00F01[#All],MATCH($AK12,年齢階層×在院期間区分F00F01[[#All],[行ラベル]],0),MATCH($BA$3,年齢階層×在院期間区分F00F01[#Headers],0)),0)</f>
        <v>17</v>
      </c>
      <c r="J12" s="171">
        <f t="shared" si="3"/>
        <v>0.27419354838709675</v>
      </c>
      <c r="K12" s="157">
        <f t="shared" si="4"/>
        <v>410</v>
      </c>
      <c r="L12" s="171">
        <f t="shared" si="5"/>
        <v>0.1729957805907173</v>
      </c>
      <c r="O12" s="53" t="s">
        <v>10</v>
      </c>
      <c r="P12" s="61">
        <v>29</v>
      </c>
      <c r="Q12" s="61">
        <v>49</v>
      </c>
      <c r="R12" s="61">
        <v>36</v>
      </c>
      <c r="S12" s="61">
        <v>57</v>
      </c>
      <c r="T12" s="61">
        <v>40</v>
      </c>
      <c r="U12" s="61">
        <v>31</v>
      </c>
      <c r="V12" s="61">
        <v>37</v>
      </c>
      <c r="W12" s="61">
        <v>35</v>
      </c>
      <c r="X12" s="61">
        <v>23</v>
      </c>
      <c r="Y12" s="61">
        <v>24</v>
      </c>
      <c r="Z12" s="61">
        <v>13</v>
      </c>
      <c r="AA12" s="61">
        <v>14</v>
      </c>
      <c r="AB12" s="61">
        <v>3</v>
      </c>
      <c r="AC12" s="61">
        <v>2</v>
      </c>
      <c r="AD12" s="61">
        <v>16</v>
      </c>
      <c r="AE12" s="61">
        <v>1</v>
      </c>
      <c r="AK12" s="53" t="s">
        <v>10</v>
      </c>
      <c r="AL12" s="62"/>
      <c r="AM12" s="62"/>
      <c r="AO12" s="66"/>
    </row>
    <row r="13" spans="2:53" s="21" customFormat="1" ht="18.75" customHeight="1" thickTop="1" thickBot="1" x14ac:dyDescent="0.25">
      <c r="B13" s="181" t="s">
        <v>161</v>
      </c>
      <c r="C13" s="182">
        <f t="shared" ref="C13:L13" si="6">SUM(C4:C12)</f>
        <v>1233</v>
      </c>
      <c r="D13" s="183">
        <f t="shared" si="6"/>
        <v>1</v>
      </c>
      <c r="E13" s="182">
        <f t="shared" si="6"/>
        <v>868</v>
      </c>
      <c r="F13" s="183">
        <f t="shared" si="6"/>
        <v>1</v>
      </c>
      <c r="G13" s="182">
        <f t="shared" si="6"/>
        <v>207</v>
      </c>
      <c r="H13" s="183">
        <f t="shared" si="6"/>
        <v>1</v>
      </c>
      <c r="I13" s="182">
        <f t="shared" si="6"/>
        <v>62</v>
      </c>
      <c r="J13" s="183">
        <f t="shared" si="6"/>
        <v>1</v>
      </c>
      <c r="K13" s="182">
        <f t="shared" si="6"/>
        <v>2370</v>
      </c>
      <c r="L13" s="183">
        <f t="shared" si="6"/>
        <v>0.99999999999999989</v>
      </c>
      <c r="O13" s="298" t="s">
        <v>308</v>
      </c>
      <c r="P13" s="348" t="s">
        <v>182</v>
      </c>
      <c r="Q13" s="348" t="s">
        <v>183</v>
      </c>
      <c r="R13" s="348" t="s">
        <v>184</v>
      </c>
      <c r="S13" s="348" t="s">
        <v>185</v>
      </c>
      <c r="T13" s="348" t="s">
        <v>186</v>
      </c>
      <c r="U13" s="348" t="s">
        <v>187</v>
      </c>
      <c r="V13" s="348" t="s">
        <v>188</v>
      </c>
      <c r="W13" s="348" t="s">
        <v>189</v>
      </c>
      <c r="X13" s="348" t="s">
        <v>190</v>
      </c>
      <c r="Y13" s="348" t="s">
        <v>191</v>
      </c>
      <c r="Z13" s="348" t="s">
        <v>192</v>
      </c>
      <c r="AA13" s="348" t="s">
        <v>193</v>
      </c>
      <c r="AB13" s="348" t="s">
        <v>194</v>
      </c>
      <c r="AC13" s="348" t="s">
        <v>195</v>
      </c>
      <c r="AD13" s="348" t="s">
        <v>196</v>
      </c>
      <c r="AE13" s="55" t="s">
        <v>197</v>
      </c>
      <c r="AK13" s="66"/>
      <c r="AL13" s="66"/>
      <c r="AO13" s="66"/>
    </row>
    <row r="14" spans="2:53" s="21" customFormat="1" ht="18.75" customHeight="1" thickTop="1" x14ac:dyDescent="0.2">
      <c r="B14" s="184" t="s">
        <v>93</v>
      </c>
      <c r="C14" s="185">
        <f>IFERROR(INDEX(年齢階層×在院期間区分F00F01_65歳未満以上[#All],MATCH($AK14,年齢階層×在院期間区分F00F01_65歳未満以上[[#All],[列1]],0),MATCH($AL$3,年齢階層×在院期間区分F00F01_65歳未満以上[#Headers],0)),0)+IFERROR(INDEX(年齢階層×在院期間区分F00F01_65歳未満以上[#All],MATCH($AK14,年齢階層×在院期間区分F00F01_65歳未満以上[[#All],[列1]],0),MATCH($AM$3,年齢階層×在院期間区分F00F01_65歳未満以上[#Headers],0)),0)+IFERROR(INDEX(年齢階層×在院期間区分F00F01_65歳未満以上[#All],MATCH($AK14,年齢階層×在院期間区分F00F01_65歳未満以上[[#All],[列1]],0),MATCH($AN$3,年齢階層×在院期間区分F00F01_65歳未満以上[#Headers],0)),0)+IFERROR(INDEX(年齢階層×在院期間区分F00F01_65歳未満以上[#All],MATCH($AK14,年齢階層×在院期間区分F00F01_65歳未満以上[[#All],[列1]],0),MATCH($AO$3,年齢階層×在院期間区分F00F01_65歳未満以上[#Headers],0)),0)</f>
        <v>45</v>
      </c>
      <c r="D14" s="156">
        <f>IFERROR(C14/$C$13,"-")</f>
        <v>3.6496350364963501E-2</v>
      </c>
      <c r="E14" s="185">
        <f>IFERROR(INDEX(年齢階層×在院期間区分F00F01_65歳未満以上[#All],MATCH($AK14,年齢階層×在院期間区分F00F01_65歳未満以上[[#All],[列1]],0),MATCH($AP$3,年齢階層×在院期間区分F00F01_65歳未満以上[#Headers],0)),0)+IFERROR(INDEX(年齢階層×在院期間区分F00F01_65歳未満以上[#All],MATCH($AK14,年齢階層×在院期間区分F00F01_65歳未満以上[[#All],[列1]],0),MATCH($AQ$3,年齢階層×在院期間区分F00F01_65歳未満以上[#Headers],0)),0)+IFERROR(INDEX(年齢階層×在院期間区分F00F01_65歳未満以上[#All],MATCH($AK14,年齢階層×在院期間区分F00F01_65歳未満以上[[#All],[列1]],0),MATCH($AR$3,年齢階層×在院期間区分F00F01_65歳未満以上[#Headers],0)),0)+IFERROR(INDEX(年齢階層×在院期間区分F00F01_65歳未満以上[#All],MATCH($AK14,年齢階層×在院期間区分F00F01_65歳未満以上[[#All],[列1]],0),MATCH($AS$3,年齢階層×在院期間区分F00F01_65歳未満以上[#Headers],0)),0)+IFERROR(INDEX(年齢階層×在院期間区分F00F01_65歳未満以上[#All],MATCH($AK14,年齢階層×在院期間区分F00F01_65歳未満以上[[#All],[列1]],0),MATCH($AT$3,年齢階層×在院期間区分F00F01_65歳未満以上[#Headers],0)),0)</f>
        <v>23</v>
      </c>
      <c r="F14" s="156">
        <f>IFERROR(E14/$E$13,"-")</f>
        <v>2.6497695852534562E-2</v>
      </c>
      <c r="G14" s="185">
        <f>IFERROR(INDEX(年齢階層×在院期間区分F00F01_65歳未満以上[#All],MATCH($AK14,年齢階層×在院期間区分F00F01_65歳未満以上[[#All],[列1]],0),MATCH($AU$3,年齢階層×在院期間区分F00F01_65歳未満以上[#Headers],0)),0)+IFERROR(INDEX(年齢階層×在院期間区分F00F01_65歳未満以上[#All],MATCH($AK14,年齢階層×在院期間区分F00F01_65歳未満以上[[#All],[列1]],0),MATCH($AV$3,年齢階層×在院期間区分F00F01_65歳未満以上[#Headers],0)),0)+IFERROR(INDEX(年齢階層×在院期間区分F00F01_65歳未満以上[#All],MATCH($AK14,年齢階層×在院期間区分F00F01_65歳未満以上[[#All],[列1]],0),MATCH($AW$3,年齢階層×在院期間区分F00F01_65歳未満以上[#Headers],0)),0)+IFERROR(INDEX(年齢階層×在院期間区分F00F01_65歳未満以上[#All],MATCH($AK14,年齢階層×在院期間区分F00F01_65歳未満以上[[#All],[列1]],0),MATCH($AX$3,年齢階層×在院期間区分F00F01_65歳未満以上[#Headers],0)),0)+IFERROR(INDEX(年齢階層×在院期間区分F00F01_65歳未満以上[#All],MATCH($AK14,年齢階層×在院期間区分F00F01_65歳未満以上[[#All],[列1]],0),MATCH($AY$3,年齢階層×在院期間区分F00F01_65歳未満以上[#Headers],0)),0)</f>
        <v>8</v>
      </c>
      <c r="H14" s="156">
        <f>IFERROR(G14/$G$13,"-")</f>
        <v>3.864734299516908E-2</v>
      </c>
      <c r="I14" s="185">
        <f>IFERROR(INDEX(年齢階層×在院期間区分F00F01_65歳未満以上[#All],MATCH($AK14,年齢階層×在院期間区分F00F01_65歳未満以上[[#All],[列1]],0),MATCH($AZ$3,年齢階層×在院期間区分F00F01_65歳未満以上[#Headers],0)),0)+IFERROR(INDEX(年齢階層×在院期間区分F00F01_65歳未満以上[#All],MATCH($AK14,年齢階層×在院期間区分F00F01_65歳未満以上[[#All],[列1]],0),MATCH($BA$3,年齢階層×在院期間区分F00F01_65歳未満以上[#Headers],0)),0)</f>
        <v>2</v>
      </c>
      <c r="J14" s="156">
        <f>IFERROR(I14/$I$13,"-")</f>
        <v>3.2258064516129031E-2</v>
      </c>
      <c r="K14" s="185">
        <f>SUM(C14,E14,G14,I14)</f>
        <v>78</v>
      </c>
      <c r="L14" s="156">
        <f>IFERROR(K14/$K$13,"-")</f>
        <v>3.2911392405063293E-2</v>
      </c>
      <c r="O14" s="53" t="s">
        <v>306</v>
      </c>
      <c r="P14" s="61">
        <v>7</v>
      </c>
      <c r="Q14" s="61">
        <v>12</v>
      </c>
      <c r="R14" s="61">
        <v>10</v>
      </c>
      <c r="S14" s="61">
        <v>16</v>
      </c>
      <c r="T14" s="61">
        <v>6</v>
      </c>
      <c r="U14" s="61">
        <v>2</v>
      </c>
      <c r="V14" s="61">
        <v>11</v>
      </c>
      <c r="W14" s="61">
        <v>3</v>
      </c>
      <c r="X14" s="61">
        <v>1</v>
      </c>
      <c r="Y14" s="61">
        <v>1</v>
      </c>
      <c r="Z14" s="61">
        <v>5</v>
      </c>
      <c r="AA14" s="61">
        <v>0</v>
      </c>
      <c r="AB14" s="61">
        <v>1</v>
      </c>
      <c r="AC14" s="61">
        <v>1</v>
      </c>
      <c r="AD14" s="61">
        <v>1</v>
      </c>
      <c r="AE14" s="61">
        <v>1</v>
      </c>
      <c r="AK14" s="67" t="s">
        <v>156</v>
      </c>
    </row>
    <row r="15" spans="2:53" s="21" customFormat="1" ht="18.75" customHeight="1" x14ac:dyDescent="0.2">
      <c r="B15" s="186" t="s">
        <v>89</v>
      </c>
      <c r="C15" s="185">
        <f>IFERROR(INDEX(年齢階層×在院期間区分F00F01_65歳未満以上[#All],MATCH($AK15,年齢階層×在院期間区分F00F01_65歳未満以上[[#All],[列1]],0),MATCH($AL$3,年齢階層×在院期間区分F00F01_65歳未満以上[#Headers],0)),0)+IFERROR(INDEX(年齢階層×在院期間区分F00F01_65歳未満以上[#All],MATCH($AK15,年齢階層×在院期間区分F00F01_65歳未満以上[[#All],[列1]],0),MATCH($AM$3,年齢階層×在院期間区分F00F01_65歳未満以上[#Headers],0)),0)+IFERROR(INDEX(年齢階層×在院期間区分F00F01_65歳未満以上[#All],MATCH($AK15,年齢階層×在院期間区分F00F01_65歳未満以上[[#All],[列1]],0),MATCH($AN$3,年齢階層×在院期間区分F00F01_65歳未満以上[#Headers],0)),0)+IFERROR(INDEX(年齢階層×在院期間区分F00F01_65歳未満以上[#All],MATCH($AK15,年齢階層×在院期間区分F00F01_65歳未満以上[[#All],[列1]],0),MATCH($AO$3,年齢階層×在院期間区分F00F01_65歳未満以上[#Headers],0)),0)</f>
        <v>1188</v>
      </c>
      <c r="D15" s="187">
        <f>IFERROR(C15/$C$13,"-")</f>
        <v>0.96350364963503654</v>
      </c>
      <c r="E15" s="185">
        <f>IFERROR(INDEX(年齢階層×在院期間区分F00F01_65歳未満以上[#All],MATCH($AK15,年齢階層×在院期間区分F00F01_65歳未満以上[[#All],[列1]],0),MATCH($AP$3,年齢階層×在院期間区分F00F01_65歳未満以上[#Headers],0)),0)+IFERROR(INDEX(年齢階層×在院期間区分F00F01_65歳未満以上[#All],MATCH($AK15,年齢階層×在院期間区分F00F01_65歳未満以上[[#All],[列1]],0),MATCH($AQ$3,年齢階層×在院期間区分F00F01_65歳未満以上[#Headers],0)),0)+IFERROR(INDEX(年齢階層×在院期間区分F00F01_65歳未満以上[#All],MATCH($AK15,年齢階層×在院期間区分F00F01_65歳未満以上[[#All],[列1]],0),MATCH($AR$3,年齢階層×在院期間区分F00F01_65歳未満以上[#Headers],0)),0)+IFERROR(INDEX(年齢階層×在院期間区分F00F01_65歳未満以上[#All],MATCH($AK15,年齢階層×在院期間区分F00F01_65歳未満以上[[#All],[列1]],0),MATCH($AS$3,年齢階層×在院期間区分F00F01_65歳未満以上[#Headers],0)),0)+IFERROR(INDEX(年齢階層×在院期間区分F00F01_65歳未満以上[#All],MATCH($AK15,年齢階層×在院期間区分F00F01_65歳未満以上[[#All],[列1]],0),MATCH($AT$3,年齢階層×在院期間区分F00F01_65歳未満以上[#Headers],0)),0)</f>
        <v>845</v>
      </c>
      <c r="F15" s="187">
        <f>IFERROR(E15/$E$13,"-")</f>
        <v>0.97350230414746541</v>
      </c>
      <c r="G15" s="185">
        <f>IFERROR(INDEX(年齢階層×在院期間区分F00F01_65歳未満以上[#All],MATCH($AK15,年齢階層×在院期間区分F00F01_65歳未満以上[[#All],[列1]],0),MATCH($AU$3,年齢階層×在院期間区分F00F01_65歳未満以上[#Headers],0)),0)+IFERROR(INDEX(年齢階層×在院期間区分F00F01_65歳未満以上[#All],MATCH($AK15,年齢階層×在院期間区分F00F01_65歳未満以上[[#All],[列1]],0),MATCH($AV$3,年齢階層×在院期間区分F00F01_65歳未満以上[#Headers],0)),0)+IFERROR(INDEX(年齢階層×在院期間区分F00F01_65歳未満以上[#All],MATCH($AK15,年齢階層×在院期間区分F00F01_65歳未満以上[[#All],[列1]],0),MATCH($AW$3,年齢階層×在院期間区分F00F01_65歳未満以上[#Headers],0)),0)+IFERROR(INDEX(年齢階層×在院期間区分F00F01_65歳未満以上[#All],MATCH($AK15,年齢階層×在院期間区分F00F01_65歳未満以上[[#All],[列1]],0),MATCH($AX$3,年齢階層×在院期間区分F00F01_65歳未満以上[#Headers],0)),0)+IFERROR(INDEX(年齢階層×在院期間区分F00F01_65歳未満以上[#All],MATCH($AK15,年齢階層×在院期間区分F00F01_65歳未満以上[[#All],[列1]],0),MATCH($AY$3,年齢階層×在院期間区分F00F01_65歳未満以上[#Headers],0)),0)</f>
        <v>199</v>
      </c>
      <c r="H15" s="187">
        <f>IFERROR(G15/$G$13,"-")</f>
        <v>0.96135265700483097</v>
      </c>
      <c r="I15" s="185">
        <f>IFERROR(INDEX(年齢階層×在院期間区分F00F01_65歳未満以上[#All],MATCH($AK15,年齢階層×在院期間区分F00F01_65歳未満以上[[#All],[列1]],0),MATCH($AZ$3,年齢階層×在院期間区分F00F01_65歳未満以上[#Headers],0)),0)+IFERROR(INDEX(年齢階層×在院期間区分F00F01_65歳未満以上[#All],MATCH($AK15,年齢階層×在院期間区分F00F01_65歳未満以上[[#All],[列1]],0),MATCH($BA$3,年齢階層×在院期間区分F00F01_65歳未満以上[#Headers],0)),0)</f>
        <v>60</v>
      </c>
      <c r="J15" s="187">
        <f>IFERROR(I15/$I$13,"-")</f>
        <v>0.967741935483871</v>
      </c>
      <c r="K15" s="185">
        <f>C15+E15+G15+I15</f>
        <v>2292</v>
      </c>
      <c r="L15" s="187">
        <f>IFERROR(K15/$K$13,"-")</f>
        <v>0.96708860759493676</v>
      </c>
      <c r="O15" s="67" t="s">
        <v>307</v>
      </c>
      <c r="P15" s="61">
        <v>216</v>
      </c>
      <c r="Q15" s="61">
        <v>365</v>
      </c>
      <c r="R15" s="61">
        <v>294</v>
      </c>
      <c r="S15" s="61">
        <v>313</v>
      </c>
      <c r="T15" s="61">
        <v>232</v>
      </c>
      <c r="U15" s="61">
        <v>163</v>
      </c>
      <c r="V15" s="61">
        <v>214</v>
      </c>
      <c r="W15" s="61">
        <v>139</v>
      </c>
      <c r="X15" s="61">
        <v>97</v>
      </c>
      <c r="Y15" s="61">
        <v>95</v>
      </c>
      <c r="Z15" s="61">
        <v>44</v>
      </c>
      <c r="AA15" s="61">
        <v>35</v>
      </c>
      <c r="AB15" s="61">
        <v>13</v>
      </c>
      <c r="AC15" s="61">
        <v>12</v>
      </c>
      <c r="AD15" s="61">
        <v>51</v>
      </c>
      <c r="AE15" s="61">
        <v>9</v>
      </c>
      <c r="AK15" s="67" t="s">
        <v>88</v>
      </c>
    </row>
    <row r="16" spans="2:53" ht="18.75" customHeight="1" x14ac:dyDescent="0.2"/>
    <row r="17" spans="2:41" ht="18.75" customHeight="1" x14ac:dyDescent="0.2">
      <c r="B17" s="1003" t="s">
        <v>164</v>
      </c>
      <c r="C17" s="1003"/>
      <c r="D17" s="1003"/>
      <c r="E17" s="1003"/>
      <c r="F17" s="1003"/>
      <c r="G17" s="1003"/>
      <c r="H17" s="1003"/>
      <c r="I17" s="1003"/>
      <c r="J17" s="1003"/>
      <c r="K17" s="1003"/>
      <c r="L17" s="1003"/>
      <c r="M17" s="1003"/>
    </row>
    <row r="18" spans="2:41" ht="18.75" customHeight="1" thickBot="1" x14ac:dyDescent="0.25">
      <c r="B18" s="996" t="s">
        <v>65</v>
      </c>
      <c r="C18" s="998" t="s">
        <v>64</v>
      </c>
      <c r="D18" s="999"/>
      <c r="E18" s="999"/>
      <c r="F18" s="999"/>
      <c r="G18" s="999"/>
      <c r="H18" s="999"/>
      <c r="I18" s="999"/>
      <c r="J18" s="999"/>
      <c r="K18" s="999"/>
      <c r="L18" s="1000"/>
      <c r="O18" s="33" t="s">
        <v>63</v>
      </c>
    </row>
    <row r="19" spans="2:41" ht="18.75" customHeight="1" thickTop="1" thickBot="1" x14ac:dyDescent="0.25">
      <c r="B19" s="997"/>
      <c r="C19" s="1001" t="s">
        <v>69</v>
      </c>
      <c r="D19" s="1002"/>
      <c r="E19" s="1001" t="s">
        <v>70</v>
      </c>
      <c r="F19" s="1002"/>
      <c r="G19" s="1001" t="s">
        <v>71</v>
      </c>
      <c r="H19" s="1002"/>
      <c r="I19" s="1001" t="s">
        <v>72</v>
      </c>
      <c r="J19" s="1002"/>
      <c r="K19" s="1001" t="s">
        <v>62</v>
      </c>
      <c r="L19" s="1002"/>
      <c r="O19" s="298" t="s">
        <v>372</v>
      </c>
      <c r="P19" s="348" t="s">
        <v>182</v>
      </c>
      <c r="Q19" s="348" t="s">
        <v>183</v>
      </c>
      <c r="R19" s="348" t="s">
        <v>184</v>
      </c>
      <c r="S19" s="348" t="s">
        <v>185</v>
      </c>
      <c r="T19" s="348" t="s">
        <v>186</v>
      </c>
      <c r="U19" s="348" t="s">
        <v>187</v>
      </c>
      <c r="V19" s="348" t="s">
        <v>188</v>
      </c>
      <c r="W19" s="348" t="s">
        <v>189</v>
      </c>
      <c r="X19" s="348" t="s">
        <v>190</v>
      </c>
      <c r="Y19" s="333" t="s">
        <v>191</v>
      </c>
      <c r="Z19" s="333" t="s">
        <v>192</v>
      </c>
      <c r="AA19" s="348" t="s">
        <v>193</v>
      </c>
      <c r="AB19" s="348" t="s">
        <v>194</v>
      </c>
      <c r="AC19" s="348" t="s">
        <v>195</v>
      </c>
      <c r="AD19" s="348" t="s">
        <v>196</v>
      </c>
      <c r="AE19" s="55" t="s">
        <v>197</v>
      </c>
    </row>
    <row r="20" spans="2:41" s="21" customFormat="1" ht="18.75" customHeight="1" thickTop="1" x14ac:dyDescent="0.2">
      <c r="B20" s="174" t="s">
        <v>2</v>
      </c>
      <c r="C20" s="175">
        <f>IFERROR(INDEX(年齢階層×在院期間区分F00F01＿寛解・院内寛解[#All],MATCH($AK4,年齢階層×在院期間区分F00F01＿寛解・院内寛解[[#All],[行ラベル]],0),MATCH($AL$3,年齢階層×在院期間区分F00F01＿寛解・院内寛解[#Headers],0)),0)+IFERROR(INDEX(年齢階層×在院期間区分F00F01＿寛解・院内寛解[#All],MATCH($AK4,年齢階層×在院期間区分F00F01＿寛解・院内寛解[[#All],[行ラベル]],0),MATCH($AM$3,年齢階層×在院期間区分F00F01＿寛解・院内寛解[#Headers],0)),0)+IFERROR(INDEX(年齢階層×在院期間区分F00F01＿寛解・院内寛解[#All],MATCH($AK4,年齢階層×在院期間区分F00F01＿寛解・院内寛解[[#All],[行ラベル]],0),MATCH($AN$3,年齢階層×在院期間区分F00F01＿寛解・院内寛解[#Headers],0)),0)+IFERROR(INDEX(年齢階層×在院期間区分F00F01＿寛解・院内寛解[#All],MATCH($AK4,年齢階層×在院期間区分F00F01＿寛解・院内寛解[[#All],[行ラベル]],0),MATCH($AO$3,年齢階層×在院期間区分F00F01＿寛解・院内寛解[#Headers],0)),0)</f>
        <v>0</v>
      </c>
      <c r="D20" s="188">
        <f t="shared" ref="D20:D28" si="7">IFERROR(C20/$C$29,"-")</f>
        <v>0</v>
      </c>
      <c r="E20" s="175">
        <f>IFERROR(INDEX(年齢階層×在院期間区分F00F01＿寛解・院内寛解[#All],MATCH($AK4,年齢階層×在院期間区分F00F01＿寛解・院内寛解[[#All],[行ラベル]],0),MATCH($AP$3,年齢階層×在院期間区分F00F01＿寛解・院内寛解[#Headers],0)),0)+IFERROR(INDEX(年齢階層×在院期間区分F00F01＿寛解・院内寛解[#All],MATCH($AK4,年齢階層×在院期間区分F00F01＿寛解・院内寛解[[#All],[行ラベル]],0),MATCH($AQ$3,年齢階層×在院期間区分F00F01＿寛解・院内寛解[#Headers],0)),0)+IFERROR(INDEX(年齢階層×在院期間区分F00F01＿寛解・院内寛解[#All],MATCH($AK4,年齢階層×在院期間区分F00F01＿寛解・院内寛解[[#All],[行ラベル]],0),MATCH($AR$3,年齢階層×在院期間区分F00F01＿寛解・院内寛解[#Headers],0)),0)+IFERROR(INDEX(年齢階層×在院期間区分F00F01＿寛解・院内寛解[#All],MATCH($AK4,年齢階層×在院期間区分F00F01＿寛解・院内寛解[[#All],[行ラベル]],0),MATCH($AS$3,年齢階層×在院期間区分F00F01＿寛解・院内寛解[#Headers],0)),0)+IFERROR(INDEX(年齢階層×在院期間区分F00F01＿寛解・院内寛解[#All],MATCH($AK4,年齢階層×在院期間区分F00F01＿寛解・院内寛解[[#All],[行ラベル]],0),MATCH($AT$3,年齢階層×在院期間区分F00F01＿寛解・院内寛解[#Headers],0)),0)</f>
        <v>0</v>
      </c>
      <c r="F20" s="188">
        <f t="shared" ref="F20:F28" si="8">IFERROR(E20/$E$29,"-")</f>
        <v>0</v>
      </c>
      <c r="G20" s="169">
        <f>IFERROR(INDEX(年齢階層×在院期間区分F00F01＿寛解・院内寛解[#All],MATCH($AK4,年齢階層×在院期間区分F00F01＿寛解・院内寛解[[#All],[行ラベル]],0),MATCH($AU$3,年齢階層×在院期間区分F00F01＿寛解・院内寛解[#Headers],0)),0)+IFERROR(INDEX(年齢階層×在院期間区分F00F01＿寛解・院内寛解[#All],MATCH($AK4,年齢階層×在院期間区分F00F01＿寛解・院内寛解[[#All],[行ラベル]],0),MATCH($AV$3,年齢階層×在院期間区分F00F01＿寛解・院内寛解[#Headers],0)),0)+IFERROR(INDEX(年齢階層×在院期間区分F00F01＿寛解・院内寛解[#All],MATCH($AK4,年齢階層×在院期間区分F00F01＿寛解・院内寛解[[#All],[行ラベル]],0),MATCH($AW$3,年齢階層×在院期間区分F00F01＿寛解・院内寛解[#Headers],0)),0)+IFERROR(INDEX(年齢階層×在院期間区分F00F01＿寛解・院内寛解[#All],MATCH($AK4,年齢階層×在院期間区分F00F01＿寛解・院内寛解[[#All],[行ラベル]],0),MATCH($AX$3,年齢階層×在院期間区分F00F01＿寛解・院内寛解[#Headers],0)),0)+IFERROR(INDEX(年齢階層×在院期間区分F00F01＿寛解・院内寛解[#All],MATCH($AK4,年齢階層×在院期間区分F00F01＿寛解・院内寛解[[#All],[行ラベル]],0),MATCH($AY$3,年齢階層×在院期間区分F00F01＿寛解・院内寛解[#Headers],0)),0)</f>
        <v>0</v>
      </c>
      <c r="H20" s="188">
        <f t="shared" ref="H20:H28" si="9">IFERROR(G20/$G$29,"-")</f>
        <v>0</v>
      </c>
      <c r="I20" s="175">
        <f>IFERROR(INDEX(年齢階層×在院期間区分F00F01＿寛解・院内寛解[#All],MATCH($AK4,年齢階層×在院期間区分F00F01＿寛解・院内寛解[[#All],[行ラベル]],0),MATCH($AZ$3,年齢階層×在院期間区分F00F01＿寛解・院内寛解[#Headers],0)),0)+IFERROR(INDEX(年齢階層×在院期間区分F00F01＿寛解・院内寛解[#All],MATCH($AK4,年齢階層×在院期間区分F00F01＿寛解・院内寛解[[#All],[行ラベル]],0),MATCH($BA$3,年齢階層×在院期間区分F00F01＿寛解・院内寛解[#Headers],0)),0)</f>
        <v>0</v>
      </c>
      <c r="J20" s="188">
        <f t="shared" ref="J20:J28" si="10">IFERROR(I20/$I$29,"-")</f>
        <v>0</v>
      </c>
      <c r="K20" s="169">
        <f t="shared" ref="K20:K28" si="11">SUM(C20,E20,G20,I20)</f>
        <v>0</v>
      </c>
      <c r="L20" s="188">
        <f t="shared" ref="L20:L28" si="12">IFERROR(K20/$K$29,"-")</f>
        <v>0</v>
      </c>
      <c r="O20" s="53" t="s">
        <v>2</v>
      </c>
      <c r="P20" s="61">
        <v>0</v>
      </c>
      <c r="Q20" s="61">
        <v>0</v>
      </c>
      <c r="R20" s="61">
        <v>0</v>
      </c>
      <c r="S20" s="61">
        <v>0</v>
      </c>
      <c r="T20" s="61">
        <v>0</v>
      </c>
      <c r="U20" s="61">
        <v>0</v>
      </c>
      <c r="V20" s="61">
        <v>0</v>
      </c>
      <c r="W20" s="61">
        <v>0</v>
      </c>
      <c r="X20" s="61">
        <v>0</v>
      </c>
      <c r="Y20" s="61">
        <v>0</v>
      </c>
      <c r="Z20" s="61">
        <v>0</v>
      </c>
      <c r="AA20" s="61">
        <v>0</v>
      </c>
      <c r="AB20" s="61">
        <v>0</v>
      </c>
      <c r="AC20" s="61">
        <v>0</v>
      </c>
      <c r="AD20" s="61">
        <v>0</v>
      </c>
      <c r="AE20" s="61">
        <v>0</v>
      </c>
      <c r="AK20" s="53" t="s">
        <v>2</v>
      </c>
    </row>
    <row r="21" spans="2:41" s="21" customFormat="1" ht="18.75" customHeight="1" x14ac:dyDescent="0.2">
      <c r="B21" s="176" t="s">
        <v>3</v>
      </c>
      <c r="C21" s="177">
        <f>IFERROR(INDEX(年齢階層×在院期間区分F00F01＿寛解・院内寛解[#All],MATCH($AK5,年齢階層×在院期間区分F00F01＿寛解・院内寛解[[#All],[行ラベル]],0),MATCH($AL$3,年齢階層×在院期間区分F00F01＿寛解・院内寛解[#Headers],0)),0)+IFERROR(INDEX(年齢階層×在院期間区分F00F01＿寛解・院内寛解[#All],MATCH($AK5,年齢階層×在院期間区分F00F01＿寛解・院内寛解[[#All],[行ラベル]],0),MATCH($AM$3,年齢階層×在院期間区分F00F01＿寛解・院内寛解[#Headers],0)),0)+IFERROR(INDEX(年齢階層×在院期間区分F00F01＿寛解・院内寛解[#All],MATCH($AK5,年齢階層×在院期間区分F00F01＿寛解・院内寛解[[#All],[行ラベル]],0),MATCH($AN$3,年齢階層×在院期間区分F00F01＿寛解・院内寛解[#Headers],0)),0)+IFERROR(INDEX(年齢階層×在院期間区分F00F01＿寛解・院内寛解[#All],MATCH($AK5,年齢階層×在院期間区分F00F01＿寛解・院内寛解[[#All],[行ラベル]],0),MATCH($AO$3,年齢階層×在院期間区分F00F01＿寛解・院内寛解[#Headers],0)),0)</f>
        <v>0</v>
      </c>
      <c r="D21" s="155">
        <f t="shared" si="7"/>
        <v>0</v>
      </c>
      <c r="E21" s="177">
        <f>IFERROR(INDEX(年齢階層×在院期間区分F00F01＿寛解・院内寛解[#All],MATCH($AK5,年齢階層×在院期間区分F00F01＿寛解・院内寛解[[#All],[行ラベル]],0),MATCH($AP$3,年齢階層×在院期間区分F00F01＿寛解・院内寛解[#Headers],0)),0)+IFERROR(INDEX(年齢階層×在院期間区分F00F01＿寛解・院内寛解[#All],MATCH($AK5,年齢階層×在院期間区分F00F01＿寛解・院内寛解[[#All],[行ラベル]],0),MATCH($AQ$3,年齢階層×在院期間区分F00F01＿寛解・院内寛解[#Headers],0)),0)+IFERROR(INDEX(年齢階層×在院期間区分F00F01＿寛解・院内寛解[#All],MATCH($AK5,年齢階層×在院期間区分F00F01＿寛解・院内寛解[[#All],[行ラベル]],0),MATCH($AR$3,年齢階層×在院期間区分F00F01＿寛解・院内寛解[#Headers],0)),0)+IFERROR(INDEX(年齢階層×在院期間区分F00F01＿寛解・院内寛解[#All],MATCH($AK5,年齢階層×在院期間区分F00F01＿寛解・院内寛解[[#All],[行ラベル]],0),MATCH($AS$3,年齢階層×在院期間区分F00F01＿寛解・院内寛解[#Headers],0)),0)+IFERROR(INDEX(年齢階層×在院期間区分F00F01＿寛解・院内寛解[#All],MATCH($AK5,年齢階層×在院期間区分F00F01＿寛解・院内寛解[[#All],[行ラベル]],0),MATCH($AT$3,年齢階層×在院期間区分F00F01＿寛解・院内寛解[#Headers],0)),0)</f>
        <v>0</v>
      </c>
      <c r="F21" s="155">
        <f t="shared" si="8"/>
        <v>0</v>
      </c>
      <c r="G21" s="154">
        <f>IFERROR(INDEX(年齢階層×在院期間区分F00F01＿寛解・院内寛解[#All],MATCH($AK5,年齢階層×在院期間区分F00F01＿寛解・院内寛解[[#All],[行ラベル]],0),MATCH($AU$3,年齢階層×在院期間区分F00F01＿寛解・院内寛解[#Headers],0)),0)+IFERROR(INDEX(年齢階層×在院期間区分F00F01＿寛解・院内寛解[#All],MATCH($AK5,年齢階層×在院期間区分F00F01＿寛解・院内寛解[[#All],[行ラベル]],0),MATCH($AV$3,年齢階層×在院期間区分F00F01＿寛解・院内寛解[#Headers],0)),0)+IFERROR(INDEX(年齢階層×在院期間区分F00F01＿寛解・院内寛解[#All],MATCH($AK5,年齢階層×在院期間区分F00F01＿寛解・院内寛解[[#All],[行ラベル]],0),MATCH($AW$3,年齢階層×在院期間区分F00F01＿寛解・院内寛解[#Headers],0)),0)+IFERROR(INDEX(年齢階層×在院期間区分F00F01＿寛解・院内寛解[#All],MATCH($AK5,年齢階層×在院期間区分F00F01＿寛解・院内寛解[[#All],[行ラベル]],0),MATCH($AX$3,年齢階層×在院期間区分F00F01＿寛解・院内寛解[#Headers],0)),0)+IFERROR(INDEX(年齢階層×在院期間区分F00F01＿寛解・院内寛解[#All],MATCH($AK5,年齢階層×在院期間区分F00F01＿寛解・院内寛解[[#All],[行ラベル]],0),MATCH($AY$3,年齢階層×在院期間区分F00F01＿寛解・院内寛解[#Headers],0)),0)</f>
        <v>0</v>
      </c>
      <c r="H21" s="155">
        <f t="shared" si="9"/>
        <v>0</v>
      </c>
      <c r="I21" s="177">
        <f>IFERROR(INDEX(年齢階層×在院期間区分F00F01＿寛解・院内寛解[#All],MATCH($AK5,年齢階層×在院期間区分F00F01＿寛解・院内寛解[[#All],[行ラベル]],0),MATCH($AZ$3,年齢階層×在院期間区分F00F01＿寛解・院内寛解[#Headers],0)),0)+IFERROR(INDEX(年齢階層×在院期間区分F00F01＿寛解・院内寛解[#All],MATCH($AK5,年齢階層×在院期間区分F00F01＿寛解・院内寛解[[#All],[行ラベル]],0),MATCH($BA$3,年齢階層×在院期間区分F00F01＿寛解・院内寛解[#Headers],0)),0)</f>
        <v>0</v>
      </c>
      <c r="J21" s="155">
        <f t="shared" si="10"/>
        <v>0</v>
      </c>
      <c r="K21" s="154">
        <f t="shared" si="11"/>
        <v>0</v>
      </c>
      <c r="L21" s="155">
        <f t="shared" si="12"/>
        <v>0</v>
      </c>
      <c r="O21" s="53" t="s">
        <v>3</v>
      </c>
      <c r="P21" s="61">
        <v>0</v>
      </c>
      <c r="Q21" s="61">
        <v>0</v>
      </c>
      <c r="R21" s="61">
        <v>0</v>
      </c>
      <c r="S21" s="61">
        <v>0</v>
      </c>
      <c r="T21" s="61">
        <v>0</v>
      </c>
      <c r="U21" s="61">
        <v>0</v>
      </c>
      <c r="V21" s="61">
        <v>0</v>
      </c>
      <c r="W21" s="61">
        <v>0</v>
      </c>
      <c r="X21" s="61">
        <v>0</v>
      </c>
      <c r="Y21" s="61">
        <v>0</v>
      </c>
      <c r="Z21" s="61">
        <v>0</v>
      </c>
      <c r="AA21" s="61">
        <v>0</v>
      </c>
      <c r="AB21" s="61">
        <v>0</v>
      </c>
      <c r="AC21" s="61">
        <v>0</v>
      </c>
      <c r="AD21" s="61">
        <v>0</v>
      </c>
      <c r="AE21" s="61">
        <v>0</v>
      </c>
      <c r="AK21" s="53" t="s">
        <v>3</v>
      </c>
    </row>
    <row r="22" spans="2:41" s="21" customFormat="1" ht="18.75" customHeight="1" x14ac:dyDescent="0.2">
      <c r="B22" s="176" t="s">
        <v>4</v>
      </c>
      <c r="C22" s="154">
        <f>IFERROR(INDEX(年齢階層×在院期間区分F00F01＿寛解・院内寛解[#All],MATCH($AK6,年齢階層×在院期間区分F00F01＿寛解・院内寛解[[#All],[行ラベル]],0),MATCH($AL$3,年齢階層×在院期間区分F00F01＿寛解・院内寛解[#Headers],0)),0)+IFERROR(INDEX(年齢階層×在院期間区分F00F01＿寛解・院内寛解[#All],MATCH($AK6,年齢階層×在院期間区分F00F01＿寛解・院内寛解[[#All],[行ラベル]],0),MATCH($AM$3,年齢階層×在院期間区分F00F01＿寛解・院内寛解[#Headers],0)),0)+IFERROR(INDEX(年齢階層×在院期間区分F00F01＿寛解・院内寛解[#All],MATCH($AK6,年齢階層×在院期間区分F00F01＿寛解・院内寛解[[#All],[行ラベル]],0),MATCH($AN$3,年齢階層×在院期間区分F00F01＿寛解・院内寛解[#Headers],0)),0)+IFERROR(INDEX(年齢階層×在院期間区分F00F01＿寛解・院内寛解[#All],MATCH($AK6,年齢階層×在院期間区分F00F01＿寛解・院内寛解[[#All],[行ラベル]],0),MATCH($AO$3,年齢階層×在院期間区分F00F01＿寛解・院内寛解[#Headers],0)),0)</f>
        <v>0</v>
      </c>
      <c r="D22" s="155">
        <f t="shared" si="7"/>
        <v>0</v>
      </c>
      <c r="E22" s="177">
        <f>IFERROR(INDEX(年齢階層×在院期間区分F00F01＿寛解・院内寛解[#All],MATCH($AK6,年齢階層×在院期間区分F00F01＿寛解・院内寛解[[#All],[行ラベル]],0),MATCH($AP$3,年齢階層×在院期間区分F00F01＿寛解・院内寛解[#Headers],0)),0)+IFERROR(INDEX(年齢階層×在院期間区分F00F01＿寛解・院内寛解[#All],MATCH($AK6,年齢階層×在院期間区分F00F01＿寛解・院内寛解[[#All],[行ラベル]],0),MATCH($AQ$3,年齢階層×在院期間区分F00F01＿寛解・院内寛解[#Headers],0)),0)+IFERROR(INDEX(年齢階層×在院期間区分F00F01＿寛解・院内寛解[#All],MATCH($AK6,年齢階層×在院期間区分F00F01＿寛解・院内寛解[[#All],[行ラベル]],0),MATCH($AR$3,年齢階層×在院期間区分F00F01＿寛解・院内寛解[#Headers],0)),0)+IFERROR(INDEX(年齢階層×在院期間区分F00F01＿寛解・院内寛解[#All],MATCH($AK6,年齢階層×在院期間区分F00F01＿寛解・院内寛解[[#All],[行ラベル]],0),MATCH($AS$3,年齢階層×在院期間区分F00F01＿寛解・院内寛解[#Headers],0)),0)+IFERROR(INDEX(年齢階層×在院期間区分F00F01＿寛解・院内寛解[#All],MATCH($AK6,年齢階層×在院期間区分F00F01＿寛解・院内寛解[[#All],[行ラベル]],0),MATCH($AT$3,年齢階層×在院期間区分F00F01＿寛解・院内寛解[#Headers],0)),0)</f>
        <v>0</v>
      </c>
      <c r="F22" s="155">
        <f t="shared" si="8"/>
        <v>0</v>
      </c>
      <c r="G22" s="178">
        <f>IFERROR(INDEX(年齢階層×在院期間区分F00F01＿寛解・院内寛解[#All],MATCH($AK6,年齢階層×在院期間区分F00F01＿寛解・院内寛解[[#All],[行ラベル]],0),MATCH($AU$3,年齢階層×在院期間区分F00F01＿寛解・院内寛解[#Headers],0)),0)+IFERROR(INDEX(年齢階層×在院期間区分F00F01＿寛解・院内寛解[#All],MATCH($AK6,年齢階層×在院期間区分F00F01＿寛解・院内寛解[[#All],[行ラベル]],0),MATCH($AV$3,年齢階層×在院期間区分F00F01＿寛解・院内寛解[#Headers],0)),0)+IFERROR(INDEX(年齢階層×在院期間区分F00F01＿寛解・院内寛解[#All],MATCH($AK6,年齢階層×在院期間区分F00F01＿寛解・院内寛解[[#All],[行ラベル]],0),MATCH($AW$3,年齢階層×在院期間区分F00F01＿寛解・院内寛解[#Headers],0)),0)+IFERROR(INDEX(年齢階層×在院期間区分F00F01＿寛解・院内寛解[#All],MATCH($AK6,年齢階層×在院期間区分F00F01＿寛解・院内寛解[[#All],[行ラベル]],0),MATCH($AX$3,年齢階層×在院期間区分F00F01＿寛解・院内寛解[#Headers],0)),0)+IFERROR(INDEX(年齢階層×在院期間区分F00F01＿寛解・院内寛解[#All],MATCH($AK6,年齢階層×在院期間区分F00F01＿寛解・院内寛解[[#All],[行ラベル]],0),MATCH($AY$3,年齢階層×在院期間区分F00F01＿寛解・院内寛解[#Headers],0)),0)</f>
        <v>0</v>
      </c>
      <c r="H22" s="155">
        <f t="shared" si="9"/>
        <v>0</v>
      </c>
      <c r="I22" s="154">
        <f>IFERROR(INDEX(年齢階層×在院期間区分F00F01＿寛解・院内寛解[#All],MATCH($AK6,年齢階層×在院期間区分F00F01＿寛解・院内寛解[[#All],[行ラベル]],0),MATCH($AZ$3,年齢階層×在院期間区分F00F01＿寛解・院内寛解[#Headers],0)),0)+IFERROR(INDEX(年齢階層×在院期間区分F00F01＿寛解・院内寛解[#All],MATCH($AK6,年齢階層×在院期間区分F00F01＿寛解・院内寛解[[#All],[行ラベル]],0),MATCH($BA$3,年齢階層×在院期間区分F00F01＿寛解・院内寛解[#Headers],0)),0)</f>
        <v>0</v>
      </c>
      <c r="J22" s="155">
        <f t="shared" si="10"/>
        <v>0</v>
      </c>
      <c r="K22" s="154">
        <f t="shared" si="11"/>
        <v>0</v>
      </c>
      <c r="L22" s="155">
        <f t="shared" si="12"/>
        <v>0</v>
      </c>
      <c r="O22" s="53" t="s">
        <v>4</v>
      </c>
      <c r="P22" s="61">
        <v>0</v>
      </c>
      <c r="Q22" s="61">
        <v>0</v>
      </c>
      <c r="R22" s="61">
        <v>0</v>
      </c>
      <c r="S22" s="61">
        <v>0</v>
      </c>
      <c r="T22" s="61">
        <v>0</v>
      </c>
      <c r="U22" s="61">
        <v>0</v>
      </c>
      <c r="V22" s="61">
        <v>0</v>
      </c>
      <c r="W22" s="61">
        <v>0</v>
      </c>
      <c r="X22" s="61">
        <v>0</v>
      </c>
      <c r="Y22" s="61">
        <v>0</v>
      </c>
      <c r="Z22" s="61">
        <v>0</v>
      </c>
      <c r="AA22" s="61">
        <v>0</v>
      </c>
      <c r="AB22" s="61">
        <v>0</v>
      </c>
      <c r="AC22" s="61">
        <v>0</v>
      </c>
      <c r="AD22" s="61">
        <v>0</v>
      </c>
      <c r="AE22" s="61">
        <v>0</v>
      </c>
      <c r="AK22" s="53" t="s">
        <v>4</v>
      </c>
    </row>
    <row r="23" spans="2:41" s="21" customFormat="1" ht="18.75" customHeight="1" x14ac:dyDescent="0.2">
      <c r="B23" s="176" t="s">
        <v>5</v>
      </c>
      <c r="C23" s="154">
        <f>IFERROR(INDEX(年齢階層×在院期間区分F00F01＿寛解・院内寛解[#All],MATCH($AK7,年齢階層×在院期間区分F00F01＿寛解・院内寛解[[#All],[行ラベル]],0),MATCH($AL$3,年齢階層×在院期間区分F00F01＿寛解・院内寛解[#Headers],0)),0)+IFERROR(INDEX(年齢階層×在院期間区分F00F01＿寛解・院内寛解[#All],MATCH($AK7,年齢階層×在院期間区分F00F01＿寛解・院内寛解[[#All],[行ラベル]],0),MATCH($AM$3,年齢階層×在院期間区分F00F01＿寛解・院内寛解[#Headers],0)),0)+IFERROR(INDEX(年齢階層×在院期間区分F00F01＿寛解・院内寛解[#All],MATCH($AK7,年齢階層×在院期間区分F00F01＿寛解・院内寛解[[#All],[行ラベル]],0),MATCH($AN$3,年齢階層×在院期間区分F00F01＿寛解・院内寛解[#Headers],0)),0)+IFERROR(INDEX(年齢階層×在院期間区分F00F01＿寛解・院内寛解[#All],MATCH($AK7,年齢階層×在院期間区分F00F01＿寛解・院内寛解[[#All],[行ラベル]],0),MATCH($AO$3,年齢階層×在院期間区分F00F01＿寛解・院内寛解[#Headers],0)),0)</f>
        <v>1</v>
      </c>
      <c r="D23" s="155">
        <f t="shared" si="7"/>
        <v>1.0752688172043012E-2</v>
      </c>
      <c r="E23" s="154">
        <f>IFERROR(INDEX(年齢階層×在院期間区分F00F01＿寛解・院内寛解[#All],MATCH($AK7,年齢階層×在院期間区分F00F01＿寛解・院内寛解[[#All],[行ラベル]],0),MATCH($AP$3,年齢階層×在院期間区分F00F01＿寛解・院内寛解[#Headers],0)),0)+IFERROR(INDEX(年齢階層×在院期間区分F00F01＿寛解・院内寛解[#All],MATCH($AK7,年齢階層×在院期間区分F00F01＿寛解・院内寛解[[#All],[行ラベル]],0),MATCH($AQ$3,年齢階層×在院期間区分F00F01＿寛解・院内寛解[#Headers],0)),0)+IFERROR(INDEX(年齢階層×在院期間区分F00F01＿寛解・院内寛解[#All],MATCH($AK7,年齢階層×在院期間区分F00F01＿寛解・院内寛解[[#All],[行ラベル]],0),MATCH($AR$3,年齢階層×在院期間区分F00F01＿寛解・院内寛解[#Headers],0)),0)+IFERROR(INDEX(年齢階層×在院期間区分F00F01＿寛解・院内寛解[#All],MATCH($AK7,年齢階層×在院期間区分F00F01＿寛解・院内寛解[[#All],[行ラベル]],0),MATCH($AS$3,年齢階層×在院期間区分F00F01＿寛解・院内寛解[#Headers],0)),0)+IFERROR(INDEX(年齢階層×在院期間区分F00F01＿寛解・院内寛解[#All],MATCH($AK7,年齢階層×在院期間区分F00F01＿寛解・院内寛解[[#All],[行ラベル]],0),MATCH($AT$3,年齢階層×在院期間区分F00F01＿寛解・院内寛解[#Headers],0)),0)</f>
        <v>0</v>
      </c>
      <c r="F23" s="155">
        <f t="shared" si="8"/>
        <v>0</v>
      </c>
      <c r="G23" s="154">
        <f>IFERROR(INDEX(年齢階層×在院期間区分F00F01＿寛解・院内寛解[#All],MATCH($AK7,年齢階層×在院期間区分F00F01＿寛解・院内寛解[[#All],[行ラベル]],0),MATCH($AU$3,年齢階層×在院期間区分F00F01＿寛解・院内寛解[#Headers],0)),0)+IFERROR(INDEX(年齢階層×在院期間区分F00F01＿寛解・院内寛解[#All],MATCH($AK7,年齢階層×在院期間区分F00F01＿寛解・院内寛解[[#All],[行ラベル]],0),MATCH($AV$3,年齢階層×在院期間区分F00F01＿寛解・院内寛解[#Headers],0)),0)+IFERROR(INDEX(年齢階層×在院期間区分F00F01＿寛解・院内寛解[#All],MATCH($AK7,年齢階層×在院期間区分F00F01＿寛解・院内寛解[[#All],[行ラベル]],0),MATCH($AW$3,年齢階層×在院期間区分F00F01＿寛解・院内寛解[#Headers],0)),0)+IFERROR(INDEX(年齢階層×在院期間区分F00F01＿寛解・院内寛解[#All],MATCH($AK7,年齢階層×在院期間区分F00F01＿寛解・院内寛解[[#All],[行ラベル]],0),MATCH($AX$3,年齢階層×在院期間区分F00F01＿寛解・院内寛解[#Headers],0)),0)+IFERROR(INDEX(年齢階層×在院期間区分F00F01＿寛解・院内寛解[#All],MATCH($AK7,年齢階層×在院期間区分F00F01＿寛解・院内寛解[[#All],[行ラベル]],0),MATCH($AY$3,年齢階層×在院期間区分F00F01＿寛解・院内寛解[#Headers],0)),0)</f>
        <v>0</v>
      </c>
      <c r="H23" s="155">
        <f t="shared" si="9"/>
        <v>0</v>
      </c>
      <c r="I23" s="154">
        <f>IFERROR(INDEX(年齢階層×在院期間区分F00F01＿寛解・院内寛解[#All],MATCH($AK7,年齢階層×在院期間区分F00F01＿寛解・院内寛解[[#All],[行ラベル]],0),MATCH($AZ$3,年齢階層×在院期間区分F00F01＿寛解・院内寛解[#Headers],0)),0)+IFERROR(INDEX(年齢階層×在院期間区分F00F01＿寛解・院内寛解[#All],MATCH($AK7,年齢階層×在院期間区分F00F01＿寛解・院内寛解[[#All],[行ラベル]],0),MATCH($BA$3,年齢階層×在院期間区分F00F01＿寛解・院内寛解[#Headers],0)),0)</f>
        <v>0</v>
      </c>
      <c r="J23" s="155">
        <f t="shared" si="10"/>
        <v>0</v>
      </c>
      <c r="K23" s="154">
        <f t="shared" si="11"/>
        <v>1</v>
      </c>
      <c r="L23" s="155">
        <f t="shared" si="12"/>
        <v>7.874015748031496E-3</v>
      </c>
      <c r="O23" s="53" t="s">
        <v>5</v>
      </c>
      <c r="P23" s="61">
        <v>0</v>
      </c>
      <c r="Q23" s="61">
        <v>0</v>
      </c>
      <c r="R23" s="61">
        <v>1</v>
      </c>
      <c r="S23" s="61">
        <v>0</v>
      </c>
      <c r="T23" s="61">
        <v>0</v>
      </c>
      <c r="U23" s="61">
        <v>0</v>
      </c>
      <c r="V23" s="61">
        <v>0</v>
      </c>
      <c r="W23" s="61">
        <v>0</v>
      </c>
      <c r="X23" s="61">
        <v>0</v>
      </c>
      <c r="Y23" s="61">
        <v>0</v>
      </c>
      <c r="Z23" s="61">
        <v>0</v>
      </c>
      <c r="AA23" s="61">
        <v>0</v>
      </c>
      <c r="AB23" s="61">
        <v>0</v>
      </c>
      <c r="AC23" s="61">
        <v>0</v>
      </c>
      <c r="AD23" s="61">
        <v>0</v>
      </c>
      <c r="AE23" s="61">
        <v>0</v>
      </c>
      <c r="AK23" s="53" t="s">
        <v>5</v>
      </c>
    </row>
    <row r="24" spans="2:41" s="21" customFormat="1" ht="18.75" customHeight="1" x14ac:dyDescent="0.2">
      <c r="B24" s="176" t="s">
        <v>6</v>
      </c>
      <c r="C24" s="178">
        <f>IFERROR(INDEX(年齢階層×在院期間区分F00F01＿寛解・院内寛解[#All],MATCH($AK8,年齢階層×在院期間区分F00F01＿寛解・院内寛解[[#All],[行ラベル]],0),MATCH($AL$3,年齢階層×在院期間区分F00F01＿寛解・院内寛解[#Headers],0)),0)+IFERROR(INDEX(年齢階層×在院期間区分F00F01＿寛解・院内寛解[#All],MATCH($AK8,年齢階層×在院期間区分F00F01＿寛解・院内寛解[[#All],[行ラベル]],0),MATCH($AM$3,年齢階層×在院期間区分F00F01＿寛解・院内寛解[#Headers],0)),0)+IFERROR(INDEX(年齢階層×在院期間区分F00F01＿寛解・院内寛解[#All],MATCH($AK8,年齢階層×在院期間区分F00F01＿寛解・院内寛解[[#All],[行ラベル]],0),MATCH($AN$3,年齢階層×在院期間区分F00F01＿寛解・院内寛解[#Headers],0)),0)+IFERROR(INDEX(年齢階層×在院期間区分F00F01＿寛解・院内寛解[#All],MATCH($AK8,年齢階層×在院期間区分F00F01＿寛解・院内寛解[[#All],[行ラベル]],0),MATCH($AO$3,年齢階層×在院期間区分F00F01＿寛解・院内寛解[#Headers],0)),0)</f>
        <v>3</v>
      </c>
      <c r="D24" s="155">
        <f t="shared" si="7"/>
        <v>3.2258064516129031E-2</v>
      </c>
      <c r="E24" s="154">
        <f>IFERROR(INDEX(年齢階層×在院期間区分F00F01＿寛解・院内寛解[#All],MATCH($AK8,年齢階層×在院期間区分F00F01＿寛解・院内寛解[[#All],[行ラベル]],0),MATCH($AP$3,年齢階層×在院期間区分F00F01＿寛解・院内寛解[#Headers],0)),0)+IFERROR(INDEX(年齢階層×在院期間区分F00F01＿寛解・院内寛解[#All],MATCH($AK8,年齢階層×在院期間区分F00F01＿寛解・院内寛解[[#All],[行ラベル]],0),MATCH($AQ$3,年齢階層×在院期間区分F00F01＿寛解・院内寛解[#Headers],0)),0)+IFERROR(INDEX(年齢階層×在院期間区分F00F01＿寛解・院内寛解[#All],MATCH($AK8,年齢階層×在院期間区分F00F01＿寛解・院内寛解[[#All],[行ラベル]],0),MATCH($AR$3,年齢階層×在院期間区分F00F01＿寛解・院内寛解[#Headers],0)),0)+IFERROR(INDEX(年齢階層×在院期間区分F00F01＿寛解・院内寛解[#All],MATCH($AK8,年齢階層×在院期間区分F00F01＿寛解・院内寛解[[#All],[行ラベル]],0),MATCH($AS$3,年齢階層×在院期間区分F00F01＿寛解・院内寛解[#Headers],0)),0)+IFERROR(INDEX(年齢階層×在院期間区分F00F01＿寛解・院内寛解[#All],MATCH($AK8,年齢階層×在院期間区分F00F01＿寛解・院内寛解[[#All],[行ラベル]],0),MATCH($AT$3,年齢階層×在院期間区分F00F01＿寛解・院内寛解[#Headers],0)),0)</f>
        <v>0</v>
      </c>
      <c r="F24" s="155">
        <f t="shared" si="8"/>
        <v>0</v>
      </c>
      <c r="G24" s="178">
        <f>IFERROR(INDEX(年齢階層×在院期間区分F00F01＿寛解・院内寛解[#All],MATCH($AK8,年齢階層×在院期間区分F00F01＿寛解・院内寛解[[#All],[行ラベル]],0),MATCH($AU$3,年齢階層×在院期間区分F00F01＿寛解・院内寛解[#Headers],0)),0)+IFERROR(INDEX(年齢階層×在院期間区分F00F01＿寛解・院内寛解[#All],MATCH($AK8,年齢階層×在院期間区分F00F01＿寛解・院内寛解[[#All],[行ラベル]],0),MATCH($AV$3,年齢階層×在院期間区分F00F01＿寛解・院内寛解[#Headers],0)),0)+IFERROR(INDEX(年齢階層×在院期間区分F00F01＿寛解・院内寛解[#All],MATCH($AK8,年齢階層×在院期間区分F00F01＿寛解・院内寛解[[#All],[行ラベル]],0),MATCH($AW$3,年齢階層×在院期間区分F00F01＿寛解・院内寛解[#Headers],0)),0)+IFERROR(INDEX(年齢階層×在院期間区分F00F01＿寛解・院内寛解[#All],MATCH($AK8,年齢階層×在院期間区分F00F01＿寛解・院内寛解[[#All],[行ラベル]],0),MATCH($AX$3,年齢階層×在院期間区分F00F01＿寛解・院内寛解[#Headers],0)),0)+IFERROR(INDEX(年齢階層×在院期間区分F00F01＿寛解・院内寛解[#All],MATCH($AK8,年齢階層×在院期間区分F00F01＿寛解・院内寛解[[#All],[行ラベル]],0),MATCH($AY$3,年齢階層×在院期間区分F00F01＿寛解・院内寛解[#Headers],0)),0)</f>
        <v>0</v>
      </c>
      <c r="H24" s="155">
        <f t="shared" si="9"/>
        <v>0</v>
      </c>
      <c r="I24" s="154">
        <f>IFERROR(INDEX(年齢階層×在院期間区分F00F01＿寛解・院内寛解[#All],MATCH($AK8,年齢階層×在院期間区分F00F01＿寛解・院内寛解[[#All],[行ラベル]],0),MATCH($AZ$3,年齢階層×在院期間区分F00F01＿寛解・院内寛解[#Headers],0)),0)+IFERROR(INDEX(年齢階層×在院期間区分F00F01＿寛解・院内寛解[#All],MATCH($AK8,年齢階層×在院期間区分F00F01＿寛解・院内寛解[[#All],[行ラベル]],0),MATCH($BA$3,年齢階層×在院期間区分F00F01＿寛解・院内寛解[#Headers],0)),0)</f>
        <v>0</v>
      </c>
      <c r="J24" s="155">
        <f t="shared" si="10"/>
        <v>0</v>
      </c>
      <c r="K24" s="154">
        <f t="shared" si="11"/>
        <v>3</v>
      </c>
      <c r="L24" s="155">
        <f t="shared" si="12"/>
        <v>2.3622047244094488E-2</v>
      </c>
      <c r="O24" s="53" t="s">
        <v>6</v>
      </c>
      <c r="P24" s="61">
        <v>2</v>
      </c>
      <c r="Q24" s="61">
        <v>1</v>
      </c>
      <c r="R24" s="61">
        <v>0</v>
      </c>
      <c r="S24" s="61">
        <v>0</v>
      </c>
      <c r="T24" s="61">
        <v>0</v>
      </c>
      <c r="U24" s="61">
        <v>0</v>
      </c>
      <c r="V24" s="61">
        <v>0</v>
      </c>
      <c r="W24" s="61">
        <v>0</v>
      </c>
      <c r="X24" s="61">
        <v>0</v>
      </c>
      <c r="Y24" s="61">
        <v>0</v>
      </c>
      <c r="Z24" s="61">
        <v>0</v>
      </c>
      <c r="AA24" s="61">
        <v>0</v>
      </c>
      <c r="AB24" s="61">
        <v>0</v>
      </c>
      <c r="AC24" s="61">
        <v>0</v>
      </c>
      <c r="AD24" s="61">
        <v>0</v>
      </c>
      <c r="AE24" s="61">
        <v>0</v>
      </c>
      <c r="AK24" s="53" t="s">
        <v>6</v>
      </c>
    </row>
    <row r="25" spans="2:41" s="21" customFormat="1" ht="18.75" customHeight="1" x14ac:dyDescent="0.2">
      <c r="B25" s="176" t="s">
        <v>7</v>
      </c>
      <c r="C25" s="177">
        <f>IFERROR(INDEX(年齢階層×在院期間区分F00F01＿寛解・院内寛解[#All],MATCH($AK9,年齢階層×在院期間区分F00F01＿寛解・院内寛解[[#All],[行ラベル]],0),MATCH($AL$3,年齢階層×在院期間区分F00F01＿寛解・院内寛解[#Headers],0)),0)+IFERROR(INDEX(年齢階層×在院期間区分F00F01＿寛解・院内寛解[#All],MATCH($AK9,年齢階層×在院期間区分F00F01＿寛解・院内寛解[[#All],[行ラベル]],0),MATCH($AM$3,年齢階層×在院期間区分F00F01＿寛解・院内寛解[#Headers],0)),0)+IFERROR(INDEX(年齢階層×在院期間区分F00F01＿寛解・院内寛解[#All],MATCH($AK9,年齢階層×在院期間区分F00F01＿寛解・院内寛解[[#All],[行ラベル]],0),MATCH($AN$3,年齢階層×在院期間区分F00F01＿寛解・院内寛解[#Headers],0)),0)+IFERROR(INDEX(年齢階層×在院期間区分F00F01＿寛解・院内寛解[#All],MATCH($AK9,年齢階層×在院期間区分F00F01＿寛解・院内寛解[[#All],[行ラベル]],0),MATCH($AO$3,年齢階層×在院期間区分F00F01＿寛解・院内寛解[#Headers],0)),0)</f>
        <v>6</v>
      </c>
      <c r="D25" s="155">
        <f t="shared" si="7"/>
        <v>6.4516129032258063E-2</v>
      </c>
      <c r="E25" s="154">
        <f>IFERROR(INDEX(年齢階層×在院期間区分F00F01＿寛解・院内寛解[#All],MATCH($AK9,年齢階層×在院期間区分F00F01＿寛解・院内寛解[[#All],[行ラベル]],0),MATCH($AP$3,年齢階層×在院期間区分F00F01＿寛解・院内寛解[#Headers],0)),0)+IFERROR(INDEX(年齢階層×在院期間区分F00F01＿寛解・院内寛解[#All],MATCH($AK9,年齢階層×在院期間区分F00F01＿寛解・院内寛解[[#All],[行ラベル]],0),MATCH($AQ$3,年齢階層×在院期間区分F00F01＿寛解・院内寛解[#Headers],0)),0)+IFERROR(INDEX(年齢階層×在院期間区分F00F01＿寛解・院内寛解[#All],MATCH($AK9,年齢階層×在院期間区分F00F01＿寛解・院内寛解[[#All],[行ラベル]],0),MATCH($AR$3,年齢階層×在院期間区分F00F01＿寛解・院内寛解[#Headers],0)),0)+IFERROR(INDEX(年齢階層×在院期間区分F00F01＿寛解・院内寛解[#All],MATCH($AK9,年齢階層×在院期間区分F00F01＿寛解・院内寛解[[#All],[行ラベル]],0),MATCH($AS$3,年齢階層×在院期間区分F00F01＿寛解・院内寛解[#Headers],0)),0)+IFERROR(INDEX(年齢階層×在院期間区分F00F01＿寛解・院内寛解[#All],MATCH($AK9,年齢階層×在院期間区分F00F01＿寛解・院内寛解[[#All],[行ラベル]],0),MATCH($AT$3,年齢階層×在院期間区分F00F01＿寛解・院内寛解[#Headers],0)),0)</f>
        <v>0</v>
      </c>
      <c r="F25" s="155">
        <f t="shared" si="8"/>
        <v>0</v>
      </c>
      <c r="G25" s="177">
        <f>IFERROR(INDEX(年齢階層×在院期間区分F00F01＿寛解・院内寛解[#All],MATCH($AK9,年齢階層×在院期間区分F00F01＿寛解・院内寛解[[#All],[行ラベル]],0),MATCH($AU$3,年齢階層×在院期間区分F00F01＿寛解・院内寛解[#Headers],0)),0)+IFERROR(INDEX(年齢階層×在院期間区分F00F01＿寛解・院内寛解[#All],MATCH($AK9,年齢階層×在院期間区分F00F01＿寛解・院内寛解[[#All],[行ラベル]],0),MATCH($AV$3,年齢階層×在院期間区分F00F01＿寛解・院内寛解[#Headers],0)),0)+IFERROR(INDEX(年齢階層×在院期間区分F00F01＿寛解・院内寛解[#All],MATCH($AK9,年齢階層×在院期間区分F00F01＿寛解・院内寛解[[#All],[行ラベル]],0),MATCH($AW$3,年齢階層×在院期間区分F00F01＿寛解・院内寛解[#Headers],0)),0)+IFERROR(INDEX(年齢階層×在院期間区分F00F01＿寛解・院内寛解[#All],MATCH($AK9,年齢階層×在院期間区分F00F01＿寛解・院内寛解[[#All],[行ラベル]],0),MATCH($AX$3,年齢階層×在院期間区分F00F01＿寛解・院内寛解[#Headers],0)),0)+IFERROR(INDEX(年齢階層×在院期間区分F00F01＿寛解・院内寛解[#All],MATCH($AK9,年齢階層×在院期間区分F00F01＿寛解・院内寛解[[#All],[行ラベル]],0),MATCH($AY$3,年齢階層×在院期間区分F00F01＿寛解・院内寛解[#Headers],0)),0)</f>
        <v>0</v>
      </c>
      <c r="H25" s="155">
        <f t="shared" si="9"/>
        <v>0</v>
      </c>
      <c r="I25" s="154">
        <f>IFERROR(INDEX(年齢階層×在院期間区分F00F01＿寛解・院内寛解[#All],MATCH($AK9,年齢階層×在院期間区分F00F01＿寛解・院内寛解[[#All],[行ラベル]],0),MATCH($AZ$3,年齢階層×在院期間区分F00F01＿寛解・院内寛解[#Headers],0)),0)+IFERROR(INDEX(年齢階層×在院期間区分F00F01＿寛解・院内寛解[#All],MATCH($AK9,年齢階層×在院期間区分F00F01＿寛解・院内寛解[[#All],[行ラベル]],0),MATCH($BA$3,年齢階層×在院期間区分F00F01＿寛解・院内寛解[#Headers],0)),0)</f>
        <v>0</v>
      </c>
      <c r="J25" s="155">
        <f t="shared" si="10"/>
        <v>0</v>
      </c>
      <c r="K25" s="154">
        <f t="shared" si="11"/>
        <v>6</v>
      </c>
      <c r="L25" s="155">
        <f t="shared" si="12"/>
        <v>4.7244094488188976E-2</v>
      </c>
      <c r="O25" s="53" t="s">
        <v>7</v>
      </c>
      <c r="P25" s="61">
        <v>1</v>
      </c>
      <c r="Q25" s="61">
        <v>2</v>
      </c>
      <c r="R25" s="61">
        <v>2</v>
      </c>
      <c r="S25" s="61">
        <v>1</v>
      </c>
      <c r="T25" s="61">
        <v>0</v>
      </c>
      <c r="U25" s="61">
        <v>0</v>
      </c>
      <c r="V25" s="61">
        <v>0</v>
      </c>
      <c r="W25" s="61">
        <v>0</v>
      </c>
      <c r="X25" s="61">
        <v>0</v>
      </c>
      <c r="Y25" s="61">
        <v>0</v>
      </c>
      <c r="Z25" s="61">
        <v>0</v>
      </c>
      <c r="AA25" s="61">
        <v>0</v>
      </c>
      <c r="AB25" s="61">
        <v>0</v>
      </c>
      <c r="AC25" s="61">
        <v>0</v>
      </c>
      <c r="AD25" s="61">
        <v>0</v>
      </c>
      <c r="AE25" s="61">
        <v>0</v>
      </c>
      <c r="AK25" s="53" t="s">
        <v>7</v>
      </c>
    </row>
    <row r="26" spans="2:41" s="21" customFormat="1" ht="18.75" customHeight="1" x14ac:dyDescent="0.2">
      <c r="B26" s="176" t="s">
        <v>8</v>
      </c>
      <c r="C26" s="154">
        <f>IFERROR(INDEX(年齢階層×在院期間区分F00F01＿寛解・院内寛解[#All],MATCH($AK10,年齢階層×在院期間区分F00F01＿寛解・院内寛解[[#All],[行ラベル]],0),MATCH($AL$3,年齢階層×在院期間区分F00F01＿寛解・院内寛解[#Headers],0)),0)+IFERROR(INDEX(年齢階層×在院期間区分F00F01＿寛解・院内寛解[#All],MATCH($AK10,年齢階層×在院期間区分F00F01＿寛解・院内寛解[[#All],[行ラベル]],0),MATCH($AM$3,年齢階層×在院期間区分F00F01＿寛解・院内寛解[#Headers],0)),0)+IFERROR(INDEX(年齢階層×在院期間区分F00F01＿寛解・院内寛解[#All],MATCH($AK10,年齢階層×在院期間区分F00F01＿寛解・院内寛解[[#All],[行ラベル]],0),MATCH($AN$3,年齢階層×在院期間区分F00F01＿寛解・院内寛解[#Headers],0)),0)+IFERROR(INDEX(年齢階層×在院期間区分F00F01＿寛解・院内寛解[#All],MATCH($AK10,年齢階層×在院期間区分F00F01＿寛解・院内寛解[[#All],[行ラベル]],0),MATCH($AO$3,年齢階層×在院期間区分F00F01＿寛解・院内寛解[#Headers],0)),0)</f>
        <v>16</v>
      </c>
      <c r="D26" s="155">
        <f t="shared" si="7"/>
        <v>0.17204301075268819</v>
      </c>
      <c r="E26" s="154">
        <f>IFERROR(INDEX(年齢階層×在院期間区分F00F01＿寛解・院内寛解[#All],MATCH($AK10,年齢階層×在院期間区分F00F01＿寛解・院内寛解[[#All],[行ラベル]],0),MATCH($AP$3,年齢階層×在院期間区分F00F01＿寛解・院内寛解[#Headers],0)),0)+IFERROR(INDEX(年齢階層×在院期間区分F00F01＿寛解・院内寛解[#All],MATCH($AK10,年齢階層×在院期間区分F00F01＿寛解・院内寛解[[#All],[行ラベル]],0),MATCH($AQ$3,年齢階層×在院期間区分F00F01＿寛解・院内寛解[#Headers],0)),0)+IFERROR(INDEX(年齢階層×在院期間区分F00F01＿寛解・院内寛解[#All],MATCH($AK10,年齢階層×在院期間区分F00F01＿寛解・院内寛解[[#All],[行ラベル]],0),MATCH($AR$3,年齢階層×在院期間区分F00F01＿寛解・院内寛解[#Headers],0)),0)+IFERROR(INDEX(年齢階層×在院期間区分F00F01＿寛解・院内寛解[#All],MATCH($AK10,年齢階層×在院期間区分F00F01＿寛解・院内寛解[[#All],[行ラベル]],0),MATCH($AS$3,年齢階層×在院期間区分F00F01＿寛解・院内寛解[#Headers],0)),0)+IFERROR(INDEX(年齢階層×在院期間区分F00F01＿寛解・院内寛解[#All],MATCH($AK10,年齢階層×在院期間区分F00F01＿寛解・院内寛解[[#All],[行ラベル]],0),MATCH($AT$3,年齢階層×在院期間区分F00F01＿寛解・院内寛解[#Headers],0)),0)</f>
        <v>7</v>
      </c>
      <c r="F26" s="155">
        <f t="shared" si="8"/>
        <v>0.23333333333333334</v>
      </c>
      <c r="G26" s="177">
        <f>IFERROR(INDEX(年齢階層×在院期間区分F00F01＿寛解・院内寛解[#All],MATCH($AK10,年齢階層×在院期間区分F00F01＿寛解・院内寛解[[#All],[行ラベル]],0),MATCH($AU$3,年齢階層×在院期間区分F00F01＿寛解・院内寛解[#Headers],0)),0)+IFERROR(INDEX(年齢階層×在院期間区分F00F01＿寛解・院内寛解[#All],MATCH($AK10,年齢階層×在院期間区分F00F01＿寛解・院内寛解[[#All],[行ラベル]],0),MATCH($AV$3,年齢階層×在院期間区分F00F01＿寛解・院内寛解[#Headers],0)),0)+IFERROR(INDEX(年齢階層×在院期間区分F00F01＿寛解・院内寛解[#All],MATCH($AK10,年齢階層×在院期間区分F00F01＿寛解・院内寛解[[#All],[行ラベル]],0),MATCH($AW$3,年齢階層×在院期間区分F00F01＿寛解・院内寛解[#Headers],0)),0)+IFERROR(INDEX(年齢階層×在院期間区分F00F01＿寛解・院内寛解[#All],MATCH($AK10,年齢階層×在院期間区分F00F01＿寛解・院内寛解[[#All],[行ラベル]],0),MATCH($AX$3,年齢階層×在院期間区分F00F01＿寛解・院内寛解[#Headers],0)),0)+IFERROR(INDEX(年齢階層×在院期間区分F00F01＿寛解・院内寛解[#All],MATCH($AK10,年齢階層×在院期間区分F00F01＿寛解・院内寛解[[#All],[行ラベル]],0),MATCH($AY$3,年齢階層×在院期間区分F00F01＿寛解・院内寛解[#Headers],0)),0)</f>
        <v>0</v>
      </c>
      <c r="H26" s="155">
        <f t="shared" si="9"/>
        <v>0</v>
      </c>
      <c r="I26" s="154">
        <f>IFERROR(INDEX(年齢階層×在院期間区分F00F01＿寛解・院内寛解[#All],MATCH($AK10,年齢階層×在院期間区分F00F01＿寛解・院内寛解[[#All],[行ラベル]],0),MATCH($AZ$3,年齢階層×在院期間区分F00F01＿寛解・院内寛解[#Headers],0)),0)+IFERROR(INDEX(年齢階層×在院期間区分F00F01＿寛解・院内寛解[#All],MATCH($AK10,年齢階層×在院期間区分F00F01＿寛解・院内寛解[[#All],[行ラベル]],0),MATCH($BA$3,年齢階層×在院期間区分F00F01＿寛解・院内寛解[#Headers],0)),0)</f>
        <v>2</v>
      </c>
      <c r="J26" s="155">
        <f t="shared" si="10"/>
        <v>1</v>
      </c>
      <c r="K26" s="154">
        <f t="shared" si="11"/>
        <v>25</v>
      </c>
      <c r="L26" s="155">
        <f t="shared" si="12"/>
        <v>0.19685039370078741</v>
      </c>
      <c r="O26" s="53" t="s">
        <v>8</v>
      </c>
      <c r="P26" s="61">
        <v>2</v>
      </c>
      <c r="Q26" s="61">
        <v>5</v>
      </c>
      <c r="R26" s="61">
        <v>5</v>
      </c>
      <c r="S26" s="61">
        <v>4</v>
      </c>
      <c r="T26" s="61">
        <v>4</v>
      </c>
      <c r="U26" s="61">
        <v>1</v>
      </c>
      <c r="V26" s="61">
        <v>1</v>
      </c>
      <c r="W26" s="61">
        <v>0</v>
      </c>
      <c r="X26" s="61">
        <v>1</v>
      </c>
      <c r="Y26" s="61">
        <v>0</v>
      </c>
      <c r="Z26" s="61">
        <v>0</v>
      </c>
      <c r="AA26" s="61">
        <v>0</v>
      </c>
      <c r="AB26" s="61">
        <v>0</v>
      </c>
      <c r="AC26" s="61">
        <v>0</v>
      </c>
      <c r="AD26" s="61">
        <v>1</v>
      </c>
      <c r="AE26" s="61">
        <v>1</v>
      </c>
      <c r="AK26" s="53" t="s">
        <v>8</v>
      </c>
    </row>
    <row r="27" spans="2:41" s="21" customFormat="1" ht="18.75" customHeight="1" x14ac:dyDescent="0.2">
      <c r="B27" s="176" t="s">
        <v>9</v>
      </c>
      <c r="C27" s="178">
        <f>IFERROR(INDEX(年齢階層×在院期間区分F00F01＿寛解・院内寛解[#All],MATCH($AK11,年齢階層×在院期間区分F00F01＿寛解・院内寛解[[#All],[行ラベル]],0),MATCH($AL$3,年齢階層×在院期間区分F00F01＿寛解・院内寛解[#Headers],0)),0)+IFERROR(INDEX(年齢階層×在院期間区分F00F01＿寛解・院内寛解[#All],MATCH($AK11,年齢階層×在院期間区分F00F01＿寛解・院内寛解[[#All],[行ラベル]],0),MATCH($AM$3,年齢階層×在院期間区分F00F01＿寛解・院内寛解[#Headers],0)),0)+IFERROR(INDEX(年齢階層×在院期間区分F00F01＿寛解・院内寛解[#All],MATCH($AK11,年齢階層×在院期間区分F00F01＿寛解・院内寛解[[#All],[行ラベル]],0),MATCH($AN$3,年齢階層×在院期間区分F00F01＿寛解・院内寛解[#Headers],0)),0)+IFERROR(INDEX(年齢階層×在院期間区分F00F01＿寛解・院内寛解[#All],MATCH($AK11,年齢階層×在院期間区分F00F01＿寛解・院内寛解[[#All],[行ラベル]],0),MATCH($AO$3,年齢階層×在院期間区分F00F01＿寛解・院内寛解[#Headers],0)),0)</f>
        <v>50</v>
      </c>
      <c r="D27" s="155">
        <f t="shared" si="7"/>
        <v>0.5376344086021505</v>
      </c>
      <c r="E27" s="178">
        <f>IFERROR(INDEX(年齢階層×在院期間区分F00F01＿寛解・院内寛解[#All],MATCH($AK11,年齢階層×在院期間区分F00F01＿寛解・院内寛解[[#All],[行ラベル]],0),MATCH($AP$3,年齢階層×在院期間区分F00F01＿寛解・院内寛解[#Headers],0)),0)+IFERROR(INDEX(年齢階層×在院期間区分F00F01＿寛解・院内寛解[#All],MATCH($AK11,年齢階層×在院期間区分F00F01＿寛解・院内寛解[[#All],[行ラベル]],0),MATCH($AQ$3,年齢階層×在院期間区分F00F01＿寛解・院内寛解[#Headers],0)),0)+IFERROR(INDEX(年齢階層×在院期間区分F00F01＿寛解・院内寛解[#All],MATCH($AK11,年齢階層×在院期間区分F00F01＿寛解・院内寛解[[#All],[行ラベル]],0),MATCH($AR$3,年齢階層×在院期間区分F00F01＿寛解・院内寛解[#Headers],0)),0)+IFERROR(INDEX(年齢階層×在院期間区分F00F01＿寛解・院内寛解[#All],MATCH($AK11,年齢階層×在院期間区分F00F01＿寛解・院内寛解[[#All],[行ラベル]],0),MATCH($AS$3,年齢階層×在院期間区分F00F01＿寛解・院内寛解[#Headers],0)),0)+IFERROR(INDEX(年齢階層×在院期間区分F00F01＿寛解・院内寛解[#All],MATCH($AK11,年齢階層×在院期間区分F00F01＿寛解・院内寛解[[#All],[行ラベル]],0),MATCH($AT$3,年齢階層×在院期間区分F00F01＿寛解・院内寛解[#Headers],0)),0)</f>
        <v>18</v>
      </c>
      <c r="F27" s="155">
        <f t="shared" si="8"/>
        <v>0.6</v>
      </c>
      <c r="G27" s="154">
        <f>IFERROR(INDEX(年齢階層×在院期間区分F00F01＿寛解・院内寛解[#All],MATCH($AK11,年齢階層×在院期間区分F00F01＿寛解・院内寛解[[#All],[行ラベル]],0),MATCH($AU$3,年齢階層×在院期間区分F00F01＿寛解・院内寛解[#Headers],0)),0)+IFERROR(INDEX(年齢階層×在院期間区分F00F01＿寛解・院内寛解[#All],MATCH($AK11,年齢階層×在院期間区分F00F01＿寛解・院内寛解[[#All],[行ラベル]],0),MATCH($AV$3,年齢階層×在院期間区分F00F01＿寛解・院内寛解[#Headers],0)),0)+IFERROR(INDEX(年齢階層×在院期間区分F00F01＿寛解・院内寛解[#All],MATCH($AK11,年齢階層×在院期間区分F00F01＿寛解・院内寛解[[#All],[行ラベル]],0),MATCH($AW$3,年齢階層×在院期間区分F00F01＿寛解・院内寛解[#Headers],0)),0)+IFERROR(INDEX(年齢階層×在院期間区分F00F01＿寛解・院内寛解[#All],MATCH($AK11,年齢階層×在院期間区分F00F01＿寛解・院内寛解[[#All],[行ラベル]],0),MATCH($AX$3,年齢階層×在院期間区分F00F01＿寛解・院内寛解[#Headers],0)),0)+IFERROR(INDEX(年齢階層×在院期間区分F00F01＿寛解・院内寛解[#All],MATCH($AK11,年齢階層×在院期間区分F00F01＿寛解・院内寛解[[#All],[行ラベル]],0),MATCH($AY$3,年齢階層×在院期間区分F00F01＿寛解・院内寛解[#Headers],0)),0)</f>
        <v>1</v>
      </c>
      <c r="H27" s="155">
        <f t="shared" si="9"/>
        <v>0.5</v>
      </c>
      <c r="I27" s="154">
        <f>IFERROR(INDEX(年齢階層×在院期間区分F00F01＿寛解・院内寛解[#All],MATCH($AK11,年齢階層×在院期間区分F00F01＿寛解・院内寛解[[#All],[行ラベル]],0),MATCH($AZ$3,年齢階層×在院期間区分F00F01＿寛解・院内寛解[#Headers],0)),0)+IFERROR(INDEX(年齢階層×在院期間区分F00F01＿寛解・院内寛解[#All],MATCH($AK11,年齢階層×在院期間区分F00F01＿寛解・院内寛解[[#All],[行ラベル]],0),MATCH($BA$3,年齢階層×在院期間区分F00F01＿寛解・院内寛解[#Headers],0)),0)</f>
        <v>0</v>
      </c>
      <c r="J27" s="155">
        <f t="shared" si="10"/>
        <v>0</v>
      </c>
      <c r="K27" s="154">
        <f t="shared" si="11"/>
        <v>69</v>
      </c>
      <c r="L27" s="155">
        <f t="shared" si="12"/>
        <v>0.54330708661417326</v>
      </c>
      <c r="O27" s="53" t="s">
        <v>9</v>
      </c>
      <c r="P27" s="61">
        <v>8</v>
      </c>
      <c r="Q27" s="61">
        <v>17</v>
      </c>
      <c r="R27" s="61">
        <v>14</v>
      </c>
      <c r="S27" s="61">
        <v>11</v>
      </c>
      <c r="T27" s="61">
        <v>5</v>
      </c>
      <c r="U27" s="61">
        <v>3</v>
      </c>
      <c r="V27" s="61">
        <v>5</v>
      </c>
      <c r="W27" s="61">
        <v>5</v>
      </c>
      <c r="X27" s="61">
        <v>0</v>
      </c>
      <c r="Y27" s="61">
        <v>1</v>
      </c>
      <c r="Z27" s="61">
        <v>0</v>
      </c>
      <c r="AA27" s="61">
        <v>0</v>
      </c>
      <c r="AB27" s="61">
        <v>0</v>
      </c>
      <c r="AC27" s="61">
        <v>0</v>
      </c>
      <c r="AD27" s="61">
        <v>0</v>
      </c>
      <c r="AE27" s="61">
        <v>0</v>
      </c>
      <c r="AK27" s="53" t="s">
        <v>9</v>
      </c>
    </row>
    <row r="28" spans="2:41" s="21" customFormat="1" ht="18.75" customHeight="1" thickBot="1" x14ac:dyDescent="0.25">
      <c r="B28" s="179" t="s">
        <v>10</v>
      </c>
      <c r="C28" s="157">
        <f>IFERROR(INDEX(年齢階層×在院期間区分F00F01＿寛解・院内寛解[#All],MATCH($AK12,年齢階層×在院期間区分F00F01＿寛解・院内寛解[[#All],[行ラベル]],0),MATCH($AL$3,年齢階層×在院期間区分F00F01＿寛解・院内寛解[#Headers],0)),0)+IFERROR(INDEX(年齢階層×在院期間区分F00F01＿寛解・院内寛解[#All],MATCH($AK12,年齢階層×在院期間区分F00F01＿寛解・院内寛解[[#All],[行ラベル]],0),MATCH($AM$3,年齢階層×在院期間区分F00F01＿寛解・院内寛解[#Headers],0)),0)+IFERROR(INDEX(年齢階層×在院期間区分F00F01＿寛解・院内寛解[#All],MATCH($AK12,年齢階層×在院期間区分F00F01＿寛解・院内寛解[[#All],[行ラベル]],0),MATCH($AN$3,年齢階層×在院期間区分F00F01＿寛解・院内寛解[#Headers],0)),0)+IFERROR(INDEX(年齢階層×在院期間区分F00F01＿寛解・院内寛解[#All],MATCH($AK12,年齢階層×在院期間区分F00F01＿寛解・院内寛解[[#All],[行ラベル]],0),MATCH($AO$3,年齢階層×在院期間区分F00F01＿寛解・院内寛解[#Headers],0)),0)</f>
        <v>17</v>
      </c>
      <c r="D28" s="159">
        <f t="shared" si="7"/>
        <v>0.18279569892473119</v>
      </c>
      <c r="E28" s="157">
        <f>IFERROR(INDEX(年齢階層×在院期間区分F00F01＿寛解・院内寛解[#All],MATCH($AK12,年齢階層×在院期間区分F00F01＿寛解・院内寛解[[#All],[行ラベル]],0),MATCH($AP$3,年齢階層×在院期間区分F00F01＿寛解・院内寛解[#Headers],0)),0)+IFERROR(INDEX(年齢階層×在院期間区分F00F01＿寛解・院内寛解[#All],MATCH($AK12,年齢階層×在院期間区分F00F01＿寛解・院内寛解[[#All],[行ラベル]],0),MATCH($AQ$3,年齢階層×在院期間区分F00F01＿寛解・院内寛解[#Headers],0)),0)+IFERROR(INDEX(年齢階層×在院期間区分F00F01＿寛解・院内寛解[#All],MATCH($AK12,年齢階層×在院期間区分F00F01＿寛解・院内寛解[[#All],[行ラベル]],0),MATCH($AR$3,年齢階層×在院期間区分F00F01＿寛解・院内寛解[#Headers],0)),0)+IFERROR(INDEX(年齢階層×在院期間区分F00F01＿寛解・院内寛解[#All],MATCH($AK12,年齢階層×在院期間区分F00F01＿寛解・院内寛解[[#All],[行ラベル]],0),MATCH($AS$3,年齢階層×在院期間区分F00F01＿寛解・院内寛解[#Headers],0)),0)+IFERROR(INDEX(年齢階層×在院期間区分F00F01＿寛解・院内寛解[#All],MATCH($AK12,年齢階層×在院期間区分F00F01＿寛解・院内寛解[[#All],[行ラベル]],0),MATCH($AT$3,年齢階層×在院期間区分F00F01＿寛解・院内寛解[#Headers],0)),0)</f>
        <v>5</v>
      </c>
      <c r="F28" s="159">
        <f t="shared" si="8"/>
        <v>0.16666666666666666</v>
      </c>
      <c r="G28" s="180">
        <f>IFERROR(INDEX(年齢階層×在院期間区分F00F01＿寛解・院内寛解[#All],MATCH($AK12,年齢階層×在院期間区分F00F01＿寛解・院内寛解[[#All],[行ラベル]],0),MATCH($AU$3,年齢階層×在院期間区分F00F01＿寛解・院内寛解[#Headers],0)),0)+IFERROR(INDEX(年齢階層×在院期間区分F00F01＿寛解・院内寛解[#All],MATCH($AK12,年齢階層×在院期間区分F00F01＿寛解・院内寛解[[#All],[行ラベル]],0),MATCH($AV$3,年齢階層×在院期間区分F00F01＿寛解・院内寛解[#Headers],0)),0)+IFERROR(INDEX(年齢階層×在院期間区分F00F01＿寛解・院内寛解[#All],MATCH($AK12,年齢階層×在院期間区分F00F01＿寛解・院内寛解[[#All],[行ラベル]],0),MATCH($AW$3,年齢階層×在院期間区分F00F01＿寛解・院内寛解[#Headers],0)),0)+IFERROR(INDEX(年齢階層×在院期間区分F00F01＿寛解・院内寛解[#All],MATCH($AK12,年齢階層×在院期間区分F00F01＿寛解・院内寛解[[#All],[行ラベル]],0),MATCH($AX$3,年齢階層×在院期間区分F00F01＿寛解・院内寛解[#Headers],0)),0)+IFERROR(INDEX(年齢階層×在院期間区分F00F01＿寛解・院内寛解[#All],MATCH($AK12,年齢階層×在院期間区分F00F01＿寛解・院内寛解[[#All],[行ラベル]],0),MATCH($AY$3,年齢階層×在院期間区分F00F01＿寛解・院内寛解[#Headers],0)),0)</f>
        <v>1</v>
      </c>
      <c r="H28" s="159">
        <f t="shared" si="9"/>
        <v>0.5</v>
      </c>
      <c r="I28" s="180">
        <f>IFERROR(INDEX(年齢階層×在院期間区分F00F01＿寛解・院内寛解[#All],MATCH($AK12,年齢階層×在院期間区分F00F01＿寛解・院内寛解[[#All],[行ラベル]],0),MATCH($AZ$3,年齢階層×在院期間区分F00F01＿寛解・院内寛解[#Headers],0)),0)+IFERROR(INDEX(年齢階層×在院期間区分F00F01＿寛解・院内寛解[#All],MATCH($AK12,年齢階層×在院期間区分F00F01＿寛解・院内寛解[[#All],[行ラベル]],0),MATCH($BA$3,年齢階層×在院期間区分F00F01＿寛解・院内寛解[#Headers],0)),0)</f>
        <v>0</v>
      </c>
      <c r="J28" s="159">
        <f t="shared" si="10"/>
        <v>0</v>
      </c>
      <c r="K28" s="157">
        <f t="shared" si="11"/>
        <v>23</v>
      </c>
      <c r="L28" s="159">
        <f t="shared" si="12"/>
        <v>0.18110236220472442</v>
      </c>
      <c r="M28" s="63"/>
      <c r="O28" s="53" t="s">
        <v>10</v>
      </c>
      <c r="P28" s="61">
        <v>3</v>
      </c>
      <c r="Q28" s="61">
        <v>5</v>
      </c>
      <c r="R28" s="61">
        <v>4</v>
      </c>
      <c r="S28" s="61">
        <v>5</v>
      </c>
      <c r="T28" s="61">
        <v>3</v>
      </c>
      <c r="U28" s="61">
        <v>0</v>
      </c>
      <c r="V28" s="61">
        <v>0</v>
      </c>
      <c r="W28" s="61">
        <v>1</v>
      </c>
      <c r="X28" s="61">
        <v>1</v>
      </c>
      <c r="Y28" s="61">
        <v>1</v>
      </c>
      <c r="Z28" s="61">
        <v>0</v>
      </c>
      <c r="AA28" s="61">
        <v>0</v>
      </c>
      <c r="AB28" s="61">
        <v>0</v>
      </c>
      <c r="AC28" s="61">
        <v>0</v>
      </c>
      <c r="AD28" s="61">
        <v>0</v>
      </c>
      <c r="AE28" s="61">
        <v>0</v>
      </c>
      <c r="AK28" s="53" t="s">
        <v>10</v>
      </c>
    </row>
    <row r="29" spans="2:41" s="21" customFormat="1" ht="18.75" customHeight="1" thickTop="1" thickBot="1" x14ac:dyDescent="0.25">
      <c r="B29" s="181" t="s">
        <v>161</v>
      </c>
      <c r="C29" s="182">
        <f t="shared" ref="C29:L29" si="13">SUM(C20:C28)</f>
        <v>93</v>
      </c>
      <c r="D29" s="189">
        <f t="shared" si="13"/>
        <v>1</v>
      </c>
      <c r="E29" s="182">
        <f t="shared" si="13"/>
        <v>30</v>
      </c>
      <c r="F29" s="189">
        <f t="shared" si="13"/>
        <v>0.99999999999999989</v>
      </c>
      <c r="G29" s="182">
        <f t="shared" si="13"/>
        <v>2</v>
      </c>
      <c r="H29" s="189">
        <f t="shared" si="13"/>
        <v>1</v>
      </c>
      <c r="I29" s="182">
        <f t="shared" si="13"/>
        <v>2</v>
      </c>
      <c r="J29" s="189">
        <f t="shared" si="13"/>
        <v>1</v>
      </c>
      <c r="K29" s="182">
        <f t="shared" si="13"/>
        <v>127</v>
      </c>
      <c r="L29" s="189">
        <f t="shared" si="13"/>
        <v>1</v>
      </c>
      <c r="O29" s="298" t="s">
        <v>308</v>
      </c>
      <c r="P29" s="348" t="s">
        <v>182</v>
      </c>
      <c r="Q29" s="348" t="s">
        <v>183</v>
      </c>
      <c r="R29" s="348" t="s">
        <v>184</v>
      </c>
      <c r="S29" s="348" t="s">
        <v>185</v>
      </c>
      <c r="T29" s="348" t="s">
        <v>186</v>
      </c>
      <c r="U29" s="348" t="s">
        <v>187</v>
      </c>
      <c r="V29" s="348" t="s">
        <v>188</v>
      </c>
      <c r="W29" s="348" t="s">
        <v>189</v>
      </c>
      <c r="X29" s="348" t="s">
        <v>190</v>
      </c>
      <c r="Y29" s="348" t="s">
        <v>191</v>
      </c>
      <c r="Z29" s="348" t="s">
        <v>192</v>
      </c>
      <c r="AA29" s="348" t="s">
        <v>193</v>
      </c>
      <c r="AB29" s="348" t="s">
        <v>194</v>
      </c>
      <c r="AC29" s="348" t="s">
        <v>195</v>
      </c>
      <c r="AD29" s="348" t="s">
        <v>196</v>
      </c>
      <c r="AE29" s="55" t="s">
        <v>197</v>
      </c>
      <c r="AO29" s="57"/>
    </row>
    <row r="30" spans="2:41" s="21" customFormat="1" ht="18.75" customHeight="1" thickTop="1" x14ac:dyDescent="0.2">
      <c r="B30" s="184" t="s">
        <v>93</v>
      </c>
      <c r="C30" s="185">
        <f>IFERROR(INDEX(年齢階層×在院期間区分F00F01_65歳未満以上＿寛解・院内寛解[#All],MATCH($AK30,年齢階層×在院期間区分F00F01_65歳未満以上＿寛解・院内寛解[[#All],[列1]],0),MATCH($AL$3,年齢階層×在院期間区分F00F01_65歳未満以上＿寛解・院内寛解[#Headers],0)),0)+IFERROR(INDEX(年齢階層×在院期間区分F00F01_65歳未満以上＿寛解・院内寛解[#All],MATCH($AK30,年齢階層×在院期間区分F00F01_65歳未満以上＿寛解・院内寛解[[#All],[列1]],0),MATCH($AM$3,年齢階層×在院期間区分F00F01_65歳未満以上＿寛解・院内寛解[#Headers],0)),0)+IFERROR(INDEX(年齢階層×在院期間区分F00F01_65歳未満以上＿寛解・院内寛解[#All],MATCH($AK30,年齢階層×在院期間区分F00F01_65歳未満以上＿寛解・院内寛解[[#All],[列1]],0),MATCH($AN$3,年齢階層×在院期間区分F00F01_65歳未満以上＿寛解・院内寛解[#Headers],0)),0)+IFERROR(INDEX(年齢階層×在院期間区分F00F01_65歳未満以上＿寛解・院内寛解[#All],MATCH($AK30,年齢階層×在院期間区分F00F01_65歳未満以上＿寛解・院内寛解[[#All],[列1]],0),MATCH($AO$3,年齢階層×在院期間区分F00F01_65歳未満以上＿寛解・院内寛解[#Headers],0)),0)</f>
        <v>6</v>
      </c>
      <c r="D30" s="170">
        <f>IFERROR(C30/$C$29,"-")</f>
        <v>6.4516129032258063E-2</v>
      </c>
      <c r="E30" s="185">
        <f>IFERROR(INDEX(年齢階層×在院期間区分F00F01_65歳未満以上＿寛解・院内寛解[#All],MATCH($AK30,年齢階層×在院期間区分F00F01_65歳未満以上＿寛解・院内寛解[[#All],[列1]],0),MATCH($AP$3,年齢階層×在院期間区分F00F01_65歳未満以上＿寛解・院内寛解[#Headers],0)),0)+IFERROR(INDEX(年齢階層×在院期間区分F00F01_65歳未満以上＿寛解・院内寛解[#All],MATCH($AK30,年齢階層×在院期間区分F00F01_65歳未満以上＿寛解・院内寛解[[#All],[列1]],0),MATCH($AQ$3,年齢階層×在院期間区分F00F01_65歳未満以上＿寛解・院内寛解[#Headers],0)),0)+IFERROR(INDEX(年齢階層×在院期間区分F00F01_65歳未満以上＿寛解・院内寛解[#All],MATCH($AK30,年齢階層×在院期間区分F00F01_65歳未満以上＿寛解・院内寛解[[#All],[列1]],0),MATCH($AR$3,年齢階層×在院期間区分F00F01_65歳未満以上＿寛解・院内寛解[#Headers],0)),0)+IFERROR(INDEX(年齢階層×在院期間区分F00F01_65歳未満以上＿寛解・院内寛解[#All],MATCH($AK30,年齢階層×在院期間区分F00F01_65歳未満以上＿寛解・院内寛解[[#All],[列1]],0),MATCH($AS$3,年齢階層×在院期間区分F00F01_65歳未満以上＿寛解・院内寛解[#Headers],0)),0)+IFERROR(INDEX(年齢階層×在院期間区分F00F01_65歳未満以上＿寛解・院内寛解[#All],MATCH($AK30,年齢階層×在院期間区分F00F01_65歳未満以上＿寛解・院内寛解[[#All],[列1]],0),MATCH($AT$3,年齢階層×在院期間区分F00F01_65歳未満以上＿寛解・院内寛解[#Headers],0)),0)</f>
        <v>0</v>
      </c>
      <c r="F30" s="170">
        <f>IFERROR(E30/$E$29,"-")</f>
        <v>0</v>
      </c>
      <c r="G30" s="185">
        <f>IFERROR(INDEX(年齢階層×在院期間区分F00F01_65歳未満以上＿寛解・院内寛解[#All],MATCH($AK30,年齢階層×在院期間区分F00F01_65歳未満以上＿寛解・院内寛解[[#All],[列1]],0),MATCH($AU$3,年齢階層×在院期間区分F00F01_65歳未満以上＿寛解・院内寛解[#Headers],0)),0)+IFERROR(INDEX(年齢階層×在院期間区分F00F01_65歳未満以上＿寛解・院内寛解[#All],MATCH($AK30,年齢階層×在院期間区分F00F01_65歳未満以上＿寛解・院内寛解[[#All],[列1]],0),MATCH($AV$3,年齢階層×在院期間区分F00F01_65歳未満以上＿寛解・院内寛解[#Headers],0)),0)+IFERROR(INDEX(年齢階層×在院期間区分F00F01_65歳未満以上＿寛解・院内寛解[#All],MATCH($AK30,年齢階層×在院期間区分F00F01_65歳未満以上＿寛解・院内寛解[[#All],[列1]],0),MATCH($AW$3,年齢階層×在院期間区分F00F01_65歳未満以上＿寛解・院内寛解[#Headers],0)),0)+IFERROR(INDEX(年齢階層×在院期間区分F00F01_65歳未満以上＿寛解・院内寛解[#All],MATCH($AK30,年齢階層×在院期間区分F00F01_65歳未満以上＿寛解・院内寛解[[#All],[列1]],0),MATCH($AX$3,年齢階層×在院期間区分F00F01_65歳未満以上＿寛解・院内寛解[#Headers],0)),0)+IFERROR(INDEX(年齢階層×在院期間区分F00F01_65歳未満以上＿寛解・院内寛解[#All],MATCH($AK30,年齢階層×在院期間区分F00F01_65歳未満以上＿寛解・院内寛解[[#All],[列1]],0),MATCH($AY$3,年齢階層×在院期間区分F00F01_65歳未満以上＿寛解・院内寛解[#Headers],0)),0)</f>
        <v>0</v>
      </c>
      <c r="H30" s="170">
        <f>IFERROR(G30/$G$29,"-")</f>
        <v>0</v>
      </c>
      <c r="I30" s="185">
        <f>IFERROR(INDEX(年齢階層×在院期間区分F00F01_65歳未満以上＿寛解・院内寛解[#All],MATCH($AK30,年齢階層×在院期間区分F00F01_65歳未満以上＿寛解・院内寛解[[#All],[列1]],0),MATCH($AZ$3,年齢階層×在院期間区分F00F01_65歳未満以上＿寛解・院内寛解[#Headers],0)),0)+IFERROR(INDEX(年齢階層×在院期間区分F00F01_65歳未満以上＿寛解・院内寛解[#All],MATCH($AK30,年齢階層×在院期間区分F00F01_65歳未満以上＿寛解・院内寛解[[#All],[列1]],0),MATCH($BA$3,年齢階層×在院期間区分F00F01_65歳未満以上＿寛解・院内寛解[#Headers],0)),0)</f>
        <v>0</v>
      </c>
      <c r="J30" s="170">
        <f>IFERROR(I30/$I$29,"-")</f>
        <v>0</v>
      </c>
      <c r="K30" s="185">
        <f>C30+E30+G30+I30</f>
        <v>6</v>
      </c>
      <c r="L30" s="170">
        <f>IFERROR(K30/$K$29,"-")</f>
        <v>4.7244094488188976E-2</v>
      </c>
      <c r="O30" s="53" t="s">
        <v>306</v>
      </c>
      <c r="P30" s="61">
        <v>2</v>
      </c>
      <c r="Q30" s="61">
        <v>1</v>
      </c>
      <c r="R30" s="61">
        <v>2</v>
      </c>
      <c r="S30" s="61">
        <v>1</v>
      </c>
      <c r="T30" s="61">
        <v>0</v>
      </c>
      <c r="U30" s="61">
        <v>0</v>
      </c>
      <c r="V30" s="61">
        <v>0</v>
      </c>
      <c r="W30" s="61">
        <v>0</v>
      </c>
      <c r="X30" s="61">
        <v>0</v>
      </c>
      <c r="Y30" s="61">
        <v>0</v>
      </c>
      <c r="Z30" s="61">
        <v>0</v>
      </c>
      <c r="AA30" s="61">
        <v>0</v>
      </c>
      <c r="AB30" s="61">
        <v>0</v>
      </c>
      <c r="AC30" s="61">
        <v>0</v>
      </c>
      <c r="AD30" s="61">
        <v>0</v>
      </c>
      <c r="AE30" s="61">
        <v>0</v>
      </c>
      <c r="AK30" s="67" t="s">
        <v>156</v>
      </c>
    </row>
    <row r="31" spans="2:41" ht="18.75" customHeight="1" x14ac:dyDescent="0.2">
      <c r="B31" s="186" t="s">
        <v>89</v>
      </c>
      <c r="C31" s="185">
        <f>IFERROR(INDEX(年齢階層×在院期間区分F00F01_65歳未満以上＿寛解・院内寛解[#All],MATCH($AK31,年齢階層×在院期間区分F00F01_65歳未満以上＿寛解・院内寛解[[#All],[列1]],0),MATCH($AL$3,年齢階層×在院期間区分F00F01_65歳未満以上＿寛解・院内寛解[#Headers],0)),0)+IFERROR(INDEX(年齢階層×在院期間区分F00F01_65歳未満以上＿寛解・院内寛解[#All],MATCH($AK31,年齢階層×在院期間区分F00F01_65歳未満以上＿寛解・院内寛解[[#All],[列1]],0),MATCH($AM$3,年齢階層×在院期間区分F00F01_65歳未満以上＿寛解・院内寛解[#Headers],0)),0)+IFERROR(INDEX(年齢階層×在院期間区分F00F01_65歳未満以上＿寛解・院内寛解[#All],MATCH($AK31,年齢階層×在院期間区分F00F01_65歳未満以上＿寛解・院内寛解[[#All],[列1]],0),MATCH($AN$3,年齢階層×在院期間区分F00F01_65歳未満以上＿寛解・院内寛解[#Headers],0)),0)+IFERROR(INDEX(年齢階層×在院期間区分F00F01_65歳未満以上＿寛解・院内寛解[#All],MATCH($AK31,年齢階層×在院期間区分F00F01_65歳未満以上＿寛解・院内寛解[[#All],[列1]],0),MATCH($AO$3,年齢階層×在院期間区分F00F01_65歳未満以上＿寛解・院内寛解[#Headers],0)),0)</f>
        <v>87</v>
      </c>
      <c r="D31" s="187">
        <f>IFERROR(C31/$C$29,"-")</f>
        <v>0.93548387096774188</v>
      </c>
      <c r="E31" s="185">
        <f>IFERROR(INDEX(年齢階層×在院期間区分F00F01_65歳未満以上＿寛解・院内寛解[#All],MATCH($AK31,年齢階層×在院期間区分F00F01_65歳未満以上＿寛解・院内寛解[[#All],[列1]],0),MATCH($AP$3,年齢階層×在院期間区分F00F01_65歳未満以上＿寛解・院内寛解[#Headers],0)),0)+IFERROR(INDEX(年齢階層×在院期間区分F00F01_65歳未満以上＿寛解・院内寛解[#All],MATCH($AK31,年齢階層×在院期間区分F00F01_65歳未満以上＿寛解・院内寛解[[#All],[列1]],0),MATCH($AQ$3,年齢階層×在院期間区分F00F01_65歳未満以上＿寛解・院内寛解[#Headers],0)),0)+IFERROR(INDEX(年齢階層×在院期間区分F00F01_65歳未満以上＿寛解・院内寛解[#All],MATCH($AK31,年齢階層×在院期間区分F00F01_65歳未満以上＿寛解・院内寛解[[#All],[列1]],0),MATCH($AR$3,年齢階層×在院期間区分F00F01_65歳未満以上＿寛解・院内寛解[#Headers],0)),0)+IFERROR(INDEX(年齢階層×在院期間区分F00F01_65歳未満以上＿寛解・院内寛解[#All],MATCH($AK31,年齢階層×在院期間区分F00F01_65歳未満以上＿寛解・院内寛解[[#All],[列1]],0),MATCH($AS$3,年齢階層×在院期間区分F00F01_65歳未満以上＿寛解・院内寛解[#Headers],0)),0)+IFERROR(INDEX(年齢階層×在院期間区分F00F01_65歳未満以上＿寛解・院内寛解[#All],MATCH($AK31,年齢階層×在院期間区分F00F01_65歳未満以上＿寛解・院内寛解[[#All],[列1]],0),MATCH($AT$3,年齢階層×在院期間区分F00F01_65歳未満以上＿寛解・院内寛解[#Headers],0)),0)</f>
        <v>30</v>
      </c>
      <c r="F31" s="187">
        <f>IFERROR(E31/$E$29,"-")</f>
        <v>1</v>
      </c>
      <c r="G31" s="185">
        <f>IFERROR(INDEX(年齢階層×在院期間区分F00F01_65歳未満以上＿寛解・院内寛解[#All],MATCH($AK31,年齢階層×在院期間区分F00F01_65歳未満以上＿寛解・院内寛解[[#All],[列1]],0),MATCH($AU$3,年齢階層×在院期間区分F00F01_65歳未満以上＿寛解・院内寛解[#Headers],0)),0)+IFERROR(INDEX(年齢階層×在院期間区分F00F01_65歳未満以上＿寛解・院内寛解[#All],MATCH($AK31,年齢階層×在院期間区分F00F01_65歳未満以上＿寛解・院内寛解[[#All],[列1]],0),MATCH($AV$3,年齢階層×在院期間区分F00F01_65歳未満以上＿寛解・院内寛解[#Headers],0)),0)+IFERROR(INDEX(年齢階層×在院期間区分F00F01_65歳未満以上＿寛解・院内寛解[#All],MATCH($AK31,年齢階層×在院期間区分F00F01_65歳未満以上＿寛解・院内寛解[[#All],[列1]],0),MATCH($AW$3,年齢階層×在院期間区分F00F01_65歳未満以上＿寛解・院内寛解[#Headers],0)),0)+IFERROR(INDEX(年齢階層×在院期間区分F00F01_65歳未満以上＿寛解・院内寛解[#All],MATCH($AK31,年齢階層×在院期間区分F00F01_65歳未満以上＿寛解・院内寛解[[#All],[列1]],0),MATCH($AX$3,年齢階層×在院期間区分F00F01_65歳未満以上＿寛解・院内寛解[#Headers],0)),0)+IFERROR(INDEX(年齢階層×在院期間区分F00F01_65歳未満以上＿寛解・院内寛解[#All],MATCH($AK31,年齢階層×在院期間区分F00F01_65歳未満以上＿寛解・院内寛解[[#All],[列1]],0),MATCH($AY$3,年齢階層×在院期間区分F00F01_65歳未満以上＿寛解・院内寛解[#Headers],0)),0)</f>
        <v>2</v>
      </c>
      <c r="H31" s="187">
        <f>IFERROR(G31/$G$29,"-")</f>
        <v>1</v>
      </c>
      <c r="I31" s="185">
        <f>IFERROR(INDEX(年齢階層×在院期間区分F00F01_65歳未満以上＿寛解・院内寛解[#All],MATCH($AK31,年齢階層×在院期間区分F00F01_65歳未満以上＿寛解・院内寛解[[#All],[列1]],0),MATCH($AZ$3,年齢階層×在院期間区分F00F01_65歳未満以上＿寛解・院内寛解[#Headers],0)),0)+IFERROR(INDEX(年齢階層×在院期間区分F00F01_65歳未満以上＿寛解・院内寛解[#All],MATCH($AK31,年齢階層×在院期間区分F00F01_65歳未満以上＿寛解・院内寛解[[#All],[列1]],0),MATCH($BA$3,年齢階層×在院期間区分F00F01_65歳未満以上＿寛解・院内寛解[#Headers],0)),0)</f>
        <v>2</v>
      </c>
      <c r="J31" s="187">
        <f>IFERROR(I31/$I$29,"-")</f>
        <v>1</v>
      </c>
      <c r="K31" s="185">
        <f>C31+E31+G31+I31</f>
        <v>121</v>
      </c>
      <c r="L31" s="187">
        <f>IFERROR(K31/$K$29,"-")</f>
        <v>0.952755905511811</v>
      </c>
      <c r="O31" s="67" t="s">
        <v>307</v>
      </c>
      <c r="P31" s="61">
        <v>14</v>
      </c>
      <c r="Q31" s="61">
        <v>29</v>
      </c>
      <c r="R31" s="61">
        <v>24</v>
      </c>
      <c r="S31" s="61">
        <v>20</v>
      </c>
      <c r="T31" s="61">
        <v>12</v>
      </c>
      <c r="U31" s="61">
        <v>4</v>
      </c>
      <c r="V31" s="61">
        <v>6</v>
      </c>
      <c r="W31" s="61">
        <v>6</v>
      </c>
      <c r="X31" s="61">
        <v>2</v>
      </c>
      <c r="Y31" s="61">
        <v>2</v>
      </c>
      <c r="Z31" s="61">
        <v>0</v>
      </c>
      <c r="AA31" s="61">
        <v>0</v>
      </c>
      <c r="AB31" s="61">
        <v>0</v>
      </c>
      <c r="AC31" s="61">
        <v>0</v>
      </c>
      <c r="AD31" s="61">
        <v>1</v>
      </c>
      <c r="AE31" s="61">
        <v>1</v>
      </c>
      <c r="AK31" s="67" t="s">
        <v>88</v>
      </c>
    </row>
    <row r="32" spans="2:41" ht="18.75" customHeight="1" x14ac:dyDescent="0.2">
      <c r="F32" s="62"/>
      <c r="H32" s="62"/>
      <c r="J32" s="62"/>
      <c r="K32" s="44"/>
    </row>
    <row r="33" spans="2:49" ht="18.75" customHeight="1" x14ac:dyDescent="0.2"/>
    <row r="34" spans="2:49" ht="18.75" customHeight="1" x14ac:dyDescent="0.2">
      <c r="C34" s="52"/>
      <c r="D34" s="60"/>
      <c r="E34" s="60"/>
      <c r="F34" s="60"/>
      <c r="G34" s="60"/>
      <c r="H34" s="60"/>
      <c r="I34" s="60"/>
      <c r="J34" s="60"/>
      <c r="K34" s="60"/>
      <c r="L34" s="60"/>
      <c r="M34" s="60"/>
      <c r="N34" s="60"/>
      <c r="O34" s="60"/>
      <c r="P34" s="60"/>
      <c r="Q34" s="60"/>
      <c r="R34" s="68"/>
    </row>
    <row r="35" spans="2:49" x14ac:dyDescent="0.2">
      <c r="B35" s="37"/>
      <c r="C35" s="22"/>
      <c r="D35" s="22"/>
      <c r="E35" s="22"/>
      <c r="F35" s="22"/>
      <c r="G35" s="22"/>
      <c r="H35" s="22"/>
      <c r="I35" s="22"/>
      <c r="J35" s="22"/>
      <c r="K35" s="22"/>
      <c r="L35" s="22"/>
      <c r="M35" s="22"/>
      <c r="N35" s="22"/>
      <c r="O35" s="22"/>
      <c r="P35" s="22"/>
      <c r="Q35" s="22"/>
      <c r="R35" s="22"/>
      <c r="S35" s="22"/>
    </row>
    <row r="36" spans="2:49" x14ac:dyDescent="0.2">
      <c r="B36" s="37"/>
      <c r="C36" s="22"/>
      <c r="D36" s="22"/>
      <c r="E36" s="22"/>
      <c r="F36" s="22"/>
      <c r="G36" s="22"/>
      <c r="H36" s="22"/>
      <c r="I36" s="22"/>
      <c r="J36" s="22"/>
      <c r="K36" s="22"/>
      <c r="L36" s="22"/>
      <c r="M36" s="22"/>
      <c r="N36" s="22"/>
      <c r="O36" s="22"/>
      <c r="P36" s="22"/>
      <c r="Q36" s="22"/>
      <c r="R36" s="22"/>
      <c r="S36" s="22"/>
    </row>
    <row r="37" spans="2:49" x14ac:dyDescent="0.2">
      <c r="B37" s="49"/>
      <c r="C37" s="69"/>
      <c r="D37" s="69"/>
      <c r="E37" s="69"/>
      <c r="F37" s="69"/>
      <c r="G37" s="69"/>
      <c r="H37" s="69"/>
      <c r="I37" s="69"/>
      <c r="J37" s="69"/>
      <c r="K37" s="69"/>
      <c r="L37" s="69"/>
      <c r="M37" s="69"/>
      <c r="N37" s="69"/>
      <c r="O37" s="69"/>
      <c r="P37" s="69"/>
      <c r="Q37" s="69"/>
      <c r="R37" s="69"/>
      <c r="S37" s="69"/>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2:49" ht="35.25" customHeight="1" x14ac:dyDescent="0.2">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row>
    <row r="39" spans="2:49" x14ac:dyDescent="0.2">
      <c r="B39" s="7"/>
      <c r="C39" s="70"/>
      <c r="D39" s="70"/>
      <c r="E39" s="70"/>
      <c r="F39" s="70"/>
      <c r="G39" s="70"/>
      <c r="H39" s="70"/>
      <c r="I39" s="70"/>
      <c r="J39" s="70"/>
      <c r="K39" s="70"/>
      <c r="L39" s="70"/>
      <c r="M39" s="70"/>
      <c r="N39" s="70"/>
      <c r="O39" s="70"/>
      <c r="P39" s="70"/>
      <c r="Q39" s="70"/>
      <c r="R39" s="70"/>
      <c r="S39" s="70"/>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row>
    <row r="40" spans="2:49" x14ac:dyDescent="0.2">
      <c r="B40" s="7"/>
      <c r="C40" s="70"/>
      <c r="D40" s="70"/>
      <c r="E40" s="70"/>
      <c r="F40" s="70"/>
      <c r="G40" s="70"/>
      <c r="H40" s="70"/>
      <c r="I40" s="70"/>
      <c r="J40" s="70"/>
      <c r="K40" s="70"/>
      <c r="L40" s="70"/>
      <c r="M40" s="70"/>
      <c r="N40" s="70"/>
      <c r="O40" s="70"/>
      <c r="P40" s="70"/>
      <c r="Q40" s="70"/>
      <c r="R40" s="70"/>
      <c r="S40" s="70"/>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row>
    <row r="41" spans="2:49" x14ac:dyDescent="0.2">
      <c r="B41" s="7"/>
      <c r="C41" s="70"/>
      <c r="D41" s="70"/>
      <c r="E41" s="70"/>
      <c r="F41" s="70"/>
      <c r="G41" s="70"/>
      <c r="H41" s="70"/>
      <c r="I41" s="70"/>
      <c r="J41" s="70"/>
      <c r="K41" s="70"/>
      <c r="L41" s="70"/>
      <c r="M41" s="70"/>
      <c r="N41" s="70"/>
      <c r="O41" s="70"/>
      <c r="P41" s="70"/>
      <c r="Q41" s="70"/>
      <c r="R41" s="70"/>
      <c r="S41" s="70"/>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row>
    <row r="42" spans="2:49" x14ac:dyDescent="0.2">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2:49" x14ac:dyDescent="0.2">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2:49" x14ac:dyDescent="0.2">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2:49" x14ac:dyDescent="0.2">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2:49" x14ac:dyDescent="0.2">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2:49" x14ac:dyDescent="0.2">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2:49" x14ac:dyDescent="0.2">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2:49" x14ac:dyDescent="0.2">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2:49" x14ac:dyDescent="0.2">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2:49" x14ac:dyDescent="0.2">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2:49" x14ac:dyDescent="0.2">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2:49" x14ac:dyDescent="0.2">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2:49" x14ac:dyDescent="0.2">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2:49" x14ac:dyDescent="0.2">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2:49" x14ac:dyDescent="0.2">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2:49" x14ac:dyDescent="0.2">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2:49" x14ac:dyDescent="0.2">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2:49" x14ac:dyDescent="0.2">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2:49" x14ac:dyDescent="0.2">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2:49" x14ac:dyDescent="0.2">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2:49" x14ac:dyDescent="0.2">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2:49" x14ac:dyDescent="0.2">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2:49" x14ac:dyDescent="0.2">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2:49" x14ac:dyDescent="0.2">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2:49" x14ac:dyDescent="0.2">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2:49" x14ac:dyDescent="0.2">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row>
    <row r="68" spans="2:49" x14ac:dyDescent="0.2">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2:49" x14ac:dyDescent="0.2">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row>
    <row r="70" spans="2:49" x14ac:dyDescent="0.2">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2:49" x14ac:dyDescent="0.2">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2:49" x14ac:dyDescent="0.2">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2:49" x14ac:dyDescent="0.2">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2:49" x14ac:dyDescent="0.2">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2:49" x14ac:dyDescent="0.2">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2:49" x14ac:dyDescent="0.2">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2:49" x14ac:dyDescent="0.2">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row>
    <row r="78" spans="2:49" x14ac:dyDescent="0.2">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2:49" x14ac:dyDescent="0.2">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row>
    <row r="80" spans="2:49" x14ac:dyDescent="0.2">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2:49" x14ac:dyDescent="0.2">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2:49" x14ac:dyDescent="0.2">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2:49" x14ac:dyDescent="0.2">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2:49" x14ac:dyDescent="0.2">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2:49" x14ac:dyDescent="0.2">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2:49" x14ac:dyDescent="0.2">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2:49" x14ac:dyDescent="0.2">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2:49" x14ac:dyDescent="0.2">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2:49" x14ac:dyDescent="0.2">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2:49" x14ac:dyDescent="0.2">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2:49" x14ac:dyDescent="0.2">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2:49" x14ac:dyDescent="0.2">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2:49" x14ac:dyDescent="0.2">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row>
    <row r="94" spans="2:49" x14ac:dyDescent="0.2">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2:49" x14ac:dyDescent="0.2">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row>
    <row r="96" spans="2:49" x14ac:dyDescent="0.2">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2:49" x14ac:dyDescent="0.2">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2:49" x14ac:dyDescent="0.2">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2:49" x14ac:dyDescent="0.2">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2:49" x14ac:dyDescent="0.2">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row>
    <row r="101" spans="2:49" x14ac:dyDescent="0.2">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row>
    <row r="102" spans="2:49" x14ac:dyDescent="0.2">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row>
    <row r="103" spans="2:49" x14ac:dyDescent="0.2">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row>
    <row r="104" spans="2:49" x14ac:dyDescent="0.2">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row>
    <row r="105" spans="2:49" x14ac:dyDescent="0.2">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row>
    <row r="106" spans="2:49" x14ac:dyDescent="0.2">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row>
    <row r="107" spans="2:49" x14ac:dyDescent="0.2">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row>
    <row r="108" spans="2:49" x14ac:dyDescent="0.2">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2:49" x14ac:dyDescent="0.2">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row>
    <row r="110" spans="2:49" x14ac:dyDescent="0.2">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2:49" x14ac:dyDescent="0.2">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2:49" x14ac:dyDescent="0.2">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2:49" x14ac:dyDescent="0.2">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row>
    <row r="114" spans="2:49" x14ac:dyDescent="0.2">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2:49" x14ac:dyDescent="0.2">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row>
    <row r="116" spans="2:49" x14ac:dyDescent="0.2">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row>
    <row r="117" spans="2:49" x14ac:dyDescent="0.2">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row>
    <row r="118" spans="2:49" x14ac:dyDescent="0.2">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row>
    <row r="119" spans="2:49" x14ac:dyDescent="0.2">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row>
    <row r="120" spans="2:49" x14ac:dyDescent="0.2">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row>
    <row r="121" spans="2:49" x14ac:dyDescent="0.2">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row>
    <row r="122" spans="2:49" x14ac:dyDescent="0.2">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row>
    <row r="123" spans="2:49" x14ac:dyDescent="0.2">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row>
    <row r="124" spans="2:49" x14ac:dyDescent="0.2">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row>
    <row r="125" spans="2:49" x14ac:dyDescent="0.2">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row>
    <row r="126" spans="2:49" x14ac:dyDescent="0.2">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row>
    <row r="127" spans="2:49" x14ac:dyDescent="0.2">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row>
    <row r="128" spans="2:49" x14ac:dyDescent="0.2">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row>
    <row r="129" spans="2:49" x14ac:dyDescent="0.2">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row>
    <row r="130" spans="2:49" x14ac:dyDescent="0.2">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row>
    <row r="131" spans="2:49" x14ac:dyDescent="0.2">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row>
    <row r="132" spans="2:49" x14ac:dyDescent="0.2">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row>
    <row r="133" spans="2:49" x14ac:dyDescent="0.2">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row>
    <row r="134" spans="2:49" x14ac:dyDescent="0.2">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row>
    <row r="135" spans="2:49" x14ac:dyDescent="0.2">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row>
    <row r="136" spans="2:49" x14ac:dyDescent="0.2">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row>
    <row r="137" spans="2:49" x14ac:dyDescent="0.2">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row>
    <row r="138" spans="2:49" x14ac:dyDescent="0.2">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row>
    <row r="139" spans="2:49" x14ac:dyDescent="0.2">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row>
    <row r="140" spans="2:49" x14ac:dyDescent="0.2">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row>
    <row r="141" spans="2:49" x14ac:dyDescent="0.2">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row>
    <row r="142" spans="2:49" x14ac:dyDescent="0.2">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row>
    <row r="143" spans="2:49" x14ac:dyDescent="0.2">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row>
    <row r="144" spans="2:49" x14ac:dyDescent="0.2">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row>
    <row r="145" spans="2:49" x14ac:dyDescent="0.2">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row>
    <row r="146" spans="2:49" x14ac:dyDescent="0.2">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row>
    <row r="147" spans="2:49" x14ac:dyDescent="0.2">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row>
    <row r="148" spans="2:49" x14ac:dyDescent="0.2">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row>
    <row r="149" spans="2:49" x14ac:dyDescent="0.2">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row>
    <row r="150" spans="2:49" x14ac:dyDescent="0.2">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row>
    <row r="151" spans="2:49" x14ac:dyDescent="0.2">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row>
    <row r="152" spans="2:49" x14ac:dyDescent="0.2">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row>
    <row r="153" spans="2:49" x14ac:dyDescent="0.2">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row>
    <row r="154" spans="2:49" x14ac:dyDescent="0.2">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row>
    <row r="155" spans="2:49" x14ac:dyDescent="0.2">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row>
    <row r="156" spans="2:49" x14ac:dyDescent="0.2">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row>
    <row r="157" spans="2:49" x14ac:dyDescent="0.2">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row>
    <row r="158" spans="2:49" x14ac:dyDescent="0.2">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row>
    <row r="159" spans="2:49" x14ac:dyDescent="0.2">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row>
    <row r="160" spans="2:49" x14ac:dyDescent="0.2">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row>
    <row r="161" spans="2:49" x14ac:dyDescent="0.2">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row>
    <row r="162" spans="2:49" x14ac:dyDescent="0.2">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row>
    <row r="163" spans="2:49" x14ac:dyDescent="0.2">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row>
    <row r="164" spans="2:49" x14ac:dyDescent="0.2">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row>
    <row r="165" spans="2:49" x14ac:dyDescent="0.2">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row>
    <row r="166" spans="2:49" x14ac:dyDescent="0.2">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row>
    <row r="167" spans="2:49" x14ac:dyDescent="0.2">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row>
    <row r="168" spans="2:49" x14ac:dyDescent="0.2">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row>
    <row r="169" spans="2:49" x14ac:dyDescent="0.2">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row>
    <row r="170" spans="2:49" x14ac:dyDescent="0.2">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row>
    <row r="171" spans="2:49" x14ac:dyDescent="0.2">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row>
    <row r="172" spans="2:49" x14ac:dyDescent="0.2">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row>
    <row r="173" spans="2:49" x14ac:dyDescent="0.2">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row>
    <row r="174" spans="2:49" x14ac:dyDescent="0.2">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row>
    <row r="175" spans="2:49" x14ac:dyDescent="0.2">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row>
    <row r="176" spans="2:49" x14ac:dyDescent="0.2">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row>
    <row r="177" spans="2:49" x14ac:dyDescent="0.2">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row>
    <row r="178" spans="2:49" x14ac:dyDescent="0.2">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row>
    <row r="179" spans="2:49" x14ac:dyDescent="0.2">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row>
    <row r="180" spans="2:49" x14ac:dyDescent="0.2">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row>
    <row r="181" spans="2:49" x14ac:dyDescent="0.2">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row>
    <row r="182" spans="2:49" x14ac:dyDescent="0.2">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row>
    <row r="183" spans="2:49" x14ac:dyDescent="0.2">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row>
    <row r="184" spans="2:49" x14ac:dyDescent="0.2">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row>
    <row r="185" spans="2:49" x14ac:dyDescent="0.2">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row>
    <row r="186" spans="2:49" x14ac:dyDescent="0.2">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row>
    <row r="187" spans="2:49" x14ac:dyDescent="0.2">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row>
    <row r="188" spans="2:49" x14ac:dyDescent="0.2">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row>
    <row r="189" spans="2:49" x14ac:dyDescent="0.2">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row>
    <row r="190" spans="2:49" x14ac:dyDescent="0.2">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row>
    <row r="191" spans="2:49" x14ac:dyDescent="0.2">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row>
    <row r="192" spans="2:49" x14ac:dyDescent="0.2">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row>
    <row r="193" spans="2:49" x14ac:dyDescent="0.2">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row>
    <row r="194" spans="2:49" x14ac:dyDescent="0.2">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row>
    <row r="195" spans="2:49" x14ac:dyDescent="0.2">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row>
    <row r="196" spans="2:49" x14ac:dyDescent="0.2">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row>
    <row r="197" spans="2:49" x14ac:dyDescent="0.2">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row>
    <row r="198" spans="2:49" x14ac:dyDescent="0.2">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row>
    <row r="199" spans="2:49" x14ac:dyDescent="0.2">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row>
    <row r="200" spans="2:49" x14ac:dyDescent="0.2">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row>
    <row r="201" spans="2:49" x14ac:dyDescent="0.2">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row>
    <row r="202" spans="2:49" x14ac:dyDescent="0.2">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row>
    <row r="203" spans="2:49" x14ac:dyDescent="0.2">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row>
    <row r="204" spans="2:49" x14ac:dyDescent="0.2">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row>
    <row r="205" spans="2:49" x14ac:dyDescent="0.2">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row>
    <row r="206" spans="2:49" x14ac:dyDescent="0.2">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row>
    <row r="207" spans="2:49" x14ac:dyDescent="0.2">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row>
    <row r="208" spans="2:49" x14ac:dyDescent="0.2">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row>
    <row r="209" spans="2:49" x14ac:dyDescent="0.2">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row>
    <row r="210" spans="2:49" x14ac:dyDescent="0.2">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row>
    <row r="211" spans="2:49" x14ac:dyDescent="0.2">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row>
    <row r="212" spans="2:49" x14ac:dyDescent="0.2">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row>
    <row r="213" spans="2:49" x14ac:dyDescent="0.2">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row>
    <row r="214" spans="2:49" x14ac:dyDescent="0.2">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row>
    <row r="215" spans="2:49" x14ac:dyDescent="0.2">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row>
    <row r="216" spans="2:49" x14ac:dyDescent="0.2">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row>
    <row r="217" spans="2:49" x14ac:dyDescent="0.2">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row>
    <row r="218" spans="2:49" x14ac:dyDescent="0.2">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row>
    <row r="219" spans="2:49" x14ac:dyDescent="0.2">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row>
    <row r="220" spans="2:49" x14ac:dyDescent="0.2">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row>
    <row r="221" spans="2:49" x14ac:dyDescent="0.2">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row>
    <row r="222" spans="2:49" x14ac:dyDescent="0.2">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row>
    <row r="223" spans="2:49" x14ac:dyDescent="0.2">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row>
    <row r="224" spans="2:49" x14ac:dyDescent="0.2">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row>
    <row r="225" spans="2:49" x14ac:dyDescent="0.2">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row>
    <row r="226" spans="2:49" x14ac:dyDescent="0.2">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row>
    <row r="227" spans="2:49" x14ac:dyDescent="0.2">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row>
    <row r="228" spans="2:49" x14ac:dyDescent="0.2">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row>
    <row r="229" spans="2:49" x14ac:dyDescent="0.2">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row>
    <row r="230" spans="2:49" x14ac:dyDescent="0.2">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row>
  </sheetData>
  <mergeCells count="15">
    <mergeCell ref="B17:M17"/>
    <mergeCell ref="B18:B19"/>
    <mergeCell ref="C18:L18"/>
    <mergeCell ref="C19:D19"/>
    <mergeCell ref="E19:F19"/>
    <mergeCell ref="G19:H19"/>
    <mergeCell ref="I19:J19"/>
    <mergeCell ref="K19:L19"/>
    <mergeCell ref="B2:B3"/>
    <mergeCell ref="C2:L2"/>
    <mergeCell ref="C3:D3"/>
    <mergeCell ref="E3:F3"/>
    <mergeCell ref="G3:H3"/>
    <mergeCell ref="I3:J3"/>
    <mergeCell ref="K3:L3"/>
  </mergeCells>
  <phoneticPr fontId="2"/>
  <printOptions horizontalCentered="1"/>
  <pageMargins left="0.70866141732283472" right="0.70866141732283472" top="0.74803149606299213" bottom="0.74803149606299213" header="0.31496062992125984" footer="0.31496062992125984"/>
  <pageSetup paperSize="9" scale="90" orientation="landscape" r:id="rId1"/>
  <drawing r:id="rId2"/>
  <mc:AlternateContent xmlns:mc="http://schemas.openxmlformats.org/markup-compatibility/2006">
    <mc:Choice Requires="v">
      <legacyDrawing r:id="rId3"/>
    </mc:Choice>
  </mc:AlternateContent>
  <controls>
    <control shapeId="38913" r:id="rId4" name="Button 1">
      <controlPr defaultSize="0" print="0" autoFill="0" autoPict="0" macro="[0]!データ削除22">
        <anchor moveWithCells="1" sizeWithCells="1">
          <from>
            <xdr:col>31</xdr:col>
            <xdr:colOff>441960</xdr:colOff>
            <xdr:row>3</xdr:row>
            <xdr:rowOff>0</xdr:rowOff>
          </from>
          <to>
            <xdr:col>34</xdr:col>
            <xdr:colOff>266700</xdr:colOff>
            <xdr:row>5</xdr:row>
            <xdr:rowOff>60960</xdr:rowOff>
          </to>
        </anchor>
      </controlPr>
    </control>
  </controls>
  <tableParts count="4">
    <tablePart r:id="rId5"/>
    <tablePart r:id="rId6"/>
    <tablePart r:id="rId7"/>
    <tablePart r:id="rId8"/>
  </tableParts>
</worksheet>
</file>

<file path=xl/worksheets/sheet2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tabColor rgb="FFFF0000"/>
    <pageSetUpPr fitToPage="1"/>
  </sheetPr>
  <dimension ref="B1:BA231"/>
  <sheetViews>
    <sheetView showGridLines="0" view="pageBreakPreview" zoomScaleNormal="100" zoomScaleSheetLayoutView="100" workbookViewId="0"/>
  </sheetViews>
  <sheetFormatPr defaultColWidth="9" defaultRowHeight="17.399999999999999" x14ac:dyDescent="0.2"/>
  <cols>
    <col min="1" max="1" width="4" style="1" customWidth="1"/>
    <col min="2" max="2" width="12.44140625" style="1" customWidth="1"/>
    <col min="3" max="12" width="8.77734375" style="1" customWidth="1"/>
    <col min="13" max="13" width="16.44140625" style="1" customWidth="1"/>
    <col min="14" max="14" width="2.44140625" style="1" hidden="1" customWidth="1"/>
    <col min="15" max="15" width="17.77734375" style="1" hidden="1" customWidth="1"/>
    <col min="16" max="31" width="11.109375" style="1" hidden="1" customWidth="1"/>
    <col min="32" max="35" width="9" style="1" hidden="1" customWidth="1"/>
    <col min="36" max="36" width="9" style="1" customWidth="1"/>
    <col min="37" max="53" width="9" style="1" hidden="1" customWidth="1"/>
    <col min="54" max="54" width="9" style="1" customWidth="1"/>
    <col min="55" max="16384" width="9" style="1"/>
  </cols>
  <sheetData>
    <row r="1" spans="2:53" ht="19.5" customHeight="1" x14ac:dyDescent="0.2">
      <c r="B1" s="287" t="s">
        <v>165</v>
      </c>
      <c r="C1" s="287"/>
      <c r="D1" s="287"/>
      <c r="E1" s="287"/>
      <c r="F1" s="287"/>
      <c r="G1" s="287"/>
      <c r="H1" s="287"/>
      <c r="I1" s="287"/>
      <c r="J1" s="287"/>
      <c r="K1" s="287"/>
      <c r="L1" s="287"/>
    </row>
    <row r="2" spans="2:53" ht="19.5" customHeight="1" x14ac:dyDescent="0.2">
      <c r="B2" s="286" t="s">
        <v>311</v>
      </c>
      <c r="C2" s="285"/>
      <c r="D2" s="285"/>
      <c r="E2" s="285"/>
      <c r="F2" s="285"/>
      <c r="G2" s="285"/>
      <c r="H2" s="285"/>
      <c r="I2" s="285"/>
      <c r="J2" s="285"/>
      <c r="K2" s="285"/>
      <c r="L2" s="285"/>
    </row>
    <row r="3" spans="2:53" ht="18.75" customHeight="1" thickBot="1" x14ac:dyDescent="0.25">
      <c r="B3" s="996" t="s">
        <v>65</v>
      </c>
      <c r="C3" s="998" t="s">
        <v>64</v>
      </c>
      <c r="D3" s="999"/>
      <c r="E3" s="999"/>
      <c r="F3" s="999"/>
      <c r="G3" s="999"/>
      <c r="H3" s="999"/>
      <c r="I3" s="999"/>
      <c r="J3" s="999"/>
      <c r="K3" s="999"/>
      <c r="L3" s="1000"/>
      <c r="O3" s="33" t="s">
        <v>63</v>
      </c>
    </row>
    <row r="4" spans="2:53" ht="18.75" customHeight="1" thickTop="1" thickBot="1" x14ac:dyDescent="0.25">
      <c r="B4" s="997"/>
      <c r="C4" s="1001" t="s">
        <v>69</v>
      </c>
      <c r="D4" s="1002"/>
      <c r="E4" s="1001" t="s">
        <v>70</v>
      </c>
      <c r="F4" s="1002"/>
      <c r="G4" s="1001" t="s">
        <v>71</v>
      </c>
      <c r="H4" s="1002"/>
      <c r="I4" s="1001" t="s">
        <v>72</v>
      </c>
      <c r="J4" s="1002"/>
      <c r="K4" s="1001" t="s">
        <v>62</v>
      </c>
      <c r="L4" s="1002"/>
      <c r="O4" s="298" t="s">
        <v>372</v>
      </c>
      <c r="P4" s="348" t="s">
        <v>182</v>
      </c>
      <c r="Q4" s="348" t="s">
        <v>183</v>
      </c>
      <c r="R4" s="348" t="s">
        <v>184</v>
      </c>
      <c r="S4" s="348" t="s">
        <v>185</v>
      </c>
      <c r="T4" s="348" t="s">
        <v>186</v>
      </c>
      <c r="U4" s="348" t="s">
        <v>187</v>
      </c>
      <c r="V4" s="348" t="s">
        <v>188</v>
      </c>
      <c r="W4" s="348" t="s">
        <v>189</v>
      </c>
      <c r="X4" s="348" t="s">
        <v>190</v>
      </c>
      <c r="Y4" s="348" t="s">
        <v>191</v>
      </c>
      <c r="Z4" s="348" t="s">
        <v>192</v>
      </c>
      <c r="AA4" s="348" t="s">
        <v>193</v>
      </c>
      <c r="AB4" s="348" t="s">
        <v>194</v>
      </c>
      <c r="AC4" s="348" t="s">
        <v>195</v>
      </c>
      <c r="AD4" s="348" t="s">
        <v>196</v>
      </c>
      <c r="AE4" s="55" t="s">
        <v>197</v>
      </c>
      <c r="AL4" s="332" t="s">
        <v>182</v>
      </c>
      <c r="AM4" s="333" t="s">
        <v>183</v>
      </c>
      <c r="AN4" s="333" t="s">
        <v>184</v>
      </c>
      <c r="AO4" s="333" t="s">
        <v>185</v>
      </c>
      <c r="AP4" s="333" t="s">
        <v>186</v>
      </c>
      <c r="AQ4" s="333" t="s">
        <v>187</v>
      </c>
      <c r="AR4" s="333" t="s">
        <v>188</v>
      </c>
      <c r="AS4" s="333" t="s">
        <v>366</v>
      </c>
      <c r="AT4" s="333" t="s">
        <v>190</v>
      </c>
      <c r="AU4" s="333" t="s">
        <v>191</v>
      </c>
      <c r="AV4" s="333" t="s">
        <v>192</v>
      </c>
      <c r="AW4" s="333" t="s">
        <v>193</v>
      </c>
      <c r="AX4" s="333" t="s">
        <v>194</v>
      </c>
      <c r="AY4" s="333" t="s">
        <v>195</v>
      </c>
      <c r="AZ4" s="333" t="s">
        <v>196</v>
      </c>
      <c r="BA4" s="332" t="s">
        <v>197</v>
      </c>
    </row>
    <row r="5" spans="2:53" s="21" customFormat="1" ht="18.75" customHeight="1" thickTop="1" x14ac:dyDescent="0.2">
      <c r="B5" s="174" t="s">
        <v>2</v>
      </c>
      <c r="C5" s="175">
        <f>IFERROR(INDEX(年齢階層×在院期間区分F02F09[#All],MATCH($AK5,年齢階層×在院期間区分F02F09[[#All],[行ラベル]],0),MATCH($AL$4,年齢階層×在院期間区分F02F09[#Headers],0)),0)+IFERROR(INDEX(年齢階層×在院期間区分F02F09[#All],MATCH($AK5,年齢階層×在院期間区分F02F09[[#All],[行ラベル]],0),MATCH($AM$4,年齢階層×在院期間区分F02F09[#Headers],0)),0)+IFERROR(INDEX(年齢階層×在院期間区分F02F09[#All],MATCH($AK5,年齢階層×在院期間区分F02F09[[#All],[行ラベル]],0),MATCH($AN$4,年齢階層×在院期間区分F02F09[#Headers],0)),0)+IFERROR(INDEX(年齢階層×在院期間区分F02F09[#All],MATCH($AK5,年齢階層×在院期間区分F02F09[[#All],[行ラベル]],0),MATCH($AO$4,年齢階層×在院期間区分F02F09[#Headers],0)),0)</f>
        <v>1</v>
      </c>
      <c r="D5" s="170">
        <f t="shared" ref="D5:D16" si="0">IFERROR(C5/$C$14,"-")</f>
        <v>1.1337868480725624E-3</v>
      </c>
      <c r="E5" s="175">
        <f>IFERROR(INDEX(年齢階層×在院期間区分F02F09[#All],MATCH($AK5,年齢階層×在院期間区分F02F09[[#All],[行ラベル]],0),MATCH($AP$4,年齢階層×在院期間区分F02F09[#Headers],0)),0)+IFERROR(INDEX(年齢階層×在院期間区分F02F09[#All],MATCH($AK5,年齢階層×在院期間区分F02F09[[#All],[行ラベル]],0),MATCH($AQ$4,年齢階層×在院期間区分F02F09[#Headers],0)),0)+IFERROR(INDEX(年齢階層×在院期間区分F02F09[#All],MATCH($AK5,年齢階層×在院期間区分F02F09[[#All],[行ラベル]],0),MATCH($AR$4,年齢階層×在院期間区分F02F09[#Headers],0)),0)+IFERROR(INDEX(年齢階層×在院期間区分F02F09[#All],MATCH($AK5,年齢階層×在院期間区分F02F09[[#All],[行ラベル]],0),MATCH($AS$4,年齢階層×在院期間区分F02F09[#Headers],0)),0)+IFERROR(INDEX(年齢階層×在院期間区分F02F09[#All],MATCH($AK5,年齢階層×在院期間区分F02F09[[#All],[行ラベル]],0),MATCH($AT$4,年齢階層×在院期間区分F02F09[#Headers],0)),0)</f>
        <v>0</v>
      </c>
      <c r="F5" s="170">
        <f t="shared" ref="F5:F16" si="1">IFERROR(E5/$E$14,"-")</f>
        <v>0</v>
      </c>
      <c r="G5" s="175">
        <f>IFERROR(INDEX(年齢階層×在院期間区分F02F09[#All],MATCH($AK5,年齢階層×在院期間区分F02F09[[#All],[行ラベル]],0),MATCH($AU$4,年齢階層×在院期間区分F02F09[#Headers],0)),0)+IFERROR(INDEX(年齢階層×在院期間区分F02F09[#All],MATCH($AK5,年齢階層×在院期間区分F02F09[[#All],[行ラベル]],0),MATCH($AV$4,年齢階層×在院期間区分F02F09[#Headers],0)),0)+IFERROR(INDEX(年齢階層×在院期間区分F02F09[#All],MATCH($AK5,年齢階層×在院期間区分F02F09[[#All],[行ラベル]],0),MATCH($AW$4,年齢階層×在院期間区分F02F09[#Headers],0)),0)+IFERROR(INDEX(年齢階層×在院期間区分F02F09[#All],MATCH($AK5,年齢階層×在院期間区分F02F09[[#All],[行ラベル]],0),MATCH($AX$4,年齢階層×在院期間区分F02F09[#Headers],0)),0)+IFERROR(INDEX(年齢階層×在院期間区分F02F09[#All],MATCH($AK5,年齢階層×在院期間区分F02F09[[#All],[行ラベル]],0),MATCH($AY$4,年齢階層×在院期間区分F02F09[#Headers],0)),0)</f>
        <v>0</v>
      </c>
      <c r="H5" s="170">
        <f t="shared" ref="H5:H16" si="2">IFERROR(G5/$G$14,"-")</f>
        <v>0</v>
      </c>
      <c r="I5" s="169">
        <f>IFERROR(INDEX(年齢階層×在院期間区分F02F09[#All],MATCH($AK5,年齢階層×在院期間区分F02F09[[#All],[行ラベル]],0),MATCH($AZ$4,年齢階層×在院期間区分F02F09[#Headers],0)),0)+IFERROR(INDEX(年齢階層×在院期間区分F02F09[#All],MATCH($AK5,年齢階層×在院期間区分F02F09[[#All],[行ラベル]],0),MATCH($BA$4,年齢階層×在院期間区分F02F09[#Headers],0)),0)</f>
        <v>0</v>
      </c>
      <c r="J5" s="170">
        <f t="shared" ref="J5:J16" si="3">IFERROR(I5/$I$14,"-")</f>
        <v>0</v>
      </c>
      <c r="K5" s="169">
        <f t="shared" ref="K5:K13" si="4">SUM(C5,E5,G5,I5)</f>
        <v>1</v>
      </c>
      <c r="L5" s="170">
        <f t="shared" ref="L5:L16" si="5">IFERROR(K5/$K$14,"-")</f>
        <v>5.9206631142687976E-4</v>
      </c>
      <c r="O5" s="53" t="s">
        <v>2</v>
      </c>
      <c r="P5" s="61">
        <v>1</v>
      </c>
      <c r="Q5" s="61">
        <v>0</v>
      </c>
      <c r="R5" s="61">
        <v>0</v>
      </c>
      <c r="S5" s="61">
        <v>0</v>
      </c>
      <c r="T5" s="61">
        <v>0</v>
      </c>
      <c r="U5" s="61">
        <v>0</v>
      </c>
      <c r="V5" s="61">
        <v>0</v>
      </c>
      <c r="W5" s="61">
        <v>0</v>
      </c>
      <c r="X5" s="61">
        <v>0</v>
      </c>
      <c r="Y5" s="61">
        <v>0</v>
      </c>
      <c r="Z5" s="61">
        <v>0</v>
      </c>
      <c r="AA5" s="61">
        <v>0</v>
      </c>
      <c r="AB5" s="61">
        <v>0</v>
      </c>
      <c r="AC5" s="61">
        <v>0</v>
      </c>
      <c r="AD5" s="61">
        <v>0</v>
      </c>
      <c r="AE5" s="61">
        <v>0</v>
      </c>
      <c r="AK5" s="53" t="s">
        <v>2</v>
      </c>
      <c r="AL5" s="62"/>
      <c r="AO5" s="66"/>
    </row>
    <row r="6" spans="2:53" s="21" customFormat="1" ht="18.75" customHeight="1" x14ac:dyDescent="0.2">
      <c r="B6" s="176" t="s">
        <v>3</v>
      </c>
      <c r="C6" s="177">
        <f>IFERROR(INDEX(年齢階層×在院期間区分F02F09[#All],MATCH($AK6,年齢階層×在院期間区分F02F09[[#All],[行ラベル]],0),MATCH($AL$4,年齢階層×在院期間区分F02F09[#Headers],0)),0)+IFERROR(INDEX(年齢階層×在院期間区分F02F09[#All],MATCH($AK6,年齢階層×在院期間区分F02F09[[#All],[行ラベル]],0),MATCH($AM$4,年齢階層×在院期間区分F02F09[#Headers],0)),0)+IFERROR(INDEX(年齢階層×在院期間区分F02F09[#All],MATCH($AK6,年齢階層×在院期間区分F02F09[[#All],[行ラベル]],0),MATCH($AN$4,年齢階層×在院期間区分F02F09[#Headers],0)),0)+IFERROR(INDEX(年齢階層×在院期間区分F02F09[#All],MATCH($AK6,年齢階層×在院期間区分F02F09[[#All],[行ラベル]],0),MATCH($AO$4,年齢階層×在院期間区分F02F09[#Headers],0)),0)</f>
        <v>3</v>
      </c>
      <c r="D6" s="171">
        <f t="shared" si="0"/>
        <v>3.4013605442176869E-3</v>
      </c>
      <c r="E6" s="154">
        <f>IFERROR(INDEX(年齢階層×在院期間区分F02F09[#All],MATCH($AK6,年齢階層×在院期間区分F02F09[[#All],[行ラベル]],0),MATCH($AP$4,年齢階層×在院期間区分F02F09[#Headers],0)),0)+IFERROR(INDEX(年齢階層×在院期間区分F02F09[#All],MATCH($AK6,年齢階層×在院期間区分F02F09[[#All],[行ラベル]],0),MATCH($AQ$4,年齢階層×在院期間区分F02F09[#Headers],0)),0)+IFERROR(INDEX(年齢階層×在院期間区分F02F09[#All],MATCH($AK6,年齢階層×在院期間区分F02F09[[#All],[行ラベル]],0),MATCH($AR$4,年齢階層×在院期間区分F02F09[#Headers],0)),0)+IFERROR(INDEX(年齢階層×在院期間区分F02F09[#All],MATCH($AK6,年齢階層×在院期間区分F02F09[[#All],[行ラベル]],0),MATCH($AS$4,年齢階層×在院期間区分F02F09[#Headers],0)),0)+IFERROR(INDEX(年齢階層×在院期間区分F02F09[#All],MATCH($AK6,年齢階層×在院期間区分F02F09[[#All],[行ラベル]],0),MATCH($AT$4,年齢階層×在院期間区分F02F09[#Headers],0)),0)</f>
        <v>0</v>
      </c>
      <c r="F6" s="155">
        <f t="shared" si="1"/>
        <v>0</v>
      </c>
      <c r="G6" s="177">
        <f>IFERROR(INDEX(年齢階層×在院期間区分F02F09[#All],MATCH($AK6,年齢階層×在院期間区分F02F09[[#All],[行ラベル]],0),MATCH($AU$4,年齢階層×在院期間区分F02F09[#Headers],0)),0)+IFERROR(INDEX(年齢階層×在院期間区分F02F09[#All],MATCH($AK6,年齢階層×在院期間区分F02F09[[#All],[行ラベル]],0),MATCH($AV$4,年齢階層×在院期間区分F02F09[#Headers],0)),0)+IFERROR(INDEX(年齢階層×在院期間区分F02F09[#All],MATCH($AK6,年齢階層×在院期間区分F02F09[[#All],[行ラベル]],0),MATCH($AW$4,年齢階層×在院期間区分F02F09[#Headers],0)),0)+IFERROR(INDEX(年齢階層×在院期間区分F02F09[#All],MATCH($AK6,年齢階層×在院期間区分F02F09[[#All],[行ラベル]],0),MATCH($AX$4,年齢階層×在院期間区分F02F09[#Headers],0)),0)+IFERROR(INDEX(年齢階層×在院期間区分F02F09[#All],MATCH($AK6,年齢階層×在院期間区分F02F09[[#All],[行ラベル]],0),MATCH($AY$4,年齢階層×在院期間区分F02F09[#Headers],0)),0)</f>
        <v>0</v>
      </c>
      <c r="H6" s="171">
        <f t="shared" si="2"/>
        <v>0</v>
      </c>
      <c r="I6" s="178">
        <f>IFERROR(INDEX(年齢階層×在院期間区分F02F09[#All],MATCH($AK6,年齢階層×在院期間区分F02F09[[#All],[行ラベル]],0),MATCH($AZ$4,年齢階層×在院期間区分F02F09[#Headers],0)),0)+IFERROR(INDEX(年齢階層×在院期間区分F02F09[#All],MATCH($AK6,年齢階層×在院期間区分F02F09[[#All],[行ラベル]],0),MATCH($BA$4,年齢階層×在院期間区分F02F09[#Headers],0)),0)</f>
        <v>0</v>
      </c>
      <c r="J6" s="171">
        <f t="shared" si="3"/>
        <v>0</v>
      </c>
      <c r="K6" s="154">
        <f t="shared" si="4"/>
        <v>3</v>
      </c>
      <c r="L6" s="171">
        <f t="shared" si="5"/>
        <v>1.7761989342806395E-3</v>
      </c>
      <c r="O6" s="53" t="s">
        <v>3</v>
      </c>
      <c r="P6" s="61">
        <v>1</v>
      </c>
      <c r="Q6" s="61">
        <v>1</v>
      </c>
      <c r="R6" s="61">
        <v>0</v>
      </c>
      <c r="S6" s="61">
        <v>1</v>
      </c>
      <c r="T6" s="61">
        <v>0</v>
      </c>
      <c r="U6" s="61">
        <v>0</v>
      </c>
      <c r="V6" s="61">
        <v>0</v>
      </c>
      <c r="W6" s="61">
        <v>0</v>
      </c>
      <c r="X6" s="61">
        <v>0</v>
      </c>
      <c r="Y6" s="61">
        <v>0</v>
      </c>
      <c r="Z6" s="61">
        <v>0</v>
      </c>
      <c r="AA6" s="61">
        <v>0</v>
      </c>
      <c r="AB6" s="61">
        <v>0</v>
      </c>
      <c r="AC6" s="61">
        <v>0</v>
      </c>
      <c r="AD6" s="61">
        <v>0</v>
      </c>
      <c r="AE6" s="61">
        <v>0</v>
      </c>
      <c r="AK6" s="53" t="s">
        <v>3</v>
      </c>
      <c r="AL6" s="62"/>
      <c r="AM6" s="62"/>
      <c r="AO6" s="66"/>
    </row>
    <row r="7" spans="2:53" s="21" customFormat="1" ht="18.75" customHeight="1" x14ac:dyDescent="0.2">
      <c r="B7" s="176" t="s">
        <v>4</v>
      </c>
      <c r="C7" s="177">
        <f>IFERROR(INDEX(年齢階層×在院期間区分F02F09[#All],MATCH($AK7,年齢階層×在院期間区分F02F09[[#All],[行ラベル]],0),MATCH($AL$4,年齢階層×在院期間区分F02F09[#Headers],0)),0)+IFERROR(INDEX(年齢階層×在院期間区分F02F09[#All],MATCH($AK7,年齢階層×在院期間区分F02F09[[#All],[行ラベル]],0),MATCH($AM$4,年齢階層×在院期間区分F02F09[#Headers],0)),0)+IFERROR(INDEX(年齢階層×在院期間区分F02F09[#All],MATCH($AK7,年齢階層×在院期間区分F02F09[[#All],[行ラベル]],0),MATCH($AN$4,年齢階層×在院期間区分F02F09[#Headers],0)),0)+IFERROR(INDEX(年齢階層×在院期間区分F02F09[#All],MATCH($AK7,年齢階層×在院期間区分F02F09[[#All],[行ラベル]],0),MATCH($AO$4,年齢階層×在院期間区分F02F09[#Headers],0)),0)</f>
        <v>2</v>
      </c>
      <c r="D7" s="171">
        <f t="shared" si="0"/>
        <v>2.2675736961451248E-3</v>
      </c>
      <c r="E7" s="178">
        <f>IFERROR(INDEX(年齢階層×在院期間区分F02F09[#All],MATCH($AK7,年齢階層×在院期間区分F02F09[[#All],[行ラベル]],0),MATCH($AP$4,年齢階層×在院期間区分F02F09[#Headers],0)),0)+IFERROR(INDEX(年齢階層×在院期間区分F02F09[#All],MATCH($AK7,年齢階層×在院期間区分F02F09[[#All],[行ラベル]],0),MATCH($AQ$4,年齢階層×在院期間区分F02F09[#Headers],0)),0)+IFERROR(INDEX(年齢階層×在院期間区分F02F09[#All],MATCH($AK7,年齢階層×在院期間区分F02F09[[#All],[行ラベル]],0),MATCH($AR$4,年齢階層×在院期間区分F02F09[#Headers],0)),0)+IFERROR(INDEX(年齢階層×在院期間区分F02F09[#All],MATCH($AK7,年齢階層×在院期間区分F02F09[[#All],[行ラベル]],0),MATCH($AS$4,年齢階層×在院期間区分F02F09[#Headers],0)),0)+IFERROR(INDEX(年齢階層×在院期間区分F02F09[#All],MATCH($AK7,年齢階層×在院期間区分F02F09[[#All],[行ラベル]],0),MATCH($AT$4,年齢階層×在院期間区分F02F09[#Headers],0)),0)</f>
        <v>3</v>
      </c>
      <c r="F7" s="155">
        <f t="shared" si="1"/>
        <v>5.4249547920433997E-3</v>
      </c>
      <c r="G7" s="177">
        <f>IFERROR(INDEX(年齢階層×在院期間区分F02F09[#All],MATCH($AK7,年齢階層×在院期間区分F02F09[[#All],[行ラベル]],0),MATCH($AU$4,年齢階層×在院期間区分F02F09[#Headers],0)),0)+IFERROR(INDEX(年齢階層×在院期間区分F02F09[#All],MATCH($AK7,年齢階層×在院期間区分F02F09[[#All],[行ラベル]],0),MATCH($AV$4,年齢階層×在院期間区分F02F09[#Headers],0)),0)+IFERROR(INDEX(年齢階層×在院期間区分F02F09[#All],MATCH($AK7,年齢階層×在院期間区分F02F09[[#All],[行ラベル]],0),MATCH($AW$4,年齢階層×在院期間区分F02F09[#Headers],0)),0)+IFERROR(INDEX(年齢階層×在院期間区分F02F09[#All],MATCH($AK7,年齢階層×在院期間区分F02F09[[#All],[行ラベル]],0),MATCH($AX$4,年齢階層×在院期間区分F02F09[#Headers],0)),0)+IFERROR(INDEX(年齢階層×在院期間区分F02F09[#All],MATCH($AK7,年齢階層×在院期間区分F02F09[[#All],[行ラベル]],0),MATCH($AY$4,年齢階層×在院期間区分F02F09[#Headers],0)),0)</f>
        <v>1</v>
      </c>
      <c r="H7" s="155">
        <f t="shared" si="2"/>
        <v>5.8139534883720929E-3</v>
      </c>
      <c r="I7" s="154">
        <f>IFERROR(INDEX(年齢階層×在院期間区分F02F09[#All],MATCH($AK7,年齢階層×在院期間区分F02F09[[#All],[行ラベル]],0),MATCH($AZ$4,年齢階層×在院期間区分F02F09[#Headers],0)),0)+IFERROR(INDEX(年齢階層×在院期間区分F02F09[#All],MATCH($AK7,年齢階層×在院期間区分F02F09[[#All],[行ラベル]],0),MATCH($BA$4,年齢階層×在院期間区分F02F09[#Headers],0)),0)</f>
        <v>0</v>
      </c>
      <c r="J7" s="171">
        <f t="shared" si="3"/>
        <v>0</v>
      </c>
      <c r="K7" s="154">
        <f t="shared" si="4"/>
        <v>6</v>
      </c>
      <c r="L7" s="171">
        <f t="shared" si="5"/>
        <v>3.552397868561279E-3</v>
      </c>
      <c r="O7" s="53" t="s">
        <v>4</v>
      </c>
      <c r="P7" s="61">
        <v>0</v>
      </c>
      <c r="Q7" s="61">
        <v>2</v>
      </c>
      <c r="R7" s="61">
        <v>0</v>
      </c>
      <c r="S7" s="61">
        <v>0</v>
      </c>
      <c r="T7" s="61">
        <v>1</v>
      </c>
      <c r="U7" s="61">
        <v>0</v>
      </c>
      <c r="V7" s="61">
        <v>2</v>
      </c>
      <c r="W7" s="61">
        <v>0</v>
      </c>
      <c r="X7" s="61">
        <v>0</v>
      </c>
      <c r="Y7" s="61">
        <v>0</v>
      </c>
      <c r="Z7" s="61">
        <v>0</v>
      </c>
      <c r="AA7" s="61">
        <v>1</v>
      </c>
      <c r="AB7" s="61">
        <v>0</v>
      </c>
      <c r="AC7" s="61">
        <v>0</v>
      </c>
      <c r="AD7" s="61">
        <v>0</v>
      </c>
      <c r="AE7" s="61">
        <v>0</v>
      </c>
      <c r="AK7" s="53" t="s">
        <v>4</v>
      </c>
      <c r="AL7" s="62"/>
      <c r="AM7" s="62"/>
      <c r="AO7" s="66"/>
    </row>
    <row r="8" spans="2:53" s="21" customFormat="1" ht="18.75" customHeight="1" x14ac:dyDescent="0.2">
      <c r="B8" s="176" t="s">
        <v>5</v>
      </c>
      <c r="C8" s="154">
        <f>IFERROR(INDEX(年齢階層×在院期間区分F02F09[#All],MATCH($AK8,年齢階層×在院期間区分F02F09[[#All],[行ラベル]],0),MATCH($AL$4,年齢階層×在院期間区分F02F09[#Headers],0)),0)+IFERROR(INDEX(年齢階層×在院期間区分F02F09[#All],MATCH($AK8,年齢階層×在院期間区分F02F09[[#All],[行ラベル]],0),MATCH($AM$4,年齢階層×在院期間区分F02F09[#Headers],0)),0)+IFERROR(INDEX(年齢階層×在院期間区分F02F09[#All],MATCH($AK8,年齢階層×在院期間区分F02F09[[#All],[行ラベル]],0),MATCH($AN$4,年齢階層×在院期間区分F02F09[#Headers],0)),0)+IFERROR(INDEX(年齢階層×在院期間区分F02F09[#All],MATCH($AK8,年齢階層×在院期間区分F02F09[[#All],[行ラベル]],0),MATCH($AO$4,年齢階層×在院期間区分F02F09[#Headers],0)),0)</f>
        <v>11</v>
      </c>
      <c r="D8" s="171">
        <f t="shared" si="0"/>
        <v>1.2471655328798186E-2</v>
      </c>
      <c r="E8" s="154">
        <f>IFERROR(INDEX(年齢階層×在院期間区分F02F09[#All],MATCH($AK8,年齢階層×在院期間区分F02F09[[#All],[行ラベル]],0),MATCH($AP$4,年齢階層×在院期間区分F02F09[#Headers],0)),0)+IFERROR(INDEX(年齢階層×在院期間区分F02F09[#All],MATCH($AK8,年齢階層×在院期間区分F02F09[[#All],[行ラベル]],0),MATCH($AQ$4,年齢階層×在院期間区分F02F09[#Headers],0)),0)+IFERROR(INDEX(年齢階層×在院期間区分F02F09[#All],MATCH($AK8,年齢階層×在院期間区分F02F09[[#All],[行ラベル]],0),MATCH($AR$4,年齢階層×在院期間区分F02F09[#Headers],0)),0)+IFERROR(INDEX(年齢階層×在院期間区分F02F09[#All],MATCH($AK8,年齢階層×在院期間区分F02F09[[#All],[行ラベル]],0),MATCH($AS$4,年齢階層×在院期間区分F02F09[#Headers],0)),0)+IFERROR(INDEX(年齢階層×在院期間区分F02F09[#All],MATCH($AK8,年齢階層×在院期間区分F02F09[[#All],[行ラベル]],0),MATCH($AT$4,年齢階層×在院期間区分F02F09[#Headers],0)),0)</f>
        <v>10</v>
      </c>
      <c r="F8" s="155">
        <f t="shared" si="1"/>
        <v>1.8083182640144666E-2</v>
      </c>
      <c r="G8" s="177">
        <f>IFERROR(INDEX(年齢階層×在院期間区分F02F09[#All],MATCH($AK8,年齢階層×在院期間区分F02F09[[#All],[行ラベル]],0),MATCH($AU$4,年齢階層×在院期間区分F02F09[#Headers],0)),0)+IFERROR(INDEX(年齢階層×在院期間区分F02F09[#All],MATCH($AK8,年齢階層×在院期間区分F02F09[[#All],[行ラベル]],0),MATCH($AV$4,年齢階層×在院期間区分F02F09[#Headers],0)),0)+IFERROR(INDEX(年齢階層×在院期間区分F02F09[#All],MATCH($AK8,年齢階層×在院期間区分F02F09[[#All],[行ラベル]],0),MATCH($AW$4,年齢階層×在院期間区分F02F09[#Headers],0)),0)+IFERROR(INDEX(年齢階層×在院期間区分F02F09[#All],MATCH($AK8,年齢階層×在院期間区分F02F09[[#All],[行ラベル]],0),MATCH($AX$4,年齢階層×在院期間区分F02F09[#Headers],0)),0)+IFERROR(INDEX(年齢階層×在院期間区分F02F09[#All],MATCH($AK8,年齢階層×在院期間区分F02F09[[#All],[行ラベル]],0),MATCH($AY$4,年齢階層×在院期間区分F02F09[#Headers],0)),0)</f>
        <v>6</v>
      </c>
      <c r="H8" s="156">
        <f t="shared" si="2"/>
        <v>3.4883720930232558E-2</v>
      </c>
      <c r="I8" s="178">
        <f>IFERROR(INDEX(年齢階層×在院期間区分F02F09[#All],MATCH($AK8,年齢階層×在院期間区分F02F09[[#All],[行ラベル]],0),MATCH($AZ$4,年齢階層×在院期間区分F02F09[#Headers],0)),0)+IFERROR(INDEX(年齢階層×在院期間区分F02F09[#All],MATCH($AK8,年齢階層×在院期間区分F02F09[[#All],[行ラベル]],0),MATCH($BA$4,年齢階層×在院期間区分F02F09[#Headers],0)),0)</f>
        <v>4</v>
      </c>
      <c r="J8" s="171">
        <f t="shared" si="3"/>
        <v>4.878048780487805E-2</v>
      </c>
      <c r="K8" s="154">
        <f t="shared" si="4"/>
        <v>31</v>
      </c>
      <c r="L8" s="171">
        <f t="shared" si="5"/>
        <v>1.8354055654233273E-2</v>
      </c>
      <c r="O8" s="53" t="s">
        <v>5</v>
      </c>
      <c r="P8" s="61">
        <v>4</v>
      </c>
      <c r="Q8" s="61">
        <v>2</v>
      </c>
      <c r="R8" s="61">
        <v>2</v>
      </c>
      <c r="S8" s="61">
        <v>3</v>
      </c>
      <c r="T8" s="61">
        <v>4</v>
      </c>
      <c r="U8" s="61">
        <v>0</v>
      </c>
      <c r="V8" s="61">
        <v>3</v>
      </c>
      <c r="W8" s="61">
        <v>1</v>
      </c>
      <c r="X8" s="61">
        <v>2</v>
      </c>
      <c r="Y8" s="61">
        <v>2</v>
      </c>
      <c r="Z8" s="61">
        <v>2</v>
      </c>
      <c r="AA8" s="61">
        <v>1</v>
      </c>
      <c r="AB8" s="61">
        <v>0</v>
      </c>
      <c r="AC8" s="61">
        <v>1</v>
      </c>
      <c r="AD8" s="61">
        <v>4</v>
      </c>
      <c r="AE8" s="61">
        <v>0</v>
      </c>
      <c r="AK8" s="53" t="s">
        <v>5</v>
      </c>
      <c r="AL8" s="62"/>
      <c r="AM8" s="62"/>
      <c r="AO8" s="66"/>
    </row>
    <row r="9" spans="2:53" s="21" customFormat="1" ht="18.75" customHeight="1" x14ac:dyDescent="0.2">
      <c r="B9" s="176" t="s">
        <v>6</v>
      </c>
      <c r="C9" s="154">
        <f>IFERROR(INDEX(年齢階層×在院期間区分F02F09[#All],MATCH($AK9,年齢階層×在院期間区分F02F09[[#All],[行ラベル]],0),MATCH($AL$4,年齢階層×在院期間区分F02F09[#Headers],0)),0)+IFERROR(INDEX(年齢階層×在院期間区分F02F09[#All],MATCH($AK9,年齢階層×在院期間区分F02F09[[#All],[行ラベル]],0),MATCH($AM$4,年齢階層×在院期間区分F02F09[#Headers],0)),0)+IFERROR(INDEX(年齢階層×在院期間区分F02F09[#All],MATCH($AK9,年齢階層×在院期間区分F02F09[[#All],[行ラベル]],0),MATCH($AN$4,年齢階層×在院期間区分F02F09[#Headers],0)),0)+IFERROR(INDEX(年齢階層×在院期間区分F02F09[#All],MATCH($AK9,年齢階層×在院期間区分F02F09[[#All],[行ラベル]],0),MATCH($AO$4,年齢階層×在院期間区分F02F09[#Headers],0)),0)</f>
        <v>38</v>
      </c>
      <c r="D9" s="171">
        <f t="shared" si="0"/>
        <v>4.3083900226757371E-2</v>
      </c>
      <c r="E9" s="154">
        <f>IFERROR(INDEX(年齢階層×在院期間区分F02F09[#All],MATCH($AK9,年齢階層×在院期間区分F02F09[[#All],[行ラベル]],0),MATCH($AP$4,年齢階層×在院期間区分F02F09[#Headers],0)),0)+IFERROR(INDEX(年齢階層×在院期間区分F02F09[#All],MATCH($AK9,年齢階層×在院期間区分F02F09[[#All],[行ラベル]],0),MATCH($AQ$4,年齢階層×在院期間区分F02F09[#Headers],0)),0)+IFERROR(INDEX(年齢階層×在院期間区分F02F09[#All],MATCH($AK9,年齢階層×在院期間区分F02F09[[#All],[行ラベル]],0),MATCH($AR$4,年齢階層×在院期間区分F02F09[#Headers],0)),0)+IFERROR(INDEX(年齢階層×在院期間区分F02F09[#All],MATCH($AK9,年齢階層×在院期間区分F02F09[[#All],[行ラベル]],0),MATCH($AS$4,年齢階層×在院期間区分F02F09[#Headers],0)),0)+IFERROR(INDEX(年齢階層×在院期間区分F02F09[#All],MATCH($AK9,年齢階層×在院期間区分F02F09[[#All],[行ラベル]],0),MATCH($AT$4,年齢階層×在院期間区分F02F09[#Headers],0)),0)</f>
        <v>30</v>
      </c>
      <c r="F9" s="156">
        <f t="shared" si="1"/>
        <v>5.4249547920433995E-2</v>
      </c>
      <c r="G9" s="177">
        <f>IFERROR(INDEX(年齢階層×在院期間区分F02F09[#All],MATCH($AK9,年齢階層×在院期間区分F02F09[[#All],[行ラベル]],0),MATCH($AU$4,年齢階層×在院期間区分F02F09[#Headers],0)),0)+IFERROR(INDEX(年齢階層×在院期間区分F02F09[#All],MATCH($AK9,年齢階層×在院期間区分F02F09[[#All],[行ラベル]],0),MATCH($AV$4,年齢階層×在院期間区分F02F09[#Headers],0)),0)+IFERROR(INDEX(年齢階層×在院期間区分F02F09[#All],MATCH($AK9,年齢階層×在院期間区分F02F09[[#All],[行ラベル]],0),MATCH($AW$4,年齢階層×在院期間区分F02F09[#Headers],0)),0)+IFERROR(INDEX(年齢階層×在院期間区分F02F09[#All],MATCH($AK9,年齢階層×在院期間区分F02F09[[#All],[行ラベル]],0),MATCH($AX$4,年齢階層×在院期間区分F02F09[#Headers],0)),0)+IFERROR(INDEX(年齢階層×在院期間区分F02F09[#All],MATCH($AK9,年齢階層×在院期間区分F02F09[[#All],[行ラベル]],0),MATCH($AY$4,年齢階層×在院期間区分F02F09[#Headers],0)),0)</f>
        <v>20</v>
      </c>
      <c r="H9" s="155">
        <f t="shared" si="2"/>
        <v>0.11627906976744186</v>
      </c>
      <c r="I9" s="177">
        <f>IFERROR(INDEX(年齢階層×在院期間区分F02F09[#All],MATCH($AK9,年齢階層×在院期間区分F02F09[[#All],[行ラベル]],0),MATCH($AZ$4,年齢階層×在院期間区分F02F09[#Headers],0)),0)+IFERROR(INDEX(年齢階層×在院期間区分F02F09[#All],MATCH($AK9,年齢階層×在院期間区分F02F09[[#All],[行ラベル]],0),MATCH($BA$4,年齢階層×在院期間区分F02F09[#Headers],0)),0)</f>
        <v>13</v>
      </c>
      <c r="J9" s="171">
        <f t="shared" si="3"/>
        <v>0.15853658536585366</v>
      </c>
      <c r="K9" s="154">
        <f t="shared" si="4"/>
        <v>101</v>
      </c>
      <c r="L9" s="155">
        <f t="shared" si="5"/>
        <v>5.9798697454114862E-2</v>
      </c>
      <c r="O9" s="53" t="s">
        <v>6</v>
      </c>
      <c r="P9" s="61">
        <v>7</v>
      </c>
      <c r="Q9" s="61">
        <v>10</v>
      </c>
      <c r="R9" s="61">
        <v>8</v>
      </c>
      <c r="S9" s="61">
        <v>13</v>
      </c>
      <c r="T9" s="61">
        <v>5</v>
      </c>
      <c r="U9" s="61">
        <v>7</v>
      </c>
      <c r="V9" s="61">
        <v>6</v>
      </c>
      <c r="W9" s="61">
        <v>6</v>
      </c>
      <c r="X9" s="61">
        <v>6</v>
      </c>
      <c r="Y9" s="61">
        <v>8</v>
      </c>
      <c r="Z9" s="61">
        <v>2</v>
      </c>
      <c r="AA9" s="61">
        <v>7</v>
      </c>
      <c r="AB9" s="61">
        <v>2</v>
      </c>
      <c r="AC9" s="61">
        <v>1</v>
      </c>
      <c r="AD9" s="61">
        <v>10</v>
      </c>
      <c r="AE9" s="61">
        <v>3</v>
      </c>
      <c r="AK9" s="53" t="s">
        <v>6</v>
      </c>
      <c r="AL9" s="62"/>
      <c r="AM9" s="62"/>
      <c r="AO9" s="66"/>
    </row>
    <row r="10" spans="2:53" s="21" customFormat="1" ht="18.75" customHeight="1" x14ac:dyDescent="0.2">
      <c r="B10" s="176" t="s">
        <v>7</v>
      </c>
      <c r="C10" s="154">
        <f>IFERROR(INDEX(年齢階層×在院期間区分F02F09[#All],MATCH($AK10,年齢階層×在院期間区分F02F09[[#All],[行ラベル]],0),MATCH($AL$4,年齢階層×在院期間区分F02F09[#Headers],0)),0)+IFERROR(INDEX(年齢階層×在院期間区分F02F09[#All],MATCH($AK10,年齢階層×在院期間区分F02F09[[#All],[行ラベル]],0),MATCH($AM$4,年齢階層×在院期間区分F02F09[#Headers],0)),0)+IFERROR(INDEX(年齢階層×在院期間区分F02F09[#All],MATCH($AK10,年齢階層×在院期間区分F02F09[[#All],[行ラベル]],0),MATCH($AN$4,年齢階層×在院期間区分F02F09[#Headers],0)),0)+IFERROR(INDEX(年齢階層×在院期間区分F02F09[#All],MATCH($AK10,年齢階層×在院期間区分F02F09[[#All],[行ラベル]],0),MATCH($AO$4,年齢階層×在院期間区分F02F09[#Headers],0)),0)</f>
        <v>68</v>
      </c>
      <c r="D10" s="155">
        <f t="shared" si="0"/>
        <v>7.7097505668934238E-2</v>
      </c>
      <c r="E10" s="178">
        <f>IFERROR(INDEX(年齢階層×在院期間区分F02F09[#All],MATCH($AK10,年齢階層×在院期間区分F02F09[[#All],[行ラベル]],0),MATCH($AP$4,年齢階層×在院期間区分F02F09[#Headers],0)),0)+IFERROR(INDEX(年齢階層×在院期間区分F02F09[#All],MATCH($AK10,年齢階層×在院期間区分F02F09[[#All],[行ラベル]],0),MATCH($AQ$4,年齢階層×在院期間区分F02F09[#Headers],0)),0)+IFERROR(INDEX(年齢階層×在院期間区分F02F09[#All],MATCH($AK10,年齢階層×在院期間区分F02F09[[#All],[行ラベル]],0),MATCH($AR$4,年齢階層×在院期間区分F02F09[#Headers],0)),0)+IFERROR(INDEX(年齢階層×在院期間区分F02F09[#All],MATCH($AK10,年齢階層×在院期間区分F02F09[[#All],[行ラベル]],0),MATCH($AS$4,年齢階層×在院期間区分F02F09[#Headers],0)),0)+IFERROR(INDEX(年齢階層×在院期間区分F02F09[#All],MATCH($AK10,年齢階層×在院期間区分F02F09[[#All],[行ラベル]],0),MATCH($AT$4,年齢階層×在院期間区分F02F09[#Headers],0)),0)</f>
        <v>52</v>
      </c>
      <c r="F10" s="171">
        <f t="shared" si="1"/>
        <v>9.403254972875226E-2</v>
      </c>
      <c r="G10" s="177">
        <f>IFERROR(INDEX(年齢階層×在院期間区分F02F09[#All],MATCH($AK10,年齢階層×在院期間区分F02F09[[#All],[行ラベル]],0),MATCH($AU$4,年齢階層×在院期間区分F02F09[#Headers],0)),0)+IFERROR(INDEX(年齢階層×在院期間区分F02F09[#All],MATCH($AK10,年齢階層×在院期間区分F02F09[[#All],[行ラベル]],0),MATCH($AV$4,年齢階層×在院期間区分F02F09[#Headers],0)),0)+IFERROR(INDEX(年齢階層×在院期間区分F02F09[#All],MATCH($AK10,年齢階層×在院期間区分F02F09[[#All],[行ラベル]],0),MATCH($AW$4,年齢階層×在院期間区分F02F09[#Headers],0)),0)+IFERROR(INDEX(年齢階層×在院期間区分F02F09[#All],MATCH($AK10,年齢階層×在院期間区分F02F09[[#All],[行ラベル]],0),MATCH($AX$4,年齢階層×在院期間区分F02F09[#Headers],0)),0)+IFERROR(INDEX(年齢階層×在院期間区分F02F09[#All],MATCH($AK10,年齢階層×在院期間区分F02F09[[#All],[行ラベル]],0),MATCH($AY$4,年齢階層×在院期間区分F02F09[#Headers],0)),0)</f>
        <v>21</v>
      </c>
      <c r="H10" s="156">
        <f t="shared" si="2"/>
        <v>0.12209302325581395</v>
      </c>
      <c r="I10" s="154">
        <f>IFERROR(INDEX(年齢階層×在院期間区分F02F09[#All],MATCH($AK10,年齢階層×在院期間区分F02F09[[#All],[行ラベル]],0),MATCH($AZ$4,年齢階層×在院期間区分F02F09[#Headers],0)),0)+IFERROR(INDEX(年齢階層×在院期間区分F02F09[#All],MATCH($AK10,年齢階層×在院期間区分F02F09[[#All],[行ラベル]],0),MATCH($BA$4,年齢階層×在院期間区分F02F09[#Headers],0)),0)</f>
        <v>16</v>
      </c>
      <c r="J10" s="155">
        <f t="shared" si="3"/>
        <v>0.1951219512195122</v>
      </c>
      <c r="K10" s="154">
        <f t="shared" si="4"/>
        <v>157</v>
      </c>
      <c r="L10" s="155">
        <f t="shared" si="5"/>
        <v>9.2954410894020137E-2</v>
      </c>
      <c r="O10" s="53" t="s">
        <v>7</v>
      </c>
      <c r="P10" s="61">
        <v>19</v>
      </c>
      <c r="Q10" s="61">
        <v>20</v>
      </c>
      <c r="R10" s="61">
        <v>16</v>
      </c>
      <c r="S10" s="61">
        <v>13</v>
      </c>
      <c r="T10" s="61">
        <v>13</v>
      </c>
      <c r="U10" s="61">
        <v>7</v>
      </c>
      <c r="V10" s="61">
        <v>15</v>
      </c>
      <c r="W10" s="61">
        <v>5</v>
      </c>
      <c r="X10" s="61">
        <v>12</v>
      </c>
      <c r="Y10" s="61">
        <v>3</v>
      </c>
      <c r="Z10" s="61">
        <v>7</v>
      </c>
      <c r="AA10" s="61">
        <v>5</v>
      </c>
      <c r="AB10" s="61">
        <v>2</v>
      </c>
      <c r="AC10" s="61">
        <v>4</v>
      </c>
      <c r="AD10" s="61">
        <v>11</v>
      </c>
      <c r="AE10" s="61">
        <v>5</v>
      </c>
      <c r="AK10" s="53" t="s">
        <v>7</v>
      </c>
      <c r="AL10" s="62"/>
      <c r="AM10" s="62"/>
      <c r="AO10" s="66"/>
    </row>
    <row r="11" spans="2:53" s="21" customFormat="1" ht="18.75" customHeight="1" x14ac:dyDescent="0.2">
      <c r="B11" s="176" t="s">
        <v>8</v>
      </c>
      <c r="C11" s="178">
        <f>IFERROR(INDEX(年齢階層×在院期間区分F02F09[#All],MATCH($AK11,年齢階層×在院期間区分F02F09[[#All],[行ラベル]],0),MATCH($AL$4,年齢階層×在院期間区分F02F09[#Headers],0)),0)+IFERROR(INDEX(年齢階層×在院期間区分F02F09[#All],MATCH($AK11,年齢階層×在院期間区分F02F09[[#All],[行ラベル]],0),MATCH($AM$4,年齢階層×在院期間区分F02F09[#Headers],0)),0)+IFERROR(INDEX(年齢階層×在院期間区分F02F09[#All],MATCH($AK11,年齢階層×在院期間区分F02F09[[#All],[行ラベル]],0),MATCH($AN$4,年齢階層×在院期間区分F02F09[#Headers],0)),0)+IFERROR(INDEX(年齢階層×在院期間区分F02F09[#All],MATCH($AK11,年齢階層×在院期間区分F02F09[[#All],[行ラベル]],0),MATCH($AO$4,年齢階層×在院期間区分F02F09[#Headers],0)),0)</f>
        <v>250</v>
      </c>
      <c r="D11" s="156">
        <f t="shared" si="0"/>
        <v>0.28344671201814059</v>
      </c>
      <c r="E11" s="177">
        <f>IFERROR(INDEX(年齢階層×在院期間区分F02F09[#All],MATCH($AK11,年齢階層×在院期間区分F02F09[[#All],[行ラベル]],0),MATCH($AP$4,年齢階層×在院期間区分F02F09[#Headers],0)),0)+IFERROR(INDEX(年齢階層×在院期間区分F02F09[#All],MATCH($AK11,年齢階層×在院期間区分F02F09[[#All],[行ラベル]],0),MATCH($AQ$4,年齢階層×在院期間区分F02F09[#Headers],0)),0)+IFERROR(INDEX(年齢階層×在院期間区分F02F09[#All],MATCH($AK11,年齢階層×在院期間区分F02F09[[#All],[行ラベル]],0),MATCH($AR$4,年齢階層×在院期間区分F02F09[#Headers],0)),0)+IFERROR(INDEX(年齢階層×在院期間区分F02F09[#All],MATCH($AK11,年齢階層×在院期間区分F02F09[[#All],[行ラベル]],0),MATCH($AS$4,年齢階層×在院期間区分F02F09[#Headers],0)),0)+IFERROR(INDEX(年齢階層×在院期間区分F02F09[#All],MATCH($AK11,年齢階層×在院期間区分F02F09[[#All],[行ラベル]],0),MATCH($AT$4,年齢階層×在院期間区分F02F09[#Headers],0)),0)</f>
        <v>157</v>
      </c>
      <c r="F11" s="155">
        <f t="shared" si="1"/>
        <v>0.28390596745027125</v>
      </c>
      <c r="G11" s="177">
        <f>IFERROR(INDEX(年齢階層×在院期間区分F02F09[#All],MATCH($AK11,年齢階層×在院期間区分F02F09[[#All],[行ラベル]],0),MATCH($AU$4,年齢階層×在院期間区分F02F09[#Headers],0)),0)+IFERROR(INDEX(年齢階層×在院期間区分F02F09[#All],MATCH($AK11,年齢階層×在院期間区分F02F09[[#All],[行ラベル]],0),MATCH($AV$4,年齢階層×在院期間区分F02F09[#Headers],0)),0)+IFERROR(INDEX(年齢階層×在院期間区分F02F09[#All],MATCH($AK11,年齢階層×在院期間区分F02F09[[#All],[行ラベル]],0),MATCH($AW$4,年齢階層×在院期間区分F02F09[#Headers],0)),0)+IFERROR(INDEX(年齢階層×在院期間区分F02F09[#All],MATCH($AK11,年齢階層×在院期間区分F02F09[[#All],[行ラベル]],0),MATCH($AX$4,年齢階層×在院期間区分F02F09[#Headers],0)),0)+IFERROR(INDEX(年齢階層×在院期間区分F02F09[#All],MATCH($AK11,年齢階層×在院期間区分F02F09[[#All],[行ラベル]],0),MATCH($AY$4,年齢階層×在院期間区分F02F09[#Headers],0)),0)</f>
        <v>34</v>
      </c>
      <c r="H11" s="155">
        <f t="shared" si="2"/>
        <v>0.19767441860465115</v>
      </c>
      <c r="I11" s="154">
        <f>IFERROR(INDEX(年齢階層×在院期間区分F02F09[#All],MATCH($AK11,年齢階層×在院期間区分F02F09[[#All],[行ラベル]],0),MATCH($AZ$4,年齢階層×在院期間区分F02F09[#Headers],0)),0)+IFERROR(INDEX(年齢階層×在院期間区分F02F09[#All],MATCH($AK11,年齢階層×在院期間区分F02F09[[#All],[行ラベル]],0),MATCH($BA$4,年齢階層×在院期間区分F02F09[#Headers],0)),0)</f>
        <v>22</v>
      </c>
      <c r="J11" s="155">
        <f t="shared" si="3"/>
        <v>0.26829268292682928</v>
      </c>
      <c r="K11" s="154">
        <f t="shared" si="4"/>
        <v>463</v>
      </c>
      <c r="L11" s="155">
        <f t="shared" si="5"/>
        <v>0.27412670219064533</v>
      </c>
      <c r="O11" s="53" t="s">
        <v>8</v>
      </c>
      <c r="P11" s="61">
        <v>52</v>
      </c>
      <c r="Q11" s="61">
        <v>91</v>
      </c>
      <c r="R11" s="61">
        <v>44</v>
      </c>
      <c r="S11" s="61">
        <v>63</v>
      </c>
      <c r="T11" s="61">
        <v>39</v>
      </c>
      <c r="U11" s="61">
        <v>23</v>
      </c>
      <c r="V11" s="61">
        <v>43</v>
      </c>
      <c r="W11" s="61">
        <v>30</v>
      </c>
      <c r="X11" s="61">
        <v>22</v>
      </c>
      <c r="Y11" s="61">
        <v>10</v>
      </c>
      <c r="Z11" s="61">
        <v>8</v>
      </c>
      <c r="AA11" s="61">
        <v>6</v>
      </c>
      <c r="AB11" s="61">
        <v>7</v>
      </c>
      <c r="AC11" s="61">
        <v>3</v>
      </c>
      <c r="AD11" s="61">
        <v>10</v>
      </c>
      <c r="AE11" s="61">
        <v>12</v>
      </c>
      <c r="AK11" s="53" t="s">
        <v>8</v>
      </c>
      <c r="AL11" s="62"/>
      <c r="AM11" s="62"/>
      <c r="AO11" s="66"/>
    </row>
    <row r="12" spans="2:53" s="21" customFormat="1" ht="18.75" customHeight="1" x14ac:dyDescent="0.2">
      <c r="B12" s="176" t="s">
        <v>9</v>
      </c>
      <c r="C12" s="154">
        <f>IFERROR(INDEX(年齢階層×在院期間区分F02F09[#All],MATCH($AK12,年齢階層×在院期間区分F02F09[[#All],[行ラベル]],0),MATCH($AL$4,年齢階層×在院期間区分F02F09[#Headers],0)),0)+IFERROR(INDEX(年齢階層×在院期間区分F02F09[#All],MATCH($AK12,年齢階層×在院期間区分F02F09[[#All],[行ラベル]],0),MATCH($AM$4,年齢階層×在院期間区分F02F09[#Headers],0)),0)+IFERROR(INDEX(年齢階層×在院期間区分F02F09[#All],MATCH($AK12,年齢階層×在院期間区分F02F09[[#All],[行ラベル]],0),MATCH($AN$4,年齢階層×在院期間区分F02F09[#Headers],0)),0)+IFERROR(INDEX(年齢階層×在院期間区分F02F09[#All],MATCH($AK12,年齢階層×在院期間区分F02F09[[#All],[行ラベル]],0),MATCH($AO$4,年齢階層×在院期間区分F02F09[#Headers],0)),0)</f>
        <v>412</v>
      </c>
      <c r="D12" s="155">
        <f t="shared" si="0"/>
        <v>0.46712018140589567</v>
      </c>
      <c r="E12" s="177">
        <f>IFERROR(INDEX(年齢階層×在院期間区分F02F09[#All],MATCH($AK12,年齢階層×在院期間区分F02F09[[#All],[行ラベル]],0),MATCH($AP$4,年齢階層×在院期間区分F02F09[#Headers],0)),0)+IFERROR(INDEX(年齢階層×在院期間区分F02F09[#All],MATCH($AK12,年齢階層×在院期間区分F02F09[[#All],[行ラベル]],0),MATCH($AQ$4,年齢階層×在院期間区分F02F09[#Headers],0)),0)+IFERROR(INDEX(年齢階層×在院期間区分F02F09[#All],MATCH($AK12,年齢階層×在院期間区分F02F09[[#All],[行ラベル]],0),MATCH($AR$4,年齢階層×在院期間区分F02F09[#Headers],0)),0)+IFERROR(INDEX(年齢階層×在院期間区分F02F09[#All],MATCH($AK12,年齢階層×在院期間区分F02F09[[#All],[行ラベル]],0),MATCH($AS$4,年齢階層×在院期間区分F02F09[#Headers],0)),0)+IFERROR(INDEX(年齢階層×在院期間区分F02F09[#All],MATCH($AK12,年齢階層×在院期間区分F02F09[[#All],[行ラベル]],0),MATCH($AT$4,年齢階層×在院期間区分F02F09[#Headers],0)),0)</f>
        <v>236</v>
      </c>
      <c r="F12" s="156">
        <f t="shared" si="1"/>
        <v>0.4267631103074141</v>
      </c>
      <c r="G12" s="177">
        <f>IFERROR(INDEX(年齢階層×在院期間区分F02F09[#All],MATCH($AK12,年齢階層×在院期間区分F02F09[[#All],[行ラベル]],0),MATCH($AU$4,年齢階層×在院期間区分F02F09[#Headers],0)),0)+IFERROR(INDEX(年齢階層×在院期間区分F02F09[#All],MATCH($AK12,年齢階層×在院期間区分F02F09[[#All],[行ラベル]],0),MATCH($AV$4,年齢階層×在院期間区分F02F09[#Headers],0)),0)+IFERROR(INDEX(年齢階層×在院期間区分F02F09[#All],MATCH($AK12,年齢階層×在院期間区分F02F09[[#All],[行ラベル]],0),MATCH($AW$4,年齢階層×在院期間区分F02F09[#Headers],0)),0)+IFERROR(INDEX(年齢階層×在院期間区分F02F09[#All],MATCH($AK12,年齢階層×在院期間区分F02F09[[#All],[行ラベル]],0),MATCH($AX$4,年齢階層×在院期間区分F02F09[#Headers],0)),0)+IFERROR(INDEX(年齢階層×在院期間区分F02F09[#All],MATCH($AK12,年齢階層×在院期間区分F02F09[[#All],[行ラベル]],0),MATCH($AY$4,年齢階層×在院期間区分F02F09[#Headers],0)),0)</f>
        <v>66</v>
      </c>
      <c r="H12" s="156">
        <f t="shared" si="2"/>
        <v>0.38372093023255816</v>
      </c>
      <c r="I12" s="178">
        <f>IFERROR(INDEX(年齢階層×在院期間区分F02F09[#All],MATCH($AK12,年齢階層×在院期間区分F02F09[[#All],[行ラベル]],0),MATCH($AZ$4,年齢階層×在院期間区分F02F09[#Headers],0)),0)+IFERROR(INDEX(年齢階層×在院期間区分F02F09[#All],MATCH($AK12,年齢階層×在院期間区分F02F09[[#All],[行ラベル]],0),MATCH($BA$4,年齢階層×在院期間区分F02F09[#Headers],0)),0)</f>
        <v>17</v>
      </c>
      <c r="J12" s="155">
        <f t="shared" si="3"/>
        <v>0.2073170731707317</v>
      </c>
      <c r="K12" s="154">
        <f t="shared" si="4"/>
        <v>731</v>
      </c>
      <c r="L12" s="155">
        <f t="shared" si="5"/>
        <v>0.43280047365304913</v>
      </c>
      <c r="O12" s="53" t="s">
        <v>9</v>
      </c>
      <c r="P12" s="61">
        <v>95</v>
      </c>
      <c r="Q12" s="61">
        <v>128</v>
      </c>
      <c r="R12" s="61">
        <v>87</v>
      </c>
      <c r="S12" s="61">
        <v>102</v>
      </c>
      <c r="T12" s="61">
        <v>61</v>
      </c>
      <c r="U12" s="61">
        <v>45</v>
      </c>
      <c r="V12" s="61">
        <v>53</v>
      </c>
      <c r="W12" s="61">
        <v>42</v>
      </c>
      <c r="X12" s="61">
        <v>35</v>
      </c>
      <c r="Y12" s="61">
        <v>22</v>
      </c>
      <c r="Z12" s="61">
        <v>15</v>
      </c>
      <c r="AA12" s="61">
        <v>9</v>
      </c>
      <c r="AB12" s="61">
        <v>11</v>
      </c>
      <c r="AC12" s="61">
        <v>9</v>
      </c>
      <c r="AD12" s="61">
        <v>13</v>
      </c>
      <c r="AE12" s="61">
        <v>4</v>
      </c>
      <c r="AK12" s="53" t="s">
        <v>9</v>
      </c>
      <c r="AL12" s="62"/>
      <c r="AM12" s="62"/>
      <c r="AO12" s="66"/>
    </row>
    <row r="13" spans="2:53" s="21" customFormat="1" ht="18.75" customHeight="1" thickBot="1" x14ac:dyDescent="0.25">
      <c r="B13" s="179" t="s">
        <v>10</v>
      </c>
      <c r="C13" s="180">
        <f>IFERROR(INDEX(年齢階層×在院期間区分F02F09[#All],MATCH($AK13,年齢階層×在院期間区分F02F09[[#All],[行ラベル]],0),MATCH($AL$4,年齢階層×在院期間区分F02F09[#Headers],0)),0)+IFERROR(INDEX(年齢階層×在院期間区分F02F09[#All],MATCH($AK13,年齢階層×在院期間区分F02F09[[#All],[行ラベル]],0),MATCH($AM$4,年齢階層×在院期間区分F02F09[#Headers],0)),0)+IFERROR(INDEX(年齢階層×在院期間区分F02F09[#All],MATCH($AK13,年齢階層×在院期間区分F02F09[[#All],[行ラベル]],0),MATCH($AN$4,年齢階層×在院期間区分F02F09[#Headers],0)),0)+IFERROR(INDEX(年齢階層×在院期間区分F02F09[#All],MATCH($AK13,年齢階層×在院期間区分F02F09[[#All],[行ラベル]],0),MATCH($AO$4,年齢階層×在院期間区分F02F09[#Headers],0)),0)</f>
        <v>97</v>
      </c>
      <c r="D13" s="158">
        <f t="shared" si="0"/>
        <v>0.10997732426303855</v>
      </c>
      <c r="E13" s="157">
        <f>IFERROR(INDEX(年齢階層×在院期間区分F02F09[#All],MATCH($AK13,年齢階層×在院期間区分F02F09[[#All],[行ラベル]],0),MATCH($AP$4,年齢階層×在院期間区分F02F09[#Headers],0)),0)+IFERROR(INDEX(年齢階層×在院期間区分F02F09[#All],MATCH($AK13,年齢階層×在院期間区分F02F09[[#All],[行ラベル]],0),MATCH($AQ$4,年齢階層×在院期間区分F02F09[#Headers],0)),0)+IFERROR(INDEX(年齢階層×在院期間区分F02F09[#All],MATCH($AK13,年齢階層×在院期間区分F02F09[[#All],[行ラベル]],0),MATCH($AR$4,年齢階層×在院期間区分F02F09[#Headers],0)),0)+IFERROR(INDEX(年齢階層×在院期間区分F02F09[#All],MATCH($AK13,年齢階層×在院期間区分F02F09[[#All],[行ラベル]],0),MATCH($AS$4,年齢階層×在院期間区分F02F09[#Headers],0)),0)+IFERROR(INDEX(年齢階層×在院期間区分F02F09[#All],MATCH($AK13,年齢階層×在院期間区分F02F09[[#All],[行ラベル]],0),MATCH($AT$4,年齢階層×在院期間区分F02F09[#Headers],0)),0)</f>
        <v>65</v>
      </c>
      <c r="F13" s="159">
        <f t="shared" si="1"/>
        <v>0.11754068716094032</v>
      </c>
      <c r="G13" s="157">
        <f>IFERROR(INDEX(年齢階層×在院期間区分F02F09[#All],MATCH($AK13,年齢階層×在院期間区分F02F09[[#All],[行ラベル]],0),MATCH($AU$4,年齢階層×在院期間区分F02F09[#Headers],0)),0)+IFERROR(INDEX(年齢階層×在院期間区分F02F09[#All],MATCH($AK13,年齢階層×在院期間区分F02F09[[#All],[行ラベル]],0),MATCH($AV$4,年齢階層×在院期間区分F02F09[#Headers],0)),0)+IFERROR(INDEX(年齢階層×在院期間区分F02F09[#All],MATCH($AK13,年齢階層×在院期間区分F02F09[[#All],[行ラベル]],0),MATCH($AW$4,年齢階層×在院期間区分F02F09[#Headers],0)),0)+IFERROR(INDEX(年齢階層×在院期間区分F02F09[#All],MATCH($AK13,年齢階層×在院期間区分F02F09[[#All],[行ラベル]],0),MATCH($AX$4,年齢階層×在院期間区分F02F09[#Headers],0)),0)+IFERROR(INDEX(年齢階層×在院期間区分F02F09[#All],MATCH($AK13,年齢階層×在院期間区分F02F09[[#All],[行ラベル]],0),MATCH($AY$4,年齢階層×在院期間区分F02F09[#Headers],0)),0)</f>
        <v>24</v>
      </c>
      <c r="H13" s="159">
        <f t="shared" si="2"/>
        <v>0.13953488372093023</v>
      </c>
      <c r="I13" s="157">
        <f>IFERROR(INDEX(年齢階層×在院期間区分F02F09[#All],MATCH($AK13,年齢階層×在院期間区分F02F09[[#All],[行ラベル]],0),MATCH($AZ$4,年齢階層×在院期間区分F02F09[#Headers],0)),0)+IFERROR(INDEX(年齢階層×在院期間区分F02F09[#All],MATCH($AK13,年齢階層×在院期間区分F02F09[[#All],[行ラベル]],0),MATCH($BA$4,年齢階層×在院期間区分F02F09[#Headers],0)),0)</f>
        <v>10</v>
      </c>
      <c r="J13" s="158">
        <f t="shared" si="3"/>
        <v>0.12195121951219512</v>
      </c>
      <c r="K13" s="157">
        <f t="shared" si="4"/>
        <v>196</v>
      </c>
      <c r="L13" s="158">
        <f t="shared" si="5"/>
        <v>0.11604499703966845</v>
      </c>
      <c r="O13" s="53" t="s">
        <v>10</v>
      </c>
      <c r="P13" s="61">
        <v>20</v>
      </c>
      <c r="Q13" s="61">
        <v>31</v>
      </c>
      <c r="R13" s="61">
        <v>26</v>
      </c>
      <c r="S13" s="61">
        <v>20</v>
      </c>
      <c r="T13" s="61">
        <v>20</v>
      </c>
      <c r="U13" s="61">
        <v>4</v>
      </c>
      <c r="V13" s="61">
        <v>17</v>
      </c>
      <c r="W13" s="61">
        <v>13</v>
      </c>
      <c r="X13" s="61">
        <v>11</v>
      </c>
      <c r="Y13" s="61">
        <v>7</v>
      </c>
      <c r="Z13" s="61">
        <v>8</v>
      </c>
      <c r="AA13" s="61">
        <v>6</v>
      </c>
      <c r="AB13" s="61">
        <v>1</v>
      </c>
      <c r="AC13" s="61">
        <v>2</v>
      </c>
      <c r="AD13" s="61">
        <v>8</v>
      </c>
      <c r="AE13" s="61">
        <v>2</v>
      </c>
      <c r="AK13" s="53" t="s">
        <v>10</v>
      </c>
      <c r="AL13" s="62"/>
      <c r="AM13" s="62"/>
      <c r="AO13" s="66"/>
    </row>
    <row r="14" spans="2:53" s="21" customFormat="1" ht="18.75" customHeight="1" thickTop="1" thickBot="1" x14ac:dyDescent="0.25">
      <c r="B14" s="181" t="s">
        <v>161</v>
      </c>
      <c r="C14" s="182">
        <f>SUM(C5:C13)</f>
        <v>882</v>
      </c>
      <c r="D14" s="190">
        <f t="shared" si="0"/>
        <v>1</v>
      </c>
      <c r="E14" s="182">
        <f>SUM(E5:E13)</f>
        <v>553</v>
      </c>
      <c r="F14" s="190">
        <f t="shared" si="1"/>
        <v>1</v>
      </c>
      <c r="G14" s="182">
        <f>SUM(G5:G13)</f>
        <v>172</v>
      </c>
      <c r="H14" s="190">
        <f t="shared" si="2"/>
        <v>1</v>
      </c>
      <c r="I14" s="182">
        <f>SUM(I5:I13)</f>
        <v>82</v>
      </c>
      <c r="J14" s="190">
        <f t="shared" si="3"/>
        <v>1</v>
      </c>
      <c r="K14" s="182">
        <f>SUM(K5:K13)</f>
        <v>1689</v>
      </c>
      <c r="L14" s="190">
        <f t="shared" si="5"/>
        <v>1</v>
      </c>
      <c r="O14" s="298" t="s">
        <v>308</v>
      </c>
      <c r="P14" s="348" t="s">
        <v>182</v>
      </c>
      <c r="Q14" s="348" t="s">
        <v>183</v>
      </c>
      <c r="R14" s="348" t="s">
        <v>184</v>
      </c>
      <c r="S14" s="348" t="s">
        <v>185</v>
      </c>
      <c r="T14" s="348" t="s">
        <v>186</v>
      </c>
      <c r="U14" s="348" t="s">
        <v>187</v>
      </c>
      <c r="V14" s="348" t="s">
        <v>188</v>
      </c>
      <c r="W14" s="348" t="s">
        <v>189</v>
      </c>
      <c r="X14" s="348" t="s">
        <v>190</v>
      </c>
      <c r="Y14" s="348" t="s">
        <v>191</v>
      </c>
      <c r="Z14" s="348" t="s">
        <v>192</v>
      </c>
      <c r="AA14" s="348" t="s">
        <v>193</v>
      </c>
      <c r="AB14" s="348" t="s">
        <v>194</v>
      </c>
      <c r="AC14" s="348" t="s">
        <v>195</v>
      </c>
      <c r="AD14" s="348" t="s">
        <v>196</v>
      </c>
      <c r="AE14" s="55" t="s">
        <v>197</v>
      </c>
      <c r="AK14" s="66"/>
      <c r="AL14" s="66"/>
      <c r="AO14" s="66"/>
    </row>
    <row r="15" spans="2:53" s="21" customFormat="1" ht="18.75" customHeight="1" thickTop="1" x14ac:dyDescent="0.2">
      <c r="B15" s="184" t="s">
        <v>93</v>
      </c>
      <c r="C15" s="185">
        <f>IFERROR(INDEX(年齢階層×在院期間区分F02F09_65歳未満以上[#All],MATCH($AK15,年齢階層×在院期間区分F02F09_65歳未満以上[[#All],[列1]],0),MATCH($AL$4,年齢階層×在院期間区分F02F09_65歳未満以上[#Headers],0)),0)+IFERROR(INDEX(年齢階層×在院期間区分F02F09_65歳未満以上[#All],MATCH($AK15,年齢階層×在院期間区分F02F09_65歳未満以上[[#All],[列1]],0),MATCH($AM$4,年齢階層×在院期間区分F02F09_65歳未満以上[#Headers],0)),0)+IFERROR(INDEX(年齢階層×在院期間区分F02F09_65歳未満以上[#All],MATCH($AK15,年齢階層×在院期間区分F02F09_65歳未満以上[[#All],[列1]],0),MATCH($AN$4,年齢階層×在院期間区分F02F09_65歳未満以上[#Headers],0)),0)+IFERROR(INDEX(年齢階層×在院期間区分F02F09_65歳未満以上[#All],MATCH($AK15,年齢階層×在院期間区分F02F09_65歳未満以上[[#All],[列1]],0),MATCH($AO$4,年齢階層×在院期間区分F02F09_65歳未満以上[#Headers],0)),0)</f>
        <v>88</v>
      </c>
      <c r="D15" s="188">
        <f t="shared" si="0"/>
        <v>9.9773242630385492E-2</v>
      </c>
      <c r="E15" s="185">
        <f>IFERROR(INDEX(年齢階層×在院期間区分F02F09_65歳未満以上[#All],MATCH($AK15,年齢階層×在院期間区分F02F09_65歳未満以上[[#All],[列1]],0),MATCH($AP$4,年齢階層×在院期間区分F02F09_65歳未満以上[#Headers],0)),0)+IFERROR(INDEX(年齢階層×在院期間区分F02F09_65歳未満以上[#All],MATCH($AK15,年齢階層×在院期間区分F02F09_65歳未満以上[[#All],[列1]],0),MATCH($AQ$4,年齢階層×在院期間区分F02F09_65歳未満以上[#Headers],0)),0)+IFERROR(INDEX(年齢階層×在院期間区分F02F09_65歳未満以上[#All],MATCH($AK15,年齢階層×在院期間区分F02F09_65歳未満以上[[#All],[列1]],0),MATCH($AR$4,年齢階層×在院期間区分F02F09_65歳未満以上[#Headers],0)),0)+IFERROR(INDEX(年齢階層×在院期間区分F02F09_65歳未満以上[#All],MATCH($AK15,年齢階層×在院期間区分F02F09_65歳未満以上[[#All],[列1]],0),MATCH($AS$4,年齢階層×在院期間区分F02F09_65歳未満以上[#Headers],0)),0)+IFERROR(INDEX(年齢階層×在院期間区分F02F09_65歳未満以上[#All],MATCH($AK15,年齢階層×在院期間区分F02F09_65歳未満以上[[#All],[列1]],0),MATCH($AT$4,年齢階層×在院期間区分F02F09_65歳未満以上[#Headers],0)),0)</f>
        <v>77</v>
      </c>
      <c r="F15" s="188">
        <f t="shared" si="1"/>
        <v>0.13924050632911392</v>
      </c>
      <c r="G15" s="185">
        <f>IFERROR(INDEX(年齢階層×在院期間区分F02F09_65歳未満以上[#All],MATCH($AK15,年齢階層×在院期間区分F02F09_65歳未満以上[[#All],[列1]],0),MATCH($AU$4,年齢階層×在院期間区分F02F09_65歳未満以上[#Headers],0)),0)+IFERROR(INDEX(年齢階層×在院期間区分F02F09_65歳未満以上[#All],MATCH($AK15,年齢階層×在院期間区分F02F09_65歳未満以上[[#All],[列1]],0),MATCH($AV$4,年齢階層×在院期間区分F02F09_65歳未満以上[#Headers],0)),0)+IFERROR(INDEX(年齢階層×在院期間区分F02F09_65歳未満以上[#All],MATCH($AK15,年齢階層×在院期間区分F02F09_65歳未満以上[[#All],[列1]],0),MATCH($AW$4,年齢階層×在院期間区分F02F09_65歳未満以上[#Headers],0)),0)+IFERROR(INDEX(年齢階層×在院期間区分F02F09_65歳未満以上[#All],MATCH($AK15,年齢階層×在院期間区分F02F09_65歳未満以上[[#All],[列1]],0),MATCH($AX$4,年齢階層×在院期間区分F02F09_65歳未満以上[#Headers],0)),0)+IFERROR(INDEX(年齢階層×在院期間区分F02F09_65歳未満以上[#All],MATCH($AK15,年齢階層×在院期間区分F02F09_65歳未満以上[[#All],[列1]],0),MATCH($AY$4,年齢階層×在院期間区分F02F09_65歳未満以上[#Headers],0)),0)</f>
        <v>38</v>
      </c>
      <c r="H15" s="188">
        <f t="shared" si="2"/>
        <v>0.22093023255813954</v>
      </c>
      <c r="I15" s="185">
        <f>IFERROR(INDEX(年齢階層×在院期間区分F02F09_65歳未満以上[#All],MATCH($AK15,年齢階層×在院期間区分F02F09_65歳未満以上[[#All],[列1]],0),MATCH($AZ$4,年齢階層×在院期間区分F02F09_65歳未満以上[#Headers],0)),0)+IFERROR(INDEX(年齢階層×在院期間区分F02F09_65歳未満以上[#All],MATCH($AK15,年齢階層×在院期間区分F02F09_65歳未満以上[[#All],[列1]],0),MATCH($BA$4,年齢階層×在院期間区分F02F09_65歳未満以上[#Headers],0)),0)</f>
        <v>23</v>
      </c>
      <c r="J15" s="188">
        <f t="shared" si="3"/>
        <v>0.28048780487804881</v>
      </c>
      <c r="K15" s="185">
        <f>C15+E15+G15+I15</f>
        <v>226</v>
      </c>
      <c r="L15" s="188">
        <f t="shared" si="5"/>
        <v>0.13380698638247485</v>
      </c>
      <c r="O15" s="53" t="s">
        <v>306</v>
      </c>
      <c r="P15" s="61">
        <v>22</v>
      </c>
      <c r="Q15" s="61">
        <v>23</v>
      </c>
      <c r="R15" s="61">
        <v>19</v>
      </c>
      <c r="S15" s="61">
        <v>24</v>
      </c>
      <c r="T15" s="61">
        <v>19</v>
      </c>
      <c r="U15" s="61">
        <v>11</v>
      </c>
      <c r="V15" s="61">
        <v>21</v>
      </c>
      <c r="W15" s="61">
        <v>9</v>
      </c>
      <c r="X15" s="61">
        <v>17</v>
      </c>
      <c r="Y15" s="61">
        <v>12</v>
      </c>
      <c r="Z15" s="61">
        <v>6</v>
      </c>
      <c r="AA15" s="61">
        <v>11</v>
      </c>
      <c r="AB15" s="61">
        <v>3</v>
      </c>
      <c r="AC15" s="61">
        <v>6</v>
      </c>
      <c r="AD15" s="61">
        <v>17</v>
      </c>
      <c r="AE15" s="61">
        <v>6</v>
      </c>
      <c r="AK15" s="67" t="s">
        <v>156</v>
      </c>
    </row>
    <row r="16" spans="2:53" s="21" customFormat="1" ht="18.75" customHeight="1" x14ac:dyDescent="0.2">
      <c r="B16" s="186" t="s">
        <v>89</v>
      </c>
      <c r="C16" s="185">
        <f>IFERROR(INDEX(年齢階層×在院期間区分F02F09_65歳未満以上[#All],MATCH($AK16,年齢階層×在院期間区分F02F09_65歳未満以上[[#All],[列1]],0),MATCH($AL$4,年齢階層×在院期間区分F02F09_65歳未満以上[#Headers],0)),0)+IFERROR(INDEX(年齢階層×在院期間区分F02F09_65歳未満以上[#All],MATCH($AK16,年齢階層×在院期間区分F02F09_65歳未満以上[[#All],[列1]],0),MATCH($AM$4,年齢階層×在院期間区分F02F09_65歳未満以上[#Headers],0)),0)+IFERROR(INDEX(年齢階層×在院期間区分F02F09_65歳未満以上[#All],MATCH($AK16,年齢階層×在院期間区分F02F09_65歳未満以上[[#All],[列1]],0),MATCH($AN$4,年齢階層×在院期間区分F02F09_65歳未満以上[#Headers],0)),0)+IFERROR(INDEX(年齢階層×在院期間区分F02F09_65歳未満以上[#All],MATCH($AK16,年齢階層×在院期間区分F02F09_65歳未満以上[[#All],[列1]],0),MATCH($AO$4,年齢階層×在院期間区分F02F09_65歳未満以上[#Headers],0)),0)</f>
        <v>794</v>
      </c>
      <c r="D16" s="187">
        <f t="shared" si="0"/>
        <v>0.90022675736961455</v>
      </c>
      <c r="E16" s="185">
        <f>IFERROR(INDEX(年齢階層×在院期間区分F02F09_65歳未満以上[#All],MATCH($AK16,年齢階層×在院期間区分F02F09_65歳未満以上[[#All],[列1]],0),MATCH($AP$4,年齢階層×在院期間区分F02F09_65歳未満以上[#Headers],0)),0)+IFERROR(INDEX(年齢階層×在院期間区分F02F09_65歳未満以上[#All],MATCH($AK16,年齢階層×在院期間区分F02F09_65歳未満以上[[#All],[列1]],0),MATCH($AQ$4,年齢階層×在院期間区分F02F09_65歳未満以上[#Headers],0)),0)+IFERROR(INDEX(年齢階層×在院期間区分F02F09_65歳未満以上[#All],MATCH($AK16,年齢階層×在院期間区分F02F09_65歳未満以上[[#All],[列1]],0),MATCH($AR$4,年齢階層×在院期間区分F02F09_65歳未満以上[#Headers],0)),0)+IFERROR(INDEX(年齢階層×在院期間区分F02F09_65歳未満以上[#All],MATCH($AK16,年齢階層×在院期間区分F02F09_65歳未満以上[[#All],[列1]],0),MATCH($AS$4,年齢階層×在院期間区分F02F09_65歳未満以上[#Headers],0)),0)+IFERROR(INDEX(年齢階層×在院期間区分F02F09_65歳未満以上[#All],MATCH($AK16,年齢階層×在院期間区分F02F09_65歳未満以上[[#All],[列1]],0),MATCH($AT$4,年齢階層×在院期間区分F02F09_65歳未満以上[#Headers],0)),0)</f>
        <v>476</v>
      </c>
      <c r="F16" s="187">
        <f t="shared" si="1"/>
        <v>0.86075949367088611</v>
      </c>
      <c r="G16" s="185">
        <f>IFERROR(INDEX(年齢階層×在院期間区分F02F09_65歳未満以上[#All],MATCH($AK16,年齢階層×在院期間区分F02F09_65歳未満以上[[#All],[列1]],0),MATCH($AU$4,年齢階層×在院期間区分F02F09_65歳未満以上[#Headers],0)),0)+IFERROR(INDEX(年齢階層×在院期間区分F02F09_65歳未満以上[#All],MATCH($AK16,年齢階層×在院期間区分F02F09_65歳未満以上[[#All],[列1]],0),MATCH($AV$4,年齢階層×在院期間区分F02F09_65歳未満以上[#Headers],0)),0)+IFERROR(INDEX(年齢階層×在院期間区分F02F09_65歳未満以上[#All],MATCH($AK16,年齢階層×在院期間区分F02F09_65歳未満以上[[#All],[列1]],0),MATCH($AW$4,年齢階層×在院期間区分F02F09_65歳未満以上[#Headers],0)),0)+IFERROR(INDEX(年齢階層×在院期間区分F02F09_65歳未満以上[#All],MATCH($AK16,年齢階層×在院期間区分F02F09_65歳未満以上[[#All],[列1]],0),MATCH($AX$4,年齢階層×在院期間区分F02F09_65歳未満以上[#Headers],0)),0)+IFERROR(INDEX(年齢階層×在院期間区分F02F09_65歳未満以上[#All],MATCH($AK16,年齢階層×在院期間区分F02F09_65歳未満以上[[#All],[列1]],0),MATCH($AY$4,年齢階層×在院期間区分F02F09_65歳未満以上[#Headers],0)),0)</f>
        <v>134</v>
      </c>
      <c r="H16" s="187">
        <f t="shared" si="2"/>
        <v>0.77906976744186052</v>
      </c>
      <c r="I16" s="185">
        <f>IFERROR(INDEX(年齢階層×在院期間区分F02F09_65歳未満以上[#All],MATCH($AK16,年齢階層×在院期間区分F02F09_65歳未満以上[[#All],[列1]],0),MATCH($AZ$4,年齢階層×在院期間区分F02F09_65歳未満以上[#Headers],0)),0)+IFERROR(INDEX(年齢階層×在院期間区分F02F09_65歳未満以上[#All],MATCH($AK16,年齢階層×在院期間区分F02F09_65歳未満以上[[#All],[列1]],0),MATCH($BA$4,年齢階層×在院期間区分F02F09_65歳未満以上[#Headers],0)),0)</f>
        <v>59</v>
      </c>
      <c r="J16" s="187">
        <f t="shared" si="3"/>
        <v>0.71951219512195119</v>
      </c>
      <c r="K16" s="185">
        <f>C16+E16+G16+I16</f>
        <v>1463</v>
      </c>
      <c r="L16" s="187">
        <f t="shared" si="5"/>
        <v>0.86619301361752521</v>
      </c>
      <c r="O16" s="67" t="s">
        <v>307</v>
      </c>
      <c r="P16" s="61">
        <v>177</v>
      </c>
      <c r="Q16" s="61">
        <v>262</v>
      </c>
      <c r="R16" s="61">
        <v>164</v>
      </c>
      <c r="S16" s="61">
        <v>191</v>
      </c>
      <c r="T16" s="61">
        <v>124</v>
      </c>
      <c r="U16" s="61">
        <v>75</v>
      </c>
      <c r="V16" s="61">
        <v>118</v>
      </c>
      <c r="W16" s="61">
        <v>88</v>
      </c>
      <c r="X16" s="61">
        <v>71</v>
      </c>
      <c r="Y16" s="61">
        <v>40</v>
      </c>
      <c r="Z16" s="61">
        <v>36</v>
      </c>
      <c r="AA16" s="61">
        <v>24</v>
      </c>
      <c r="AB16" s="61">
        <v>20</v>
      </c>
      <c r="AC16" s="61">
        <v>14</v>
      </c>
      <c r="AD16" s="61">
        <v>39</v>
      </c>
      <c r="AE16" s="61">
        <v>20</v>
      </c>
      <c r="AK16" s="67" t="s">
        <v>88</v>
      </c>
    </row>
    <row r="17" spans="2:41" ht="18.75" customHeight="1" x14ac:dyDescent="0.2"/>
    <row r="18" spans="2:41" ht="18.75" customHeight="1" x14ac:dyDescent="0.2">
      <c r="B18" s="2" t="s">
        <v>165</v>
      </c>
    </row>
    <row r="19" spans="2:41" ht="18.75" customHeight="1" x14ac:dyDescent="0.2">
      <c r="B19" s="1004" t="s">
        <v>229</v>
      </c>
      <c r="C19" s="1004"/>
      <c r="D19" s="1004"/>
      <c r="E19" s="1004"/>
      <c r="F19" s="1004"/>
      <c r="G19" s="1004"/>
      <c r="H19" s="1004"/>
      <c r="I19" s="1004"/>
      <c r="J19" s="1004"/>
      <c r="K19" s="1004"/>
      <c r="L19" s="1004"/>
    </row>
    <row r="20" spans="2:41" ht="18.75" customHeight="1" thickBot="1" x14ac:dyDescent="0.25">
      <c r="B20" s="996" t="s">
        <v>65</v>
      </c>
      <c r="C20" s="998" t="s">
        <v>64</v>
      </c>
      <c r="D20" s="999"/>
      <c r="E20" s="999"/>
      <c r="F20" s="999"/>
      <c r="G20" s="999"/>
      <c r="H20" s="999"/>
      <c r="I20" s="999"/>
      <c r="J20" s="999"/>
      <c r="K20" s="999"/>
      <c r="L20" s="1000"/>
      <c r="O20" s="33" t="s">
        <v>63</v>
      </c>
    </row>
    <row r="21" spans="2:41" ht="18.75" customHeight="1" thickTop="1" thickBot="1" x14ac:dyDescent="0.25">
      <c r="B21" s="997"/>
      <c r="C21" s="1001" t="s">
        <v>69</v>
      </c>
      <c r="D21" s="1002"/>
      <c r="E21" s="1001" t="s">
        <v>70</v>
      </c>
      <c r="F21" s="1002"/>
      <c r="G21" s="1001" t="s">
        <v>71</v>
      </c>
      <c r="H21" s="1002"/>
      <c r="I21" s="1001" t="s">
        <v>72</v>
      </c>
      <c r="J21" s="1002"/>
      <c r="K21" s="1001" t="s">
        <v>62</v>
      </c>
      <c r="L21" s="1002"/>
      <c r="O21" s="298" t="s">
        <v>372</v>
      </c>
      <c r="P21" s="348" t="s">
        <v>182</v>
      </c>
      <c r="Q21" s="348" t="s">
        <v>183</v>
      </c>
      <c r="R21" s="348" t="s">
        <v>184</v>
      </c>
      <c r="S21" s="348" t="s">
        <v>185</v>
      </c>
      <c r="T21" s="348" t="s">
        <v>186</v>
      </c>
      <c r="U21" s="348" t="s">
        <v>187</v>
      </c>
      <c r="V21" s="348" t="s">
        <v>188</v>
      </c>
      <c r="W21" s="348" t="s">
        <v>189</v>
      </c>
      <c r="X21" s="348" t="s">
        <v>190</v>
      </c>
      <c r="Y21" s="348" t="s">
        <v>191</v>
      </c>
      <c r="Z21" s="348" t="s">
        <v>192</v>
      </c>
      <c r="AA21" s="348" t="s">
        <v>193</v>
      </c>
      <c r="AB21" s="348" t="s">
        <v>194</v>
      </c>
      <c r="AC21" s="348" t="s">
        <v>195</v>
      </c>
      <c r="AD21" s="348" t="s">
        <v>196</v>
      </c>
      <c r="AE21" s="55" t="s">
        <v>197</v>
      </c>
      <c r="AF21" s="21"/>
      <c r="AG21" s="21"/>
    </row>
    <row r="22" spans="2:41" s="21" customFormat="1" ht="18.75" customHeight="1" thickTop="1" x14ac:dyDescent="0.2">
      <c r="B22" s="174" t="s">
        <v>2</v>
      </c>
      <c r="C22" s="175">
        <f>IFERROR(INDEX(年齢階層×在院期間区分F02F09＿寛解・院内寛解[#All],MATCH($AK22,年齢階層×在院期間区分F02F09＿寛解・院内寛解[[#All],[行ラベル]],0),MATCH($AL$4,年齢階層×在院期間区分F02F09＿寛解・院内寛解[#Headers],0)),0)+IFERROR(INDEX(年齢階層×在院期間区分F02F09＿寛解・院内寛解[#All],MATCH($AK22,年齢階層×在院期間区分F02F09＿寛解・院内寛解[[#All],[行ラベル]],0),MATCH($AM$4,年齢階層×在院期間区分F02F09＿寛解・院内寛解[#Headers],0)),0)+IFERROR(INDEX(年齢階層×在院期間区分F02F09＿寛解・院内寛解[#All],MATCH($AK22,年齢階層×在院期間区分F02F09＿寛解・院内寛解[[#All],[行ラベル]],0),MATCH($AN$4,年齢階層×在院期間区分F02F09＿寛解・院内寛解[#Headers],0)),0)+IFERROR(INDEX(年齢階層×在院期間区分F02F09＿寛解・院内寛解[#All],MATCH($AK22,年齢階層×在院期間区分F02F09＿寛解・院内寛解[[#All],[行ラベル]],0),MATCH($AO$4,年齢階層×在院期間区分F02F09＿寛解・院内寛解[#Headers],0)),0)</f>
        <v>0</v>
      </c>
      <c r="D22" s="188">
        <f t="shared" ref="D22:D33" si="6">IFERROR(C22/$C$31,"-")</f>
        <v>0</v>
      </c>
      <c r="E22" s="175">
        <f>IFERROR(INDEX(年齢階層×在院期間区分F02F09＿寛解・院内寛解[#All],MATCH($AK22,年齢階層×在院期間区分F02F09＿寛解・院内寛解[[#All],[行ラベル]],0),MATCH($AP$4,年齢階層×在院期間区分F02F09＿寛解・院内寛解[#Headers],0)),0)+IFERROR(INDEX(年齢階層×在院期間区分F02F09＿寛解・院内寛解[#All],MATCH($AK22,年齢階層×在院期間区分F02F09＿寛解・院内寛解[[#All],[行ラベル]],0),MATCH($AQ$4,年齢階層×在院期間区分F02F09＿寛解・院内寛解[#Headers],0)),0)+IFERROR(INDEX(年齢階層×在院期間区分F02F09＿寛解・院内寛解[#All],MATCH($AK22,年齢階層×在院期間区分F02F09＿寛解・院内寛解[[#All],[行ラベル]],0),MATCH($AR$4,年齢階層×在院期間区分F02F09＿寛解・院内寛解[#Headers],0)),0)+IFERROR(INDEX(年齢階層×在院期間区分F02F09＿寛解・院内寛解[#All],MATCH($AK22,年齢階層×在院期間区分F02F09＿寛解・院内寛解[[#All],[行ラベル]],0),MATCH($AS$4,年齢階層×在院期間区分F02F09＿寛解・院内寛解[#Headers],0)),0)+IFERROR(INDEX(年齢階層×在院期間区分F02F09＿寛解・院内寛解[#All],MATCH($AK22,年齢階層×在院期間区分F02F09＿寛解・院内寛解[[#All],[行ラベル]],0),MATCH($AT$4,年齢階層×在院期間区分F02F09＿寛解・院内寛解[#Headers],0)),0)</f>
        <v>0</v>
      </c>
      <c r="F22" s="188">
        <f t="shared" ref="F22:F33" si="7">IFERROR(E22/$E$31,"-")</f>
        <v>0</v>
      </c>
      <c r="G22" s="169">
        <f>IFERROR(INDEX(年齢階層×在院期間区分F02F09＿寛解・院内寛解[#All],MATCH($AK22,年齢階層×在院期間区分F02F09＿寛解・院内寛解[[#All],[行ラベル]],0),MATCH($AU$4,年齢階層×在院期間区分F02F09＿寛解・院内寛解[#Headers],0)),0)+IFERROR(INDEX(年齢階層×在院期間区分F02F09＿寛解・院内寛解[#All],MATCH($AK22,年齢階層×在院期間区分F02F09＿寛解・院内寛解[[#All],[行ラベル]],0),MATCH($AV$4,年齢階層×在院期間区分F02F09＿寛解・院内寛解[#Headers],0)),0)+IFERROR(INDEX(年齢階層×在院期間区分F02F09＿寛解・院内寛解[#All],MATCH($AK22,年齢階層×在院期間区分F02F09＿寛解・院内寛解[[#All],[行ラベル]],0),MATCH($AW$4,年齢階層×在院期間区分F02F09＿寛解・院内寛解[#Headers],0)),0)+IFERROR(INDEX(年齢階層×在院期間区分F02F09＿寛解・院内寛解[#All],MATCH($AK22,年齢階層×在院期間区分F02F09＿寛解・院内寛解[[#All],[行ラベル]],0),MATCH($AX$4,年齢階層×在院期間区分F02F09＿寛解・院内寛解[#Headers],0)),0)+IFERROR(INDEX(年齢階層×在院期間区分F02F09＿寛解・院内寛解[#All],MATCH($AK22,年齢階層×在院期間区分F02F09＿寛解・院内寛解[[#All],[行ラベル]],0),MATCH($AY$4,年齢階層×在院期間区分F02F09＿寛解・院内寛解[#Headers],0)),0)</f>
        <v>0</v>
      </c>
      <c r="H22" s="188">
        <f t="shared" ref="H22:H33" si="8">IFERROR(G22/$G$31,"-")</f>
        <v>0</v>
      </c>
      <c r="I22" s="175">
        <f>IFERROR(INDEX(年齢階層×在院期間区分F02F09＿寛解・院内寛解[#All],MATCH($AK22,年齢階層×在院期間区分F02F09＿寛解・院内寛解[[#All],[行ラベル]],0),MATCH($AZ$4,年齢階層×在院期間区分F02F09＿寛解・院内寛解[#Headers],0)),0)+IFERROR(INDEX(年齢階層×在院期間区分F02F09＿寛解・院内寛解[#All],MATCH($AK22,年齢階層×在院期間区分F02F09＿寛解・院内寛解[[#All],[行ラベル]],0),MATCH($BA$4,年齢階層×在院期間区分F02F09＿寛解・院内寛解[#Headers],0)),0)</f>
        <v>0</v>
      </c>
      <c r="J22" s="188">
        <f t="shared" ref="J22:J33" si="9">IFERROR(I22/$I$31,"-")</f>
        <v>0</v>
      </c>
      <c r="K22" s="169">
        <f t="shared" ref="K22:K30" si="10">SUM(C22,E22,G22,I22)</f>
        <v>0</v>
      </c>
      <c r="L22" s="188">
        <f t="shared" ref="L22:L33" si="11">IFERROR(K22/$K$31,"-")</f>
        <v>0</v>
      </c>
      <c r="O22" s="53" t="s">
        <v>2</v>
      </c>
      <c r="P22" s="61">
        <v>0</v>
      </c>
      <c r="Q22" s="61">
        <v>0</v>
      </c>
      <c r="R22" s="61">
        <v>0</v>
      </c>
      <c r="S22" s="61">
        <v>0</v>
      </c>
      <c r="T22" s="61">
        <v>0</v>
      </c>
      <c r="U22" s="61">
        <v>0</v>
      </c>
      <c r="V22" s="61">
        <v>0</v>
      </c>
      <c r="W22" s="61">
        <v>0</v>
      </c>
      <c r="X22" s="61">
        <v>0</v>
      </c>
      <c r="Y22" s="61">
        <v>0</v>
      </c>
      <c r="Z22" s="61">
        <v>0</v>
      </c>
      <c r="AA22" s="61">
        <v>0</v>
      </c>
      <c r="AB22" s="61">
        <v>0</v>
      </c>
      <c r="AC22" s="61">
        <v>0</v>
      </c>
      <c r="AD22" s="61">
        <v>0</v>
      </c>
      <c r="AE22" s="61">
        <v>0</v>
      </c>
      <c r="AK22" s="53" t="s">
        <v>2</v>
      </c>
    </row>
    <row r="23" spans="2:41" s="21" customFormat="1" ht="18.75" customHeight="1" x14ac:dyDescent="0.2">
      <c r="B23" s="176" t="s">
        <v>3</v>
      </c>
      <c r="C23" s="177">
        <f>IFERROR(INDEX(年齢階層×在院期間区分F02F09＿寛解・院内寛解[#All],MATCH($AK23,年齢階層×在院期間区分F02F09＿寛解・院内寛解[[#All],[行ラベル]],0),MATCH($AL$4,年齢階層×在院期間区分F02F09＿寛解・院内寛解[#Headers],0)),0)+IFERROR(INDEX(年齢階層×在院期間区分F02F09＿寛解・院内寛解[#All],MATCH($AK23,年齢階層×在院期間区分F02F09＿寛解・院内寛解[[#All],[行ラベル]],0),MATCH($AM$4,年齢階層×在院期間区分F02F09＿寛解・院内寛解[#Headers],0)),0)+IFERROR(INDEX(年齢階層×在院期間区分F02F09＿寛解・院内寛解[#All],MATCH($AK23,年齢階層×在院期間区分F02F09＿寛解・院内寛解[[#All],[行ラベル]],0),MATCH($AN$4,年齢階層×在院期間区分F02F09＿寛解・院内寛解[#Headers],0)),0)+IFERROR(INDEX(年齢階層×在院期間区分F02F09＿寛解・院内寛解[#All],MATCH($AK23,年齢階層×在院期間区分F02F09＿寛解・院内寛解[[#All],[行ラベル]],0),MATCH($AO$4,年齢階層×在院期間区分F02F09＿寛解・院内寛解[#Headers],0)),0)</f>
        <v>0</v>
      </c>
      <c r="D23" s="155">
        <f t="shared" si="6"/>
        <v>0</v>
      </c>
      <c r="E23" s="177">
        <f>IFERROR(INDEX(年齢階層×在院期間区分F02F09＿寛解・院内寛解[#All],MATCH($AK23,年齢階層×在院期間区分F02F09＿寛解・院内寛解[[#All],[行ラベル]],0),MATCH($AP$4,年齢階層×在院期間区分F02F09＿寛解・院内寛解[#Headers],0)),0)+IFERROR(INDEX(年齢階層×在院期間区分F02F09＿寛解・院内寛解[#All],MATCH($AK23,年齢階層×在院期間区分F02F09＿寛解・院内寛解[[#All],[行ラベル]],0),MATCH($AQ$4,年齢階層×在院期間区分F02F09＿寛解・院内寛解[#Headers],0)),0)+IFERROR(INDEX(年齢階層×在院期間区分F02F09＿寛解・院内寛解[#All],MATCH($AK23,年齢階層×在院期間区分F02F09＿寛解・院内寛解[[#All],[行ラベル]],0),MATCH($AR$4,年齢階層×在院期間区分F02F09＿寛解・院内寛解[#Headers],0)),0)+IFERROR(INDEX(年齢階層×在院期間区分F02F09＿寛解・院内寛解[#All],MATCH($AK23,年齢階層×在院期間区分F02F09＿寛解・院内寛解[[#All],[行ラベル]],0),MATCH($AS$4,年齢階層×在院期間区分F02F09＿寛解・院内寛解[#Headers],0)),0)+IFERROR(INDEX(年齢階層×在院期間区分F02F09＿寛解・院内寛解[#All],MATCH($AK23,年齢階層×在院期間区分F02F09＿寛解・院内寛解[[#All],[行ラベル]],0),MATCH($AT$4,年齢階層×在院期間区分F02F09＿寛解・院内寛解[#Headers],0)),0)</f>
        <v>0</v>
      </c>
      <c r="F23" s="155">
        <f t="shared" si="7"/>
        <v>0</v>
      </c>
      <c r="G23" s="154">
        <f>IFERROR(INDEX(年齢階層×在院期間区分F02F09＿寛解・院内寛解[#All],MATCH($AK23,年齢階層×在院期間区分F02F09＿寛解・院内寛解[[#All],[行ラベル]],0),MATCH($AU$4,年齢階層×在院期間区分F02F09＿寛解・院内寛解[#Headers],0)),0)+IFERROR(INDEX(年齢階層×在院期間区分F02F09＿寛解・院内寛解[#All],MATCH($AK23,年齢階層×在院期間区分F02F09＿寛解・院内寛解[[#All],[行ラベル]],0),MATCH($AV$4,年齢階層×在院期間区分F02F09＿寛解・院内寛解[#Headers],0)),0)+IFERROR(INDEX(年齢階層×在院期間区分F02F09＿寛解・院内寛解[#All],MATCH($AK23,年齢階層×在院期間区分F02F09＿寛解・院内寛解[[#All],[行ラベル]],0),MATCH($AW$4,年齢階層×在院期間区分F02F09＿寛解・院内寛解[#Headers],0)),0)+IFERROR(INDEX(年齢階層×在院期間区分F02F09＿寛解・院内寛解[#All],MATCH($AK23,年齢階層×在院期間区分F02F09＿寛解・院内寛解[[#All],[行ラベル]],0),MATCH($AX$4,年齢階層×在院期間区分F02F09＿寛解・院内寛解[#Headers],0)),0)+IFERROR(INDEX(年齢階層×在院期間区分F02F09＿寛解・院内寛解[#All],MATCH($AK23,年齢階層×在院期間区分F02F09＿寛解・院内寛解[[#All],[行ラベル]],0),MATCH($AY$4,年齢階層×在院期間区分F02F09＿寛解・院内寛解[#Headers],0)),0)</f>
        <v>0</v>
      </c>
      <c r="H23" s="155">
        <f t="shared" si="8"/>
        <v>0</v>
      </c>
      <c r="I23" s="177">
        <f>IFERROR(INDEX(年齢階層×在院期間区分F02F09＿寛解・院内寛解[#All],MATCH($AK23,年齢階層×在院期間区分F02F09＿寛解・院内寛解[[#All],[行ラベル]],0),MATCH($AZ$4,年齢階層×在院期間区分F02F09＿寛解・院内寛解[#Headers],0)),0)+IFERROR(INDEX(年齢階層×在院期間区分F02F09＿寛解・院内寛解[#All],MATCH($AK23,年齢階層×在院期間区分F02F09＿寛解・院内寛解[[#All],[行ラベル]],0),MATCH($BA$4,年齢階層×在院期間区分F02F09＿寛解・院内寛解[#Headers],0)),0)</f>
        <v>0</v>
      </c>
      <c r="J23" s="155">
        <f t="shared" si="9"/>
        <v>0</v>
      </c>
      <c r="K23" s="154">
        <f t="shared" si="10"/>
        <v>0</v>
      </c>
      <c r="L23" s="155">
        <f t="shared" si="11"/>
        <v>0</v>
      </c>
      <c r="O23" s="53" t="s">
        <v>3</v>
      </c>
      <c r="P23" s="61">
        <v>0</v>
      </c>
      <c r="Q23" s="61">
        <v>0</v>
      </c>
      <c r="R23" s="61">
        <v>0</v>
      </c>
      <c r="S23" s="61">
        <v>0</v>
      </c>
      <c r="T23" s="61">
        <v>0</v>
      </c>
      <c r="U23" s="61">
        <v>0</v>
      </c>
      <c r="V23" s="61">
        <v>0</v>
      </c>
      <c r="W23" s="61">
        <v>0</v>
      </c>
      <c r="X23" s="61">
        <v>0</v>
      </c>
      <c r="Y23" s="61">
        <v>0</v>
      </c>
      <c r="Z23" s="61">
        <v>0</v>
      </c>
      <c r="AA23" s="61">
        <v>0</v>
      </c>
      <c r="AB23" s="61">
        <v>0</v>
      </c>
      <c r="AC23" s="61">
        <v>0</v>
      </c>
      <c r="AD23" s="61">
        <v>0</v>
      </c>
      <c r="AE23" s="61">
        <v>0</v>
      </c>
      <c r="AK23" s="53" t="s">
        <v>3</v>
      </c>
    </row>
    <row r="24" spans="2:41" s="21" customFormat="1" ht="18.75" customHeight="1" x14ac:dyDescent="0.2">
      <c r="B24" s="176" t="s">
        <v>4</v>
      </c>
      <c r="C24" s="154">
        <f>IFERROR(INDEX(年齢階層×在院期間区分F02F09＿寛解・院内寛解[#All],MATCH($AK24,年齢階層×在院期間区分F02F09＿寛解・院内寛解[[#All],[行ラベル]],0),MATCH($AL$4,年齢階層×在院期間区分F02F09＿寛解・院内寛解[#Headers],0)),0)+IFERROR(INDEX(年齢階層×在院期間区分F02F09＿寛解・院内寛解[#All],MATCH($AK24,年齢階層×在院期間区分F02F09＿寛解・院内寛解[[#All],[行ラベル]],0),MATCH($AM$4,年齢階層×在院期間区分F02F09＿寛解・院内寛解[#Headers],0)),0)+IFERROR(INDEX(年齢階層×在院期間区分F02F09＿寛解・院内寛解[#All],MATCH($AK24,年齢階層×在院期間区分F02F09＿寛解・院内寛解[[#All],[行ラベル]],0),MATCH($AN$4,年齢階層×在院期間区分F02F09＿寛解・院内寛解[#Headers],0)),0)+IFERROR(INDEX(年齢階層×在院期間区分F02F09＿寛解・院内寛解[#All],MATCH($AK24,年齢階層×在院期間区分F02F09＿寛解・院内寛解[[#All],[行ラベル]],0),MATCH($AO$4,年齢階層×在院期間区分F02F09＿寛解・院内寛解[#Headers],0)),0)</f>
        <v>0</v>
      </c>
      <c r="D24" s="155">
        <f t="shared" si="6"/>
        <v>0</v>
      </c>
      <c r="E24" s="177">
        <f>IFERROR(INDEX(年齢階層×在院期間区分F02F09＿寛解・院内寛解[#All],MATCH($AK24,年齢階層×在院期間区分F02F09＿寛解・院内寛解[[#All],[行ラベル]],0),MATCH($AP$4,年齢階層×在院期間区分F02F09＿寛解・院内寛解[#Headers],0)),0)+IFERROR(INDEX(年齢階層×在院期間区分F02F09＿寛解・院内寛解[#All],MATCH($AK24,年齢階層×在院期間区分F02F09＿寛解・院内寛解[[#All],[行ラベル]],0),MATCH($AQ$4,年齢階層×在院期間区分F02F09＿寛解・院内寛解[#Headers],0)),0)+IFERROR(INDEX(年齢階層×在院期間区分F02F09＿寛解・院内寛解[#All],MATCH($AK24,年齢階層×在院期間区分F02F09＿寛解・院内寛解[[#All],[行ラベル]],0),MATCH($AR$4,年齢階層×在院期間区分F02F09＿寛解・院内寛解[#Headers],0)),0)+IFERROR(INDEX(年齢階層×在院期間区分F02F09＿寛解・院内寛解[#All],MATCH($AK24,年齢階層×在院期間区分F02F09＿寛解・院内寛解[[#All],[行ラベル]],0),MATCH($AS$4,年齢階層×在院期間区分F02F09＿寛解・院内寛解[#Headers],0)),0)+IFERROR(INDEX(年齢階層×在院期間区分F02F09＿寛解・院内寛解[#All],MATCH($AK24,年齢階層×在院期間区分F02F09＿寛解・院内寛解[[#All],[行ラベル]],0),MATCH($AT$4,年齢階層×在院期間区分F02F09＿寛解・院内寛解[#Headers],0)),0)</f>
        <v>0</v>
      </c>
      <c r="F24" s="155">
        <f t="shared" si="7"/>
        <v>0</v>
      </c>
      <c r="G24" s="178">
        <f>IFERROR(INDEX(年齢階層×在院期間区分F02F09＿寛解・院内寛解[#All],MATCH($AK24,年齢階層×在院期間区分F02F09＿寛解・院内寛解[[#All],[行ラベル]],0),MATCH($AU$4,年齢階層×在院期間区分F02F09＿寛解・院内寛解[#Headers],0)),0)+IFERROR(INDEX(年齢階層×在院期間区分F02F09＿寛解・院内寛解[#All],MATCH($AK24,年齢階層×在院期間区分F02F09＿寛解・院内寛解[[#All],[行ラベル]],0),MATCH($AV$4,年齢階層×在院期間区分F02F09＿寛解・院内寛解[#Headers],0)),0)+IFERROR(INDEX(年齢階層×在院期間区分F02F09＿寛解・院内寛解[#All],MATCH($AK24,年齢階層×在院期間区分F02F09＿寛解・院内寛解[[#All],[行ラベル]],0),MATCH($AW$4,年齢階層×在院期間区分F02F09＿寛解・院内寛解[#Headers],0)),0)+IFERROR(INDEX(年齢階層×在院期間区分F02F09＿寛解・院内寛解[#All],MATCH($AK24,年齢階層×在院期間区分F02F09＿寛解・院内寛解[[#All],[行ラベル]],0),MATCH($AX$4,年齢階層×在院期間区分F02F09＿寛解・院内寛解[#Headers],0)),0)+IFERROR(INDEX(年齢階層×在院期間区分F02F09＿寛解・院内寛解[#All],MATCH($AK24,年齢階層×在院期間区分F02F09＿寛解・院内寛解[[#All],[行ラベル]],0),MATCH($AY$4,年齢階層×在院期間区分F02F09＿寛解・院内寛解[#Headers],0)),0)</f>
        <v>0</v>
      </c>
      <c r="H24" s="155">
        <f t="shared" si="8"/>
        <v>0</v>
      </c>
      <c r="I24" s="154">
        <f>IFERROR(INDEX(年齢階層×在院期間区分F02F09＿寛解・院内寛解[#All],MATCH($AK24,年齢階層×在院期間区分F02F09＿寛解・院内寛解[[#All],[行ラベル]],0),MATCH($AZ$4,年齢階層×在院期間区分F02F09＿寛解・院内寛解[#Headers],0)),0)+IFERROR(INDEX(年齢階層×在院期間区分F02F09＿寛解・院内寛解[#All],MATCH($AK24,年齢階層×在院期間区分F02F09＿寛解・院内寛解[[#All],[行ラベル]],0),MATCH($BA$4,年齢階層×在院期間区分F02F09＿寛解・院内寛解[#Headers],0)),0)</f>
        <v>0</v>
      </c>
      <c r="J24" s="155">
        <f t="shared" si="9"/>
        <v>0</v>
      </c>
      <c r="K24" s="154">
        <f t="shared" si="10"/>
        <v>0</v>
      </c>
      <c r="L24" s="155">
        <f t="shared" si="11"/>
        <v>0</v>
      </c>
      <c r="O24" s="53" t="s">
        <v>4</v>
      </c>
      <c r="P24" s="61">
        <v>0</v>
      </c>
      <c r="Q24" s="61">
        <v>0</v>
      </c>
      <c r="R24" s="61">
        <v>0</v>
      </c>
      <c r="S24" s="61">
        <v>0</v>
      </c>
      <c r="T24" s="61">
        <v>0</v>
      </c>
      <c r="U24" s="61">
        <v>0</v>
      </c>
      <c r="V24" s="61">
        <v>0</v>
      </c>
      <c r="W24" s="61">
        <v>0</v>
      </c>
      <c r="X24" s="61">
        <v>0</v>
      </c>
      <c r="Y24" s="61">
        <v>0</v>
      </c>
      <c r="Z24" s="61">
        <v>0</v>
      </c>
      <c r="AA24" s="61">
        <v>0</v>
      </c>
      <c r="AB24" s="61">
        <v>0</v>
      </c>
      <c r="AC24" s="61">
        <v>0</v>
      </c>
      <c r="AD24" s="61">
        <v>0</v>
      </c>
      <c r="AE24" s="61">
        <v>0</v>
      </c>
      <c r="AK24" s="53" t="s">
        <v>4</v>
      </c>
    </row>
    <row r="25" spans="2:41" s="21" customFormat="1" ht="18.75" customHeight="1" x14ac:dyDescent="0.2">
      <c r="B25" s="176" t="s">
        <v>5</v>
      </c>
      <c r="C25" s="154">
        <f>IFERROR(INDEX(年齢階層×在院期間区分F02F09＿寛解・院内寛解[#All],MATCH($AK25,年齢階層×在院期間区分F02F09＿寛解・院内寛解[[#All],[行ラベル]],0),MATCH($AL$4,年齢階層×在院期間区分F02F09＿寛解・院内寛解[#Headers],0)),0)+IFERROR(INDEX(年齢階層×在院期間区分F02F09＿寛解・院内寛解[#All],MATCH($AK25,年齢階層×在院期間区分F02F09＿寛解・院内寛解[[#All],[行ラベル]],0),MATCH($AM$4,年齢階層×在院期間区分F02F09＿寛解・院内寛解[#Headers],0)),0)+IFERROR(INDEX(年齢階層×在院期間区分F02F09＿寛解・院内寛解[#All],MATCH($AK25,年齢階層×在院期間区分F02F09＿寛解・院内寛解[[#All],[行ラベル]],0),MATCH($AN$4,年齢階層×在院期間区分F02F09＿寛解・院内寛解[#Headers],0)),0)+IFERROR(INDEX(年齢階層×在院期間区分F02F09＿寛解・院内寛解[#All],MATCH($AK25,年齢階層×在院期間区分F02F09＿寛解・院内寛解[[#All],[行ラベル]],0),MATCH($AO$4,年齢階層×在院期間区分F02F09＿寛解・院内寛解[#Headers],0)),0)</f>
        <v>0</v>
      </c>
      <c r="D25" s="155">
        <f t="shared" si="6"/>
        <v>0</v>
      </c>
      <c r="E25" s="154">
        <f>IFERROR(INDEX(年齢階層×在院期間区分F02F09＿寛解・院内寛解[#All],MATCH($AK25,年齢階層×在院期間区分F02F09＿寛解・院内寛解[[#All],[行ラベル]],0),MATCH($AP$4,年齢階層×在院期間区分F02F09＿寛解・院内寛解[#Headers],0)),0)+IFERROR(INDEX(年齢階層×在院期間区分F02F09＿寛解・院内寛解[#All],MATCH($AK25,年齢階層×在院期間区分F02F09＿寛解・院内寛解[[#All],[行ラベル]],0),MATCH($AQ$4,年齢階層×在院期間区分F02F09＿寛解・院内寛解[#Headers],0)),0)+IFERROR(INDEX(年齢階層×在院期間区分F02F09＿寛解・院内寛解[#All],MATCH($AK25,年齢階層×在院期間区分F02F09＿寛解・院内寛解[[#All],[行ラベル]],0),MATCH($AR$4,年齢階層×在院期間区分F02F09＿寛解・院内寛解[#Headers],0)),0)+IFERROR(INDEX(年齢階層×在院期間区分F02F09＿寛解・院内寛解[#All],MATCH($AK25,年齢階層×在院期間区分F02F09＿寛解・院内寛解[[#All],[行ラベル]],0),MATCH($AS$4,年齢階層×在院期間区分F02F09＿寛解・院内寛解[#Headers],0)),0)+IFERROR(INDEX(年齢階層×在院期間区分F02F09＿寛解・院内寛解[#All],MATCH($AK25,年齢階層×在院期間区分F02F09＿寛解・院内寛解[[#All],[行ラベル]],0),MATCH($AT$4,年齢階層×在院期間区分F02F09＿寛解・院内寛解[#Headers],0)),0)</f>
        <v>1</v>
      </c>
      <c r="F25" s="155">
        <f t="shared" si="7"/>
        <v>2.8571428571428571E-2</v>
      </c>
      <c r="G25" s="154">
        <f>IFERROR(INDEX(年齢階層×在院期間区分F02F09＿寛解・院内寛解[#All],MATCH($AK25,年齢階層×在院期間区分F02F09＿寛解・院内寛解[[#All],[行ラベル]],0),MATCH($AU$4,年齢階層×在院期間区分F02F09＿寛解・院内寛解[#Headers],0)),0)+IFERROR(INDEX(年齢階層×在院期間区分F02F09＿寛解・院内寛解[#All],MATCH($AK25,年齢階層×在院期間区分F02F09＿寛解・院内寛解[[#All],[行ラベル]],0),MATCH($AV$4,年齢階層×在院期間区分F02F09＿寛解・院内寛解[#Headers],0)),0)+IFERROR(INDEX(年齢階層×在院期間区分F02F09＿寛解・院内寛解[#All],MATCH($AK25,年齢階層×在院期間区分F02F09＿寛解・院内寛解[[#All],[行ラベル]],0),MATCH($AW$4,年齢階層×在院期間区分F02F09＿寛解・院内寛解[#Headers],0)),0)+IFERROR(INDEX(年齢階層×在院期間区分F02F09＿寛解・院内寛解[#All],MATCH($AK25,年齢階層×在院期間区分F02F09＿寛解・院内寛解[[#All],[行ラベル]],0),MATCH($AX$4,年齢階層×在院期間区分F02F09＿寛解・院内寛解[#Headers],0)),0)+IFERROR(INDEX(年齢階層×在院期間区分F02F09＿寛解・院内寛解[#All],MATCH($AK25,年齢階層×在院期間区分F02F09＿寛解・院内寛解[[#All],[行ラベル]],0),MATCH($AY$4,年齢階層×在院期間区分F02F09＿寛解・院内寛解[#Headers],0)),0)</f>
        <v>0</v>
      </c>
      <c r="H25" s="155">
        <f t="shared" si="8"/>
        <v>0</v>
      </c>
      <c r="I25" s="154">
        <f>IFERROR(INDEX(年齢階層×在院期間区分F02F09＿寛解・院内寛解[#All],MATCH($AK25,年齢階層×在院期間区分F02F09＿寛解・院内寛解[[#All],[行ラベル]],0),MATCH($AZ$4,年齢階層×在院期間区分F02F09＿寛解・院内寛解[#Headers],0)),0)+IFERROR(INDEX(年齢階層×在院期間区分F02F09＿寛解・院内寛解[#All],MATCH($AK25,年齢階層×在院期間区分F02F09＿寛解・院内寛解[[#All],[行ラベル]],0),MATCH($BA$4,年齢階層×在院期間区分F02F09＿寛解・院内寛解[#Headers],0)),0)</f>
        <v>1</v>
      </c>
      <c r="J25" s="155">
        <f t="shared" si="9"/>
        <v>0.16666666666666666</v>
      </c>
      <c r="K25" s="154">
        <f t="shared" si="10"/>
        <v>2</v>
      </c>
      <c r="L25" s="155">
        <f t="shared" si="11"/>
        <v>1.3333333333333334E-2</v>
      </c>
      <c r="O25" s="53" t="s">
        <v>5</v>
      </c>
      <c r="P25" s="61">
        <v>0</v>
      </c>
      <c r="Q25" s="61">
        <v>0</v>
      </c>
      <c r="R25" s="61">
        <v>0</v>
      </c>
      <c r="S25" s="61">
        <v>0</v>
      </c>
      <c r="T25" s="61">
        <v>1</v>
      </c>
      <c r="U25" s="61">
        <v>0</v>
      </c>
      <c r="V25" s="61">
        <v>0</v>
      </c>
      <c r="W25" s="61">
        <v>0</v>
      </c>
      <c r="X25" s="61">
        <v>0</v>
      </c>
      <c r="Y25" s="61">
        <v>0</v>
      </c>
      <c r="Z25" s="61">
        <v>0</v>
      </c>
      <c r="AA25" s="61">
        <v>0</v>
      </c>
      <c r="AB25" s="61">
        <v>0</v>
      </c>
      <c r="AC25" s="61">
        <v>0</v>
      </c>
      <c r="AD25" s="61">
        <v>1</v>
      </c>
      <c r="AE25" s="61">
        <v>0</v>
      </c>
      <c r="AK25" s="53" t="s">
        <v>5</v>
      </c>
    </row>
    <row r="26" spans="2:41" s="21" customFormat="1" ht="18.75" customHeight="1" x14ac:dyDescent="0.2">
      <c r="B26" s="176" t="s">
        <v>6</v>
      </c>
      <c r="C26" s="178">
        <f>IFERROR(INDEX(年齢階層×在院期間区分F02F09＿寛解・院内寛解[#All],MATCH($AK26,年齢階層×在院期間区分F02F09＿寛解・院内寛解[[#All],[行ラベル]],0),MATCH($AL$4,年齢階層×在院期間区分F02F09＿寛解・院内寛解[#Headers],0)),0)+IFERROR(INDEX(年齢階層×在院期間区分F02F09＿寛解・院内寛解[#All],MATCH($AK26,年齢階層×在院期間区分F02F09＿寛解・院内寛解[[#All],[行ラベル]],0),MATCH($AM$4,年齢階層×在院期間区分F02F09＿寛解・院内寛解[#Headers],0)),0)+IFERROR(INDEX(年齢階層×在院期間区分F02F09＿寛解・院内寛解[#All],MATCH($AK26,年齢階層×在院期間区分F02F09＿寛解・院内寛解[[#All],[行ラベル]],0),MATCH($AN$4,年齢階層×在院期間区分F02F09＿寛解・院内寛解[#Headers],0)),0)+IFERROR(INDEX(年齢階層×在院期間区分F02F09＿寛解・院内寛解[#All],MATCH($AK26,年齢階層×在院期間区分F02F09＿寛解・院内寛解[[#All],[行ラベル]],0),MATCH($AO$4,年齢階層×在院期間区分F02F09＿寛解・院内寛解[#Headers],0)),0)</f>
        <v>6</v>
      </c>
      <c r="D26" s="155">
        <f t="shared" si="6"/>
        <v>6.3829787234042548E-2</v>
      </c>
      <c r="E26" s="154">
        <f>IFERROR(INDEX(年齢階層×在院期間区分F02F09＿寛解・院内寛解[#All],MATCH($AK26,年齢階層×在院期間区分F02F09＿寛解・院内寛解[[#All],[行ラベル]],0),MATCH($AP$4,年齢階層×在院期間区分F02F09＿寛解・院内寛解[#Headers],0)),0)+IFERROR(INDEX(年齢階層×在院期間区分F02F09＿寛解・院内寛解[#All],MATCH($AK26,年齢階層×在院期間区分F02F09＿寛解・院内寛解[[#All],[行ラベル]],0),MATCH($AQ$4,年齢階層×在院期間区分F02F09＿寛解・院内寛解[#Headers],0)),0)+IFERROR(INDEX(年齢階層×在院期間区分F02F09＿寛解・院内寛解[#All],MATCH($AK26,年齢階層×在院期間区分F02F09＿寛解・院内寛解[[#All],[行ラベル]],0),MATCH($AR$4,年齢階層×在院期間区分F02F09＿寛解・院内寛解[#Headers],0)),0)+IFERROR(INDEX(年齢階層×在院期間区分F02F09＿寛解・院内寛解[#All],MATCH($AK26,年齢階層×在院期間区分F02F09＿寛解・院内寛解[[#All],[行ラベル]],0),MATCH($AS$4,年齢階層×在院期間区分F02F09＿寛解・院内寛解[#Headers],0)),0)+IFERROR(INDEX(年齢階層×在院期間区分F02F09＿寛解・院内寛解[#All],MATCH($AK26,年齢階層×在院期間区分F02F09＿寛解・院内寛解[[#All],[行ラベル]],0),MATCH($AT$4,年齢階層×在院期間区分F02F09＿寛解・院内寛解[#Headers],0)),0)</f>
        <v>2</v>
      </c>
      <c r="F26" s="155">
        <f t="shared" si="7"/>
        <v>5.7142857142857141E-2</v>
      </c>
      <c r="G26" s="178">
        <f>IFERROR(INDEX(年齢階層×在院期間区分F02F09＿寛解・院内寛解[#All],MATCH($AK26,年齢階層×在院期間区分F02F09＿寛解・院内寛解[[#All],[行ラベル]],0),MATCH($AU$4,年齢階層×在院期間区分F02F09＿寛解・院内寛解[#Headers],0)),0)+IFERROR(INDEX(年齢階層×在院期間区分F02F09＿寛解・院内寛解[#All],MATCH($AK26,年齢階層×在院期間区分F02F09＿寛解・院内寛解[[#All],[行ラベル]],0),MATCH($AV$4,年齢階層×在院期間区分F02F09＿寛解・院内寛解[#Headers],0)),0)+IFERROR(INDEX(年齢階層×在院期間区分F02F09＿寛解・院内寛解[#All],MATCH($AK26,年齢階層×在院期間区分F02F09＿寛解・院内寛解[[#All],[行ラベル]],0),MATCH($AW$4,年齢階層×在院期間区分F02F09＿寛解・院内寛解[#Headers],0)),0)+IFERROR(INDEX(年齢階層×在院期間区分F02F09＿寛解・院内寛解[#All],MATCH($AK26,年齢階層×在院期間区分F02F09＿寛解・院内寛解[[#All],[行ラベル]],0),MATCH($AX$4,年齢階層×在院期間区分F02F09＿寛解・院内寛解[#Headers],0)),0)+IFERROR(INDEX(年齢階層×在院期間区分F02F09＿寛解・院内寛解[#All],MATCH($AK26,年齢階層×在院期間区分F02F09＿寛解・院内寛解[[#All],[行ラベル]],0),MATCH($AY$4,年齢階層×在院期間区分F02F09＿寛解・院内寛解[#Headers],0)),0)</f>
        <v>1</v>
      </c>
      <c r="H26" s="155">
        <f t="shared" si="8"/>
        <v>6.6666666666666666E-2</v>
      </c>
      <c r="I26" s="154">
        <f>IFERROR(INDEX(年齢階層×在院期間区分F02F09＿寛解・院内寛解[#All],MATCH($AK26,年齢階層×在院期間区分F02F09＿寛解・院内寛解[[#All],[行ラベル]],0),MATCH($AZ$4,年齢階層×在院期間区分F02F09＿寛解・院内寛解[#Headers],0)),0)+IFERROR(INDEX(年齢階層×在院期間区分F02F09＿寛解・院内寛解[#All],MATCH($AK26,年齢階層×在院期間区分F02F09＿寛解・院内寛解[[#All],[行ラベル]],0),MATCH($BA$4,年齢階層×在院期間区分F02F09＿寛解・院内寛解[#Headers],0)),0)</f>
        <v>1</v>
      </c>
      <c r="J26" s="155">
        <f t="shared" si="9"/>
        <v>0.16666666666666666</v>
      </c>
      <c r="K26" s="154">
        <f t="shared" si="10"/>
        <v>10</v>
      </c>
      <c r="L26" s="155">
        <f t="shared" si="11"/>
        <v>6.6666666666666666E-2</v>
      </c>
      <c r="O26" s="53" t="s">
        <v>6</v>
      </c>
      <c r="P26" s="61">
        <v>1</v>
      </c>
      <c r="Q26" s="61">
        <v>2</v>
      </c>
      <c r="R26" s="61">
        <v>1</v>
      </c>
      <c r="S26" s="61">
        <v>2</v>
      </c>
      <c r="T26" s="61">
        <v>0</v>
      </c>
      <c r="U26" s="61">
        <v>1</v>
      </c>
      <c r="V26" s="61">
        <v>1</v>
      </c>
      <c r="W26" s="61">
        <v>0</v>
      </c>
      <c r="X26" s="61">
        <v>0</v>
      </c>
      <c r="Y26" s="61">
        <v>0</v>
      </c>
      <c r="Z26" s="61">
        <v>0</v>
      </c>
      <c r="AA26" s="61">
        <v>0</v>
      </c>
      <c r="AB26" s="61">
        <v>0</v>
      </c>
      <c r="AC26" s="61">
        <v>1</v>
      </c>
      <c r="AD26" s="61">
        <v>1</v>
      </c>
      <c r="AE26" s="61">
        <v>0</v>
      </c>
      <c r="AK26" s="53" t="s">
        <v>6</v>
      </c>
    </row>
    <row r="27" spans="2:41" s="21" customFormat="1" ht="18.75" customHeight="1" x14ac:dyDescent="0.2">
      <c r="B27" s="176" t="s">
        <v>7</v>
      </c>
      <c r="C27" s="177">
        <f>IFERROR(INDEX(年齢階層×在院期間区分F02F09＿寛解・院内寛解[#All],MATCH($AK27,年齢階層×在院期間区分F02F09＿寛解・院内寛解[[#All],[行ラベル]],0),MATCH($AL$4,年齢階層×在院期間区分F02F09＿寛解・院内寛解[#Headers],0)),0)+IFERROR(INDEX(年齢階層×在院期間区分F02F09＿寛解・院内寛解[#All],MATCH($AK27,年齢階層×在院期間区分F02F09＿寛解・院内寛解[[#All],[行ラベル]],0),MATCH($AM$4,年齢階層×在院期間区分F02F09＿寛解・院内寛解[#Headers],0)),0)+IFERROR(INDEX(年齢階層×在院期間区分F02F09＿寛解・院内寛解[#All],MATCH($AK27,年齢階層×在院期間区分F02F09＿寛解・院内寛解[[#All],[行ラベル]],0),MATCH($AN$4,年齢階層×在院期間区分F02F09＿寛解・院内寛解[#Headers],0)),0)+IFERROR(INDEX(年齢階層×在院期間区分F02F09＿寛解・院内寛解[#All],MATCH($AK27,年齢階層×在院期間区分F02F09＿寛解・院内寛解[[#All],[行ラベル]],0),MATCH($AO$4,年齢階層×在院期間区分F02F09＿寛解・院内寛解[#Headers],0)),0)</f>
        <v>14</v>
      </c>
      <c r="D27" s="155">
        <f t="shared" si="6"/>
        <v>0.14893617021276595</v>
      </c>
      <c r="E27" s="154">
        <f>IFERROR(INDEX(年齢階層×在院期間区分F02F09＿寛解・院内寛解[#All],MATCH($AK27,年齢階層×在院期間区分F02F09＿寛解・院内寛解[[#All],[行ラベル]],0),MATCH($AP$4,年齢階層×在院期間区分F02F09＿寛解・院内寛解[#Headers],0)),0)+IFERROR(INDEX(年齢階層×在院期間区分F02F09＿寛解・院内寛解[#All],MATCH($AK27,年齢階層×在院期間区分F02F09＿寛解・院内寛解[[#All],[行ラベル]],0),MATCH($AQ$4,年齢階層×在院期間区分F02F09＿寛解・院内寛解[#Headers],0)),0)+IFERROR(INDEX(年齢階層×在院期間区分F02F09＿寛解・院内寛解[#All],MATCH($AK27,年齢階層×在院期間区分F02F09＿寛解・院内寛解[[#All],[行ラベル]],0),MATCH($AR$4,年齢階層×在院期間区分F02F09＿寛解・院内寛解[#Headers],0)),0)+IFERROR(INDEX(年齢階層×在院期間区分F02F09＿寛解・院内寛解[#All],MATCH($AK27,年齢階層×在院期間区分F02F09＿寛解・院内寛解[[#All],[行ラベル]],0),MATCH($AS$4,年齢階層×在院期間区分F02F09＿寛解・院内寛解[#Headers],0)),0)+IFERROR(INDEX(年齢階層×在院期間区分F02F09＿寛解・院内寛解[#All],MATCH($AK27,年齢階層×在院期間区分F02F09＿寛解・院内寛解[[#All],[行ラベル]],0),MATCH($AT$4,年齢階層×在院期間区分F02F09＿寛解・院内寛解[#Headers],0)),0)</f>
        <v>7</v>
      </c>
      <c r="F27" s="155">
        <f t="shared" si="7"/>
        <v>0.2</v>
      </c>
      <c r="G27" s="177">
        <f>IFERROR(INDEX(年齢階層×在院期間区分F02F09＿寛解・院内寛解[#All],MATCH($AK27,年齢階層×在院期間区分F02F09＿寛解・院内寛解[[#All],[行ラベル]],0),MATCH($AU$4,年齢階層×在院期間区分F02F09＿寛解・院内寛解[#Headers],0)),0)+IFERROR(INDEX(年齢階層×在院期間区分F02F09＿寛解・院内寛解[#All],MATCH($AK27,年齢階層×在院期間区分F02F09＿寛解・院内寛解[[#All],[行ラベル]],0),MATCH($AV$4,年齢階層×在院期間区分F02F09＿寛解・院内寛解[#Headers],0)),0)+IFERROR(INDEX(年齢階層×在院期間区分F02F09＿寛解・院内寛解[#All],MATCH($AK27,年齢階層×在院期間区分F02F09＿寛解・院内寛解[[#All],[行ラベル]],0),MATCH($AW$4,年齢階層×在院期間区分F02F09＿寛解・院内寛解[#Headers],0)),0)+IFERROR(INDEX(年齢階層×在院期間区分F02F09＿寛解・院内寛解[#All],MATCH($AK27,年齢階層×在院期間区分F02F09＿寛解・院内寛解[[#All],[行ラベル]],0),MATCH($AX$4,年齢階層×在院期間区分F02F09＿寛解・院内寛解[#Headers],0)),0)+IFERROR(INDEX(年齢階層×在院期間区分F02F09＿寛解・院内寛解[#All],MATCH($AK27,年齢階層×在院期間区分F02F09＿寛解・院内寛解[[#All],[行ラベル]],0),MATCH($AY$4,年齢階層×在院期間区分F02F09＿寛解・院内寛解[#Headers],0)),0)</f>
        <v>2</v>
      </c>
      <c r="H27" s="155">
        <f t="shared" si="8"/>
        <v>0.13333333333333333</v>
      </c>
      <c r="I27" s="154">
        <f>IFERROR(INDEX(年齢階層×在院期間区分F02F09＿寛解・院内寛解[#All],MATCH($AK27,年齢階層×在院期間区分F02F09＿寛解・院内寛解[[#All],[行ラベル]],0),MATCH($AZ$4,年齢階層×在院期間区分F02F09＿寛解・院内寛解[#Headers],0)),0)+IFERROR(INDEX(年齢階層×在院期間区分F02F09＿寛解・院内寛解[#All],MATCH($AK27,年齢階層×在院期間区分F02F09＿寛解・院内寛解[[#All],[行ラベル]],0),MATCH($BA$4,年齢階層×在院期間区分F02F09＿寛解・院内寛解[#Headers],0)),0)</f>
        <v>2</v>
      </c>
      <c r="J27" s="155">
        <f t="shared" si="9"/>
        <v>0.33333333333333331</v>
      </c>
      <c r="K27" s="154">
        <f t="shared" si="10"/>
        <v>25</v>
      </c>
      <c r="L27" s="155">
        <f t="shared" si="11"/>
        <v>0.16666666666666666</v>
      </c>
      <c r="O27" s="53" t="s">
        <v>7</v>
      </c>
      <c r="P27" s="61">
        <v>4</v>
      </c>
      <c r="Q27" s="61">
        <v>8</v>
      </c>
      <c r="R27" s="61">
        <v>2</v>
      </c>
      <c r="S27" s="61">
        <v>0</v>
      </c>
      <c r="T27" s="61">
        <v>1</v>
      </c>
      <c r="U27" s="61">
        <v>0</v>
      </c>
      <c r="V27" s="61">
        <v>3</v>
      </c>
      <c r="W27" s="61">
        <v>0</v>
      </c>
      <c r="X27" s="61">
        <v>3</v>
      </c>
      <c r="Y27" s="61">
        <v>0</v>
      </c>
      <c r="Z27" s="61">
        <v>2</v>
      </c>
      <c r="AA27" s="61">
        <v>0</v>
      </c>
      <c r="AB27" s="61">
        <v>0</v>
      </c>
      <c r="AC27" s="61">
        <v>0</v>
      </c>
      <c r="AD27" s="61">
        <v>1</v>
      </c>
      <c r="AE27" s="61">
        <v>1</v>
      </c>
      <c r="AK27" s="53" t="s">
        <v>7</v>
      </c>
    </row>
    <row r="28" spans="2:41" s="21" customFormat="1" ht="18.75" customHeight="1" x14ac:dyDescent="0.2">
      <c r="B28" s="176" t="s">
        <v>8</v>
      </c>
      <c r="C28" s="154">
        <f>IFERROR(INDEX(年齢階層×在院期間区分F02F09＿寛解・院内寛解[#All],MATCH($AK28,年齢階層×在院期間区分F02F09＿寛解・院内寛解[[#All],[行ラベル]],0),MATCH($AL$4,年齢階層×在院期間区分F02F09＿寛解・院内寛解[#Headers],0)),0)+IFERROR(INDEX(年齢階層×在院期間区分F02F09＿寛解・院内寛解[#All],MATCH($AK28,年齢階層×在院期間区分F02F09＿寛解・院内寛解[[#All],[行ラベル]],0),MATCH($AM$4,年齢階層×在院期間区分F02F09＿寛解・院内寛解[#Headers],0)),0)+IFERROR(INDEX(年齢階層×在院期間区分F02F09＿寛解・院内寛解[#All],MATCH($AK28,年齢階層×在院期間区分F02F09＿寛解・院内寛解[[#All],[行ラベル]],0),MATCH($AN$4,年齢階層×在院期間区分F02F09＿寛解・院内寛解[#Headers],0)),0)+IFERROR(INDEX(年齢階層×在院期間区分F02F09＿寛解・院内寛解[#All],MATCH($AK28,年齢階層×在院期間区分F02F09＿寛解・院内寛解[[#All],[行ラベル]],0),MATCH($AO$4,年齢階層×在院期間区分F02F09＿寛解・院内寛解[#Headers],0)),0)</f>
        <v>20</v>
      </c>
      <c r="D28" s="155">
        <f t="shared" si="6"/>
        <v>0.21276595744680851</v>
      </c>
      <c r="E28" s="154">
        <f>IFERROR(INDEX(年齢階層×在院期間区分F02F09＿寛解・院内寛解[#All],MATCH($AK28,年齢階層×在院期間区分F02F09＿寛解・院内寛解[[#All],[行ラベル]],0),MATCH($AP$4,年齢階層×在院期間区分F02F09＿寛解・院内寛解[#Headers],0)),0)+IFERROR(INDEX(年齢階層×在院期間区分F02F09＿寛解・院内寛解[#All],MATCH($AK28,年齢階層×在院期間区分F02F09＿寛解・院内寛解[[#All],[行ラベル]],0),MATCH($AQ$4,年齢階層×在院期間区分F02F09＿寛解・院内寛解[#Headers],0)),0)+IFERROR(INDEX(年齢階層×在院期間区分F02F09＿寛解・院内寛解[#All],MATCH($AK28,年齢階層×在院期間区分F02F09＿寛解・院内寛解[[#All],[行ラベル]],0),MATCH($AR$4,年齢階層×在院期間区分F02F09＿寛解・院内寛解[#Headers],0)),0)+IFERROR(INDEX(年齢階層×在院期間区分F02F09＿寛解・院内寛解[#All],MATCH($AK28,年齢階層×在院期間区分F02F09＿寛解・院内寛解[[#All],[行ラベル]],0),MATCH($AS$4,年齢階層×在院期間区分F02F09＿寛解・院内寛解[#Headers],0)),0)+IFERROR(INDEX(年齢階層×在院期間区分F02F09＿寛解・院内寛解[#All],MATCH($AK28,年齢階層×在院期間区分F02F09＿寛解・院内寛解[[#All],[行ラベル]],0),MATCH($AT$4,年齢階層×在院期間区分F02F09＿寛解・院内寛解[#Headers],0)),0)</f>
        <v>7</v>
      </c>
      <c r="F28" s="155">
        <f t="shared" si="7"/>
        <v>0.2</v>
      </c>
      <c r="G28" s="177">
        <f>IFERROR(INDEX(年齢階層×在院期間区分F02F09＿寛解・院内寛解[#All],MATCH($AK28,年齢階層×在院期間区分F02F09＿寛解・院内寛解[[#All],[行ラベル]],0),MATCH($AU$4,年齢階層×在院期間区分F02F09＿寛解・院内寛解[#Headers],0)),0)+IFERROR(INDEX(年齢階層×在院期間区分F02F09＿寛解・院内寛解[#All],MATCH($AK28,年齢階層×在院期間区分F02F09＿寛解・院内寛解[[#All],[行ラベル]],0),MATCH($AV$4,年齢階層×在院期間区分F02F09＿寛解・院内寛解[#Headers],0)),0)+IFERROR(INDEX(年齢階層×在院期間区分F02F09＿寛解・院内寛解[#All],MATCH($AK28,年齢階層×在院期間区分F02F09＿寛解・院内寛解[[#All],[行ラベル]],0),MATCH($AW$4,年齢階層×在院期間区分F02F09＿寛解・院内寛解[#Headers],0)),0)+IFERROR(INDEX(年齢階層×在院期間区分F02F09＿寛解・院内寛解[#All],MATCH($AK28,年齢階層×在院期間区分F02F09＿寛解・院内寛解[[#All],[行ラベル]],0),MATCH($AX$4,年齢階層×在院期間区分F02F09＿寛解・院内寛解[#Headers],0)),0)+IFERROR(INDEX(年齢階層×在院期間区分F02F09＿寛解・院内寛解[#All],MATCH($AK28,年齢階層×在院期間区分F02F09＿寛解・院内寛解[[#All],[行ラベル]],0),MATCH($AY$4,年齢階層×在院期間区分F02F09＿寛解・院内寛解[#Headers],0)),0)</f>
        <v>7</v>
      </c>
      <c r="H28" s="155">
        <f t="shared" si="8"/>
        <v>0.46666666666666667</v>
      </c>
      <c r="I28" s="154">
        <f>IFERROR(INDEX(年齢階層×在院期間区分F02F09＿寛解・院内寛解[#All],MATCH($AK28,年齢階層×在院期間区分F02F09＿寛解・院内寛解[[#All],[行ラベル]],0),MATCH($AZ$4,年齢階層×在院期間区分F02F09＿寛解・院内寛解[#Headers],0)),0)+IFERROR(INDEX(年齢階層×在院期間区分F02F09＿寛解・院内寛解[#All],MATCH($AK28,年齢階層×在院期間区分F02F09＿寛解・院内寛解[[#All],[行ラベル]],0),MATCH($BA$4,年齢階層×在院期間区分F02F09＿寛解・院内寛解[#Headers],0)),0)</f>
        <v>1</v>
      </c>
      <c r="J28" s="155">
        <f t="shared" si="9"/>
        <v>0.16666666666666666</v>
      </c>
      <c r="K28" s="154">
        <f t="shared" si="10"/>
        <v>35</v>
      </c>
      <c r="L28" s="155">
        <f t="shared" si="11"/>
        <v>0.23333333333333334</v>
      </c>
      <c r="O28" s="53" t="s">
        <v>8</v>
      </c>
      <c r="P28" s="61">
        <v>6</v>
      </c>
      <c r="Q28" s="61">
        <v>7</v>
      </c>
      <c r="R28" s="61">
        <v>2</v>
      </c>
      <c r="S28" s="61">
        <v>5</v>
      </c>
      <c r="T28" s="61">
        <v>2</v>
      </c>
      <c r="U28" s="61">
        <v>3</v>
      </c>
      <c r="V28" s="61">
        <v>1</v>
      </c>
      <c r="W28" s="61">
        <v>1</v>
      </c>
      <c r="X28" s="61">
        <v>0</v>
      </c>
      <c r="Y28" s="61">
        <v>4</v>
      </c>
      <c r="Z28" s="61">
        <v>2</v>
      </c>
      <c r="AA28" s="61">
        <v>0</v>
      </c>
      <c r="AB28" s="61">
        <v>1</v>
      </c>
      <c r="AC28" s="61">
        <v>0</v>
      </c>
      <c r="AD28" s="61">
        <v>1</v>
      </c>
      <c r="AE28" s="61">
        <v>0</v>
      </c>
      <c r="AK28" s="53" t="s">
        <v>8</v>
      </c>
    </row>
    <row r="29" spans="2:41" s="21" customFormat="1" ht="18.75" customHeight="1" x14ac:dyDescent="0.2">
      <c r="B29" s="176" t="s">
        <v>9</v>
      </c>
      <c r="C29" s="178">
        <f>IFERROR(INDEX(年齢階層×在院期間区分F02F09＿寛解・院内寛解[#All],MATCH($AK29,年齢階層×在院期間区分F02F09＿寛解・院内寛解[[#All],[行ラベル]],0),MATCH($AL$4,年齢階層×在院期間区分F02F09＿寛解・院内寛解[#Headers],0)),0)+IFERROR(INDEX(年齢階層×在院期間区分F02F09＿寛解・院内寛解[#All],MATCH($AK29,年齢階層×在院期間区分F02F09＿寛解・院内寛解[[#All],[行ラベル]],0),MATCH($AM$4,年齢階層×在院期間区分F02F09＿寛解・院内寛解[#Headers],0)),0)+IFERROR(INDEX(年齢階層×在院期間区分F02F09＿寛解・院内寛解[#All],MATCH($AK29,年齢階層×在院期間区分F02F09＿寛解・院内寛解[[#All],[行ラベル]],0),MATCH($AN$4,年齢階層×在院期間区分F02F09＿寛解・院内寛解[#Headers],0)),0)+IFERROR(INDEX(年齢階層×在院期間区分F02F09＿寛解・院内寛解[#All],MATCH($AK29,年齢階層×在院期間区分F02F09＿寛解・院内寛解[[#All],[行ラベル]],0),MATCH($AO$4,年齢階層×在院期間区分F02F09＿寛解・院内寛解[#Headers],0)),0)</f>
        <v>45</v>
      </c>
      <c r="D29" s="155">
        <f t="shared" si="6"/>
        <v>0.47872340425531917</v>
      </c>
      <c r="E29" s="178">
        <f>IFERROR(INDEX(年齢階層×在院期間区分F02F09＿寛解・院内寛解[#All],MATCH($AK29,年齢階層×在院期間区分F02F09＿寛解・院内寛解[[#All],[行ラベル]],0),MATCH($AP$4,年齢階層×在院期間区分F02F09＿寛解・院内寛解[#Headers],0)),0)+IFERROR(INDEX(年齢階層×在院期間区分F02F09＿寛解・院内寛解[#All],MATCH($AK29,年齢階層×在院期間区分F02F09＿寛解・院内寛解[[#All],[行ラベル]],0),MATCH($AQ$4,年齢階層×在院期間区分F02F09＿寛解・院内寛解[#Headers],0)),0)+IFERROR(INDEX(年齢階層×在院期間区分F02F09＿寛解・院内寛解[#All],MATCH($AK29,年齢階層×在院期間区分F02F09＿寛解・院内寛解[[#All],[行ラベル]],0),MATCH($AR$4,年齢階層×在院期間区分F02F09＿寛解・院内寛解[#Headers],0)),0)+IFERROR(INDEX(年齢階層×在院期間区分F02F09＿寛解・院内寛解[#All],MATCH($AK29,年齢階層×在院期間区分F02F09＿寛解・院内寛解[[#All],[行ラベル]],0),MATCH($AS$4,年齢階層×在院期間区分F02F09＿寛解・院内寛解[#Headers],0)),0)+IFERROR(INDEX(年齢階層×在院期間区分F02F09＿寛解・院内寛解[#All],MATCH($AK29,年齢階層×在院期間区分F02F09＿寛解・院内寛解[[#All],[行ラベル]],0),MATCH($AT$4,年齢階層×在院期間区分F02F09＿寛解・院内寛解[#Headers],0)),0)</f>
        <v>17</v>
      </c>
      <c r="F29" s="155">
        <f t="shared" si="7"/>
        <v>0.48571428571428571</v>
      </c>
      <c r="G29" s="154">
        <f>IFERROR(INDEX(年齢階層×在院期間区分F02F09＿寛解・院内寛解[#All],MATCH($AK29,年齢階層×在院期間区分F02F09＿寛解・院内寛解[[#All],[行ラベル]],0),MATCH($AU$4,年齢階層×在院期間区分F02F09＿寛解・院内寛解[#Headers],0)),0)+IFERROR(INDEX(年齢階層×在院期間区分F02F09＿寛解・院内寛解[#All],MATCH($AK29,年齢階層×在院期間区分F02F09＿寛解・院内寛解[[#All],[行ラベル]],0),MATCH($AV$4,年齢階層×在院期間区分F02F09＿寛解・院内寛解[#Headers],0)),0)+IFERROR(INDEX(年齢階層×在院期間区分F02F09＿寛解・院内寛解[#All],MATCH($AK29,年齢階層×在院期間区分F02F09＿寛解・院内寛解[[#All],[行ラベル]],0),MATCH($AW$4,年齢階層×在院期間区分F02F09＿寛解・院内寛解[#Headers],0)),0)+IFERROR(INDEX(年齢階層×在院期間区分F02F09＿寛解・院内寛解[#All],MATCH($AK29,年齢階層×在院期間区分F02F09＿寛解・院内寛解[[#All],[行ラベル]],0),MATCH($AX$4,年齢階層×在院期間区分F02F09＿寛解・院内寛解[#Headers],0)),0)+IFERROR(INDEX(年齢階層×在院期間区分F02F09＿寛解・院内寛解[#All],MATCH($AK29,年齢階層×在院期間区分F02F09＿寛解・院内寛解[[#All],[行ラベル]],0),MATCH($AY$4,年齢階層×在院期間区分F02F09＿寛解・院内寛解[#Headers],0)),0)</f>
        <v>5</v>
      </c>
      <c r="H29" s="155">
        <f t="shared" si="8"/>
        <v>0.33333333333333331</v>
      </c>
      <c r="I29" s="154">
        <f>IFERROR(INDEX(年齢階層×在院期間区分F02F09＿寛解・院内寛解[#All],MATCH($AK29,年齢階層×在院期間区分F02F09＿寛解・院内寛解[[#All],[行ラベル]],0),MATCH($AZ$4,年齢階層×在院期間区分F02F09＿寛解・院内寛解[#Headers],0)),0)+IFERROR(INDEX(年齢階層×在院期間区分F02F09＿寛解・院内寛解[#All],MATCH($AK29,年齢階層×在院期間区分F02F09＿寛解・院内寛解[[#All],[行ラベル]],0),MATCH($BA$4,年齢階層×在院期間区分F02F09＿寛解・院内寛解[#Headers],0)),0)</f>
        <v>0</v>
      </c>
      <c r="J29" s="155">
        <f t="shared" si="9"/>
        <v>0</v>
      </c>
      <c r="K29" s="154">
        <f t="shared" si="10"/>
        <v>67</v>
      </c>
      <c r="L29" s="155">
        <f t="shared" si="11"/>
        <v>0.44666666666666666</v>
      </c>
      <c r="O29" s="53" t="s">
        <v>9</v>
      </c>
      <c r="P29" s="61">
        <v>6</v>
      </c>
      <c r="Q29" s="61">
        <v>20</v>
      </c>
      <c r="R29" s="61">
        <v>8</v>
      </c>
      <c r="S29" s="61">
        <v>11</v>
      </c>
      <c r="T29" s="61">
        <v>6</v>
      </c>
      <c r="U29" s="61">
        <v>2</v>
      </c>
      <c r="V29" s="61">
        <v>2</v>
      </c>
      <c r="W29" s="61">
        <v>4</v>
      </c>
      <c r="X29" s="61">
        <v>3</v>
      </c>
      <c r="Y29" s="61">
        <v>2</v>
      </c>
      <c r="Z29" s="61">
        <v>0</v>
      </c>
      <c r="AA29" s="61">
        <v>1</v>
      </c>
      <c r="AB29" s="61">
        <v>1</v>
      </c>
      <c r="AC29" s="61">
        <v>1</v>
      </c>
      <c r="AD29" s="61">
        <v>0</v>
      </c>
      <c r="AE29" s="61">
        <v>0</v>
      </c>
      <c r="AK29" s="53" t="s">
        <v>9</v>
      </c>
    </row>
    <row r="30" spans="2:41" s="21" customFormat="1" ht="18.75" customHeight="1" thickBot="1" x14ac:dyDescent="0.25">
      <c r="B30" s="179" t="s">
        <v>10</v>
      </c>
      <c r="C30" s="157">
        <f>IFERROR(INDEX(年齢階層×在院期間区分F02F09＿寛解・院内寛解[#All],MATCH($AK30,年齢階層×在院期間区分F02F09＿寛解・院内寛解[[#All],[行ラベル]],0),MATCH($AL$4,年齢階層×在院期間区分F02F09＿寛解・院内寛解[#Headers],0)),0)+IFERROR(INDEX(年齢階層×在院期間区分F02F09＿寛解・院内寛解[#All],MATCH($AK30,年齢階層×在院期間区分F02F09＿寛解・院内寛解[[#All],[行ラベル]],0),MATCH($AM$4,年齢階層×在院期間区分F02F09＿寛解・院内寛解[#Headers],0)),0)+IFERROR(INDEX(年齢階層×在院期間区分F02F09＿寛解・院内寛解[#All],MATCH($AK30,年齢階層×在院期間区分F02F09＿寛解・院内寛解[[#All],[行ラベル]],0),MATCH($AN$4,年齢階層×在院期間区分F02F09＿寛解・院内寛解[#Headers],0)),0)+IFERROR(INDEX(年齢階層×在院期間区分F02F09＿寛解・院内寛解[#All],MATCH($AK30,年齢階層×在院期間区分F02F09＿寛解・院内寛解[[#All],[行ラベル]],0),MATCH($AO$4,年齢階層×在院期間区分F02F09＿寛解・院内寛解[#Headers],0)),0)</f>
        <v>9</v>
      </c>
      <c r="D30" s="159">
        <f t="shared" si="6"/>
        <v>9.5744680851063829E-2</v>
      </c>
      <c r="E30" s="157">
        <f>IFERROR(INDEX(年齢階層×在院期間区分F02F09＿寛解・院内寛解[#All],MATCH($AK30,年齢階層×在院期間区分F02F09＿寛解・院内寛解[[#All],[行ラベル]],0),MATCH($AP$4,年齢階層×在院期間区分F02F09＿寛解・院内寛解[#Headers],0)),0)+IFERROR(INDEX(年齢階層×在院期間区分F02F09＿寛解・院内寛解[#All],MATCH($AK30,年齢階層×在院期間区分F02F09＿寛解・院内寛解[[#All],[行ラベル]],0),MATCH($AQ$4,年齢階層×在院期間区分F02F09＿寛解・院内寛解[#Headers],0)),0)+IFERROR(INDEX(年齢階層×在院期間区分F02F09＿寛解・院内寛解[#All],MATCH($AK30,年齢階層×在院期間区分F02F09＿寛解・院内寛解[[#All],[行ラベル]],0),MATCH($AR$4,年齢階層×在院期間区分F02F09＿寛解・院内寛解[#Headers],0)),0)+IFERROR(INDEX(年齢階層×在院期間区分F02F09＿寛解・院内寛解[#All],MATCH($AK30,年齢階層×在院期間区分F02F09＿寛解・院内寛解[[#All],[行ラベル]],0),MATCH($AS$4,年齢階層×在院期間区分F02F09＿寛解・院内寛解[#Headers],0)),0)+IFERROR(INDEX(年齢階層×在院期間区分F02F09＿寛解・院内寛解[#All],MATCH($AK30,年齢階層×在院期間区分F02F09＿寛解・院内寛解[[#All],[行ラベル]],0),MATCH($AT$4,年齢階層×在院期間区分F02F09＿寛解・院内寛解[#Headers],0)),0)</f>
        <v>1</v>
      </c>
      <c r="F30" s="171">
        <f t="shared" si="7"/>
        <v>2.8571428571428571E-2</v>
      </c>
      <c r="G30" s="180">
        <f>IFERROR(INDEX(年齢階層×在院期間区分F02F09＿寛解・院内寛解[#All],MATCH($AK30,年齢階層×在院期間区分F02F09＿寛解・院内寛解[[#All],[行ラベル]],0),MATCH($AU$4,年齢階層×在院期間区分F02F09＿寛解・院内寛解[#Headers],0)),0)+IFERROR(INDEX(年齢階層×在院期間区分F02F09＿寛解・院内寛解[#All],MATCH($AK30,年齢階層×在院期間区分F02F09＿寛解・院内寛解[[#All],[行ラベル]],0),MATCH($AV$4,年齢階層×在院期間区分F02F09＿寛解・院内寛解[#Headers],0)),0)+IFERROR(INDEX(年齢階層×在院期間区分F02F09＿寛解・院内寛解[#All],MATCH($AK30,年齢階層×在院期間区分F02F09＿寛解・院内寛解[[#All],[行ラベル]],0),MATCH($AW$4,年齢階層×在院期間区分F02F09＿寛解・院内寛解[#Headers],0)),0)+IFERROR(INDEX(年齢階層×在院期間区分F02F09＿寛解・院内寛解[#All],MATCH($AK30,年齢階層×在院期間区分F02F09＿寛解・院内寛解[[#All],[行ラベル]],0),MATCH($AX$4,年齢階層×在院期間区分F02F09＿寛解・院内寛解[#Headers],0)),0)+IFERROR(INDEX(年齢階層×在院期間区分F02F09＿寛解・院内寛解[#All],MATCH($AK30,年齢階層×在院期間区分F02F09＿寛解・院内寛解[[#All],[行ラベル]],0),MATCH($AY$4,年齢階層×在院期間区分F02F09＿寛解・院内寛解[#Headers],0)),0)</f>
        <v>0</v>
      </c>
      <c r="H30" s="171">
        <f t="shared" si="8"/>
        <v>0</v>
      </c>
      <c r="I30" s="180">
        <f>IFERROR(INDEX(年齢階層×在院期間区分F02F09＿寛解・院内寛解[#All],MATCH($AK30,年齢階層×在院期間区分F02F09＿寛解・院内寛解[[#All],[行ラベル]],0),MATCH($AZ$4,年齢階層×在院期間区分F02F09＿寛解・院内寛解[#Headers],0)),0)+IFERROR(INDEX(年齢階層×在院期間区分F02F09＿寛解・院内寛解[#All],MATCH($AK30,年齢階層×在院期間区分F02F09＿寛解・院内寛解[[#All],[行ラベル]],0),MATCH($BA$4,年齢階層×在院期間区分F02F09＿寛解・院内寛解[#Headers],0)),0)</f>
        <v>1</v>
      </c>
      <c r="J30" s="171">
        <f t="shared" si="9"/>
        <v>0.16666666666666666</v>
      </c>
      <c r="K30" s="157">
        <f t="shared" si="10"/>
        <v>11</v>
      </c>
      <c r="L30" s="159">
        <f t="shared" si="11"/>
        <v>7.3333333333333334E-2</v>
      </c>
      <c r="M30" s="63"/>
      <c r="O30" s="53" t="s">
        <v>10</v>
      </c>
      <c r="P30" s="61">
        <v>2</v>
      </c>
      <c r="Q30" s="61">
        <v>4</v>
      </c>
      <c r="R30" s="61">
        <v>3</v>
      </c>
      <c r="S30" s="61">
        <v>0</v>
      </c>
      <c r="T30" s="61">
        <v>0</v>
      </c>
      <c r="U30" s="61">
        <v>0</v>
      </c>
      <c r="V30" s="61">
        <v>0</v>
      </c>
      <c r="W30" s="61">
        <v>0</v>
      </c>
      <c r="X30" s="61">
        <v>1</v>
      </c>
      <c r="Y30" s="61">
        <v>0</v>
      </c>
      <c r="Z30" s="61">
        <v>0</v>
      </c>
      <c r="AA30" s="61">
        <v>0</v>
      </c>
      <c r="AB30" s="61">
        <v>0</v>
      </c>
      <c r="AC30" s="61">
        <v>0</v>
      </c>
      <c r="AD30" s="61">
        <v>0</v>
      </c>
      <c r="AE30" s="61">
        <v>1</v>
      </c>
      <c r="AK30" s="53" t="s">
        <v>10</v>
      </c>
    </row>
    <row r="31" spans="2:41" s="21" customFormat="1" ht="18.75" customHeight="1" thickTop="1" thickBot="1" x14ac:dyDescent="0.25">
      <c r="B31" s="181" t="s">
        <v>161</v>
      </c>
      <c r="C31" s="182">
        <f>SUM(C22:C30)</f>
        <v>94</v>
      </c>
      <c r="D31" s="191">
        <f t="shared" si="6"/>
        <v>1</v>
      </c>
      <c r="E31" s="182">
        <f>SUM(E22:E30)</f>
        <v>35</v>
      </c>
      <c r="F31" s="183">
        <f t="shared" si="7"/>
        <v>1</v>
      </c>
      <c r="G31" s="182">
        <f>SUM(G22:G30)</f>
        <v>15</v>
      </c>
      <c r="H31" s="192">
        <f t="shared" si="8"/>
        <v>1</v>
      </c>
      <c r="I31" s="182">
        <f>SUM(I22:I30)</f>
        <v>6</v>
      </c>
      <c r="J31" s="192">
        <f t="shared" si="9"/>
        <v>1</v>
      </c>
      <c r="K31" s="182">
        <f>SUM(K22:K30)</f>
        <v>150</v>
      </c>
      <c r="L31" s="189">
        <f t="shared" si="11"/>
        <v>1</v>
      </c>
      <c r="O31" s="298" t="s">
        <v>308</v>
      </c>
      <c r="P31" s="333" t="s">
        <v>182</v>
      </c>
      <c r="Q31" s="348" t="s">
        <v>183</v>
      </c>
      <c r="R31" s="348" t="s">
        <v>184</v>
      </c>
      <c r="S31" s="348" t="s">
        <v>185</v>
      </c>
      <c r="T31" s="348" t="s">
        <v>186</v>
      </c>
      <c r="U31" s="348" t="s">
        <v>187</v>
      </c>
      <c r="V31" s="348" t="s">
        <v>188</v>
      </c>
      <c r="W31" s="348" t="s">
        <v>189</v>
      </c>
      <c r="X31" s="348" t="s">
        <v>190</v>
      </c>
      <c r="Y31" s="348" t="s">
        <v>191</v>
      </c>
      <c r="Z31" s="348" t="s">
        <v>192</v>
      </c>
      <c r="AA31" s="348" t="s">
        <v>193</v>
      </c>
      <c r="AB31" s="348" t="s">
        <v>194</v>
      </c>
      <c r="AC31" s="348" t="s">
        <v>195</v>
      </c>
      <c r="AD31" s="348" t="s">
        <v>196</v>
      </c>
      <c r="AE31" s="55" t="s">
        <v>197</v>
      </c>
      <c r="AF31" s="387"/>
      <c r="AG31" s="68"/>
      <c r="AO31" s="57"/>
    </row>
    <row r="32" spans="2:41" s="21" customFormat="1" ht="18.75" customHeight="1" thickTop="1" x14ac:dyDescent="0.2">
      <c r="B32" s="184" t="s">
        <v>93</v>
      </c>
      <c r="C32" s="185">
        <f>IFERROR(INDEX(年齢階層×在院期間区分F02F09_65歳未満以上＿寛解・院内寛解[#All],MATCH($AK32,年齢階層×在院期間区分F02F09_65歳未満以上＿寛解・院内寛解[[#All],[列1]],0),MATCH($AL$4,年齢階層×在院期間区分F02F09_65歳未満以上＿寛解・院内寛解[#Headers],0)),0)+IFERROR(INDEX(年齢階層×在院期間区分F02F09_65歳未満以上＿寛解・院内寛解[#All],MATCH($AK32,年齢階層×在院期間区分F02F09_65歳未満以上＿寛解・院内寛解[[#All],[列1]],0),MATCH($AM$4,年齢階層×在院期間区分F02F09_65歳未満以上＿寛解・院内寛解[#Headers],0)),0)+IFERROR(INDEX(年齢階層×在院期間区分F02F09_65歳未満以上＿寛解・院内寛解[#All],MATCH($AK32,年齢階層×在院期間区分F02F09_65歳未満以上＿寛解・院内寛解[[#All],[列1]],0),MATCH($AN$4,年齢階層×在院期間区分F02F09_65歳未満以上＿寛解・院内寛解[#Headers],0)),0)+IFERROR(INDEX(年齢階層×在院期間区分F02F09_65歳未満以上＿寛解・院内寛解[#All],MATCH($AK32,年齢階層×在院期間区分F02F09_65歳未満以上＿寛解・院内寛解[[#All],[列1]],0),MATCH($AO$4,年齢階層×在院期間区分F02F09_65歳未満以上＿寛解・院内寛解[#Headers],0)),0)</f>
        <v>13</v>
      </c>
      <c r="D32" s="156">
        <f t="shared" si="6"/>
        <v>0.13829787234042554</v>
      </c>
      <c r="E32" s="185">
        <f>IFERROR(INDEX(年齢階層×在院期間区分F02F09_65歳未満以上＿寛解・院内寛解[#All],MATCH($AK32,年齢階層×在院期間区分F02F09_65歳未満以上＿寛解・院内寛解[[#All],[列1]],0),MATCH($AP$4,年齢階層×在院期間区分F02F09_65歳未満以上＿寛解・院内寛解[#Headers],0)),0)+IFERROR(INDEX(年齢階層×在院期間区分F02F09_65歳未満以上＿寛解・院内寛解[#All],MATCH($AK32,年齢階層×在院期間区分F02F09_65歳未満以上＿寛解・院内寛解[[#All],[列1]],0),MATCH($AQ$4,年齢階層×在院期間区分F02F09_65歳未満以上＿寛解・院内寛解[#Headers],0)),0)+IFERROR(INDEX(年齢階層×在院期間区分F02F09_65歳未満以上＿寛解・院内寛解[#All],MATCH($AK32,年齢階層×在院期間区分F02F09_65歳未満以上＿寛解・院内寛解[[#All],[列1]],0),MATCH($AR$4,年齢階層×在院期間区分F02F09_65歳未満以上＿寛解・院内寛解[#Headers],0)),0)+IFERROR(INDEX(年齢階層×在院期間区分F02F09_65歳未満以上＿寛解・院内寛解[#All],MATCH($AK32,年齢階層×在院期間区分F02F09_65歳未満以上＿寛解・院内寛解[[#All],[列1]],0),MATCH($AS$4,年齢階層×在院期間区分F02F09_65歳未満以上＿寛解・院内寛解[#Headers],0)),0)+IFERROR(INDEX(年齢階層×在院期間区分F02F09_65歳未満以上＿寛解・院内寛解[#All],MATCH($AK32,年齢階層×在院期間区分F02F09_65歳未満以上＿寛解・院内寛解[[#All],[列1]],0),MATCH($AT$4,年齢階層×在院期間区分F02F09_65歳未満以上＿寛解・院内寛解[#Headers],0)),0)</f>
        <v>6</v>
      </c>
      <c r="F32" s="187">
        <f t="shared" si="7"/>
        <v>0.17142857142857143</v>
      </c>
      <c r="G32" s="185">
        <f>IFERROR(INDEX(年齢階層×在院期間区分F02F09_65歳未満以上＿寛解・院内寛解[#All],MATCH($AK32,年齢階層×在院期間区分F02F09_65歳未満以上＿寛解・院内寛解[[#All],[列1]],0),MATCH($AU$4,年齢階層×在院期間区分F02F09_65歳未満以上＿寛解・院内寛解[#Headers],0)),0)+IFERROR(INDEX(年齢階層×在院期間区分F02F09_65歳未満以上＿寛解・院内寛解[#All],MATCH($AK32,年齢階層×在院期間区分F02F09_65歳未満以上＿寛解・院内寛解[[#All],[列1]],0),MATCH($AV$4,年齢階層×在院期間区分F02F09_65歳未満以上＿寛解・院内寛解[#Headers],0)),0)+IFERROR(INDEX(年齢階層×在院期間区分F02F09_65歳未満以上＿寛解・院内寛解[#All],MATCH($AK32,年齢階層×在院期間区分F02F09_65歳未満以上＿寛解・院内寛解[[#All],[列1]],0),MATCH($AW$4,年齢階層×在院期間区分F02F09_65歳未満以上＿寛解・院内寛解[#Headers],0)),0)+IFERROR(INDEX(年齢階層×在院期間区分F02F09_65歳未満以上＿寛解・院内寛解[#All],MATCH($AK32,年齢階層×在院期間区分F02F09_65歳未満以上＿寛解・院内寛解[[#All],[列1]],0),MATCH($AX$4,年齢階層×在院期間区分F02F09_65歳未満以上＿寛解・院内寛解[#Headers],0)),0)+IFERROR(INDEX(年齢階層×在院期間区分F02F09_65歳未満以上＿寛解・院内寛解[#All],MATCH($AK32,年齢階層×在院期間区分F02F09_65歳未満以上＿寛解・院内寛解[[#All],[列1]],0),MATCH($AY$4,年齢階層×在院期間区分F02F09_65歳未満以上＿寛解・院内寛解[#Headers],0)),0)</f>
        <v>1</v>
      </c>
      <c r="H32" s="187">
        <f t="shared" si="8"/>
        <v>6.6666666666666666E-2</v>
      </c>
      <c r="I32" s="185">
        <f>IFERROR(INDEX(年齢階層×在院期間区分F02F09_65歳未満以上＿寛解・院内寛解[#All],MATCH($AK32,年齢階層×在院期間区分F02F09_65歳未満以上＿寛解・院内寛解[[#All],[列1]],0),MATCH($AZ$4,年齢階層×在院期間区分F02F09_65歳未満以上＿寛解・院内寛解[#Headers],0)),0)+IFERROR(INDEX(年齢階層×在院期間区分F02F09_65歳未満以上＿寛解・院内寛解[#All],MATCH($AK32,年齢階層×在院期間区分F02F09_65歳未満以上＿寛解・院内寛解[[#All],[列1]],0),MATCH($BA$4,年齢階層×在院期間区分F02F09_65歳未満以上＿寛解・院内寛解[#Headers],0)),0)</f>
        <v>2</v>
      </c>
      <c r="J32" s="170">
        <f t="shared" si="9"/>
        <v>0.33333333333333331</v>
      </c>
      <c r="K32" s="185">
        <f>C32+E32+G32+I32</f>
        <v>22</v>
      </c>
      <c r="L32" s="170">
        <f t="shared" si="11"/>
        <v>0.14666666666666667</v>
      </c>
      <c r="O32" s="67" t="s">
        <v>306</v>
      </c>
      <c r="P32" s="61">
        <v>3</v>
      </c>
      <c r="Q32" s="61">
        <v>6</v>
      </c>
      <c r="R32" s="61">
        <v>2</v>
      </c>
      <c r="S32" s="61">
        <v>2</v>
      </c>
      <c r="T32" s="61">
        <v>2</v>
      </c>
      <c r="U32" s="61">
        <v>1</v>
      </c>
      <c r="V32" s="61">
        <v>1</v>
      </c>
      <c r="W32" s="61">
        <v>0</v>
      </c>
      <c r="X32" s="61">
        <v>2</v>
      </c>
      <c r="Y32" s="61">
        <v>0</v>
      </c>
      <c r="Z32" s="61">
        <v>0</v>
      </c>
      <c r="AA32" s="61">
        <v>0</v>
      </c>
      <c r="AB32" s="61">
        <v>0</v>
      </c>
      <c r="AC32" s="61">
        <v>1</v>
      </c>
      <c r="AD32" s="61">
        <v>2</v>
      </c>
      <c r="AE32" s="386">
        <v>0</v>
      </c>
      <c r="AF32" s="388"/>
      <c r="AG32" s="8"/>
      <c r="AK32" s="67" t="s">
        <v>156</v>
      </c>
    </row>
    <row r="33" spans="2:49" ht="18.75" customHeight="1" x14ac:dyDescent="0.2">
      <c r="B33" s="186" t="s">
        <v>89</v>
      </c>
      <c r="C33" s="185">
        <f>IFERROR(INDEX(年齢階層×在院期間区分F02F09_65歳未満以上＿寛解・院内寛解[#All],MATCH($AK33,年齢階層×在院期間区分F02F09_65歳未満以上＿寛解・院内寛解[[#All],[列1]],0),MATCH($AL$4,年齢階層×在院期間区分F02F09_65歳未満以上＿寛解・院内寛解[#Headers],0)),0)+IFERROR(INDEX(年齢階層×在院期間区分F02F09_65歳未満以上＿寛解・院内寛解[#All],MATCH($AK33,年齢階層×在院期間区分F02F09_65歳未満以上＿寛解・院内寛解[[#All],[列1]],0),MATCH($AM$4,年齢階層×在院期間区分F02F09_65歳未満以上＿寛解・院内寛解[#Headers],0)),0)+IFERROR(INDEX(年齢階層×在院期間区分F02F09_65歳未満以上＿寛解・院内寛解[#All],MATCH($AK33,年齢階層×在院期間区分F02F09_65歳未満以上＿寛解・院内寛解[[#All],[列1]],0),MATCH($AN$4,年齢階層×在院期間区分F02F09_65歳未満以上＿寛解・院内寛解[#Headers],0)),0)+IFERROR(INDEX(年齢階層×在院期間区分F02F09_65歳未満以上＿寛解・院内寛解[#All],MATCH($AK33,年齢階層×在院期間区分F02F09_65歳未満以上＿寛解・院内寛解[[#All],[列1]],0),MATCH($AO$4,年齢階層×在院期間区分F02F09_65歳未満以上＿寛解・院内寛解[#Headers],0)),0)</f>
        <v>81</v>
      </c>
      <c r="D33" s="187">
        <f t="shared" si="6"/>
        <v>0.86170212765957444</v>
      </c>
      <c r="E33" s="185">
        <f>IFERROR(INDEX(年齢階層×在院期間区分F02F09_65歳未満以上＿寛解・院内寛解[#All],MATCH($AK33,年齢階層×在院期間区分F02F09_65歳未満以上＿寛解・院内寛解[[#All],[列1]],0),MATCH($AP$4,年齢階層×在院期間区分F02F09_65歳未満以上＿寛解・院内寛解[#Headers],0)),0)+IFERROR(INDEX(年齢階層×在院期間区分F02F09_65歳未満以上＿寛解・院内寛解[#All],MATCH($AK33,年齢階層×在院期間区分F02F09_65歳未満以上＿寛解・院内寛解[[#All],[列1]],0),MATCH($AQ$4,年齢階層×在院期間区分F02F09_65歳未満以上＿寛解・院内寛解[#Headers],0)),0)+IFERROR(INDEX(年齢階層×在院期間区分F02F09_65歳未満以上＿寛解・院内寛解[#All],MATCH($AK33,年齢階層×在院期間区分F02F09_65歳未満以上＿寛解・院内寛解[[#All],[列1]],0),MATCH($AR$4,年齢階層×在院期間区分F02F09_65歳未満以上＿寛解・院内寛解[#Headers],0)),0)+IFERROR(INDEX(年齢階層×在院期間区分F02F09_65歳未満以上＿寛解・院内寛解[#All],MATCH($AK33,年齢階層×在院期間区分F02F09_65歳未満以上＿寛解・院内寛解[[#All],[列1]],0),MATCH($AS$4,年齢階層×在院期間区分F02F09_65歳未満以上＿寛解・院内寛解[#Headers],0)),0)+IFERROR(INDEX(年齢階層×在院期間区分F02F09_65歳未満以上＿寛解・院内寛解[#All],MATCH($AK33,年齢階層×在院期間区分F02F09_65歳未満以上＿寛解・院内寛解[[#All],[列1]],0),MATCH($AT$4,年齢階層×在院期間区分F02F09_65歳未満以上＿寛解・院内寛解[#Headers],0)),0)</f>
        <v>29</v>
      </c>
      <c r="F33" s="187">
        <f t="shared" si="7"/>
        <v>0.82857142857142863</v>
      </c>
      <c r="G33" s="185">
        <f>IFERROR(INDEX(年齢階層×在院期間区分F02F09_65歳未満以上＿寛解・院内寛解[#All],MATCH($AK33,年齢階層×在院期間区分F02F09_65歳未満以上＿寛解・院内寛解[[#All],[列1]],0),MATCH($AU$4,年齢階層×在院期間区分F02F09_65歳未満以上＿寛解・院内寛解[#Headers],0)),0)+IFERROR(INDEX(年齢階層×在院期間区分F02F09_65歳未満以上＿寛解・院内寛解[#All],MATCH($AK33,年齢階層×在院期間区分F02F09_65歳未満以上＿寛解・院内寛解[[#All],[列1]],0),MATCH($AV$4,年齢階層×在院期間区分F02F09_65歳未満以上＿寛解・院内寛解[#Headers],0)),0)+IFERROR(INDEX(年齢階層×在院期間区分F02F09_65歳未満以上＿寛解・院内寛解[#All],MATCH($AK33,年齢階層×在院期間区分F02F09_65歳未満以上＿寛解・院内寛解[[#All],[列1]],0),MATCH($AW$4,年齢階層×在院期間区分F02F09_65歳未満以上＿寛解・院内寛解[#Headers],0)),0)+IFERROR(INDEX(年齢階層×在院期間区分F02F09_65歳未満以上＿寛解・院内寛解[#All],MATCH($AK33,年齢階層×在院期間区分F02F09_65歳未満以上＿寛解・院内寛解[[#All],[列1]],0),MATCH($AX$4,年齢階層×在院期間区分F02F09_65歳未満以上＿寛解・院内寛解[#Headers],0)),0)+IFERROR(INDEX(年齢階層×在院期間区分F02F09_65歳未満以上＿寛解・院内寛解[#All],MATCH($AK33,年齢階層×在院期間区分F02F09_65歳未満以上＿寛解・院内寛解[[#All],[列1]],0),MATCH($AY$4,年齢階層×在院期間区分F02F09_65歳未満以上＿寛解・院内寛解[#Headers],0)),0)</f>
        <v>14</v>
      </c>
      <c r="H33" s="187">
        <f t="shared" si="8"/>
        <v>0.93333333333333335</v>
      </c>
      <c r="I33" s="185">
        <f>IFERROR(INDEX(年齢階層×在院期間区分F02F09_65歳未満以上＿寛解・院内寛解[#All],MATCH($AK33,年齢階層×在院期間区分F02F09_65歳未満以上＿寛解・院内寛解[[#All],[列1]],0),MATCH($AZ$4,年齢階層×在院期間区分F02F09_65歳未満以上＿寛解・院内寛解[#Headers],0)),0)+IFERROR(INDEX(年齢階層×在院期間区分F02F09_65歳未満以上＿寛解・院内寛解[#All],MATCH($AK33,年齢階層×在院期間区分F02F09_65歳未満以上＿寛解・院内寛解[[#All],[列1]],0),MATCH($BA$4,年齢階層×在院期間区分F02F09_65歳未満以上＿寛解・院内寛解[#Headers],0)),0)</f>
        <v>4</v>
      </c>
      <c r="J33" s="187">
        <f t="shared" si="9"/>
        <v>0.66666666666666663</v>
      </c>
      <c r="K33" s="185">
        <f>C33+E33+G33+I33</f>
        <v>128</v>
      </c>
      <c r="L33" s="187">
        <f t="shared" si="11"/>
        <v>0.85333333333333339</v>
      </c>
      <c r="O33" s="67" t="s">
        <v>307</v>
      </c>
      <c r="P33" s="61">
        <v>16</v>
      </c>
      <c r="Q33" s="61">
        <v>35</v>
      </c>
      <c r="R33" s="61">
        <v>14</v>
      </c>
      <c r="S33" s="61">
        <v>16</v>
      </c>
      <c r="T33" s="61">
        <v>8</v>
      </c>
      <c r="U33" s="61">
        <v>5</v>
      </c>
      <c r="V33" s="61">
        <v>6</v>
      </c>
      <c r="W33" s="61">
        <v>5</v>
      </c>
      <c r="X33" s="61">
        <v>5</v>
      </c>
      <c r="Y33" s="61">
        <v>6</v>
      </c>
      <c r="Z33" s="61">
        <v>4</v>
      </c>
      <c r="AA33" s="61">
        <v>1</v>
      </c>
      <c r="AB33" s="61">
        <v>2</v>
      </c>
      <c r="AC33" s="61">
        <v>1</v>
      </c>
      <c r="AD33" s="61">
        <v>2</v>
      </c>
      <c r="AE33" s="386">
        <v>2</v>
      </c>
      <c r="AF33" s="388"/>
      <c r="AG33" s="8"/>
      <c r="AK33" s="67" t="s">
        <v>88</v>
      </c>
    </row>
    <row r="35" spans="2:49" x14ac:dyDescent="0.2">
      <c r="C35" s="52"/>
      <c r="D35" s="60"/>
      <c r="E35" s="60"/>
      <c r="F35" s="60"/>
      <c r="G35" s="60"/>
      <c r="H35" s="60"/>
      <c r="I35" s="60"/>
      <c r="J35" s="60"/>
      <c r="K35" s="60"/>
      <c r="L35" s="60"/>
      <c r="M35" s="60"/>
      <c r="N35" s="60"/>
      <c r="O35" s="60"/>
      <c r="P35" s="60"/>
      <c r="Q35" s="60"/>
      <c r="R35" s="68"/>
    </row>
    <row r="36" spans="2:49" x14ac:dyDescent="0.2">
      <c r="B36" s="37"/>
      <c r="C36" s="22"/>
      <c r="D36" s="22"/>
      <c r="E36" s="22"/>
      <c r="F36" s="22"/>
      <c r="G36" s="22"/>
      <c r="H36" s="22"/>
      <c r="I36" s="22"/>
      <c r="J36" s="22"/>
      <c r="K36" s="22"/>
      <c r="L36" s="22"/>
      <c r="M36" s="22"/>
      <c r="N36" s="22"/>
      <c r="O36" s="22"/>
      <c r="P36" s="22"/>
      <c r="Q36" s="22"/>
      <c r="R36" s="22"/>
      <c r="S36" s="22"/>
      <c r="AG36" s="33"/>
    </row>
    <row r="37" spans="2:49" x14ac:dyDescent="0.2">
      <c r="B37" s="37"/>
      <c r="C37" s="22"/>
      <c r="D37" s="22"/>
      <c r="E37" s="22"/>
      <c r="F37" s="22"/>
      <c r="G37" s="22"/>
      <c r="H37" s="22"/>
      <c r="I37" s="22"/>
      <c r="J37" s="22"/>
      <c r="K37" s="22"/>
      <c r="L37" s="22"/>
      <c r="M37" s="22"/>
      <c r="N37" s="22"/>
      <c r="O37" s="22"/>
      <c r="P37" s="22"/>
      <c r="Q37" s="22"/>
      <c r="R37" s="22"/>
      <c r="S37" s="22"/>
      <c r="AG37" s="53"/>
    </row>
    <row r="38" spans="2:49" x14ac:dyDescent="0.2">
      <c r="B38" s="49"/>
      <c r="C38" s="69"/>
      <c r="D38" s="69"/>
      <c r="E38" s="69"/>
      <c r="F38" s="69"/>
      <c r="G38" s="69"/>
      <c r="H38" s="69"/>
      <c r="I38" s="69"/>
      <c r="J38" s="69"/>
      <c r="K38" s="69"/>
      <c r="L38" s="69"/>
      <c r="M38" s="69"/>
      <c r="N38" s="69"/>
      <c r="O38" s="69"/>
      <c r="P38" s="69"/>
      <c r="Q38" s="69"/>
      <c r="R38" s="69"/>
      <c r="S38" s="69"/>
      <c r="T38" s="21"/>
      <c r="U38" s="21"/>
      <c r="V38" s="21"/>
      <c r="W38" s="21"/>
      <c r="X38" s="21"/>
      <c r="Y38" s="21"/>
      <c r="Z38" s="21"/>
      <c r="AA38" s="21"/>
      <c r="AB38" s="21"/>
      <c r="AC38" s="21"/>
      <c r="AD38" s="21"/>
      <c r="AE38" s="21"/>
      <c r="AF38" s="21"/>
      <c r="AG38" s="53"/>
      <c r="AH38" s="21"/>
      <c r="AI38" s="21"/>
      <c r="AJ38" s="21"/>
      <c r="AK38" s="21"/>
      <c r="AL38" s="21"/>
      <c r="AM38" s="21"/>
      <c r="AN38" s="21"/>
      <c r="AO38" s="21"/>
      <c r="AP38" s="21"/>
      <c r="AQ38" s="21"/>
      <c r="AR38" s="21"/>
      <c r="AS38" s="21"/>
      <c r="AT38" s="21"/>
      <c r="AU38" s="21"/>
      <c r="AV38" s="21"/>
      <c r="AW38" s="21"/>
    </row>
    <row r="39" spans="2:49" ht="35.25" customHeight="1" x14ac:dyDescent="0.2">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53"/>
      <c r="AH39" s="21"/>
      <c r="AI39" s="21"/>
      <c r="AJ39" s="21"/>
      <c r="AK39" s="21"/>
      <c r="AL39" s="21"/>
      <c r="AM39" s="21"/>
      <c r="AN39" s="21"/>
      <c r="AO39" s="21"/>
      <c r="AP39" s="21"/>
      <c r="AQ39" s="21"/>
      <c r="AR39" s="21"/>
      <c r="AS39" s="21"/>
      <c r="AT39" s="21"/>
      <c r="AU39" s="21"/>
      <c r="AV39" s="21"/>
      <c r="AW39" s="21"/>
    </row>
    <row r="40" spans="2:49" x14ac:dyDescent="0.2">
      <c r="B40" s="7"/>
      <c r="C40" s="70"/>
      <c r="D40" s="70"/>
      <c r="E40" s="70"/>
      <c r="F40" s="70"/>
      <c r="G40" s="70"/>
      <c r="H40" s="70"/>
      <c r="I40" s="70"/>
      <c r="J40" s="70"/>
      <c r="K40" s="70"/>
      <c r="L40" s="70"/>
      <c r="M40" s="70"/>
      <c r="N40" s="70"/>
      <c r="O40" s="70"/>
      <c r="P40" s="70"/>
      <c r="Q40" s="70"/>
      <c r="R40" s="70"/>
      <c r="S40" s="70"/>
      <c r="T40" s="21"/>
      <c r="U40" s="21"/>
      <c r="V40" s="21"/>
      <c r="W40" s="21"/>
      <c r="X40" s="21"/>
      <c r="Y40" s="21"/>
      <c r="Z40" s="21"/>
      <c r="AA40" s="21"/>
      <c r="AB40" s="21"/>
      <c r="AC40" s="21"/>
      <c r="AD40" s="21"/>
      <c r="AE40" s="21"/>
      <c r="AF40" s="21"/>
      <c r="AG40" s="53"/>
      <c r="AH40" s="21"/>
      <c r="AI40" s="21"/>
      <c r="AJ40" s="21"/>
      <c r="AK40" s="21"/>
      <c r="AL40" s="21"/>
      <c r="AM40" s="21"/>
      <c r="AN40" s="21"/>
      <c r="AO40" s="21"/>
      <c r="AP40" s="21"/>
      <c r="AQ40" s="21"/>
      <c r="AR40" s="21"/>
      <c r="AS40" s="21"/>
      <c r="AT40" s="21"/>
      <c r="AU40" s="21"/>
      <c r="AV40" s="21"/>
      <c r="AW40" s="21"/>
    </row>
    <row r="41" spans="2:49" x14ac:dyDescent="0.2">
      <c r="B41" s="7"/>
      <c r="C41" s="70"/>
      <c r="D41" s="70"/>
      <c r="E41" s="70"/>
      <c r="F41" s="70"/>
      <c r="G41" s="70"/>
      <c r="H41" s="70"/>
      <c r="I41" s="70"/>
      <c r="J41" s="70"/>
      <c r="K41" s="70"/>
      <c r="L41" s="70"/>
      <c r="M41" s="70"/>
      <c r="N41" s="70"/>
      <c r="O41" s="70"/>
      <c r="P41" s="70"/>
      <c r="Q41" s="70"/>
      <c r="R41" s="70"/>
      <c r="S41" s="70"/>
      <c r="T41" s="21"/>
      <c r="U41" s="21"/>
      <c r="V41" s="21"/>
      <c r="W41" s="21"/>
      <c r="X41" s="21"/>
      <c r="Y41" s="21"/>
      <c r="Z41" s="21"/>
      <c r="AA41" s="21"/>
      <c r="AB41" s="21"/>
      <c r="AC41" s="21"/>
      <c r="AD41" s="21"/>
      <c r="AE41" s="21"/>
      <c r="AF41" s="21"/>
      <c r="AG41" s="53"/>
      <c r="AH41" s="21"/>
      <c r="AI41" s="21"/>
      <c r="AJ41" s="21"/>
      <c r="AK41" s="21"/>
      <c r="AL41" s="21"/>
      <c r="AM41" s="21"/>
      <c r="AN41" s="21"/>
      <c r="AO41" s="21"/>
      <c r="AP41" s="21"/>
      <c r="AQ41" s="21"/>
      <c r="AR41" s="21"/>
      <c r="AS41" s="21"/>
      <c r="AT41" s="21"/>
      <c r="AU41" s="21"/>
      <c r="AV41" s="21"/>
      <c r="AW41" s="21"/>
    </row>
    <row r="42" spans="2:49" x14ac:dyDescent="0.2">
      <c r="B42" s="7"/>
      <c r="C42" s="70"/>
      <c r="D42" s="70"/>
      <c r="E42" s="70"/>
      <c r="F42" s="70"/>
      <c r="G42" s="70"/>
      <c r="H42" s="70"/>
      <c r="I42" s="70"/>
      <c r="J42" s="70"/>
      <c r="K42" s="70"/>
      <c r="L42" s="70"/>
      <c r="M42" s="70"/>
      <c r="N42" s="70"/>
      <c r="O42" s="70"/>
      <c r="P42" s="70"/>
      <c r="Q42" s="70"/>
      <c r="R42" s="70"/>
      <c r="S42" s="70"/>
      <c r="T42" s="21"/>
      <c r="U42" s="21"/>
      <c r="V42" s="21"/>
      <c r="W42" s="21"/>
      <c r="X42" s="21"/>
      <c r="Y42" s="21"/>
      <c r="Z42" s="21"/>
      <c r="AA42" s="21"/>
      <c r="AB42" s="21"/>
      <c r="AC42" s="21"/>
      <c r="AD42" s="21"/>
      <c r="AE42" s="21"/>
      <c r="AF42" s="21"/>
      <c r="AG42" s="53"/>
      <c r="AH42" s="21"/>
      <c r="AI42" s="21"/>
      <c r="AJ42" s="21"/>
      <c r="AK42" s="21"/>
      <c r="AL42" s="21"/>
      <c r="AM42" s="21"/>
      <c r="AN42" s="21"/>
      <c r="AO42" s="21"/>
      <c r="AP42" s="21"/>
      <c r="AQ42" s="21"/>
      <c r="AR42" s="21"/>
      <c r="AS42" s="21"/>
      <c r="AT42" s="21"/>
      <c r="AU42" s="21"/>
      <c r="AV42" s="21"/>
      <c r="AW42" s="21"/>
    </row>
    <row r="43" spans="2:49" x14ac:dyDescent="0.2">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53"/>
      <c r="AH43" s="21"/>
      <c r="AI43" s="21"/>
      <c r="AJ43" s="21"/>
      <c r="AK43" s="21"/>
      <c r="AL43" s="21"/>
      <c r="AM43" s="21"/>
      <c r="AN43" s="21"/>
      <c r="AO43" s="21"/>
      <c r="AP43" s="21"/>
      <c r="AQ43" s="21"/>
      <c r="AR43" s="21"/>
      <c r="AS43" s="21"/>
      <c r="AT43" s="21"/>
      <c r="AU43" s="21"/>
      <c r="AV43" s="21"/>
      <c r="AW43" s="21"/>
    </row>
    <row r="44" spans="2:49" x14ac:dyDescent="0.2">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53"/>
      <c r="AH44" s="21"/>
      <c r="AI44" s="21"/>
      <c r="AJ44" s="21"/>
      <c r="AK44" s="21"/>
      <c r="AL44" s="21"/>
      <c r="AM44" s="21"/>
      <c r="AN44" s="21"/>
      <c r="AO44" s="21"/>
      <c r="AP44" s="21"/>
      <c r="AQ44" s="21"/>
      <c r="AR44" s="21"/>
      <c r="AS44" s="21"/>
      <c r="AT44" s="21"/>
      <c r="AU44" s="21"/>
      <c r="AV44" s="21"/>
      <c r="AW44" s="21"/>
    </row>
    <row r="45" spans="2:49" x14ac:dyDescent="0.2">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53"/>
      <c r="AH45" s="21"/>
      <c r="AI45" s="21"/>
      <c r="AJ45" s="21"/>
      <c r="AK45" s="21"/>
      <c r="AL45" s="21"/>
      <c r="AM45" s="21"/>
      <c r="AN45" s="21"/>
      <c r="AO45" s="21"/>
      <c r="AP45" s="21"/>
      <c r="AQ45" s="21"/>
      <c r="AR45" s="21"/>
      <c r="AS45" s="21"/>
      <c r="AT45" s="21"/>
      <c r="AU45" s="21"/>
      <c r="AV45" s="21"/>
      <c r="AW45" s="21"/>
    </row>
    <row r="46" spans="2:49" x14ac:dyDescent="0.2">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2:49" x14ac:dyDescent="0.2">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67"/>
      <c r="AH47" s="21"/>
      <c r="AI47" s="21"/>
      <c r="AJ47" s="21"/>
      <c r="AK47" s="21"/>
      <c r="AL47" s="21"/>
      <c r="AM47" s="21"/>
      <c r="AN47" s="21"/>
      <c r="AO47" s="21"/>
      <c r="AP47" s="21"/>
      <c r="AQ47" s="21"/>
      <c r="AR47" s="21"/>
      <c r="AS47" s="21"/>
      <c r="AT47" s="21"/>
      <c r="AU47" s="21"/>
      <c r="AV47" s="21"/>
      <c r="AW47" s="21"/>
    </row>
    <row r="48" spans="2:49" x14ac:dyDescent="0.2">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67"/>
      <c r="AH48" s="21"/>
      <c r="AI48" s="21"/>
      <c r="AJ48" s="21"/>
      <c r="AK48" s="21"/>
      <c r="AL48" s="21"/>
      <c r="AM48" s="21"/>
      <c r="AN48" s="21"/>
      <c r="AO48" s="21"/>
      <c r="AP48" s="21"/>
      <c r="AQ48" s="21"/>
      <c r="AR48" s="21"/>
      <c r="AS48" s="21"/>
      <c r="AT48" s="21"/>
      <c r="AU48" s="21"/>
      <c r="AV48" s="21"/>
      <c r="AW48" s="21"/>
    </row>
    <row r="49" spans="2:49" x14ac:dyDescent="0.2">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2:49" x14ac:dyDescent="0.2">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2:49" x14ac:dyDescent="0.2">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2:49" x14ac:dyDescent="0.2">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2:49" x14ac:dyDescent="0.2">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2:49" x14ac:dyDescent="0.2">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2:49" x14ac:dyDescent="0.2">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2:49" x14ac:dyDescent="0.2">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2:49" x14ac:dyDescent="0.2">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2:49" x14ac:dyDescent="0.2">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2:49" x14ac:dyDescent="0.2">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2:49" x14ac:dyDescent="0.2">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2:49" x14ac:dyDescent="0.2">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2:49" x14ac:dyDescent="0.2">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2:49" x14ac:dyDescent="0.2">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2:49" x14ac:dyDescent="0.2">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2:49" x14ac:dyDescent="0.2">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2:49" x14ac:dyDescent="0.2">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2:49" x14ac:dyDescent="0.2">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row>
    <row r="68" spans="2:49" x14ac:dyDescent="0.2">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2:49" x14ac:dyDescent="0.2">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row>
    <row r="70" spans="2:49" x14ac:dyDescent="0.2">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2:49" x14ac:dyDescent="0.2">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2:49" x14ac:dyDescent="0.2">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2:49" x14ac:dyDescent="0.2">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2:49" x14ac:dyDescent="0.2">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2:49" x14ac:dyDescent="0.2">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2:49" x14ac:dyDescent="0.2">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2:49" x14ac:dyDescent="0.2">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row>
    <row r="78" spans="2:49" x14ac:dyDescent="0.2">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2:49" x14ac:dyDescent="0.2">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row>
    <row r="80" spans="2:49" x14ac:dyDescent="0.2">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2:49" x14ac:dyDescent="0.2">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2:49" x14ac:dyDescent="0.2">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2:49" x14ac:dyDescent="0.2">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2:49" x14ac:dyDescent="0.2">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2:49" x14ac:dyDescent="0.2">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2:49" x14ac:dyDescent="0.2">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2:49" x14ac:dyDescent="0.2">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2:49" x14ac:dyDescent="0.2">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2:49" x14ac:dyDescent="0.2">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2:49" x14ac:dyDescent="0.2">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2:49" x14ac:dyDescent="0.2">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2:49" x14ac:dyDescent="0.2">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2:49" x14ac:dyDescent="0.2">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row>
    <row r="94" spans="2:49" x14ac:dyDescent="0.2">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2:49" x14ac:dyDescent="0.2">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row>
    <row r="96" spans="2:49" x14ac:dyDescent="0.2">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2:49" x14ac:dyDescent="0.2">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2:49" x14ac:dyDescent="0.2">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2:49" x14ac:dyDescent="0.2">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2:49" x14ac:dyDescent="0.2">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row>
    <row r="101" spans="2:49" x14ac:dyDescent="0.2">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row>
    <row r="102" spans="2:49" x14ac:dyDescent="0.2">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row>
    <row r="103" spans="2:49" x14ac:dyDescent="0.2">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row>
    <row r="104" spans="2:49" x14ac:dyDescent="0.2">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row>
    <row r="105" spans="2:49" x14ac:dyDescent="0.2">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row>
    <row r="106" spans="2:49" x14ac:dyDescent="0.2">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row>
    <row r="107" spans="2:49" x14ac:dyDescent="0.2">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row>
    <row r="108" spans="2:49" x14ac:dyDescent="0.2">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2:49" x14ac:dyDescent="0.2">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row>
    <row r="110" spans="2:49" x14ac:dyDescent="0.2">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2:49" x14ac:dyDescent="0.2">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2:49" x14ac:dyDescent="0.2">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2:49" x14ac:dyDescent="0.2">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row>
    <row r="114" spans="2:49" x14ac:dyDescent="0.2">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2:49" x14ac:dyDescent="0.2">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row>
    <row r="116" spans="2:49" x14ac:dyDescent="0.2">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row>
    <row r="117" spans="2:49" x14ac:dyDescent="0.2">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row>
    <row r="118" spans="2:49" x14ac:dyDescent="0.2">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row>
    <row r="119" spans="2:49" x14ac:dyDescent="0.2">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row>
    <row r="120" spans="2:49" x14ac:dyDescent="0.2">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row>
    <row r="121" spans="2:49" x14ac:dyDescent="0.2">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row>
    <row r="122" spans="2:49" x14ac:dyDescent="0.2">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row>
    <row r="123" spans="2:49" x14ac:dyDescent="0.2">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row>
    <row r="124" spans="2:49" x14ac:dyDescent="0.2">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row>
    <row r="125" spans="2:49" x14ac:dyDescent="0.2">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row>
    <row r="126" spans="2:49" x14ac:dyDescent="0.2">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row>
    <row r="127" spans="2:49" x14ac:dyDescent="0.2">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row>
    <row r="128" spans="2:49" x14ac:dyDescent="0.2">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row>
    <row r="129" spans="2:49" x14ac:dyDescent="0.2">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row>
    <row r="130" spans="2:49" x14ac:dyDescent="0.2">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row>
    <row r="131" spans="2:49" x14ac:dyDescent="0.2">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row>
    <row r="132" spans="2:49" x14ac:dyDescent="0.2">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row>
    <row r="133" spans="2:49" x14ac:dyDescent="0.2">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row>
    <row r="134" spans="2:49" x14ac:dyDescent="0.2">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row>
    <row r="135" spans="2:49" x14ac:dyDescent="0.2">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row>
    <row r="136" spans="2:49" x14ac:dyDescent="0.2">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row>
    <row r="137" spans="2:49" x14ac:dyDescent="0.2">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row>
    <row r="138" spans="2:49" x14ac:dyDescent="0.2">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row>
    <row r="139" spans="2:49" x14ac:dyDescent="0.2">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row>
    <row r="140" spans="2:49" x14ac:dyDescent="0.2">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row>
    <row r="141" spans="2:49" x14ac:dyDescent="0.2">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row>
    <row r="142" spans="2:49" x14ac:dyDescent="0.2">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row>
    <row r="143" spans="2:49" x14ac:dyDescent="0.2">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row>
    <row r="144" spans="2:49" x14ac:dyDescent="0.2">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row>
    <row r="145" spans="2:49" x14ac:dyDescent="0.2">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row>
    <row r="146" spans="2:49" x14ac:dyDescent="0.2">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row>
    <row r="147" spans="2:49" x14ac:dyDescent="0.2">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row>
    <row r="148" spans="2:49" x14ac:dyDescent="0.2">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row>
    <row r="149" spans="2:49" x14ac:dyDescent="0.2">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row>
    <row r="150" spans="2:49" x14ac:dyDescent="0.2">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row>
    <row r="151" spans="2:49" x14ac:dyDescent="0.2">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row>
    <row r="152" spans="2:49" x14ac:dyDescent="0.2">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row>
    <row r="153" spans="2:49" x14ac:dyDescent="0.2">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row>
    <row r="154" spans="2:49" x14ac:dyDescent="0.2">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row>
    <row r="155" spans="2:49" x14ac:dyDescent="0.2">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row>
    <row r="156" spans="2:49" x14ac:dyDescent="0.2">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row>
    <row r="157" spans="2:49" x14ac:dyDescent="0.2">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row>
    <row r="158" spans="2:49" x14ac:dyDescent="0.2">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row>
    <row r="159" spans="2:49" x14ac:dyDescent="0.2">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row>
    <row r="160" spans="2:49" x14ac:dyDescent="0.2">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row>
    <row r="161" spans="2:49" x14ac:dyDescent="0.2">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row>
    <row r="162" spans="2:49" x14ac:dyDescent="0.2">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row>
    <row r="163" spans="2:49" x14ac:dyDescent="0.2">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row>
    <row r="164" spans="2:49" x14ac:dyDescent="0.2">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row>
    <row r="165" spans="2:49" x14ac:dyDescent="0.2">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row>
    <row r="166" spans="2:49" x14ac:dyDescent="0.2">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row>
    <row r="167" spans="2:49" x14ac:dyDescent="0.2">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row>
    <row r="168" spans="2:49" x14ac:dyDescent="0.2">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row>
    <row r="169" spans="2:49" x14ac:dyDescent="0.2">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row>
    <row r="170" spans="2:49" x14ac:dyDescent="0.2">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row>
    <row r="171" spans="2:49" x14ac:dyDescent="0.2">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row>
    <row r="172" spans="2:49" x14ac:dyDescent="0.2">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row>
    <row r="173" spans="2:49" x14ac:dyDescent="0.2">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row>
    <row r="174" spans="2:49" x14ac:dyDescent="0.2">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row>
    <row r="175" spans="2:49" x14ac:dyDescent="0.2">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row>
    <row r="176" spans="2:49" x14ac:dyDescent="0.2">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row>
    <row r="177" spans="2:49" x14ac:dyDescent="0.2">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row>
    <row r="178" spans="2:49" x14ac:dyDescent="0.2">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row>
    <row r="179" spans="2:49" x14ac:dyDescent="0.2">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row>
    <row r="180" spans="2:49" x14ac:dyDescent="0.2">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row>
    <row r="181" spans="2:49" x14ac:dyDescent="0.2">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row>
    <row r="182" spans="2:49" x14ac:dyDescent="0.2">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row>
    <row r="183" spans="2:49" x14ac:dyDescent="0.2">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row>
    <row r="184" spans="2:49" x14ac:dyDescent="0.2">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row>
    <row r="185" spans="2:49" x14ac:dyDescent="0.2">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row>
    <row r="186" spans="2:49" x14ac:dyDescent="0.2">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row>
    <row r="187" spans="2:49" x14ac:dyDescent="0.2">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row>
    <row r="188" spans="2:49" x14ac:dyDescent="0.2">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row>
    <row r="189" spans="2:49" x14ac:dyDescent="0.2">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row>
    <row r="190" spans="2:49" x14ac:dyDescent="0.2">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row>
    <row r="191" spans="2:49" x14ac:dyDescent="0.2">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row>
    <row r="192" spans="2:49" x14ac:dyDescent="0.2">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row>
    <row r="193" spans="2:49" x14ac:dyDescent="0.2">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row>
    <row r="194" spans="2:49" x14ac:dyDescent="0.2">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row>
    <row r="195" spans="2:49" x14ac:dyDescent="0.2">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row>
    <row r="196" spans="2:49" x14ac:dyDescent="0.2">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row>
    <row r="197" spans="2:49" x14ac:dyDescent="0.2">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row>
    <row r="198" spans="2:49" x14ac:dyDescent="0.2">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row>
    <row r="199" spans="2:49" x14ac:dyDescent="0.2">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row>
    <row r="200" spans="2:49" x14ac:dyDescent="0.2">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row>
    <row r="201" spans="2:49" x14ac:dyDescent="0.2">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row>
    <row r="202" spans="2:49" x14ac:dyDescent="0.2">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row>
    <row r="203" spans="2:49" x14ac:dyDescent="0.2">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row>
    <row r="204" spans="2:49" x14ac:dyDescent="0.2">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row>
    <row r="205" spans="2:49" x14ac:dyDescent="0.2">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row>
    <row r="206" spans="2:49" x14ac:dyDescent="0.2">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row>
    <row r="207" spans="2:49" x14ac:dyDescent="0.2">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row>
    <row r="208" spans="2:49" x14ac:dyDescent="0.2">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row>
    <row r="209" spans="2:49" x14ac:dyDescent="0.2">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row>
    <row r="210" spans="2:49" x14ac:dyDescent="0.2">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row>
    <row r="211" spans="2:49" x14ac:dyDescent="0.2">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row>
    <row r="212" spans="2:49" x14ac:dyDescent="0.2">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row>
    <row r="213" spans="2:49" x14ac:dyDescent="0.2">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row>
    <row r="214" spans="2:49" x14ac:dyDescent="0.2">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row>
    <row r="215" spans="2:49" x14ac:dyDescent="0.2">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row>
    <row r="216" spans="2:49" x14ac:dyDescent="0.2">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row>
    <row r="217" spans="2:49" x14ac:dyDescent="0.2">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row>
    <row r="218" spans="2:49" x14ac:dyDescent="0.2">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row>
    <row r="219" spans="2:49" x14ac:dyDescent="0.2">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row>
    <row r="220" spans="2:49" x14ac:dyDescent="0.2">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c r="AC220" s="21"/>
      <c r="AD220" s="21"/>
      <c r="AE220" s="21"/>
      <c r="AF220" s="21"/>
      <c r="AG220" s="21"/>
      <c r="AH220" s="21"/>
      <c r="AI220" s="21"/>
      <c r="AJ220" s="21"/>
      <c r="AK220" s="21"/>
      <c r="AL220" s="21"/>
      <c r="AM220" s="21"/>
      <c r="AN220" s="21"/>
      <c r="AO220" s="21"/>
      <c r="AP220" s="21"/>
      <c r="AQ220" s="21"/>
      <c r="AR220" s="21"/>
      <c r="AS220" s="21"/>
      <c r="AT220" s="21"/>
      <c r="AU220" s="21"/>
      <c r="AV220" s="21"/>
      <c r="AW220" s="21"/>
    </row>
    <row r="221" spans="2:49" x14ac:dyDescent="0.2">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row>
    <row r="222" spans="2:49" x14ac:dyDescent="0.2">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row>
    <row r="223" spans="2:49" x14ac:dyDescent="0.2">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row>
    <row r="224" spans="2:49" x14ac:dyDescent="0.2">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row>
    <row r="225" spans="2:49" x14ac:dyDescent="0.2">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row>
    <row r="226" spans="2:49" x14ac:dyDescent="0.2">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row>
    <row r="227" spans="2:49" x14ac:dyDescent="0.2">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row>
    <row r="228" spans="2:49" x14ac:dyDescent="0.2">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row>
    <row r="229" spans="2:49" x14ac:dyDescent="0.2">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row>
    <row r="230" spans="2:49" x14ac:dyDescent="0.2">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row>
    <row r="231" spans="2:49" x14ac:dyDescent="0.2">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row>
  </sheetData>
  <mergeCells count="15">
    <mergeCell ref="B20:B21"/>
    <mergeCell ref="C20:L20"/>
    <mergeCell ref="C21:D21"/>
    <mergeCell ref="E21:F21"/>
    <mergeCell ref="G21:H21"/>
    <mergeCell ref="I21:J21"/>
    <mergeCell ref="K21:L21"/>
    <mergeCell ref="B19:L19"/>
    <mergeCell ref="B3:B4"/>
    <mergeCell ref="C3:L3"/>
    <mergeCell ref="C4:D4"/>
    <mergeCell ref="E4:F4"/>
    <mergeCell ref="G4:H4"/>
    <mergeCell ref="I4:J4"/>
    <mergeCell ref="K4:L4"/>
  </mergeCells>
  <phoneticPr fontId="2"/>
  <printOptions horizontalCentered="1"/>
  <pageMargins left="0.70866141732283472" right="0.70866141732283472" top="0.74803149606299213" bottom="0.74803149606299213" header="0.31496062992125984" footer="0.31496062992125984"/>
  <pageSetup paperSize="9" scale="84" orientation="landscape" r:id="rId1"/>
  <drawing r:id="rId2"/>
  <mc:AlternateContent xmlns:mc="http://schemas.openxmlformats.org/markup-compatibility/2006">
    <mc:Choice Requires="v">
      <legacyDrawing r:id="rId3"/>
    </mc:Choice>
  </mc:AlternateContent>
  <controls>
    <control shapeId="39937" r:id="rId4" name="Button 1">
      <controlPr defaultSize="0" print="0" autoFill="0" autoPict="0" macro="[0]!データ削除_年齢階層在院期間区分F02F09">
        <anchor moveWithCells="1" sizeWithCells="1">
          <from>
            <xdr:col>31</xdr:col>
            <xdr:colOff>449580</xdr:colOff>
            <xdr:row>3</xdr:row>
            <xdr:rowOff>182880</xdr:rowOff>
          </from>
          <to>
            <xdr:col>34</xdr:col>
            <xdr:colOff>335280</xdr:colOff>
            <xdr:row>6</xdr:row>
            <xdr:rowOff>0</xdr:rowOff>
          </to>
        </anchor>
      </controlPr>
    </control>
  </controls>
  <tableParts count="4">
    <tablePart r:id="rId5"/>
    <tablePart r:id="rId6"/>
    <tablePart r:id="rId7"/>
    <tablePart r:id="rId8"/>
  </tableParts>
</worksheet>
</file>

<file path=xl/worksheets/sheet2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rgb="FFFF0000"/>
    <pageSetUpPr fitToPage="1"/>
  </sheetPr>
  <dimension ref="B1:BC41"/>
  <sheetViews>
    <sheetView showGridLines="0" view="pageBreakPreview" zoomScaleNormal="100" zoomScaleSheetLayoutView="100" workbookViewId="0"/>
  </sheetViews>
  <sheetFormatPr defaultColWidth="9" defaultRowHeight="17.399999999999999" x14ac:dyDescent="0.2"/>
  <cols>
    <col min="1" max="1" width="4" style="1" customWidth="1"/>
    <col min="2" max="2" width="12.44140625" style="1" customWidth="1"/>
    <col min="3" max="12" width="8.77734375" style="1" customWidth="1"/>
    <col min="13" max="13" width="16.44140625" style="1" customWidth="1"/>
    <col min="14" max="14" width="2.44140625" style="1" hidden="1" customWidth="1"/>
    <col min="15" max="15" width="17.77734375" style="1" hidden="1" customWidth="1"/>
    <col min="16" max="31" width="11.109375" style="1" hidden="1" customWidth="1"/>
    <col min="32" max="55" width="9" style="1" hidden="1" customWidth="1"/>
    <col min="56" max="56" width="0" style="1" hidden="1" customWidth="1"/>
    <col min="57" max="16384" width="9" style="1"/>
  </cols>
  <sheetData>
    <row r="1" spans="2:54" ht="19.5" customHeight="1" x14ac:dyDescent="0.2">
      <c r="B1" s="2" t="s">
        <v>157</v>
      </c>
    </row>
    <row r="2" spans="2:54" ht="18.75" customHeight="1" thickBot="1" x14ac:dyDescent="0.25">
      <c r="B2" s="996" t="s">
        <v>65</v>
      </c>
      <c r="C2" s="998" t="s">
        <v>64</v>
      </c>
      <c r="D2" s="999"/>
      <c r="E2" s="999"/>
      <c r="F2" s="999"/>
      <c r="G2" s="999"/>
      <c r="H2" s="999"/>
      <c r="I2" s="999"/>
      <c r="J2" s="999"/>
      <c r="K2" s="999"/>
      <c r="L2" s="1000"/>
      <c r="O2" s="33" t="s">
        <v>63</v>
      </c>
    </row>
    <row r="3" spans="2:54" ht="18.75" customHeight="1" thickTop="1" thickBot="1" x14ac:dyDescent="0.25">
      <c r="B3" s="997"/>
      <c r="C3" s="1001" t="s">
        <v>69</v>
      </c>
      <c r="D3" s="1002"/>
      <c r="E3" s="1001" t="s">
        <v>70</v>
      </c>
      <c r="F3" s="1002"/>
      <c r="G3" s="1001" t="s">
        <v>71</v>
      </c>
      <c r="H3" s="1002"/>
      <c r="I3" s="1001" t="s">
        <v>72</v>
      </c>
      <c r="J3" s="1002"/>
      <c r="K3" s="1001" t="s">
        <v>62</v>
      </c>
      <c r="L3" s="1002"/>
      <c r="O3" s="298" t="s">
        <v>372</v>
      </c>
      <c r="P3" s="333" t="s">
        <v>182</v>
      </c>
      <c r="Q3" s="333" t="s">
        <v>183</v>
      </c>
      <c r="R3" s="333" t="s">
        <v>184</v>
      </c>
      <c r="S3" s="333" t="s">
        <v>185</v>
      </c>
      <c r="T3" s="333" t="s">
        <v>186</v>
      </c>
      <c r="U3" s="333" t="s">
        <v>187</v>
      </c>
      <c r="V3" s="333" t="s">
        <v>188</v>
      </c>
      <c r="W3" s="333" t="s">
        <v>189</v>
      </c>
      <c r="X3" s="333" t="s">
        <v>190</v>
      </c>
      <c r="Y3" s="333" t="s">
        <v>191</v>
      </c>
      <c r="Z3" s="333" t="s">
        <v>192</v>
      </c>
      <c r="AA3" s="333" t="s">
        <v>193</v>
      </c>
      <c r="AB3" s="333" t="s">
        <v>194</v>
      </c>
      <c r="AC3" s="333" t="s">
        <v>195</v>
      </c>
      <c r="AD3" s="333" t="s">
        <v>196</v>
      </c>
      <c r="AE3" s="332" t="s">
        <v>197</v>
      </c>
      <c r="AM3" s="332" t="s">
        <v>182</v>
      </c>
      <c r="AN3" s="333" t="s">
        <v>183</v>
      </c>
      <c r="AO3" s="333" t="s">
        <v>184</v>
      </c>
      <c r="AP3" s="333" t="s">
        <v>185</v>
      </c>
      <c r="AQ3" s="333" t="s">
        <v>186</v>
      </c>
      <c r="AR3" s="333" t="s">
        <v>187</v>
      </c>
      <c r="AS3" s="333" t="s">
        <v>188</v>
      </c>
      <c r="AT3" s="333" t="s">
        <v>189</v>
      </c>
      <c r="AU3" s="333" t="s">
        <v>190</v>
      </c>
      <c r="AV3" s="333" t="s">
        <v>191</v>
      </c>
      <c r="AW3" s="333" t="s">
        <v>192</v>
      </c>
      <c r="AX3" s="333" t="s">
        <v>193</v>
      </c>
      <c r="AY3" s="333" t="s">
        <v>194</v>
      </c>
      <c r="AZ3" s="333" t="s">
        <v>195</v>
      </c>
      <c r="BA3" s="333" t="s">
        <v>196</v>
      </c>
      <c r="BB3" s="332" t="s">
        <v>197</v>
      </c>
    </row>
    <row r="4" spans="2:54" ht="18.75" customHeight="1" thickTop="1" x14ac:dyDescent="0.2">
      <c r="B4" s="174" t="s">
        <v>2</v>
      </c>
      <c r="C4" s="175">
        <f>IFERROR(INDEX(年齢階層×在院期間区分F3[#All],MATCH($AL4,年齢階層×在院期間区分F3[[#All],[行ラベル]],0),MATCH($AM$3,年齢階層×在院期間区分F3[#Headers],0)),0)+IFERROR(INDEX(年齢階層×在院期間区分F3[#All],MATCH($AL4,年齢階層×在院期間区分F3[[#All],[行ラベル]],0),MATCH($AN$3,年齢階層×在院期間区分F3[#Headers],0)),0)+IFERROR(INDEX(年齢階層×在院期間区分F3[#All],MATCH($AL4,年齢階層×在院期間区分F3[[#All],[行ラベル]],0),MATCH($AO$3,年齢階層×在院期間区分F3[#Headers],0)),0)+IFERROR(INDEX(年齢階層×在院期間区分F3[#All],MATCH($AL4,年齢階層×在院期間区分F3[[#All],[行ラベル]],0),MATCH($AP$3,年齢階層×在院期間区分F3[#Headers],0)),0)</f>
        <v>30</v>
      </c>
      <c r="D4" s="170">
        <f t="shared" ref="D4:D12" si="0">IFERROR(C4/$C$13,"-")</f>
        <v>2.8490028490028491E-2</v>
      </c>
      <c r="E4" s="175">
        <f>IFERROR(INDEX(年齢階層×在院期間区分F3[#All],MATCH($AL4,年齢階層×在院期間区分F3[[#All],[行ラベル]],0),MATCH($AQ$3,年齢階層×在院期間区分F3[#Headers],0)),0)+IFERROR(INDEX(年齢階層×在院期間区分F3[#All],MATCH($AL4,年齢階層×在院期間区分F3[[#All],[行ラベル]],0),MATCH($AR$3,年齢階層×在院期間区分F3[#Headers],0)),0)+IFERROR(INDEX(年齢階層×在院期間区分F3[#All],MATCH($AL4,年齢階層×在院期間区分F3[[#All],[行ラベル]],0),MATCH($AS$3,年齢階層×在院期間区分F3[#Headers],0)),0)+IFERROR(INDEX(年齢階層×在院期間区分F3[#All],MATCH($AL4,年齢階層×在院期間区分F3[[#All],[行ラベル]],0),MATCH($AT$3,年齢階層×在院期間区分F3[#Headers],0)),0)+IFERROR(INDEX(年齢階層×在院期間区分F3[#All],MATCH($AL4,年齢階層×在院期間区分F3[[#All],[行ラベル]],0),MATCH($AU$3,年齢階層×在院期間区分F3[#Headers],0)),0)</f>
        <v>0</v>
      </c>
      <c r="F4" s="170">
        <f t="shared" ref="F4:F12" si="1">IFERROR(E4/$E$13,"-")</f>
        <v>0</v>
      </c>
      <c r="G4" s="169">
        <f>IFERROR(INDEX(年齢階層×在院期間区分F3[#All],MATCH($AL4,年齢階層×在院期間区分F3[[#All],[行ラベル]],0),MATCH($AV$3,年齢階層×在院期間区分F3[#Headers],0)),0)+IFERROR(INDEX(年齢階層×在院期間区分F3[#All],MATCH($AL4,年齢階層×在院期間区分F3[[#All],[行ラベル]],0),MATCH($AW$3,年齢階層×在院期間区分F3[#Headers],0)),0)+IFERROR(INDEX(年齢階層×在院期間区分F3[#All],MATCH($AL4,年齢階層×在院期間区分F3[[#All],[行ラベル]],0),MATCH($AX$3,年齢階層×在院期間区分F3[#Headers],0)),0)+IFERROR(INDEX(年齢階層×在院期間区分F3[#All],MATCH($AL4,年齢階層×在院期間区分F3[[#All],[行ラベル]],0),MATCH($AY$3,年齢階層×在院期間区分F3[#Headers],0)),0)+IFERROR(INDEX(年齢階層×在院期間区分F3[#All],MATCH($AL4,年齢階層×在院期間区分F3[[#All],[行ラベル]],0),MATCH($AZ$3,年齢階層×在院期間区分F3[#Headers],0)),0)</f>
        <v>0</v>
      </c>
      <c r="H4" s="170">
        <f t="shared" ref="H4:H12" si="2">IFERROR(G4/$G$13,"-")</f>
        <v>0</v>
      </c>
      <c r="I4" s="175">
        <f>IFERROR(INDEX(年齢階層×在院期間区分F3[#All],MATCH($AL4,年齢階層×在院期間区分F3[[#All],[行ラベル]],0),MATCH($BA$3,年齢階層×在院期間区分F3[#Headers],0)),0)+IFERROR(INDEX(年齢階層×在院期間区分F3[#All],MATCH($AL4,年齢階層×在院期間区分F3[[#All],[行ラベル]],0),MATCH($BB$3,年齢階層×在院期間区分F3[#Headers],0)),0)</f>
        <v>0</v>
      </c>
      <c r="J4" s="170">
        <f t="shared" ref="J4:J12" si="3">IFERROR(I4/$I$13,"-")</f>
        <v>0</v>
      </c>
      <c r="K4" s="169">
        <f t="shared" ref="K4:K12" si="4">SUM(C4,E4,G4,I4)</f>
        <v>30</v>
      </c>
      <c r="L4" s="170">
        <f t="shared" ref="L4:L12" si="5">IFERROR(K4/$K$13,"-")</f>
        <v>1.8371096142069811E-2</v>
      </c>
      <c r="O4" s="53" t="s">
        <v>2</v>
      </c>
      <c r="P4" s="61">
        <v>17</v>
      </c>
      <c r="Q4" s="61">
        <v>9</v>
      </c>
      <c r="R4" s="61">
        <v>4</v>
      </c>
      <c r="S4" s="61">
        <v>0</v>
      </c>
      <c r="T4" s="61">
        <v>0</v>
      </c>
      <c r="U4" s="61">
        <v>0</v>
      </c>
      <c r="V4" s="61">
        <v>0</v>
      </c>
      <c r="W4" s="61">
        <v>0</v>
      </c>
      <c r="X4" s="61">
        <v>0</v>
      </c>
      <c r="Y4" s="61">
        <v>0</v>
      </c>
      <c r="Z4" s="61">
        <v>0</v>
      </c>
      <c r="AA4" s="61">
        <v>0</v>
      </c>
      <c r="AB4" s="61">
        <v>0</v>
      </c>
      <c r="AC4" s="61">
        <v>0</v>
      </c>
      <c r="AD4" s="61">
        <v>0</v>
      </c>
      <c r="AE4" s="61">
        <v>0</v>
      </c>
      <c r="AF4" s="21"/>
      <c r="AG4" s="21"/>
      <c r="AL4" s="53" t="s">
        <v>2</v>
      </c>
      <c r="AM4" s="62"/>
      <c r="AP4" s="62"/>
    </row>
    <row r="5" spans="2:54" ht="18.75" customHeight="1" x14ac:dyDescent="0.2">
      <c r="B5" s="176" t="s">
        <v>3</v>
      </c>
      <c r="C5" s="177">
        <f>IFERROR(INDEX(年齢階層×在院期間区分F3[#All],MATCH($AL5,年齢階層×在院期間区分F3[[#All],[行ラベル]],0),MATCH($AM$3,年齢階層×在院期間区分F3[#Headers],0)),0)+IFERROR(INDEX(年齢階層×在院期間区分F3[#All],MATCH($AL5,年齢階層×在院期間区分F3[[#All],[行ラベル]],0),MATCH($AN$3,年齢階層×在院期間区分F3[#Headers],0)),0)+IFERROR(INDEX(年齢階層×在院期間区分F3[#All],MATCH($AL5,年齢階層×在院期間区分F3[[#All],[行ラベル]],0),MATCH($AO$3,年齢階層×在院期間区分F3[#Headers],0)),0)+IFERROR(INDEX(年齢階層×在院期間区分F3[#All],MATCH($AL5,年齢階層×在院期間区分F3[[#All],[行ラベル]],0),MATCH($AP$3,年齢階層×在院期間区分F3[#Headers],0)),0)</f>
        <v>61</v>
      </c>
      <c r="D5" s="155">
        <f t="shared" si="0"/>
        <v>5.7929724596391265E-2</v>
      </c>
      <c r="E5" s="177">
        <f>IFERROR(INDEX(年齢階層×在院期間区分F3[#All],MATCH($AL5,年齢階層×在院期間区分F3[[#All],[行ラベル]],0),MATCH($AQ$3,年齢階層×在院期間区分F3[#Headers],0)),0)+IFERROR(INDEX(年齢階層×在院期間区分F3[#All],MATCH($AL5,年齢階層×在院期間区分F3[[#All],[行ラベル]],0),MATCH($AR$3,年齢階層×在院期間区分F3[#Headers],0)),0)+IFERROR(INDEX(年齢階層×在院期間区分F3[#All],MATCH($AL5,年齢階層×在院期間区分F3[[#All],[行ラベル]],0),MATCH($AS$3,年齢階層×在院期間区分F3[#Headers],0)),0)+IFERROR(INDEX(年齢階層×在院期間区分F3[#All],MATCH($AL5,年齢階層×在院期間区分F3[[#All],[行ラベル]],0),MATCH($AT$3,年齢階層×在院期間区分F3[#Headers],0)),0)+IFERROR(INDEX(年齢階層×在院期間区分F3[#All],MATCH($AL5,年齢階層×在院期間区分F3[[#All],[行ラベル]],0),MATCH($AU$3,年齢階層×在院期間区分F3[#Headers],0)),0)</f>
        <v>2</v>
      </c>
      <c r="F5" s="155">
        <f t="shared" si="1"/>
        <v>5.0505050505050509E-3</v>
      </c>
      <c r="G5" s="154">
        <f>IFERROR(INDEX(年齢階層×在院期間区分F3[#All],MATCH($AL5,年齢階層×在院期間区分F3[[#All],[行ラベル]],0),MATCH($AV$3,年齢階層×在院期間区分F3[#Headers],0)),0)+IFERROR(INDEX(年齢階層×在院期間区分F3[#All],MATCH($AL5,年齢階層×在院期間区分F3[[#All],[行ラベル]],0),MATCH($AW$3,年齢階層×在院期間区分F3[#Headers],0)),0)+IFERROR(INDEX(年齢階層×在院期間区分F3[#All],MATCH($AL5,年齢階層×在院期間区分F3[[#All],[行ラベル]],0),MATCH($AX$3,年齢階層×在院期間区分F3[#Headers],0)),0)+IFERROR(INDEX(年齢階層×在院期間区分F3[#All],MATCH($AL5,年齢階層×在院期間区分F3[[#All],[行ラベル]],0),MATCH($AY$3,年齢階層×在院期間区分F3[#Headers],0)),0)+IFERROR(INDEX(年齢階層×在院期間区分F3[#All],MATCH($AL5,年齢階層×在院期間区分F3[[#All],[行ラベル]],0),MATCH($AZ$3,年齢階層×在院期間区分F3[#Headers],0)),0)</f>
        <v>0</v>
      </c>
      <c r="H5" s="155">
        <f t="shared" si="2"/>
        <v>0</v>
      </c>
      <c r="I5" s="177">
        <f>IFERROR(INDEX(年齢階層×在院期間区分F3[#All],MATCH($AL5,年齢階層×在院期間区分F3[[#All],[行ラベル]],0),MATCH($BA$3,年齢階層×在院期間区分F3[#Headers],0)),0)+IFERROR(INDEX(年齢階層×在院期間区分F3[#All],MATCH($AL5,年齢階層×在院期間区分F3[[#All],[行ラベル]],0),MATCH($BB$3,年齢階層×在院期間区分F3[#Headers],0)),0)</f>
        <v>0</v>
      </c>
      <c r="J5" s="155">
        <f t="shared" si="3"/>
        <v>0</v>
      </c>
      <c r="K5" s="154">
        <f t="shared" si="4"/>
        <v>63</v>
      </c>
      <c r="L5" s="155">
        <f t="shared" si="5"/>
        <v>3.8579301898346602E-2</v>
      </c>
      <c r="O5" s="53" t="s">
        <v>3</v>
      </c>
      <c r="P5" s="61">
        <v>34</v>
      </c>
      <c r="Q5" s="61">
        <v>23</v>
      </c>
      <c r="R5" s="61">
        <v>3</v>
      </c>
      <c r="S5" s="61">
        <v>1</v>
      </c>
      <c r="T5" s="61">
        <v>0</v>
      </c>
      <c r="U5" s="61">
        <v>1</v>
      </c>
      <c r="V5" s="61">
        <v>0</v>
      </c>
      <c r="W5" s="61">
        <v>1</v>
      </c>
      <c r="X5" s="61">
        <v>0</v>
      </c>
      <c r="Y5" s="61">
        <v>0</v>
      </c>
      <c r="Z5" s="61">
        <v>0</v>
      </c>
      <c r="AA5" s="61">
        <v>0</v>
      </c>
      <c r="AB5" s="61">
        <v>0</v>
      </c>
      <c r="AC5" s="61">
        <v>0</v>
      </c>
      <c r="AD5" s="61">
        <v>0</v>
      </c>
      <c r="AE5" s="61">
        <v>0</v>
      </c>
      <c r="AF5" s="21"/>
      <c r="AG5" s="21"/>
      <c r="AL5" s="53" t="s">
        <v>3</v>
      </c>
      <c r="AM5" s="62"/>
      <c r="AN5" s="62"/>
      <c r="AP5" s="62"/>
    </row>
    <row r="6" spans="2:54" ht="18.75" customHeight="1" x14ac:dyDescent="0.2">
      <c r="B6" s="176" t="s">
        <v>4</v>
      </c>
      <c r="C6" s="154">
        <f>IFERROR(INDEX(年齢階層×在院期間区分F3[#All],MATCH($AL6,年齢階層×在院期間区分F3[[#All],[行ラベル]],0),MATCH($AM$3,年齢階層×在院期間区分F3[#Headers],0)),0)+IFERROR(INDEX(年齢階層×在院期間区分F3[#All],MATCH($AL6,年齢階層×在院期間区分F3[[#All],[行ラベル]],0),MATCH($AN$3,年齢階層×在院期間区分F3[#Headers],0)),0)+IFERROR(INDEX(年齢階層×在院期間区分F3[#All],MATCH($AL6,年齢階層×在院期間区分F3[[#All],[行ラベル]],0),MATCH($AO$3,年齢階層×在院期間区分F3[#Headers],0)),0)+IFERROR(INDEX(年齢階層×在院期間区分F3[#All],MATCH($AL6,年齢階層×在院期間区分F3[[#All],[行ラベル]],0),MATCH($AP$3,年齢階層×在院期間区分F3[#Headers],0)),0)</f>
        <v>65</v>
      </c>
      <c r="D6" s="155">
        <f t="shared" si="0"/>
        <v>6.1728395061728392E-2</v>
      </c>
      <c r="E6" s="154">
        <f>IFERROR(INDEX(年齢階層×在院期間区分F3[#All],MATCH($AL6,年齢階層×在院期間区分F3[[#All],[行ラベル]],0),MATCH($AQ$3,年齢階層×在院期間区分F3[#Headers],0)),0)+IFERROR(INDEX(年齢階層×在院期間区分F3[#All],MATCH($AL6,年齢階層×在院期間区分F3[[#All],[行ラベル]],0),MATCH($AR$3,年齢階層×在院期間区分F3[#Headers],0)),0)+IFERROR(INDEX(年齢階層×在院期間区分F3[#All],MATCH($AL6,年齢階層×在院期間区分F3[[#All],[行ラベル]],0),MATCH($AS$3,年齢階層×在院期間区分F3[#Headers],0)),0)+IFERROR(INDEX(年齢階層×在院期間区分F3[#All],MATCH($AL6,年齢階層×在院期間区分F3[[#All],[行ラベル]],0),MATCH($AT$3,年齢階層×在院期間区分F3[#Headers],0)),0)+IFERROR(INDEX(年齢階層×在院期間区分F3[#All],MATCH($AL6,年齢階層×在院期間区分F3[[#All],[行ラベル]],0),MATCH($AU$3,年齢階層×在院期間区分F3[#Headers],0)),0)</f>
        <v>6</v>
      </c>
      <c r="F6" s="155">
        <f t="shared" si="1"/>
        <v>1.5151515151515152E-2</v>
      </c>
      <c r="G6" s="154">
        <f>IFERROR(INDEX(年齢階層×在院期間区分F3[#All],MATCH($AL6,年齢階層×在院期間区分F3[[#All],[行ラベル]],0),MATCH($AV$3,年齢階層×在院期間区分F3[#Headers],0)),0)+IFERROR(INDEX(年齢階層×在院期間区分F3[#All],MATCH($AL6,年齢階層×在院期間区分F3[[#All],[行ラベル]],0),MATCH($AW$3,年齢階層×在院期間区分F3[#Headers],0)),0)+IFERROR(INDEX(年齢階層×在院期間区分F3[#All],MATCH($AL6,年齢階層×在院期間区分F3[[#All],[行ラベル]],0),MATCH($AX$3,年齢階層×在院期間区分F3[#Headers],0)),0)+IFERROR(INDEX(年齢階層×在院期間区分F3[#All],MATCH($AL6,年齢階層×在院期間区分F3[[#All],[行ラベル]],0),MATCH($AY$3,年齢階層×在院期間区分F3[#Headers],0)),0)+IFERROR(INDEX(年齢階層×在院期間区分F3[#All],MATCH($AL6,年齢階層×在院期間区分F3[[#All],[行ラベル]],0),MATCH($AZ$3,年齢階層×在院期間区分F3[#Headers],0)),0)</f>
        <v>0</v>
      </c>
      <c r="H6" s="155">
        <f t="shared" si="2"/>
        <v>0</v>
      </c>
      <c r="I6" s="177">
        <f>IFERROR(INDEX(年齢階層×在院期間区分F3[#All],MATCH($AL6,年齢階層×在院期間区分F3[[#All],[行ラベル]],0),MATCH($BA$3,年齢階層×在院期間区分F3[#Headers],0)),0)+IFERROR(INDEX(年齢階層×在院期間区分F3[#All],MATCH($AL6,年齢階層×在院期間区分F3[[#All],[行ラベル]],0),MATCH($BB$3,年齢階層×在院期間区分F3[#Headers],0)),0)</f>
        <v>1</v>
      </c>
      <c r="J6" s="155">
        <f t="shared" si="3"/>
        <v>1.4705882352941176E-2</v>
      </c>
      <c r="K6" s="154">
        <f t="shared" si="4"/>
        <v>72</v>
      </c>
      <c r="L6" s="155">
        <f t="shared" si="5"/>
        <v>4.4090630740967543E-2</v>
      </c>
      <c r="O6" s="53" t="s">
        <v>4</v>
      </c>
      <c r="P6" s="61">
        <v>36</v>
      </c>
      <c r="Q6" s="61">
        <v>16</v>
      </c>
      <c r="R6" s="61">
        <v>9</v>
      </c>
      <c r="S6" s="61">
        <v>4</v>
      </c>
      <c r="T6" s="61">
        <v>2</v>
      </c>
      <c r="U6" s="61">
        <v>1</v>
      </c>
      <c r="V6" s="61">
        <v>1</v>
      </c>
      <c r="W6" s="61">
        <v>2</v>
      </c>
      <c r="X6" s="61">
        <v>0</v>
      </c>
      <c r="Y6" s="61">
        <v>0</v>
      </c>
      <c r="Z6" s="61">
        <v>0</v>
      </c>
      <c r="AA6" s="61">
        <v>0</v>
      </c>
      <c r="AB6" s="61">
        <v>0</v>
      </c>
      <c r="AC6" s="61">
        <v>0</v>
      </c>
      <c r="AD6" s="61">
        <v>1</v>
      </c>
      <c r="AE6" s="61">
        <v>0</v>
      </c>
      <c r="AF6" s="21"/>
      <c r="AG6" s="21"/>
      <c r="AL6" s="53" t="s">
        <v>4</v>
      </c>
      <c r="AM6" s="62"/>
      <c r="AN6" s="62"/>
      <c r="AP6" s="62"/>
    </row>
    <row r="7" spans="2:54" ht="18.75" customHeight="1" x14ac:dyDescent="0.2">
      <c r="B7" s="176" t="s">
        <v>5</v>
      </c>
      <c r="C7" s="154">
        <f>IFERROR(INDEX(年齢階層×在院期間区分F3[#All],MATCH($AL7,年齢階層×在院期間区分F3[[#All],[行ラベル]],0),MATCH($AM$3,年齢階層×在院期間区分F3[#Headers],0)),0)+IFERROR(INDEX(年齢階層×在院期間区分F3[#All],MATCH($AL7,年齢階層×在院期間区分F3[[#All],[行ラベル]],0),MATCH($AN$3,年齢階層×在院期間区分F3[#Headers],0)),0)+IFERROR(INDEX(年齢階層×在院期間区分F3[#All],MATCH($AL7,年齢階層×在院期間区分F3[[#All],[行ラベル]],0),MATCH($AO$3,年齢階層×在院期間区分F3[#Headers],0)),0)+IFERROR(INDEX(年齢階層×在院期間区分F3[#All],MATCH($AL7,年齢階層×在院期間区分F3[[#All],[行ラベル]],0),MATCH($AP$3,年齢階層×在院期間区分F3[#Headers],0)),0)</f>
        <v>94</v>
      </c>
      <c r="D7" s="155">
        <f t="shared" si="0"/>
        <v>8.9268755935422606E-2</v>
      </c>
      <c r="E7" s="178">
        <f>IFERROR(INDEX(年齢階層×在院期間区分F3[#All],MATCH($AL7,年齢階層×在院期間区分F3[[#All],[行ラベル]],0),MATCH($AQ$3,年齢階層×在院期間区分F3[#Headers],0)),0)+IFERROR(INDEX(年齢階層×在院期間区分F3[#All],MATCH($AL7,年齢階層×在院期間区分F3[[#All],[行ラベル]],0),MATCH($AR$3,年齢階層×在院期間区分F3[#Headers],0)),0)+IFERROR(INDEX(年齢階層×在院期間区分F3[#All],MATCH($AL7,年齢階層×在院期間区分F3[[#All],[行ラベル]],0),MATCH($AS$3,年齢階層×在院期間区分F3[#Headers],0)),0)+IFERROR(INDEX(年齢階層×在院期間区分F3[#All],MATCH($AL7,年齢階層×在院期間区分F3[[#All],[行ラベル]],0),MATCH($AT$3,年齢階層×在院期間区分F3[#Headers],0)),0)+IFERROR(INDEX(年齢階層×在院期間区分F3[#All],MATCH($AL7,年齢階層×在院期間区分F3[[#All],[行ラベル]],0),MATCH($AU$3,年齢階層×在院期間区分F3[#Headers],0)),0)</f>
        <v>5</v>
      </c>
      <c r="F7" s="155">
        <f t="shared" si="1"/>
        <v>1.2626262626262626E-2</v>
      </c>
      <c r="G7" s="178">
        <f>IFERROR(INDEX(年齢階層×在院期間区分F3[#All],MATCH($AL7,年齢階層×在院期間区分F3[[#All],[行ラベル]],0),MATCH($AV$3,年齢階層×在院期間区分F3[#Headers],0)),0)+IFERROR(INDEX(年齢階層×在院期間区分F3[#All],MATCH($AL7,年齢階層×在院期間区分F3[[#All],[行ラベル]],0),MATCH($AW$3,年齢階層×在院期間区分F3[#Headers],0)),0)+IFERROR(INDEX(年齢階層×在院期間区分F3[#All],MATCH($AL7,年齢階層×在院期間区分F3[[#All],[行ラベル]],0),MATCH($AX$3,年齢階層×在院期間区分F3[#Headers],0)),0)+IFERROR(INDEX(年齢階層×在院期間区分F3[#All],MATCH($AL7,年齢階層×在院期間区分F3[[#All],[行ラベル]],0),MATCH($AY$3,年齢階層×在院期間区分F3[#Headers],0)),0)+IFERROR(INDEX(年齢階層×在院期間区分F3[#All],MATCH($AL7,年齢階層×在院期間区分F3[[#All],[行ラベル]],0),MATCH($AZ$3,年齢階層×在院期間区分F3[#Headers],0)),0)</f>
        <v>2</v>
      </c>
      <c r="H7" s="155">
        <f t="shared" si="2"/>
        <v>1.7241379310344827E-2</v>
      </c>
      <c r="I7" s="154">
        <f>IFERROR(INDEX(年齢階層×在院期間区分F3[#All],MATCH($AL7,年齢階層×在院期間区分F3[[#All],[行ラベル]],0),MATCH($BA$3,年齢階層×在院期間区分F3[#Headers],0)),0)+IFERROR(INDEX(年齢階層×在院期間区分F3[#All],MATCH($AL7,年齢階層×在院期間区分F3[[#All],[行ラベル]],0),MATCH($BB$3,年齢階層×在院期間区分F3[#Headers],0)),0)</f>
        <v>2</v>
      </c>
      <c r="J7" s="155">
        <f t="shared" si="3"/>
        <v>2.9411764705882353E-2</v>
      </c>
      <c r="K7" s="154">
        <f t="shared" si="4"/>
        <v>103</v>
      </c>
      <c r="L7" s="155">
        <f t="shared" si="5"/>
        <v>6.3074096754439687E-2</v>
      </c>
      <c r="O7" s="53" t="s">
        <v>5</v>
      </c>
      <c r="P7" s="61">
        <v>45</v>
      </c>
      <c r="Q7" s="61">
        <v>34</v>
      </c>
      <c r="R7" s="61">
        <v>10</v>
      </c>
      <c r="S7" s="61">
        <v>5</v>
      </c>
      <c r="T7" s="61">
        <v>1</v>
      </c>
      <c r="U7" s="61">
        <v>0</v>
      </c>
      <c r="V7" s="61">
        <v>3</v>
      </c>
      <c r="W7" s="61">
        <v>0</v>
      </c>
      <c r="X7" s="61">
        <v>1</v>
      </c>
      <c r="Y7" s="61">
        <v>0</v>
      </c>
      <c r="Z7" s="61">
        <v>1</v>
      </c>
      <c r="AA7" s="61">
        <v>0</v>
      </c>
      <c r="AB7" s="61">
        <v>0</v>
      </c>
      <c r="AC7" s="61">
        <v>1</v>
      </c>
      <c r="AD7" s="61">
        <v>1</v>
      </c>
      <c r="AE7" s="61">
        <v>1</v>
      </c>
      <c r="AF7" s="21"/>
      <c r="AG7" s="21"/>
      <c r="AL7" s="53" t="s">
        <v>5</v>
      </c>
      <c r="AM7" s="62"/>
      <c r="AN7" s="62"/>
      <c r="AP7" s="62"/>
    </row>
    <row r="8" spans="2:54" ht="18.75" customHeight="1" x14ac:dyDescent="0.2">
      <c r="B8" s="176" t="s">
        <v>6</v>
      </c>
      <c r="C8" s="178">
        <f>IFERROR(INDEX(年齢階層×在院期間区分F3[#All],MATCH($AL8,年齢階層×在院期間区分F3[[#All],[行ラベル]],0),MATCH($AM$3,年齢階層×在院期間区分F3[#Headers],0)),0)+IFERROR(INDEX(年齢階層×在院期間区分F3[#All],MATCH($AL8,年齢階層×在院期間区分F3[[#All],[行ラベル]],0),MATCH($AN$3,年齢階層×在院期間区分F3[#Headers],0)),0)+IFERROR(INDEX(年齢階層×在院期間区分F3[#All],MATCH($AL8,年齢階層×在院期間区分F3[[#All],[行ラベル]],0),MATCH($AO$3,年齢階層×在院期間区分F3[#Headers],0)),0)+IFERROR(INDEX(年齢階層×在院期間区分F3[#All],MATCH($AL8,年齢階層×在院期間区分F3[[#All],[行ラベル]],0),MATCH($AP$3,年齢階層×在院期間区分F3[#Headers],0)),0)</f>
        <v>167</v>
      </c>
      <c r="D8" s="155">
        <f t="shared" si="0"/>
        <v>0.15859449192782527</v>
      </c>
      <c r="E8" s="177">
        <f>IFERROR(INDEX(年齢階層×在院期間区分F3[#All],MATCH($AL8,年齢階層×在院期間区分F3[[#All],[行ラベル]],0),MATCH($AQ$3,年齢階層×在院期間区分F3[#Headers],0)),0)+IFERROR(INDEX(年齢階層×在院期間区分F3[#All],MATCH($AL8,年齢階層×在院期間区分F3[[#All],[行ラベル]],0),MATCH($AR$3,年齢階層×在院期間区分F3[#Headers],0)),0)+IFERROR(INDEX(年齢階層×在院期間区分F3[#All],MATCH($AL8,年齢階層×在院期間区分F3[[#All],[行ラベル]],0),MATCH($AS$3,年齢階層×在院期間区分F3[#Headers],0)),0)+IFERROR(INDEX(年齢階層×在院期間区分F3[#All],MATCH($AL8,年齢階層×在院期間区分F3[[#All],[行ラベル]],0),MATCH($AT$3,年齢階層×在院期間区分F3[#Headers],0)),0)+IFERROR(INDEX(年齢階層×在院期間区分F3[#All],MATCH($AL8,年齢階層×在院期間区分F3[[#All],[行ラベル]],0),MATCH($AU$3,年齢階層×在院期間区分F3[#Headers],0)),0)</f>
        <v>31</v>
      </c>
      <c r="F8" s="155">
        <f t="shared" si="1"/>
        <v>7.8282828282828287E-2</v>
      </c>
      <c r="G8" s="154">
        <f>IFERROR(INDEX(年齢階層×在院期間区分F3[#All],MATCH($AL8,年齢階層×在院期間区分F3[[#All],[行ラベル]],0),MATCH($AV$3,年齢階層×在院期間区分F3[#Headers],0)),0)+IFERROR(INDEX(年齢階層×在院期間区分F3[#All],MATCH($AL8,年齢階層×在院期間区分F3[[#All],[行ラベル]],0),MATCH($AW$3,年齢階層×在院期間区分F3[#Headers],0)),0)+IFERROR(INDEX(年齢階層×在院期間区分F3[#All],MATCH($AL8,年齢階層×在院期間区分F3[[#All],[行ラベル]],0),MATCH($AX$3,年齢階層×在院期間区分F3[#Headers],0)),0)+IFERROR(INDEX(年齢階層×在院期間区分F3[#All],MATCH($AL8,年齢階層×在院期間区分F3[[#All],[行ラベル]],0),MATCH($AY$3,年齢階層×在院期間区分F3[#Headers],0)),0)+IFERROR(INDEX(年齢階層×在院期間区分F3[#All],MATCH($AL8,年齢階層×在院期間区分F3[[#All],[行ラベル]],0),MATCH($AZ$3,年齢階層×在院期間区分F3[#Headers],0)),0)</f>
        <v>8</v>
      </c>
      <c r="H8" s="155">
        <f t="shared" si="2"/>
        <v>6.8965517241379309E-2</v>
      </c>
      <c r="I8" s="154">
        <f>IFERROR(INDEX(年齢階層×在院期間区分F3[#All],MATCH($AL8,年齢階層×在院期間区分F3[[#All],[行ラベル]],0),MATCH($BA$3,年齢階層×在院期間区分F3[#Headers],0)),0)+IFERROR(INDEX(年齢階層×在院期間区分F3[#All],MATCH($AL8,年齢階層×在院期間区分F3[[#All],[行ラベル]],0),MATCH($BB$3,年齢階層×在院期間区分F3[#Headers],0)),0)</f>
        <v>10</v>
      </c>
      <c r="J8" s="155">
        <f t="shared" si="3"/>
        <v>0.14705882352941177</v>
      </c>
      <c r="K8" s="154">
        <f t="shared" si="4"/>
        <v>216</v>
      </c>
      <c r="L8" s="155">
        <f t="shared" si="5"/>
        <v>0.13227189222290264</v>
      </c>
      <c r="O8" s="53" t="s">
        <v>6</v>
      </c>
      <c r="P8" s="61">
        <v>71</v>
      </c>
      <c r="Q8" s="61">
        <v>57</v>
      </c>
      <c r="R8" s="61">
        <v>23</v>
      </c>
      <c r="S8" s="61">
        <v>16</v>
      </c>
      <c r="T8" s="61">
        <v>6</v>
      </c>
      <c r="U8" s="61">
        <v>6</v>
      </c>
      <c r="V8" s="61">
        <v>12</v>
      </c>
      <c r="W8" s="61">
        <v>4</v>
      </c>
      <c r="X8" s="61">
        <v>3</v>
      </c>
      <c r="Y8" s="61">
        <v>3</v>
      </c>
      <c r="Z8" s="61">
        <v>3</v>
      </c>
      <c r="AA8" s="61">
        <v>2</v>
      </c>
      <c r="AB8" s="61">
        <v>0</v>
      </c>
      <c r="AC8" s="61">
        <v>0</v>
      </c>
      <c r="AD8" s="61">
        <v>10</v>
      </c>
      <c r="AE8" s="61">
        <v>0</v>
      </c>
      <c r="AF8" s="21"/>
      <c r="AG8" s="21"/>
      <c r="AL8" s="53" t="s">
        <v>6</v>
      </c>
      <c r="AM8" s="62"/>
      <c r="AN8" s="62"/>
      <c r="AP8" s="62"/>
    </row>
    <row r="9" spans="2:54" ht="18.75" customHeight="1" x14ac:dyDescent="0.2">
      <c r="B9" s="176" t="s">
        <v>7</v>
      </c>
      <c r="C9" s="154">
        <f>IFERROR(INDEX(年齢階層×在院期間区分F3[#All],MATCH($AL9,年齢階層×在院期間区分F3[[#All],[行ラベル]],0),MATCH($AM$3,年齢階層×在院期間区分F3[#Headers],0)),0)+IFERROR(INDEX(年齢階層×在院期間区分F3[#All],MATCH($AL9,年齢階層×在院期間区分F3[[#All],[行ラベル]],0),MATCH($AN$3,年齢階層×在院期間区分F3[#Headers],0)),0)+IFERROR(INDEX(年齢階層×在院期間区分F3[#All],MATCH($AL9,年齢階層×在院期間区分F3[[#All],[行ラベル]],0),MATCH($AO$3,年齢階層×在院期間区分F3[#Headers],0)),0)+IFERROR(INDEX(年齢階層×在院期間区分F3[#All],MATCH($AL9,年齢階層×在院期間区分F3[[#All],[行ラベル]],0),MATCH($AP$3,年齢階層×在院期間区分F3[#Headers],0)),0)</f>
        <v>185</v>
      </c>
      <c r="D9" s="155">
        <f t="shared" si="0"/>
        <v>0.17568850902184235</v>
      </c>
      <c r="E9" s="154">
        <f>IFERROR(INDEX(年齢階層×在院期間区分F3[#All],MATCH($AL9,年齢階層×在院期間区分F3[[#All],[行ラベル]],0),MATCH($AQ$3,年齢階層×在院期間区分F3[#Headers],0)),0)+IFERROR(INDEX(年齢階層×在院期間区分F3[#All],MATCH($AL9,年齢階層×在院期間区分F3[[#All],[行ラベル]],0),MATCH($AR$3,年齢階層×在院期間区分F3[#Headers],0)),0)+IFERROR(INDEX(年齢階層×在院期間区分F3[#All],MATCH($AL9,年齢階層×在院期間区分F3[[#All],[行ラベル]],0),MATCH($AS$3,年齢階層×在院期間区分F3[#Headers],0)),0)+IFERROR(INDEX(年齢階層×在院期間区分F3[#All],MATCH($AL9,年齢階層×在院期間区分F3[[#All],[行ラベル]],0),MATCH($AT$3,年齢階層×在院期間区分F3[#Headers],0)),0)+IFERROR(INDEX(年齢階層×在院期間区分F3[#All],MATCH($AL9,年齢階層×在院期間区分F3[[#All],[行ラベル]],0),MATCH($AU$3,年齢階層×在院期間区分F3[#Headers],0)),0)</f>
        <v>87</v>
      </c>
      <c r="F9" s="155">
        <f t="shared" si="1"/>
        <v>0.2196969696969697</v>
      </c>
      <c r="G9" s="178">
        <f>IFERROR(INDEX(年齢階層×在院期間区分F3[#All],MATCH($AL9,年齢階層×在院期間区分F3[[#All],[行ラベル]],0),MATCH($AV$3,年齢階層×在院期間区分F3[#Headers],0)),0)+IFERROR(INDEX(年齢階層×在院期間区分F3[#All],MATCH($AL9,年齢階層×在院期間区分F3[[#All],[行ラベル]],0),MATCH($AW$3,年齢階層×在院期間区分F3[#Headers],0)),0)+IFERROR(INDEX(年齢階層×在院期間区分F3[#All],MATCH($AL9,年齢階層×在院期間区分F3[[#All],[行ラベル]],0),MATCH($AX$3,年齢階層×在院期間区分F3[#Headers],0)),0)+IFERROR(INDEX(年齢階層×在院期間区分F3[#All],MATCH($AL9,年齢階層×在院期間区分F3[[#All],[行ラベル]],0),MATCH($AY$3,年齢階層×在院期間区分F3[#Headers],0)),0)+IFERROR(INDEX(年齢階層×在院期間区分F3[#All],MATCH($AL9,年齢階層×在院期間区分F3[[#All],[行ラベル]],0),MATCH($AZ$3,年齢階層×在院期間区分F3[#Headers],0)),0)</f>
        <v>20</v>
      </c>
      <c r="H9" s="155">
        <f t="shared" si="2"/>
        <v>0.17241379310344829</v>
      </c>
      <c r="I9" s="178">
        <f>IFERROR(INDEX(年齢階層×在院期間区分F3[#All],MATCH($AL9,年齢階層×在院期間区分F3[[#All],[行ラベル]],0),MATCH($BA$3,年齢階層×在院期間区分F3[#Headers],0)),0)+IFERROR(INDEX(年齢階層×在院期間区分F3[#All],MATCH($AL9,年齢階層×在院期間区分F3[[#All],[行ラベル]],0),MATCH($BB$3,年齢階層×在院期間区分F3[#Headers],0)),0)</f>
        <v>11</v>
      </c>
      <c r="J9" s="155">
        <f t="shared" si="3"/>
        <v>0.16176470588235295</v>
      </c>
      <c r="K9" s="154">
        <f t="shared" si="4"/>
        <v>303</v>
      </c>
      <c r="L9" s="155">
        <f t="shared" si="5"/>
        <v>0.18554807103490509</v>
      </c>
      <c r="O9" s="53" t="s">
        <v>7</v>
      </c>
      <c r="P9" s="61">
        <v>64</v>
      </c>
      <c r="Q9" s="61">
        <v>65</v>
      </c>
      <c r="R9" s="61">
        <v>22</v>
      </c>
      <c r="S9" s="61">
        <v>34</v>
      </c>
      <c r="T9" s="61">
        <v>26</v>
      </c>
      <c r="U9" s="61">
        <v>9</v>
      </c>
      <c r="V9" s="61">
        <v>24</v>
      </c>
      <c r="W9" s="61">
        <v>17</v>
      </c>
      <c r="X9" s="61">
        <v>11</v>
      </c>
      <c r="Y9" s="61">
        <v>7</v>
      </c>
      <c r="Z9" s="61">
        <v>6</v>
      </c>
      <c r="AA9" s="61">
        <v>2</v>
      </c>
      <c r="AB9" s="61">
        <v>3</v>
      </c>
      <c r="AC9" s="61">
        <v>2</v>
      </c>
      <c r="AD9" s="61">
        <v>11</v>
      </c>
      <c r="AE9" s="61">
        <v>0</v>
      </c>
      <c r="AF9" s="21"/>
      <c r="AG9" s="21"/>
      <c r="AL9" s="53" t="s">
        <v>7</v>
      </c>
      <c r="AM9" s="62"/>
      <c r="AN9" s="62"/>
      <c r="AP9" s="62"/>
    </row>
    <row r="10" spans="2:54" ht="18.75" customHeight="1" x14ac:dyDescent="0.2">
      <c r="B10" s="176" t="s">
        <v>8</v>
      </c>
      <c r="C10" s="154">
        <f>IFERROR(INDEX(年齢階層×在院期間区分F3[#All],MATCH($AL10,年齢階層×在院期間区分F3[[#All],[行ラベル]],0),MATCH($AM$3,年齢階層×在院期間区分F3[#Headers],0)),0)+IFERROR(INDEX(年齢階層×在院期間区分F3[#All],MATCH($AL10,年齢階層×在院期間区分F3[[#All],[行ラベル]],0),MATCH($AN$3,年齢階層×在院期間区分F3[#Headers],0)),0)+IFERROR(INDEX(年齢階層×在院期間区分F3[#All],MATCH($AL10,年齢階層×在院期間区分F3[[#All],[行ラベル]],0),MATCH($AO$3,年齢階層×在院期間区分F3[#Headers],0)),0)+IFERROR(INDEX(年齢階層×在院期間区分F3[#All],MATCH($AL10,年齢階層×在院期間区分F3[[#All],[行ラベル]],0),MATCH($AP$3,年齢階層×在院期間区分F3[#Headers],0)),0)</f>
        <v>245</v>
      </c>
      <c r="D10" s="155">
        <f t="shared" si="0"/>
        <v>0.23266856600189934</v>
      </c>
      <c r="E10" s="178">
        <f>IFERROR(INDEX(年齢階層×在院期間区分F3[#All],MATCH($AL10,年齢階層×在院期間区分F3[[#All],[行ラベル]],0),MATCH($AQ$3,年齢階層×在院期間区分F3[#Headers],0)),0)+IFERROR(INDEX(年齢階層×在院期間区分F3[#All],MATCH($AL10,年齢階層×在院期間区分F3[[#All],[行ラベル]],0),MATCH($AR$3,年齢階層×在院期間区分F3[#Headers],0)),0)+IFERROR(INDEX(年齢階層×在院期間区分F3[#All],MATCH($AL10,年齢階層×在院期間区分F3[[#All],[行ラベル]],0),MATCH($AS$3,年齢階層×在院期間区分F3[#Headers],0)),0)+IFERROR(INDEX(年齢階層×在院期間区分F3[#All],MATCH($AL10,年齢階層×在院期間区分F3[[#All],[行ラベル]],0),MATCH($AT$3,年齢階層×在院期間区分F3[#Headers],0)),0)+IFERROR(INDEX(年齢階層×在院期間区分F3[#All],MATCH($AL10,年齢階層×在院期間区分F3[[#All],[行ラベル]],0),MATCH($AU$3,年齢階層×在院期間区分F3[#Headers],0)),0)</f>
        <v>120</v>
      </c>
      <c r="F10" s="155">
        <f t="shared" si="1"/>
        <v>0.30303030303030304</v>
      </c>
      <c r="G10" s="177">
        <f>IFERROR(INDEX(年齢階層×在院期間区分F3[#All],MATCH($AL10,年齢階層×在院期間区分F3[[#All],[行ラベル]],0),MATCH($AV$3,年齢階層×在院期間区分F3[#Headers],0)),0)+IFERROR(INDEX(年齢階層×在院期間区分F3[#All],MATCH($AL10,年齢階層×在院期間区分F3[[#All],[行ラベル]],0),MATCH($AW$3,年齢階層×在院期間区分F3[#Headers],0)),0)+IFERROR(INDEX(年齢階層×在院期間区分F3[#All],MATCH($AL10,年齢階層×在院期間区分F3[[#All],[行ラベル]],0),MATCH($AX$3,年齢階層×在院期間区分F3[#Headers],0)),0)+IFERROR(INDEX(年齢階層×在院期間区分F3[#All],MATCH($AL10,年齢階層×在院期間区分F3[[#All],[行ラベル]],0),MATCH($AY$3,年齢階層×在院期間区分F3[#Headers],0)),0)+IFERROR(INDEX(年齢階層×在院期間区分F3[#All],MATCH($AL10,年齢階層×在院期間区分F3[[#All],[行ラベル]],0),MATCH($AZ$3,年齢階層×在院期間区分F3[#Headers],0)),0)</f>
        <v>39</v>
      </c>
      <c r="H10" s="155">
        <f t="shared" si="2"/>
        <v>0.33620689655172414</v>
      </c>
      <c r="I10" s="154">
        <f>IFERROR(INDEX(年齢階層×在院期間区分F3[#All],MATCH($AL10,年齢階層×在院期間区分F3[[#All],[行ラベル]],0),MATCH($BA$3,年齢階層×在院期間区分F3[#Headers],0)),0)+IFERROR(INDEX(年齢階層×在院期間区分F3[#All],MATCH($AL10,年齢階層×在院期間区分F3[[#All],[行ラベル]],0),MATCH($BB$3,年齢階層×在院期間区分F3[#Headers],0)),0)</f>
        <v>23</v>
      </c>
      <c r="J10" s="155">
        <f t="shared" si="3"/>
        <v>0.33823529411764708</v>
      </c>
      <c r="K10" s="154">
        <f t="shared" si="4"/>
        <v>427</v>
      </c>
      <c r="L10" s="155">
        <f t="shared" si="5"/>
        <v>0.26148193508879364</v>
      </c>
      <c r="O10" s="53" t="s">
        <v>8</v>
      </c>
      <c r="P10" s="61">
        <v>71</v>
      </c>
      <c r="Q10" s="61">
        <v>91</v>
      </c>
      <c r="R10" s="61">
        <v>35</v>
      </c>
      <c r="S10" s="61">
        <v>48</v>
      </c>
      <c r="T10" s="61">
        <v>27</v>
      </c>
      <c r="U10" s="61">
        <v>17</v>
      </c>
      <c r="V10" s="61">
        <v>37</v>
      </c>
      <c r="W10" s="61">
        <v>23</v>
      </c>
      <c r="X10" s="61">
        <v>16</v>
      </c>
      <c r="Y10" s="61">
        <v>12</v>
      </c>
      <c r="Z10" s="61">
        <v>12</v>
      </c>
      <c r="AA10" s="61">
        <v>9</v>
      </c>
      <c r="AB10" s="61">
        <v>4</v>
      </c>
      <c r="AC10" s="61">
        <v>2</v>
      </c>
      <c r="AD10" s="61">
        <v>18</v>
      </c>
      <c r="AE10" s="61">
        <v>5</v>
      </c>
      <c r="AF10" s="21"/>
      <c r="AG10" s="21"/>
      <c r="AL10" s="53" t="s">
        <v>8</v>
      </c>
      <c r="AM10" s="62"/>
      <c r="AN10" s="62"/>
      <c r="AP10" s="62"/>
    </row>
    <row r="11" spans="2:54" ht="18.75" customHeight="1" x14ac:dyDescent="0.2">
      <c r="B11" s="176" t="s">
        <v>9</v>
      </c>
      <c r="C11" s="154">
        <f>IFERROR(INDEX(年齢階層×在院期間区分F3[#All],MATCH($AL11,年齢階層×在院期間区分F3[[#All],[行ラベル]],0),MATCH($AM$3,年齢階層×在院期間区分F3[#Headers],0)),0)+IFERROR(INDEX(年齢階層×在院期間区分F3[#All],MATCH($AL11,年齢階層×在院期間区分F3[[#All],[行ラベル]],0),MATCH($AN$3,年齢階層×在院期間区分F3[#Headers],0)),0)+IFERROR(INDEX(年齢階層×在院期間区分F3[#All],MATCH($AL11,年齢階層×在院期間区分F3[[#All],[行ラベル]],0),MATCH($AO$3,年齢階層×在院期間区分F3[#Headers],0)),0)+IFERROR(INDEX(年齢階層×在院期間区分F3[#All],MATCH($AL11,年齢階層×在院期間区分F3[[#All],[行ラベル]],0),MATCH($AP$3,年齢階層×在院期間区分F3[#Headers],0)),0)</f>
        <v>184</v>
      </c>
      <c r="D11" s="155">
        <f t="shared" si="0"/>
        <v>0.17473884140550808</v>
      </c>
      <c r="E11" s="154">
        <f>IFERROR(INDEX(年齢階層×在院期間区分F3[#All],MATCH($AL11,年齢階層×在院期間区分F3[[#All],[行ラベル]],0),MATCH($AQ$3,年齢階層×在院期間区分F3[#Headers],0)),0)+IFERROR(INDEX(年齢階層×在院期間区分F3[#All],MATCH($AL11,年齢階層×在院期間区分F3[[#All],[行ラベル]],0),MATCH($AR$3,年齢階層×在院期間区分F3[#Headers],0)),0)+IFERROR(INDEX(年齢階層×在院期間区分F3[#All],MATCH($AL11,年齢階層×在院期間区分F3[[#All],[行ラベル]],0),MATCH($AS$3,年齢階層×在院期間区分F3[#Headers],0)),0)+IFERROR(INDEX(年齢階層×在院期間区分F3[#All],MATCH($AL11,年齢階層×在院期間区分F3[[#All],[行ラベル]],0),MATCH($AT$3,年齢階層×在院期間区分F3[#Headers],0)),0)+IFERROR(INDEX(年齢階層×在院期間区分F3[#All],MATCH($AL11,年齢階層×在院期間区分F3[[#All],[行ラベル]],0),MATCH($AU$3,年齢階層×在院期間区分F3[#Headers],0)),0)</f>
        <v>118</v>
      </c>
      <c r="F11" s="155">
        <f t="shared" si="1"/>
        <v>0.29797979797979796</v>
      </c>
      <c r="G11" s="177">
        <f>IFERROR(INDEX(年齢階層×在院期間区分F3[#All],MATCH($AL11,年齢階層×在院期間区分F3[[#All],[行ラベル]],0),MATCH($AV$3,年齢階層×在院期間区分F3[#Headers],0)),0)+IFERROR(INDEX(年齢階層×在院期間区分F3[#All],MATCH($AL11,年齢階層×在院期間区分F3[[#All],[行ラベル]],0),MATCH($AW$3,年齢階層×在院期間区分F3[#Headers],0)),0)+IFERROR(INDEX(年齢階層×在院期間区分F3[#All],MATCH($AL11,年齢階層×在院期間区分F3[[#All],[行ラベル]],0),MATCH($AX$3,年齢階層×在院期間区分F3[#Headers],0)),0)+IFERROR(INDEX(年齢階層×在院期間区分F3[#All],MATCH($AL11,年齢階層×在院期間区分F3[[#All],[行ラベル]],0),MATCH($AY$3,年齢階層×在院期間区分F3[#Headers],0)),0)+IFERROR(INDEX(年齢階層×在院期間区分F3[#All],MATCH($AL11,年齢階層×在院期間区分F3[[#All],[行ラベル]],0),MATCH($AZ$3,年齢階層×在院期間区分F3[#Headers],0)),0)</f>
        <v>37</v>
      </c>
      <c r="H11" s="155">
        <f t="shared" si="2"/>
        <v>0.31896551724137934</v>
      </c>
      <c r="I11" s="154">
        <f>IFERROR(INDEX(年齢階層×在院期間区分F3[#All],MATCH($AL11,年齢階層×在院期間区分F3[[#All],[行ラベル]],0),MATCH($BA$3,年齢階層×在院期間区分F3[#Headers],0)),0)+IFERROR(INDEX(年齢階層×在院期間区分F3[#All],MATCH($AL11,年齢階層×在院期間区分F3[[#All],[行ラベル]],0),MATCH($BB$3,年齢階層×在院期間区分F3[#Headers],0)),0)</f>
        <v>20</v>
      </c>
      <c r="J11" s="155">
        <f t="shared" si="3"/>
        <v>0.29411764705882354</v>
      </c>
      <c r="K11" s="154">
        <f t="shared" si="4"/>
        <v>359</v>
      </c>
      <c r="L11" s="155">
        <f t="shared" si="5"/>
        <v>0.21984078383343539</v>
      </c>
      <c r="O11" s="53" t="s">
        <v>9</v>
      </c>
      <c r="P11" s="61">
        <v>38</v>
      </c>
      <c r="Q11" s="61">
        <v>64</v>
      </c>
      <c r="R11" s="61">
        <v>47</v>
      </c>
      <c r="S11" s="61">
        <v>35</v>
      </c>
      <c r="T11" s="61">
        <v>28</v>
      </c>
      <c r="U11" s="61">
        <v>24</v>
      </c>
      <c r="V11" s="61">
        <v>26</v>
      </c>
      <c r="W11" s="61">
        <v>19</v>
      </c>
      <c r="X11" s="61">
        <v>21</v>
      </c>
      <c r="Y11" s="61">
        <v>8</v>
      </c>
      <c r="Z11" s="61">
        <v>10</v>
      </c>
      <c r="AA11" s="61">
        <v>8</v>
      </c>
      <c r="AB11" s="61">
        <v>3</v>
      </c>
      <c r="AC11" s="61">
        <v>8</v>
      </c>
      <c r="AD11" s="61">
        <v>16</v>
      </c>
      <c r="AE11" s="61">
        <v>4</v>
      </c>
      <c r="AF11" s="21"/>
      <c r="AG11" s="21"/>
      <c r="AL11" s="53" t="s">
        <v>9</v>
      </c>
      <c r="AM11" s="62"/>
      <c r="AN11" s="62"/>
      <c r="AP11" s="62"/>
    </row>
    <row r="12" spans="2:54" ht="18.75" customHeight="1" thickBot="1" x14ac:dyDescent="0.25">
      <c r="B12" s="179" t="s">
        <v>10</v>
      </c>
      <c r="C12" s="180">
        <f>IFERROR(INDEX(年齢階層×在院期間区分F3[#All],MATCH($AL12,年齢階層×在院期間区分F3[[#All],[行ラベル]],0),MATCH($AM$3,年齢階層×在院期間区分F3[#Headers],0)),0)+IFERROR(INDEX(年齢階層×在院期間区分F3[#All],MATCH($AL12,年齢階層×在院期間区分F3[[#All],[行ラベル]],0),MATCH($AN$3,年齢階層×在院期間区分F3[#Headers],0)),0)+IFERROR(INDEX(年齢階層×在院期間区分F3[#All],MATCH($AL12,年齢階層×在院期間区分F3[[#All],[行ラベル]],0),MATCH($AO$3,年齢階層×在院期間区分F3[#Headers],0)),0)+IFERROR(INDEX(年齢階層×在院期間区分F3[#All],MATCH($AL12,年齢階層×在院期間区分F3[[#All],[行ラベル]],0),MATCH($AP$3,年齢階層×在院期間区分F3[#Headers],0)),0)</f>
        <v>22</v>
      </c>
      <c r="D12" s="171">
        <f t="shared" si="0"/>
        <v>2.0892687559354226E-2</v>
      </c>
      <c r="E12" s="180">
        <f>IFERROR(INDEX(年齢階層×在院期間区分F3[#All],MATCH($AL12,年齢階層×在院期間区分F3[[#All],[行ラベル]],0),MATCH($AQ$3,年齢階層×在院期間区分F3[#Headers],0)),0)+IFERROR(INDEX(年齢階層×在院期間区分F3[#All],MATCH($AL12,年齢階層×在院期間区分F3[[#All],[行ラベル]],0),MATCH($AR$3,年齢階層×在院期間区分F3[#Headers],0)),0)+IFERROR(INDEX(年齢階層×在院期間区分F3[#All],MATCH($AL12,年齢階層×在院期間区分F3[[#All],[行ラベル]],0),MATCH($AS$3,年齢階層×在院期間区分F3[#Headers],0)),0)+IFERROR(INDEX(年齢階層×在院期間区分F3[#All],MATCH($AL12,年齢階層×在院期間区分F3[[#All],[行ラベル]],0),MATCH($AT$3,年齢階層×在院期間区分F3[#Headers],0)),0)+IFERROR(INDEX(年齢階層×在院期間区分F3[#All],MATCH($AL12,年齢階層×在院期間区分F3[[#All],[行ラベル]],0),MATCH($AU$3,年齢階層×在院期間区分F3[#Headers],0)),0)</f>
        <v>27</v>
      </c>
      <c r="F12" s="171">
        <f t="shared" si="1"/>
        <v>6.8181818181818177E-2</v>
      </c>
      <c r="G12" s="157">
        <f>IFERROR(INDEX(年齢階層×在院期間区分F3[#All],MATCH($AL12,年齢階層×在院期間区分F3[[#All],[行ラベル]],0),MATCH($AV$3,年齢階層×在院期間区分F3[#Headers],0)),0)+IFERROR(INDEX(年齢階層×在院期間区分F3[#All],MATCH($AL12,年齢階層×在院期間区分F3[[#All],[行ラベル]],0),MATCH($AW$3,年齢階層×在院期間区分F3[#Headers],0)),0)+IFERROR(INDEX(年齢階層×在院期間区分F3[#All],MATCH($AL12,年齢階層×在院期間区分F3[[#All],[行ラベル]],0),MATCH($AX$3,年齢階層×在院期間区分F3[#Headers],0)),0)+IFERROR(INDEX(年齢階層×在院期間区分F3[#All],MATCH($AL12,年齢階層×在院期間区分F3[[#All],[行ラベル]],0),MATCH($AY$3,年齢階層×在院期間区分F3[#Headers],0)),0)+IFERROR(INDEX(年齢階層×在院期間区分F3[#All],MATCH($AL12,年齢階層×在院期間区分F3[[#All],[行ラベル]],0),MATCH($AZ$3,年齢階層×在院期間区分F3[#Headers],0)),0)</f>
        <v>10</v>
      </c>
      <c r="H12" s="171">
        <f t="shared" si="2"/>
        <v>8.6206896551724144E-2</v>
      </c>
      <c r="I12" s="180">
        <f>IFERROR(INDEX(年齢階層×在院期間区分F3[#All],MATCH($AL12,年齢階層×在院期間区分F3[[#All],[行ラベル]],0),MATCH($BA$3,年齢階層×在院期間区分F3[#Headers],0)),0)+IFERROR(INDEX(年齢階層×在院期間区分F3[#All],MATCH($AL12,年齢階層×在院期間区分F3[[#All],[行ラベル]],0),MATCH($BB$3,年齢階層×在院期間区分F3[#Headers],0)),0)</f>
        <v>1</v>
      </c>
      <c r="J12" s="171">
        <f t="shared" si="3"/>
        <v>1.4705882352941176E-2</v>
      </c>
      <c r="K12" s="157">
        <f t="shared" si="4"/>
        <v>60</v>
      </c>
      <c r="L12" s="171">
        <f t="shared" si="5"/>
        <v>3.6742192284139621E-2</v>
      </c>
      <c r="O12" s="53" t="s">
        <v>10</v>
      </c>
      <c r="P12" s="61">
        <v>3</v>
      </c>
      <c r="Q12" s="61">
        <v>7</v>
      </c>
      <c r="R12" s="61">
        <v>5</v>
      </c>
      <c r="S12" s="61">
        <v>7</v>
      </c>
      <c r="T12" s="61">
        <v>7</v>
      </c>
      <c r="U12" s="61">
        <v>4</v>
      </c>
      <c r="V12" s="61">
        <v>8</v>
      </c>
      <c r="W12" s="61">
        <v>4</v>
      </c>
      <c r="X12" s="61">
        <v>4</v>
      </c>
      <c r="Y12" s="61">
        <v>2</v>
      </c>
      <c r="Z12" s="61">
        <v>1</v>
      </c>
      <c r="AA12" s="61">
        <v>1</v>
      </c>
      <c r="AB12" s="61">
        <v>2</v>
      </c>
      <c r="AC12" s="61">
        <v>4</v>
      </c>
      <c r="AD12" s="61">
        <v>1</v>
      </c>
      <c r="AE12" s="61">
        <v>0</v>
      </c>
      <c r="AF12" s="21"/>
      <c r="AG12" s="21"/>
      <c r="AL12" s="53" t="s">
        <v>10</v>
      </c>
      <c r="AM12" s="62"/>
      <c r="AN12" s="62"/>
      <c r="AP12" s="62"/>
    </row>
    <row r="13" spans="2:54" ht="18.75" customHeight="1" thickTop="1" thickBot="1" x14ac:dyDescent="0.25">
      <c r="B13" s="181" t="s">
        <v>161</v>
      </c>
      <c r="C13" s="182">
        <f t="shared" ref="C13:L13" si="6">SUM(C4:C12)</f>
        <v>1053</v>
      </c>
      <c r="D13" s="183">
        <f t="shared" si="6"/>
        <v>1</v>
      </c>
      <c r="E13" s="182">
        <f t="shared" si="6"/>
        <v>396</v>
      </c>
      <c r="F13" s="183">
        <f t="shared" si="6"/>
        <v>1</v>
      </c>
      <c r="G13" s="182">
        <f t="shared" si="6"/>
        <v>116</v>
      </c>
      <c r="H13" s="183">
        <f t="shared" si="6"/>
        <v>1</v>
      </c>
      <c r="I13" s="182">
        <f t="shared" si="6"/>
        <v>68</v>
      </c>
      <c r="J13" s="183">
        <f t="shared" si="6"/>
        <v>1</v>
      </c>
      <c r="K13" s="182">
        <f t="shared" si="6"/>
        <v>1633</v>
      </c>
      <c r="L13" s="183">
        <f t="shared" si="6"/>
        <v>1</v>
      </c>
      <c r="O13" s="298" t="s">
        <v>308</v>
      </c>
      <c r="P13" s="333" t="s">
        <v>182</v>
      </c>
      <c r="Q13" s="333" t="s">
        <v>183</v>
      </c>
      <c r="R13" s="333" t="s">
        <v>184</v>
      </c>
      <c r="S13" s="333" t="s">
        <v>185</v>
      </c>
      <c r="T13" s="333" t="s">
        <v>186</v>
      </c>
      <c r="U13" s="333" t="s">
        <v>187</v>
      </c>
      <c r="V13" s="333" t="s">
        <v>188</v>
      </c>
      <c r="W13" s="333" t="s">
        <v>189</v>
      </c>
      <c r="X13" s="333" t="s">
        <v>190</v>
      </c>
      <c r="Y13" s="333" t="s">
        <v>191</v>
      </c>
      <c r="Z13" s="333" t="s">
        <v>192</v>
      </c>
      <c r="AA13" s="333" t="s">
        <v>193</v>
      </c>
      <c r="AB13" s="333" t="s">
        <v>194</v>
      </c>
      <c r="AC13" s="333" t="s">
        <v>195</v>
      </c>
      <c r="AD13" s="333" t="s">
        <v>196</v>
      </c>
      <c r="AE13" s="332" t="s">
        <v>197</v>
      </c>
      <c r="AF13" s="21"/>
      <c r="AG13" s="21"/>
      <c r="AL13" s="66"/>
      <c r="AM13" s="62"/>
      <c r="AP13" s="62"/>
    </row>
    <row r="14" spans="2:54" ht="18.75" customHeight="1" thickTop="1" x14ac:dyDescent="0.2">
      <c r="B14" s="193" t="s">
        <v>93</v>
      </c>
      <c r="C14" s="194">
        <f>IFERROR(INDEX(年齢階層×在院期間区分F3_65歳未満以上[#All],MATCH($AL14,年齢階層×在院期間区分F3_65歳未満以上[[#All],[列1]],0),MATCH($AM$3,年齢階層×在院期間区分F3_65歳未満以上[#Headers],0)),0)+IFERROR(INDEX(年齢階層×在院期間区分F3_65歳未満以上[#All],MATCH($AL14,年齢階層×在院期間区分F3_65歳未満以上[[#All],[列1]],0),MATCH($AN$3,年齢階層×在院期間区分F3_65歳未満以上[#Headers],0)),0)+IFERROR(INDEX(年齢階層×在院期間区分F3_65歳未満以上[#All],MATCH($AL14,年齢階層×在院期間区分F3_65歳未満以上[[#All],[列1]],0),MATCH($AO$3,年齢階層×在院期間区分F3_65歳未満以上[#Headers],0)),0)+IFERROR(INDEX(年齢階層×在院期間区分F3_65歳未満以上[#All],MATCH($AL14,年齢階層×在院期間区分F3_65歳未満以上[[#All],[列1]],0),MATCH($AP$3,年齢階層×在院期間区分F3_65歳未満以上[#Headers],0)),0)</f>
        <v>511</v>
      </c>
      <c r="D14" s="156">
        <f>IFERROR(C14/$C$13,"-")</f>
        <v>0.48528015194681862</v>
      </c>
      <c r="E14" s="194">
        <f>IFERROR(INDEX(年齢階層×在院期間区分F3_65歳未満以上[#All],MATCH($AL14,年齢階層×在院期間区分F3_65歳未満以上[[#All],[列1]],0),MATCH($AQ$3,年齢階層×在院期間区分F3_65歳未満以上[#Headers],0)),0)+IFERROR(INDEX(年齢階層×在院期間区分F3_65歳未満以上[#All],MATCH($AL14,年齢階層×在院期間区分F3_65歳未満以上[[#All],[列1]],0),MATCH($AR$3,年齢階層×在院期間区分F3_65歳未満以上[#Headers],0)),0)+IFERROR(INDEX(年齢階層×在院期間区分F3_65歳未満以上[#All],MATCH($AL14,年齢階層×在院期間区分F3_65歳未満以上[[#All],[列1]],0),MATCH($AS$3,年齢階層×在院期間区分F3_65歳未満以上[#Headers],0)),0)+IFERROR(INDEX(年齢階層×在院期間区分F3_65歳未満以上[#All],MATCH($AL14,年齢階層×在院期間区分F3_65歳未満以上[[#All],[列1]],0),MATCH($AT$3,年齢階層×在院期間区分F3_65歳未満以上[#Headers],0)),0)+IFERROR(INDEX(年齢階層×在院期間区分F3_65歳未満以上[#All],MATCH($AL14,年齢階層×在院期間区分F3_65歳未満以上[[#All],[列1]],0),MATCH($AU$3,年齢階層×在院期間区分F3_65歳未満以上[#Headers],0)),0)</f>
        <v>80</v>
      </c>
      <c r="F14" s="156">
        <f>IFERROR(E14/$E$13,"-")</f>
        <v>0.20202020202020202</v>
      </c>
      <c r="G14" s="194">
        <f>IFERROR(INDEX(年齢階層×在院期間区分F3_65歳未満以上[#All],MATCH($AL14,年齢階層×在院期間区分F3_65歳未満以上[[#All],[列1]],0),MATCH($AV$3,年齢階層×在院期間区分F3_65歳未満以上[#Headers],0)),0)+IFERROR(INDEX(年齢階層×在院期間区分F3_65歳未満以上[#All],MATCH($AL14,年齢階層×在院期間区分F3_65歳未満以上[[#All],[列1]],0),MATCH($AW$3,年齢階層×在院期間区分F3_65歳未満以上[#Headers],0)),0)+IFERROR(INDEX(年齢階層×在院期間区分F3_65歳未満以上[#All],MATCH($AL14,年齢階層×在院期間区分F3_65歳未満以上[[#All],[列1]],0),MATCH($AX$3,年齢階層×在院期間区分F3_65歳未満以上[#Headers],0)),0)+IFERROR(INDEX(年齢階層×在院期間区分F3_65歳未満以上[#All],MATCH($AL14,年齢階層×在院期間区分F3_65歳未満以上[[#All],[列1]],0),MATCH($AY$3,年齢階層×在院期間区分F3_65歳未満以上[#Headers],0)),0)+IFERROR(INDEX(年齢階層×在院期間区分F3_65歳未満以上[#All],MATCH($AL14,年齢階層×在院期間区分F3_65歳未満以上[[#All],[列1]],0),MATCH($AZ$3,年齢階層×在院期間区分F3_65歳未満以上[#Headers],0)),0)</f>
        <v>21</v>
      </c>
      <c r="H14" s="156">
        <f>IFERROR(G14/$G$13,"-")</f>
        <v>0.18103448275862069</v>
      </c>
      <c r="I14" s="194">
        <f>IFERROR(INDEX(年齢階層×在院期間区分F3_65歳未満以上[#All],MATCH($AL14,年齢階層×在院期間区分F3_65歳未満以上[[#All],[列1]],0),MATCH($BA$3,年齢階層×在院期間区分F3_65歳未満以上[#Headers],0)),0)+IFERROR(INDEX(年齢階層×在院期間区分F3_65歳未満以上[#All],MATCH($AL14,年齢階層×在院期間区分F3_65歳未満以上[[#All],[列1]],0),MATCH($BB$3,年齢階層×在院期間区分F3_65歳未満以上[#Headers],0)),0)</f>
        <v>19</v>
      </c>
      <c r="J14" s="156">
        <f>IFERROR(I14/$I$13,"-")</f>
        <v>0.27941176470588236</v>
      </c>
      <c r="K14" s="194">
        <f>SUM(C14,E14,G14,I14)</f>
        <v>631</v>
      </c>
      <c r="L14" s="156">
        <f>IFERROR(K14/$K$13,"-")</f>
        <v>0.38640538885486836</v>
      </c>
      <c r="O14" s="53" t="s">
        <v>306</v>
      </c>
      <c r="P14" s="61">
        <v>239</v>
      </c>
      <c r="Q14" s="61">
        <v>170</v>
      </c>
      <c r="R14" s="61">
        <v>60</v>
      </c>
      <c r="S14" s="61">
        <v>42</v>
      </c>
      <c r="T14" s="61">
        <v>22</v>
      </c>
      <c r="U14" s="61">
        <v>11</v>
      </c>
      <c r="V14" s="61">
        <v>23</v>
      </c>
      <c r="W14" s="61">
        <v>15</v>
      </c>
      <c r="X14" s="61">
        <v>9</v>
      </c>
      <c r="Y14" s="61">
        <v>6</v>
      </c>
      <c r="Z14" s="61">
        <v>8</v>
      </c>
      <c r="AA14" s="61">
        <v>3</v>
      </c>
      <c r="AB14" s="61">
        <v>1</v>
      </c>
      <c r="AC14" s="61">
        <v>3</v>
      </c>
      <c r="AD14" s="61">
        <v>18</v>
      </c>
      <c r="AE14" s="61">
        <v>1</v>
      </c>
      <c r="AF14" s="21"/>
      <c r="AG14" s="21"/>
      <c r="AL14" s="67" t="s">
        <v>156</v>
      </c>
    </row>
    <row r="15" spans="2:54" ht="18.75" customHeight="1" x14ac:dyDescent="0.2">
      <c r="B15" s="195" t="s">
        <v>89</v>
      </c>
      <c r="C15" s="194">
        <f>IFERROR(INDEX(年齢階層×在院期間区分F3_65歳未満以上[#All],MATCH($AL15,年齢階層×在院期間区分F3_65歳未満以上[[#All],[列1]],0),MATCH($AM$3,年齢階層×在院期間区分F3_65歳未満以上[#Headers],0)),0)+IFERROR(INDEX(年齢階層×在院期間区分F3_65歳未満以上[#All],MATCH($AL15,年齢階層×在院期間区分F3_65歳未満以上[[#All],[列1]],0),MATCH($AN$3,年齢階層×在院期間区分F3_65歳未満以上[#Headers],0)),0)+IFERROR(INDEX(年齢階層×在院期間区分F3_65歳未満以上[#All],MATCH($AL15,年齢階層×在院期間区分F3_65歳未満以上[[#All],[列1]],0),MATCH($AO$3,年齢階層×在院期間区分F3_65歳未満以上[#Headers],0)),0)+IFERROR(INDEX(年齢階層×在院期間区分F3_65歳未満以上[#All],MATCH($AL15,年齢階層×在院期間区分F3_65歳未満以上[[#All],[列1]],0),MATCH($AP$3,年齢階層×在院期間区分F3_65歳未満以上[#Headers],0)),0)</f>
        <v>542</v>
      </c>
      <c r="D15" s="187">
        <f>IFERROR(C15/$C$13,"-")</f>
        <v>0.51471984805318138</v>
      </c>
      <c r="E15" s="194">
        <f>IFERROR(INDEX(年齢階層×在院期間区分F3_65歳未満以上[#All],MATCH($AL15,年齢階層×在院期間区分F3_65歳未満以上[[#All],[列1]],0),MATCH($AQ$3,年齢階層×在院期間区分F3_65歳未満以上[#Headers],0)),0)+IFERROR(INDEX(年齢階層×在院期間区分F3_65歳未満以上[#All],MATCH($AL15,年齢階層×在院期間区分F3_65歳未満以上[[#All],[列1]],0),MATCH($AR$3,年齢階層×在院期間区分F3_65歳未満以上[#Headers],0)),0)+IFERROR(INDEX(年齢階層×在院期間区分F3_65歳未満以上[#All],MATCH($AL15,年齢階層×在院期間区分F3_65歳未満以上[[#All],[列1]],0),MATCH($AS$3,年齢階層×在院期間区分F3_65歳未満以上[#Headers],0)),0)+IFERROR(INDEX(年齢階層×在院期間区分F3_65歳未満以上[#All],MATCH($AL15,年齢階層×在院期間区分F3_65歳未満以上[[#All],[列1]],0),MATCH($AT$3,年齢階層×在院期間区分F3_65歳未満以上[#Headers],0)),0)+IFERROR(INDEX(年齢階層×在院期間区分F3_65歳未満以上[#All],MATCH($AL15,年齢階層×在院期間区分F3_65歳未満以上[[#All],[列1]],0),MATCH($AU$3,年齢階層×在院期間区分F3_65歳未満以上[#Headers],0)),0)</f>
        <v>316</v>
      </c>
      <c r="F15" s="187">
        <f>IFERROR(E15/$E$13,"-")</f>
        <v>0.79797979797979801</v>
      </c>
      <c r="G15" s="194">
        <f>IFERROR(INDEX(年齢階層×在院期間区分F3_65歳未満以上[#All],MATCH($AL15,年齢階層×在院期間区分F3_65歳未満以上[[#All],[列1]],0),MATCH($AV$3,年齢階層×在院期間区分F3_65歳未満以上[#Headers],0)),0)+IFERROR(INDEX(年齢階層×在院期間区分F3_65歳未満以上[#All],MATCH($AL15,年齢階層×在院期間区分F3_65歳未満以上[[#All],[列1]],0),MATCH($AW$3,年齢階層×在院期間区分F3_65歳未満以上[#Headers],0)),0)+IFERROR(INDEX(年齢階層×在院期間区分F3_65歳未満以上[#All],MATCH($AL15,年齢階層×在院期間区分F3_65歳未満以上[[#All],[列1]],0),MATCH($AX$3,年齢階層×在院期間区分F3_65歳未満以上[#Headers],0)),0)+IFERROR(INDEX(年齢階層×在院期間区分F3_65歳未満以上[#All],MATCH($AL15,年齢階層×在院期間区分F3_65歳未満以上[[#All],[列1]],0),MATCH($AY$3,年齢階層×在院期間区分F3_65歳未満以上[#Headers],0)),0)+IFERROR(INDEX(年齢階層×在院期間区分F3_65歳未満以上[#All],MATCH($AL15,年齢階層×在院期間区分F3_65歳未満以上[[#All],[列1]],0),MATCH($AZ$3,年齢階層×在院期間区分F3_65歳未満以上[#Headers],0)),0)</f>
        <v>95</v>
      </c>
      <c r="H15" s="187">
        <f>IFERROR(G15/$G$13,"-")</f>
        <v>0.81896551724137934</v>
      </c>
      <c r="I15" s="194">
        <f>IFERROR(INDEX(年齢階層×在院期間区分F3_65歳未満以上[#All],MATCH($AL15,年齢階層×在院期間区分F3_65歳未満以上[[#All],[列1]],0),MATCH($BA$3,年齢階層×在院期間区分F3_65歳未満以上[#Headers],0)),0)+IFERROR(INDEX(年齢階層×在院期間区分F3_65歳未満以上[#All],MATCH($AL15,年齢階層×在院期間区分F3_65歳未満以上[[#All],[列1]],0),MATCH($BB$3,年齢階層×在院期間区分F3_65歳未満以上[#Headers],0)),0)</f>
        <v>49</v>
      </c>
      <c r="J15" s="187">
        <f>IFERROR(I15/$I13,"-")</f>
        <v>0.72058823529411764</v>
      </c>
      <c r="K15" s="194">
        <f>C15+E15+G15+I15</f>
        <v>1002</v>
      </c>
      <c r="L15" s="187">
        <f>IFERROR(K15/$K$13,"-")</f>
        <v>0.6135946111451317</v>
      </c>
      <c r="O15" s="67" t="s">
        <v>307</v>
      </c>
      <c r="P15" s="61">
        <v>140</v>
      </c>
      <c r="Q15" s="61">
        <v>196</v>
      </c>
      <c r="R15" s="61">
        <v>98</v>
      </c>
      <c r="S15" s="61">
        <v>108</v>
      </c>
      <c r="T15" s="61">
        <v>75</v>
      </c>
      <c r="U15" s="61">
        <v>51</v>
      </c>
      <c r="V15" s="61">
        <v>88</v>
      </c>
      <c r="W15" s="61">
        <v>55</v>
      </c>
      <c r="X15" s="61">
        <v>47</v>
      </c>
      <c r="Y15" s="61">
        <v>26</v>
      </c>
      <c r="Z15" s="61">
        <v>25</v>
      </c>
      <c r="AA15" s="61">
        <v>19</v>
      </c>
      <c r="AB15" s="61">
        <v>11</v>
      </c>
      <c r="AC15" s="61">
        <v>14</v>
      </c>
      <c r="AD15" s="61">
        <v>40</v>
      </c>
      <c r="AE15" s="61">
        <v>9</v>
      </c>
      <c r="AF15" s="21"/>
      <c r="AG15" s="21"/>
      <c r="AL15" s="67" t="s">
        <v>88</v>
      </c>
    </row>
    <row r="16" spans="2:54" ht="18.75" customHeight="1" x14ac:dyDescent="0.2"/>
    <row r="17" spans="2:54" ht="18.75" customHeight="1" x14ac:dyDescent="0.2">
      <c r="B17" s="2" t="s">
        <v>158</v>
      </c>
    </row>
    <row r="18" spans="2:54" ht="18.75" customHeight="1" thickBot="1" x14ac:dyDescent="0.25">
      <c r="B18" s="996" t="s">
        <v>65</v>
      </c>
      <c r="C18" s="998" t="s">
        <v>64</v>
      </c>
      <c r="D18" s="999"/>
      <c r="E18" s="999"/>
      <c r="F18" s="999"/>
      <c r="G18" s="999"/>
      <c r="H18" s="999"/>
      <c r="I18" s="999"/>
      <c r="J18" s="999"/>
      <c r="K18" s="999"/>
      <c r="L18" s="1000"/>
      <c r="O18" s="33" t="s">
        <v>63</v>
      </c>
    </row>
    <row r="19" spans="2:54" ht="18.75" customHeight="1" thickTop="1" thickBot="1" x14ac:dyDescent="0.25">
      <c r="B19" s="997"/>
      <c r="C19" s="1001" t="s">
        <v>69</v>
      </c>
      <c r="D19" s="1002"/>
      <c r="E19" s="1001" t="s">
        <v>70</v>
      </c>
      <c r="F19" s="1002"/>
      <c r="G19" s="1001" t="s">
        <v>71</v>
      </c>
      <c r="H19" s="1002"/>
      <c r="I19" s="1001" t="s">
        <v>72</v>
      </c>
      <c r="J19" s="1002"/>
      <c r="K19" s="1001" t="s">
        <v>62</v>
      </c>
      <c r="L19" s="1002"/>
      <c r="O19" s="298" t="s">
        <v>372</v>
      </c>
      <c r="P19" s="333" t="s">
        <v>182</v>
      </c>
      <c r="Q19" s="333" t="s">
        <v>183</v>
      </c>
      <c r="R19" s="333" t="s">
        <v>184</v>
      </c>
      <c r="S19" s="333" t="s">
        <v>185</v>
      </c>
      <c r="T19" s="333" t="s">
        <v>186</v>
      </c>
      <c r="U19" s="333" t="s">
        <v>187</v>
      </c>
      <c r="V19" s="333" t="s">
        <v>188</v>
      </c>
      <c r="W19" s="333" t="s">
        <v>189</v>
      </c>
      <c r="X19" s="333" t="s">
        <v>190</v>
      </c>
      <c r="Y19" s="333" t="s">
        <v>191</v>
      </c>
      <c r="Z19" s="333" t="s">
        <v>192</v>
      </c>
      <c r="AA19" s="333" t="s">
        <v>193</v>
      </c>
      <c r="AB19" s="333" t="s">
        <v>194</v>
      </c>
      <c r="AC19" s="333" t="s">
        <v>195</v>
      </c>
      <c r="AD19" s="333" t="s">
        <v>196</v>
      </c>
      <c r="AE19" s="332" t="s">
        <v>197</v>
      </c>
      <c r="AM19" s="332"/>
      <c r="AN19" s="333"/>
      <c r="AO19" s="333"/>
      <c r="AP19" s="333"/>
      <c r="AQ19" s="333"/>
      <c r="AR19" s="333"/>
      <c r="AS19" s="333"/>
      <c r="AT19" s="333"/>
      <c r="AU19" s="333"/>
      <c r="AV19" s="333"/>
      <c r="AW19" s="333"/>
      <c r="AX19" s="333"/>
      <c r="AY19" s="333"/>
      <c r="AZ19" s="333"/>
      <c r="BA19" s="333"/>
      <c r="BB19" s="332"/>
    </row>
    <row r="20" spans="2:54" ht="18.75" customHeight="1" thickTop="1" x14ac:dyDescent="0.2">
      <c r="B20" s="174" t="s">
        <v>2</v>
      </c>
      <c r="C20" s="169">
        <f>IFERROR(INDEX(年齢階層×在院期間区分F3＿寛解・院内寛解[#All],MATCH($AL20,年齢階層×在院期間区分F3＿寛解・院内寛解[[#All],[行ラベル]],0),MATCH($AM$3,年齢階層×在院期間区分F3＿寛解・院内寛解[#Headers],0)),0)+IFERROR(INDEX(年齢階層×在院期間区分F3＿寛解・院内寛解[#All],MATCH($AL20,年齢階層×在院期間区分F3＿寛解・院内寛解[[#All],[行ラベル]],0),MATCH($AN$3,年齢階層×在院期間区分F3＿寛解・院内寛解[#Headers],0)),0)+IFERROR(INDEX(年齢階層×在院期間区分F3＿寛解・院内寛解[#All],MATCH($AL20,年齢階層×在院期間区分F3＿寛解・院内寛解[[#All],[行ラベル]],0),MATCH($AO$3,年齢階層×在院期間区分F3＿寛解・院内寛解[#Headers],0)),0)+IFERROR(INDEX(年齢階層×在院期間区分F3＿寛解・院内寛解[#All],MATCH($AL20,年齢階層×在院期間区分F3＿寛解・院内寛解[[#All],[行ラベル]],0),MATCH($AP$3,年齢階層×在院期間区分F3＿寛解・院内寛解[#Headers],0)),0)</f>
        <v>5</v>
      </c>
      <c r="D20" s="188">
        <f t="shared" ref="D20:D28" si="7">IFERROR(C20/$C$29,"-")</f>
        <v>1.858736059479554E-2</v>
      </c>
      <c r="E20" s="175">
        <f>IFERROR(INDEX(年齢階層×在院期間区分F3＿寛解・院内寛解[#All],MATCH($AL20,年齢階層×在院期間区分F3＿寛解・院内寛解[[#All],[行ラベル]],0),MATCH($AQ$3,年齢階層×在院期間区分F3＿寛解・院内寛解[#Headers],0)),0)+IFERROR(INDEX(年齢階層×在院期間区分F3＿寛解・院内寛解[#All],MATCH($AL20,年齢階層×在院期間区分F3＿寛解・院内寛解[[#All],[行ラベル]],0),MATCH($AR$3,年齢階層×在院期間区分F3＿寛解・院内寛解[#Headers],0)),0)+IFERROR(INDEX(年齢階層×在院期間区分F3＿寛解・院内寛解[#All],MATCH($AL20,年齢階層×在院期間区分F3＿寛解・院内寛解[[#All],[行ラベル]],0),MATCH($AS$3,年齢階層×在院期間区分F3＿寛解・院内寛解[#Headers],0)),0)+IFERROR(INDEX(年齢階層×在院期間区分F3＿寛解・院内寛解[#All],MATCH($AL20,年齢階層×在院期間区分F3＿寛解・院内寛解[[#All],[行ラベル]],0),MATCH($AT$3,年齢階層×在院期間区分F3＿寛解・院内寛解[#Headers],0)),0)+IFERROR(INDEX(年齢階層×在院期間区分F3＿寛解・院内寛解[#All],MATCH($AL20,年齢階層×在院期間区分F3＿寛解・院内寛解[[#All],[行ラベル]],0),MATCH($AU$3,年齢階層×在院期間区分F3＿寛解・院内寛解[#Headers],0)),0)</f>
        <v>0</v>
      </c>
      <c r="F20" s="188">
        <f t="shared" ref="F20:F28" si="8">IFERROR(E20/$E$29,"-")</f>
        <v>0</v>
      </c>
      <c r="G20" s="169">
        <f>IFERROR(INDEX(年齢階層×在院期間区分F3＿寛解・院内寛解[#All],MATCH($AL20,年齢階層×在院期間区分F3＿寛解・院内寛解[[#All],[行ラベル]],0),MATCH($AV$3,年齢階層×在院期間区分F3＿寛解・院内寛解[#Headers],0)),0)+IFERROR(INDEX(年齢階層×在院期間区分F3＿寛解・院内寛解[#All],MATCH($AL20,年齢階層×在院期間区分F3＿寛解・院内寛解[[#All],[行ラベル]],0),MATCH($AW$3,年齢階層×在院期間区分F3＿寛解・院内寛解[#Headers],0)),0)+IFERROR(INDEX(年齢階層×在院期間区分F3＿寛解・院内寛解[#All],MATCH($AL20,年齢階層×在院期間区分F3＿寛解・院内寛解[[#All],[行ラベル]],0),MATCH($AX$3,年齢階層×在院期間区分F3＿寛解・院内寛解[#Headers],0)),0)+IFERROR(INDEX(年齢階層×在院期間区分F3＿寛解・院内寛解[#All],MATCH($AL20,年齢階層×在院期間区分F3＿寛解・院内寛解[[#All],[行ラベル]],0),MATCH($AY$3,年齢階層×在院期間区分F3＿寛解・院内寛解[#Headers],0)),0)+IFERROR(INDEX(年齢階層×在院期間区分F3＿寛解・院内寛解[#All],MATCH($AL20,年齢階層×在院期間区分F3＿寛解・院内寛解[[#All],[行ラベル]],0),MATCH($AZ$3,年齢階層×在院期間区分F3＿寛解・院内寛解[#Headers],0)),0)</f>
        <v>0</v>
      </c>
      <c r="H20" s="188">
        <f t="shared" ref="H20:H28" si="9">IFERROR(G20/$G$29,"-")</f>
        <v>0</v>
      </c>
      <c r="I20" s="169">
        <f>IFERROR(INDEX(年齢階層×在院期間区分F3＿寛解・院内寛解[#All],MATCH($AL20,年齢階層×在院期間区分F3＿寛解・院内寛解[[#All],[行ラベル]],0),MATCH($BA$3,年齢階層×在院期間区分F3＿寛解・院内寛解[#Headers],0)),0)+IFERROR(INDEX(年齢階層×在院期間区分F3＿寛解・院内寛解[#All],MATCH($AL20,年齢階層×在院期間区分F3＿寛解・院内寛解[[#All],[行ラベル]],0),MATCH($BB$3,年齢階層×在院期間区分F3＿寛解・院内寛解[#Headers],0)),0)</f>
        <v>0</v>
      </c>
      <c r="J20" s="188">
        <f t="shared" ref="J20:J28" si="10">IFERROR(I20/$I$29,"-")</f>
        <v>0</v>
      </c>
      <c r="K20" s="169">
        <f t="shared" ref="K20:K28" si="11">SUM(C20,E20,G20,I20)</f>
        <v>5</v>
      </c>
      <c r="L20" s="188">
        <f t="shared" ref="L20:L28" si="12">IFERROR(K20/$K$29,"-")</f>
        <v>1.4409221902017291E-2</v>
      </c>
      <c r="O20" s="53" t="s">
        <v>2</v>
      </c>
      <c r="P20" s="61">
        <v>4</v>
      </c>
      <c r="Q20" s="61">
        <v>1</v>
      </c>
      <c r="R20" s="61">
        <v>0</v>
      </c>
      <c r="S20" s="61">
        <v>0</v>
      </c>
      <c r="T20" s="61">
        <v>0</v>
      </c>
      <c r="U20" s="61">
        <v>0</v>
      </c>
      <c r="V20" s="61">
        <v>0</v>
      </c>
      <c r="W20" s="61">
        <v>0</v>
      </c>
      <c r="X20" s="61">
        <v>0</v>
      </c>
      <c r="Y20" s="61">
        <v>0</v>
      </c>
      <c r="Z20" s="61">
        <v>0</v>
      </c>
      <c r="AA20" s="61">
        <v>0</v>
      </c>
      <c r="AB20" s="61">
        <v>0</v>
      </c>
      <c r="AC20" s="61">
        <v>0</v>
      </c>
      <c r="AD20" s="61">
        <v>0</v>
      </c>
      <c r="AE20" s="61">
        <v>0</v>
      </c>
      <c r="AF20" s="21"/>
      <c r="AG20" s="21"/>
      <c r="AL20" s="53" t="s">
        <v>2</v>
      </c>
    </row>
    <row r="21" spans="2:54" ht="18.75" customHeight="1" x14ac:dyDescent="0.2">
      <c r="B21" s="176" t="s">
        <v>3</v>
      </c>
      <c r="C21" s="178">
        <f>IFERROR(INDEX(年齢階層×在院期間区分F3＿寛解・院内寛解[#All],MATCH($AL21,年齢階層×在院期間区分F3＿寛解・院内寛解[[#All],[行ラベル]],0),MATCH($AM$3,年齢階層×在院期間区分F3＿寛解・院内寛解[#Headers],0)),0)+IFERROR(INDEX(年齢階層×在院期間区分F3＿寛解・院内寛解[#All],MATCH($AL21,年齢階層×在院期間区分F3＿寛解・院内寛解[[#All],[行ラベル]],0),MATCH($AN$3,年齢階層×在院期間区分F3＿寛解・院内寛解[#Headers],0)),0)+IFERROR(INDEX(年齢階層×在院期間区分F3＿寛解・院内寛解[#All],MATCH($AL21,年齢階層×在院期間区分F3＿寛解・院内寛解[[#All],[行ラベル]],0),MATCH($AO$3,年齢階層×在院期間区分F3＿寛解・院内寛解[#Headers],0)),0)+IFERROR(INDEX(年齢階層×在院期間区分F3＿寛解・院内寛解[#All],MATCH($AL21,年齢階層×在院期間区分F3＿寛解・院内寛解[[#All],[行ラベル]],0),MATCH($AP$3,年齢階層×在院期間区分F3＿寛解・院内寛解[#Headers],0)),0)</f>
        <v>24</v>
      </c>
      <c r="D21" s="155">
        <f t="shared" si="7"/>
        <v>8.9219330855018583E-2</v>
      </c>
      <c r="E21" s="177">
        <f>IFERROR(INDEX(年齢階層×在院期間区分F3＿寛解・院内寛解[#All],MATCH($AL21,年齢階層×在院期間区分F3＿寛解・院内寛解[[#All],[行ラベル]],0),MATCH($AQ$3,年齢階層×在院期間区分F3＿寛解・院内寛解[#Headers],0)),0)+IFERROR(INDEX(年齢階層×在院期間区分F3＿寛解・院内寛解[#All],MATCH($AL21,年齢階層×在院期間区分F3＿寛解・院内寛解[[#All],[行ラベル]],0),MATCH($AR$3,年齢階層×在院期間区分F3＿寛解・院内寛解[#Headers],0)),0)+IFERROR(INDEX(年齢階層×在院期間区分F3＿寛解・院内寛解[#All],MATCH($AL21,年齢階層×在院期間区分F3＿寛解・院内寛解[[#All],[行ラベル]],0),MATCH($AS$3,年齢階層×在院期間区分F3＿寛解・院内寛解[#Headers],0)),0)+IFERROR(INDEX(年齢階層×在院期間区分F3＿寛解・院内寛解[#All],MATCH($AL21,年齢階層×在院期間区分F3＿寛解・院内寛解[[#All],[行ラベル]],0),MATCH($AT$3,年齢階層×在院期間区分F3＿寛解・院内寛解[#Headers],0)),0)+IFERROR(INDEX(年齢階層×在院期間区分F3＿寛解・院内寛解[#All],MATCH($AL21,年齢階層×在院期間区分F3＿寛解・院内寛解[[#All],[行ラベル]],0),MATCH($AU$3,年齢階層×在院期間区分F3＿寛解・院内寛解[#Headers],0)),0)</f>
        <v>2</v>
      </c>
      <c r="F21" s="155">
        <f t="shared" si="8"/>
        <v>3.3898305084745763E-2</v>
      </c>
      <c r="G21" s="178">
        <f>IFERROR(INDEX(年齢階層×在院期間区分F3＿寛解・院内寛解[#All],MATCH($AL21,年齢階層×在院期間区分F3＿寛解・院内寛解[[#All],[行ラベル]],0),MATCH($AV$3,年齢階層×在院期間区分F3＿寛解・院内寛解[#Headers],0)),0)+IFERROR(INDEX(年齢階層×在院期間区分F3＿寛解・院内寛解[#All],MATCH($AL21,年齢階層×在院期間区分F3＿寛解・院内寛解[[#All],[行ラベル]],0),MATCH($AW$3,年齢階層×在院期間区分F3＿寛解・院内寛解[#Headers],0)),0)+IFERROR(INDEX(年齢階層×在院期間区分F3＿寛解・院内寛解[#All],MATCH($AL21,年齢階層×在院期間区分F3＿寛解・院内寛解[[#All],[行ラベル]],0),MATCH($AX$3,年齢階層×在院期間区分F3＿寛解・院内寛解[#Headers],0)),0)+IFERROR(INDEX(年齢階層×在院期間区分F3＿寛解・院内寛解[#All],MATCH($AL21,年齢階層×在院期間区分F3＿寛解・院内寛解[[#All],[行ラベル]],0),MATCH($AY$3,年齢階層×在院期間区分F3＿寛解・院内寛解[#Headers],0)),0)+IFERROR(INDEX(年齢階層×在院期間区分F3＿寛解・院内寛解[#All],MATCH($AL21,年齢階層×在院期間区分F3＿寛解・院内寛解[[#All],[行ラベル]],0),MATCH($AZ$3,年齢階層×在院期間区分F3＿寛解・院内寛解[#Headers],0)),0)</f>
        <v>0</v>
      </c>
      <c r="H21" s="155">
        <f t="shared" si="9"/>
        <v>0</v>
      </c>
      <c r="I21" s="154">
        <f>IFERROR(INDEX(年齢階層×在院期間区分F3＿寛解・院内寛解[#All],MATCH($AL21,年齢階層×在院期間区分F3＿寛解・院内寛解[[#All],[行ラベル]],0),MATCH($BA$3,年齢階層×在院期間区分F3＿寛解・院内寛解[#Headers],0)),0)+IFERROR(INDEX(年齢階層×在院期間区分F3＿寛解・院内寛解[#All],MATCH($AL21,年齢階層×在院期間区分F3＿寛解・院内寛解[[#All],[行ラベル]],0),MATCH($BB$3,年齢階層×在院期間区分F3＿寛解・院内寛解[#Headers],0)),0)</f>
        <v>0</v>
      </c>
      <c r="J21" s="155">
        <f t="shared" si="10"/>
        <v>0</v>
      </c>
      <c r="K21" s="154">
        <f t="shared" si="11"/>
        <v>26</v>
      </c>
      <c r="L21" s="155">
        <f t="shared" si="12"/>
        <v>7.492795389048991E-2</v>
      </c>
      <c r="O21" s="53" t="s">
        <v>3</v>
      </c>
      <c r="P21" s="61">
        <v>13</v>
      </c>
      <c r="Q21" s="61">
        <v>9</v>
      </c>
      <c r="R21" s="61">
        <v>2</v>
      </c>
      <c r="S21" s="61">
        <v>0</v>
      </c>
      <c r="T21" s="61">
        <v>0</v>
      </c>
      <c r="U21" s="61">
        <v>1</v>
      </c>
      <c r="V21" s="61">
        <v>0</v>
      </c>
      <c r="W21" s="61">
        <v>1</v>
      </c>
      <c r="X21" s="61">
        <v>0</v>
      </c>
      <c r="Y21" s="61">
        <v>0</v>
      </c>
      <c r="Z21" s="61">
        <v>0</v>
      </c>
      <c r="AA21" s="61">
        <v>0</v>
      </c>
      <c r="AB21" s="61">
        <v>0</v>
      </c>
      <c r="AC21" s="61">
        <v>0</v>
      </c>
      <c r="AD21" s="61">
        <v>0</v>
      </c>
      <c r="AE21" s="61">
        <v>0</v>
      </c>
      <c r="AF21" s="21"/>
      <c r="AG21" s="21"/>
      <c r="AL21" s="53" t="s">
        <v>3</v>
      </c>
    </row>
    <row r="22" spans="2:54" ht="18.75" customHeight="1" x14ac:dyDescent="0.2">
      <c r="B22" s="176" t="s">
        <v>4</v>
      </c>
      <c r="C22" s="177">
        <f>IFERROR(INDEX(年齢階層×在院期間区分F3＿寛解・院内寛解[#All],MATCH($AL22,年齢階層×在院期間区分F3＿寛解・院内寛解[[#All],[行ラベル]],0),MATCH($AM$3,年齢階層×在院期間区分F3＿寛解・院内寛解[#Headers],0)),0)+IFERROR(INDEX(年齢階層×在院期間区分F3＿寛解・院内寛解[#All],MATCH($AL22,年齢階層×在院期間区分F3＿寛解・院内寛解[[#All],[行ラベル]],0),MATCH($AN$3,年齢階層×在院期間区分F3＿寛解・院内寛解[#Headers],0)),0)+IFERROR(INDEX(年齢階層×在院期間区分F3＿寛解・院内寛解[#All],MATCH($AL22,年齢階層×在院期間区分F3＿寛解・院内寛解[[#All],[行ラベル]],0),MATCH($AO$3,年齢階層×在院期間区分F3＿寛解・院内寛解[#Headers],0)),0)+IFERROR(INDEX(年齢階層×在院期間区分F3＿寛解・院内寛解[#All],MATCH($AL22,年齢階層×在院期間区分F3＿寛解・院内寛解[[#All],[行ラベル]],0),MATCH($AP$3,年齢階層×在院期間区分F3＿寛解・院内寛解[#Headers],0)),0)</f>
        <v>21</v>
      </c>
      <c r="D22" s="155">
        <f t="shared" si="7"/>
        <v>7.8066914498141265E-2</v>
      </c>
      <c r="E22" s="177">
        <f>IFERROR(INDEX(年齢階層×在院期間区分F3＿寛解・院内寛解[#All],MATCH($AL22,年齢階層×在院期間区分F3＿寛解・院内寛解[[#All],[行ラベル]],0),MATCH($AQ$3,年齢階層×在院期間区分F3＿寛解・院内寛解[#Headers],0)),0)+IFERROR(INDEX(年齢階層×在院期間区分F3＿寛解・院内寛解[#All],MATCH($AL22,年齢階層×在院期間区分F3＿寛解・院内寛解[[#All],[行ラベル]],0),MATCH($AR$3,年齢階層×在院期間区分F3＿寛解・院内寛解[#Headers],0)),0)+IFERROR(INDEX(年齢階層×在院期間区分F3＿寛解・院内寛解[#All],MATCH($AL22,年齢階層×在院期間区分F3＿寛解・院内寛解[[#All],[行ラベル]],0),MATCH($AS$3,年齢階層×在院期間区分F3＿寛解・院内寛解[#Headers],0)),0)+IFERROR(INDEX(年齢階層×在院期間区分F3＿寛解・院内寛解[#All],MATCH($AL22,年齢階層×在院期間区分F3＿寛解・院内寛解[[#All],[行ラベル]],0),MATCH($AT$3,年齢階層×在院期間区分F3＿寛解・院内寛解[#Headers],0)),0)+IFERROR(INDEX(年齢階層×在院期間区分F3＿寛解・院内寛解[#All],MATCH($AL22,年齢階層×在院期間区分F3＿寛解・院内寛解[[#All],[行ラベル]],0),MATCH($AU$3,年齢階層×在院期間区分F3＿寛解・院内寛解[#Headers],0)),0)</f>
        <v>1</v>
      </c>
      <c r="F22" s="155">
        <f t="shared" si="8"/>
        <v>1.6949152542372881E-2</v>
      </c>
      <c r="G22" s="177">
        <f>IFERROR(INDEX(年齢階層×在院期間区分F3＿寛解・院内寛解[#All],MATCH($AL22,年齢階層×在院期間区分F3＿寛解・院内寛解[[#All],[行ラベル]],0),MATCH($AV$3,年齢階層×在院期間区分F3＿寛解・院内寛解[#Headers],0)),0)+IFERROR(INDEX(年齢階層×在院期間区分F3＿寛解・院内寛解[#All],MATCH($AL22,年齢階層×在院期間区分F3＿寛解・院内寛解[[#All],[行ラベル]],0),MATCH($AW$3,年齢階層×在院期間区分F3＿寛解・院内寛解[#Headers],0)),0)+IFERROR(INDEX(年齢階層×在院期間区分F3＿寛解・院内寛解[#All],MATCH($AL22,年齢階層×在院期間区分F3＿寛解・院内寛解[[#All],[行ラベル]],0),MATCH($AX$3,年齢階層×在院期間区分F3＿寛解・院内寛解[#Headers],0)),0)+IFERROR(INDEX(年齢階層×在院期間区分F3＿寛解・院内寛解[#All],MATCH($AL22,年齢階層×在院期間区分F3＿寛解・院内寛解[[#All],[行ラベル]],0),MATCH($AY$3,年齢階層×在院期間区分F3＿寛解・院内寛解[#Headers],0)),0)+IFERROR(INDEX(年齢階層×在院期間区分F3＿寛解・院内寛解[#All],MATCH($AL22,年齢階層×在院期間区分F3＿寛解・院内寛解[[#All],[行ラベル]],0),MATCH($AZ$3,年齢階層×在院期間区分F3＿寛解・院内寛解[#Headers],0)),0)</f>
        <v>0</v>
      </c>
      <c r="H22" s="155">
        <f t="shared" si="9"/>
        <v>0</v>
      </c>
      <c r="I22" s="178">
        <f>IFERROR(INDEX(年齢階層×在院期間区分F3＿寛解・院内寛解[#All],MATCH($AL22,年齢階層×在院期間区分F3＿寛解・院内寛解[[#All],[行ラベル]],0),MATCH($BA$3,年齢階層×在院期間区分F3＿寛解・院内寛解[#Headers],0)),0)+IFERROR(INDEX(年齢階層×在院期間区分F3＿寛解・院内寛解[#All],MATCH($AL22,年齢階層×在院期間区分F3＿寛解・院内寛解[[#All],[行ラベル]],0),MATCH($BB$3,年齢階層×在院期間区分F3＿寛解・院内寛解[#Headers],0)),0)</f>
        <v>0</v>
      </c>
      <c r="J22" s="155">
        <f t="shared" si="10"/>
        <v>0</v>
      </c>
      <c r="K22" s="154">
        <f t="shared" si="11"/>
        <v>22</v>
      </c>
      <c r="L22" s="155">
        <f t="shared" si="12"/>
        <v>6.3400576368876083E-2</v>
      </c>
      <c r="O22" s="53" t="s">
        <v>4</v>
      </c>
      <c r="P22" s="61">
        <v>11</v>
      </c>
      <c r="Q22" s="61">
        <v>6</v>
      </c>
      <c r="R22" s="61">
        <v>4</v>
      </c>
      <c r="S22" s="61">
        <v>0</v>
      </c>
      <c r="T22" s="61">
        <v>1</v>
      </c>
      <c r="U22" s="61">
        <v>0</v>
      </c>
      <c r="V22" s="61">
        <v>0</v>
      </c>
      <c r="W22" s="61">
        <v>0</v>
      </c>
      <c r="X22" s="61">
        <v>0</v>
      </c>
      <c r="Y22" s="61">
        <v>0</v>
      </c>
      <c r="Z22" s="61">
        <v>0</v>
      </c>
      <c r="AA22" s="61">
        <v>0</v>
      </c>
      <c r="AB22" s="61">
        <v>0</v>
      </c>
      <c r="AC22" s="61">
        <v>0</v>
      </c>
      <c r="AD22" s="61">
        <v>0</v>
      </c>
      <c r="AE22" s="61">
        <v>0</v>
      </c>
      <c r="AF22" s="21"/>
      <c r="AG22" s="21"/>
      <c r="AL22" s="53" t="s">
        <v>4</v>
      </c>
    </row>
    <row r="23" spans="2:54" ht="18.75" customHeight="1" x14ac:dyDescent="0.2">
      <c r="B23" s="176" t="s">
        <v>5</v>
      </c>
      <c r="C23" s="154">
        <f>IFERROR(INDEX(年齢階層×在院期間区分F3＿寛解・院内寛解[#All],MATCH($AL23,年齢階層×在院期間区分F3＿寛解・院内寛解[[#All],[行ラベル]],0),MATCH($AM$3,年齢階層×在院期間区分F3＿寛解・院内寛解[#Headers],0)),0)+IFERROR(INDEX(年齢階層×在院期間区分F3＿寛解・院内寛解[#All],MATCH($AL23,年齢階層×在院期間区分F3＿寛解・院内寛解[[#All],[行ラベル]],0),MATCH($AN$3,年齢階層×在院期間区分F3＿寛解・院内寛解[#Headers],0)),0)+IFERROR(INDEX(年齢階層×在院期間区分F3＿寛解・院内寛解[#All],MATCH($AL23,年齢階層×在院期間区分F3＿寛解・院内寛解[[#All],[行ラベル]],0),MATCH($AO$3,年齢階層×在院期間区分F3＿寛解・院内寛解[#Headers],0)),0)+IFERROR(INDEX(年齢階層×在院期間区分F3＿寛解・院内寛解[#All],MATCH($AL23,年齢階層×在院期間区分F3＿寛解・院内寛解[[#All],[行ラベル]],0),MATCH($AP$3,年齢階層×在院期間区分F3＿寛解・院内寛解[#Headers],0)),0)</f>
        <v>37</v>
      </c>
      <c r="D23" s="155">
        <f t="shared" si="7"/>
        <v>0.13754646840148699</v>
      </c>
      <c r="E23" s="154">
        <f>IFERROR(INDEX(年齢階層×在院期間区分F3＿寛解・院内寛解[#All],MATCH($AL23,年齢階層×在院期間区分F3＿寛解・院内寛解[[#All],[行ラベル]],0),MATCH($AQ$3,年齢階層×在院期間区分F3＿寛解・院内寛解[#Headers],0)),0)+IFERROR(INDEX(年齢階層×在院期間区分F3＿寛解・院内寛解[#All],MATCH($AL23,年齢階層×在院期間区分F3＿寛解・院内寛解[[#All],[行ラベル]],0),MATCH($AR$3,年齢階層×在院期間区分F3＿寛解・院内寛解[#Headers],0)),0)+IFERROR(INDEX(年齢階層×在院期間区分F3＿寛解・院内寛解[#All],MATCH($AL23,年齢階層×在院期間区分F3＿寛解・院内寛解[[#All],[行ラベル]],0),MATCH($AS$3,年齢階層×在院期間区分F3＿寛解・院内寛解[#Headers],0)),0)+IFERROR(INDEX(年齢階層×在院期間区分F3＿寛解・院内寛解[#All],MATCH($AL23,年齢階層×在院期間区分F3＿寛解・院内寛解[[#All],[行ラベル]],0),MATCH($AT$3,年齢階層×在院期間区分F3＿寛解・院内寛解[#Headers],0)),0)+IFERROR(INDEX(年齢階層×在院期間区分F3＿寛解・院内寛解[#All],MATCH($AL23,年齢階層×在院期間区分F3＿寛解・院内寛解[[#All],[行ラベル]],0),MATCH($AU$3,年齢階層×在院期間区分F3＿寛解・院内寛解[#Headers],0)),0)</f>
        <v>3</v>
      </c>
      <c r="F23" s="155">
        <f t="shared" si="8"/>
        <v>5.0847457627118647E-2</v>
      </c>
      <c r="G23" s="154">
        <f>IFERROR(INDEX(年齢階層×在院期間区分F3＿寛解・院内寛解[#All],MATCH($AL23,年齢階層×在院期間区分F3＿寛解・院内寛解[[#All],[行ラベル]],0),MATCH($AV$3,年齢階層×在院期間区分F3＿寛解・院内寛解[#Headers],0)),0)+IFERROR(INDEX(年齢階層×在院期間区分F3＿寛解・院内寛解[#All],MATCH($AL23,年齢階層×在院期間区分F3＿寛解・院内寛解[[#All],[行ラベル]],0),MATCH($AW$3,年齢階層×在院期間区分F3＿寛解・院内寛解[#Headers],0)),0)+IFERROR(INDEX(年齢階層×在院期間区分F3＿寛解・院内寛解[#All],MATCH($AL23,年齢階層×在院期間区分F3＿寛解・院内寛解[[#All],[行ラベル]],0),MATCH($AX$3,年齢階層×在院期間区分F3＿寛解・院内寛解[#Headers],0)),0)+IFERROR(INDEX(年齢階層×在院期間区分F3＿寛解・院内寛解[#All],MATCH($AL23,年齢階層×在院期間区分F3＿寛解・院内寛解[[#All],[行ラベル]],0),MATCH($AY$3,年齢階層×在院期間区分F3＿寛解・院内寛解[#Headers],0)),0)+IFERROR(INDEX(年齢階層×在院期間区分F3＿寛解・院内寛解[#All],MATCH($AL23,年齢階層×在院期間区分F3＿寛解・院内寛解[[#All],[行ラベル]],0),MATCH($AZ$3,年齢階層×在院期間区分F3＿寛解・院内寛解[#Headers],0)),0)</f>
        <v>0</v>
      </c>
      <c r="H23" s="155">
        <f t="shared" si="9"/>
        <v>0</v>
      </c>
      <c r="I23" s="154">
        <f>IFERROR(INDEX(年齢階層×在院期間区分F3＿寛解・院内寛解[#All],MATCH($AL23,年齢階層×在院期間区分F3＿寛解・院内寛解[[#All],[行ラベル]],0),MATCH($BA$3,年齢階層×在院期間区分F3＿寛解・院内寛解[#Headers],0)),0)+IFERROR(INDEX(年齢階層×在院期間区分F3＿寛解・院内寛解[#All],MATCH($AL23,年齢階層×在院期間区分F3＿寛解・院内寛解[[#All],[行ラベル]],0),MATCH($BB$3,年齢階層×在院期間区分F3＿寛解・院内寛解[#Headers],0)),0)</f>
        <v>0</v>
      </c>
      <c r="J23" s="155">
        <f t="shared" si="10"/>
        <v>0</v>
      </c>
      <c r="K23" s="154">
        <f t="shared" si="11"/>
        <v>40</v>
      </c>
      <c r="L23" s="155">
        <f t="shared" si="12"/>
        <v>0.11527377521613832</v>
      </c>
      <c r="O23" s="53" t="s">
        <v>5</v>
      </c>
      <c r="P23" s="61">
        <v>17</v>
      </c>
      <c r="Q23" s="61">
        <v>11</v>
      </c>
      <c r="R23" s="61">
        <v>7</v>
      </c>
      <c r="S23" s="61">
        <v>2</v>
      </c>
      <c r="T23" s="61">
        <v>1</v>
      </c>
      <c r="U23" s="61">
        <v>0</v>
      </c>
      <c r="V23" s="61">
        <v>2</v>
      </c>
      <c r="W23" s="61">
        <v>0</v>
      </c>
      <c r="X23" s="61">
        <v>0</v>
      </c>
      <c r="Y23" s="61">
        <v>0</v>
      </c>
      <c r="Z23" s="61">
        <v>0</v>
      </c>
      <c r="AA23" s="61">
        <v>0</v>
      </c>
      <c r="AB23" s="61">
        <v>0</v>
      </c>
      <c r="AC23" s="61">
        <v>0</v>
      </c>
      <c r="AD23" s="61">
        <v>0</v>
      </c>
      <c r="AE23" s="61">
        <v>0</v>
      </c>
      <c r="AF23" s="21"/>
      <c r="AG23" s="21"/>
      <c r="AL23" s="53" t="s">
        <v>5</v>
      </c>
    </row>
    <row r="24" spans="2:54" ht="18.75" customHeight="1" x14ac:dyDescent="0.2">
      <c r="B24" s="176" t="s">
        <v>6</v>
      </c>
      <c r="C24" s="154">
        <f>IFERROR(INDEX(年齢階層×在院期間区分F3＿寛解・院内寛解[#All],MATCH($AL24,年齢階層×在院期間区分F3＿寛解・院内寛解[[#All],[行ラベル]],0),MATCH($AM$3,年齢階層×在院期間区分F3＿寛解・院内寛解[#Headers],0)),0)+IFERROR(INDEX(年齢階層×在院期間区分F3＿寛解・院内寛解[#All],MATCH($AL24,年齢階層×在院期間区分F3＿寛解・院内寛解[[#All],[行ラベル]],0),MATCH($AN$3,年齢階層×在院期間区分F3＿寛解・院内寛解[#Headers],0)),0)+IFERROR(INDEX(年齢階層×在院期間区分F3＿寛解・院内寛解[#All],MATCH($AL24,年齢階層×在院期間区分F3＿寛解・院内寛解[[#All],[行ラベル]],0),MATCH($AO$3,年齢階層×在院期間区分F3＿寛解・院内寛解[#Headers],0)),0)+IFERROR(INDEX(年齢階層×在院期間区分F3＿寛解・院内寛解[#All],MATCH($AL24,年齢階層×在院期間区分F3＿寛解・院内寛解[[#All],[行ラベル]],0),MATCH($AP$3,年齢階層×在院期間区分F3＿寛解・院内寛解[#Headers],0)),0)</f>
        <v>49</v>
      </c>
      <c r="D24" s="155">
        <f t="shared" si="7"/>
        <v>0.18215613382899629</v>
      </c>
      <c r="E24" s="154">
        <f>IFERROR(INDEX(年齢階層×在院期間区分F3＿寛解・院内寛解[#All],MATCH($AL24,年齢階層×在院期間区分F3＿寛解・院内寛解[[#All],[行ラベル]],0),MATCH($AQ$3,年齢階層×在院期間区分F3＿寛解・院内寛解[#Headers],0)),0)+IFERROR(INDEX(年齢階層×在院期間区分F3＿寛解・院内寛解[#All],MATCH($AL24,年齢階層×在院期間区分F3＿寛解・院内寛解[[#All],[行ラベル]],0),MATCH($AR$3,年齢階層×在院期間区分F3＿寛解・院内寛解[#Headers],0)),0)+IFERROR(INDEX(年齢階層×在院期間区分F3＿寛解・院内寛解[#All],MATCH($AL24,年齢階層×在院期間区分F3＿寛解・院内寛解[[#All],[行ラベル]],0),MATCH($AS$3,年齢階層×在院期間区分F3＿寛解・院内寛解[#Headers],0)),0)+IFERROR(INDEX(年齢階層×在院期間区分F3＿寛解・院内寛解[#All],MATCH($AL24,年齢階層×在院期間区分F3＿寛解・院内寛解[[#All],[行ラベル]],0),MATCH($AT$3,年齢階層×在院期間区分F3＿寛解・院内寛解[#Headers],0)),0)+IFERROR(INDEX(年齢階層×在院期間区分F3＿寛解・院内寛解[#All],MATCH($AL24,年齢階層×在院期間区分F3＿寛解・院内寛解[[#All],[行ラベル]],0),MATCH($AU$3,年齢階層×在院期間区分F3＿寛解・院内寛解[#Headers],0)),0)</f>
        <v>4</v>
      </c>
      <c r="F24" s="155">
        <f t="shared" si="8"/>
        <v>6.7796610169491525E-2</v>
      </c>
      <c r="G24" s="154">
        <f>IFERROR(INDEX(年齢階層×在院期間区分F3＿寛解・院内寛解[#All],MATCH($AL24,年齢階層×在院期間区分F3＿寛解・院内寛解[[#All],[行ラベル]],0),MATCH($AV$3,年齢階層×在院期間区分F3＿寛解・院内寛解[#Headers],0)),0)+IFERROR(INDEX(年齢階層×在院期間区分F3＿寛解・院内寛解[#All],MATCH($AL24,年齢階層×在院期間区分F3＿寛解・院内寛解[[#All],[行ラベル]],0),MATCH($AW$3,年齢階層×在院期間区分F3＿寛解・院内寛解[#Headers],0)),0)+IFERROR(INDEX(年齢階層×在院期間区分F3＿寛解・院内寛解[#All],MATCH($AL24,年齢階層×在院期間区分F3＿寛解・院内寛解[[#All],[行ラベル]],0),MATCH($AX$3,年齢階層×在院期間区分F3＿寛解・院内寛解[#Headers],0)),0)+IFERROR(INDEX(年齢階層×在院期間区分F3＿寛解・院内寛解[#All],MATCH($AL24,年齢階層×在院期間区分F3＿寛解・院内寛解[[#All],[行ラベル]],0),MATCH($AY$3,年齢階層×在院期間区分F3＿寛解・院内寛解[#Headers],0)),0)+IFERROR(INDEX(年齢階層×在院期間区分F3＿寛解・院内寛解[#All],MATCH($AL24,年齢階層×在院期間区分F3＿寛解・院内寛解[[#All],[行ラベル]],0),MATCH($AZ$3,年齢階層×在院期間区分F3＿寛解・院内寛解[#Headers],0)),0)</f>
        <v>0</v>
      </c>
      <c r="H24" s="155">
        <f t="shared" si="9"/>
        <v>0</v>
      </c>
      <c r="I24" s="178">
        <f>IFERROR(INDEX(年齢階層×在院期間区分F3＿寛解・院内寛解[#All],MATCH($AL24,年齢階層×在院期間区分F3＿寛解・院内寛解[[#All],[行ラベル]],0),MATCH($BA$3,年齢階層×在院期間区分F3＿寛解・院内寛解[#Headers],0)),0)+IFERROR(INDEX(年齢階層×在院期間区分F3＿寛解・院内寛解[#All],MATCH($AL24,年齢階層×在院期間区分F3＿寛解・院内寛解[[#All],[行ラベル]],0),MATCH($BB$3,年齢階層×在院期間区分F3＿寛解・院内寛解[#Headers],0)),0)</f>
        <v>0</v>
      </c>
      <c r="J24" s="155">
        <f t="shared" si="10"/>
        <v>0</v>
      </c>
      <c r="K24" s="154">
        <f t="shared" si="11"/>
        <v>53</v>
      </c>
      <c r="L24" s="155">
        <f t="shared" si="12"/>
        <v>0.15273775216138327</v>
      </c>
      <c r="O24" s="53" t="s">
        <v>6</v>
      </c>
      <c r="P24" s="61">
        <v>20</v>
      </c>
      <c r="Q24" s="61">
        <v>18</v>
      </c>
      <c r="R24" s="61">
        <v>5</v>
      </c>
      <c r="S24" s="61">
        <v>6</v>
      </c>
      <c r="T24" s="61">
        <v>0</v>
      </c>
      <c r="U24" s="61">
        <v>0</v>
      </c>
      <c r="V24" s="61">
        <v>2</v>
      </c>
      <c r="W24" s="61">
        <v>1</v>
      </c>
      <c r="X24" s="61">
        <v>1</v>
      </c>
      <c r="Y24" s="61">
        <v>0</v>
      </c>
      <c r="Z24" s="61">
        <v>0</v>
      </c>
      <c r="AA24" s="61">
        <v>0</v>
      </c>
      <c r="AB24" s="61">
        <v>0</v>
      </c>
      <c r="AC24" s="61">
        <v>0</v>
      </c>
      <c r="AD24" s="61">
        <v>0</v>
      </c>
      <c r="AE24" s="61">
        <v>0</v>
      </c>
      <c r="AF24" s="21"/>
      <c r="AG24" s="21"/>
      <c r="AL24" s="53" t="s">
        <v>6</v>
      </c>
    </row>
    <row r="25" spans="2:54" ht="18.75" customHeight="1" x14ac:dyDescent="0.2">
      <c r="B25" s="176" t="s">
        <v>7</v>
      </c>
      <c r="C25" s="154">
        <f>IFERROR(INDEX(年齢階層×在院期間区分F3＿寛解・院内寛解[#All],MATCH($AL25,年齢階層×在院期間区分F3＿寛解・院内寛解[[#All],[行ラベル]],0),MATCH($AM$3,年齢階層×在院期間区分F3＿寛解・院内寛解[#Headers],0)),0)+IFERROR(INDEX(年齢階層×在院期間区分F3＿寛解・院内寛解[#All],MATCH($AL25,年齢階層×在院期間区分F3＿寛解・院内寛解[[#All],[行ラベル]],0),MATCH($AN$3,年齢階層×在院期間区分F3＿寛解・院内寛解[#Headers],0)),0)+IFERROR(INDEX(年齢階層×在院期間区分F3＿寛解・院内寛解[#All],MATCH($AL25,年齢階層×在院期間区分F3＿寛解・院内寛解[[#All],[行ラベル]],0),MATCH($AO$3,年齢階層×在院期間区分F3＿寛解・院内寛解[#Headers],0)),0)+IFERROR(INDEX(年齢階層×在院期間区分F3＿寛解・院内寛解[#All],MATCH($AL25,年齢階層×在院期間区分F3＿寛解・院内寛解[[#All],[行ラベル]],0),MATCH($AP$3,年齢階層×在院期間区分F3＿寛解・院内寛解[#Headers],0)),0)</f>
        <v>50</v>
      </c>
      <c r="D25" s="155">
        <f t="shared" si="7"/>
        <v>0.18587360594795538</v>
      </c>
      <c r="E25" s="154">
        <f>IFERROR(INDEX(年齢階層×在院期間区分F3＿寛解・院内寛解[#All],MATCH($AL25,年齢階層×在院期間区分F3＿寛解・院内寛解[[#All],[行ラベル]],0),MATCH($AQ$3,年齢階層×在院期間区分F3＿寛解・院内寛解[#Headers],0)),0)+IFERROR(INDEX(年齢階層×在院期間区分F3＿寛解・院内寛解[#All],MATCH($AL25,年齢階層×在院期間区分F3＿寛解・院内寛解[[#All],[行ラベル]],0),MATCH($AR$3,年齢階層×在院期間区分F3＿寛解・院内寛解[#Headers],0)),0)+IFERROR(INDEX(年齢階層×在院期間区分F3＿寛解・院内寛解[#All],MATCH($AL25,年齢階層×在院期間区分F3＿寛解・院内寛解[[#All],[行ラベル]],0),MATCH($AS$3,年齢階層×在院期間区分F3＿寛解・院内寛解[#Headers],0)),0)+IFERROR(INDEX(年齢階層×在院期間区分F3＿寛解・院内寛解[#All],MATCH($AL25,年齢階層×在院期間区分F3＿寛解・院内寛解[[#All],[行ラベル]],0),MATCH($AT$3,年齢階層×在院期間区分F3＿寛解・院内寛解[#Headers],0)),0)+IFERROR(INDEX(年齢階層×在院期間区分F3＿寛解・院内寛解[#All],MATCH($AL25,年齢階層×在院期間区分F3＿寛解・院内寛解[[#All],[行ラベル]],0),MATCH($AU$3,年齢階層×在院期間区分F3＿寛解・院内寛解[#Headers],0)),0)</f>
        <v>16</v>
      </c>
      <c r="F25" s="155">
        <f t="shared" si="8"/>
        <v>0.2711864406779661</v>
      </c>
      <c r="G25" s="154">
        <f>IFERROR(INDEX(年齢階層×在院期間区分F3＿寛解・院内寛解[#All],MATCH($AL25,年齢階層×在院期間区分F3＿寛解・院内寛解[[#All],[行ラベル]],0),MATCH($AV$3,年齢階層×在院期間区分F3＿寛解・院内寛解[#Headers],0)),0)+IFERROR(INDEX(年齢階層×在院期間区分F3＿寛解・院内寛解[#All],MATCH($AL25,年齢階層×在院期間区分F3＿寛解・院内寛解[[#All],[行ラベル]],0),MATCH($AW$3,年齢階層×在院期間区分F3＿寛解・院内寛解[#Headers],0)),0)+IFERROR(INDEX(年齢階層×在院期間区分F3＿寛解・院内寛解[#All],MATCH($AL25,年齢階層×在院期間区分F3＿寛解・院内寛解[[#All],[行ラベル]],0),MATCH($AX$3,年齢階層×在院期間区分F3＿寛解・院内寛解[#Headers],0)),0)+IFERROR(INDEX(年齢階層×在院期間区分F3＿寛解・院内寛解[#All],MATCH($AL25,年齢階層×在院期間区分F3＿寛解・院内寛解[[#All],[行ラベル]],0),MATCH($AY$3,年齢階層×在院期間区分F3＿寛解・院内寛解[#Headers],0)),0)+IFERROR(INDEX(年齢階層×在院期間区分F3＿寛解・院内寛解[#All],MATCH($AL25,年齢階層×在院期間区分F3＿寛解・院内寛解[[#All],[行ラベル]],0),MATCH($AZ$3,年齢階層×在院期間区分F3＿寛解・院内寛解[#Headers],0)),0)</f>
        <v>3</v>
      </c>
      <c r="H25" s="155">
        <f t="shared" si="9"/>
        <v>0.23076923076923078</v>
      </c>
      <c r="I25" s="154">
        <f>IFERROR(INDEX(年齢階層×在院期間区分F3＿寛解・院内寛解[#All],MATCH($AL25,年齢階層×在院期間区分F3＿寛解・院内寛解[[#All],[行ラベル]],0),MATCH($BA$3,年齢階層×在院期間区分F3＿寛解・院内寛解[#Headers],0)),0)+IFERROR(INDEX(年齢階層×在院期間区分F3＿寛解・院内寛解[#All],MATCH($AL25,年齢階層×在院期間区分F3＿寛解・院内寛解[[#All],[行ラベル]],0),MATCH($BB$3,年齢階層×在院期間区分F3＿寛解・院内寛解[#Headers],0)),0)</f>
        <v>0</v>
      </c>
      <c r="J25" s="155">
        <f t="shared" si="10"/>
        <v>0</v>
      </c>
      <c r="K25" s="154">
        <f t="shared" si="11"/>
        <v>69</v>
      </c>
      <c r="L25" s="155">
        <f t="shared" si="12"/>
        <v>0.19884726224783861</v>
      </c>
      <c r="O25" s="53" t="s">
        <v>7</v>
      </c>
      <c r="P25" s="61">
        <v>20</v>
      </c>
      <c r="Q25" s="61">
        <v>22</v>
      </c>
      <c r="R25" s="61">
        <v>4</v>
      </c>
      <c r="S25" s="61">
        <v>4</v>
      </c>
      <c r="T25" s="61">
        <v>7</v>
      </c>
      <c r="U25" s="61">
        <v>2</v>
      </c>
      <c r="V25" s="61">
        <v>5</v>
      </c>
      <c r="W25" s="61">
        <v>0</v>
      </c>
      <c r="X25" s="61">
        <v>2</v>
      </c>
      <c r="Y25" s="61">
        <v>0</v>
      </c>
      <c r="Z25" s="61">
        <v>2</v>
      </c>
      <c r="AA25" s="61">
        <v>0</v>
      </c>
      <c r="AB25" s="61">
        <v>1</v>
      </c>
      <c r="AC25" s="61">
        <v>0</v>
      </c>
      <c r="AD25" s="61">
        <v>0</v>
      </c>
      <c r="AE25" s="61">
        <v>0</v>
      </c>
      <c r="AF25" s="21"/>
      <c r="AG25" s="21"/>
      <c r="AL25" s="53" t="s">
        <v>7</v>
      </c>
    </row>
    <row r="26" spans="2:54" ht="18.75" customHeight="1" x14ac:dyDescent="0.2">
      <c r="B26" s="176" t="s">
        <v>8</v>
      </c>
      <c r="C26" s="154">
        <f>IFERROR(INDEX(年齢階層×在院期間区分F3＿寛解・院内寛解[#All],MATCH($AL26,年齢階層×在院期間区分F3＿寛解・院内寛解[[#All],[行ラベル]],0),MATCH($AM$3,年齢階層×在院期間区分F3＿寛解・院内寛解[#Headers],0)),0)+IFERROR(INDEX(年齢階層×在院期間区分F3＿寛解・院内寛解[#All],MATCH($AL26,年齢階層×在院期間区分F3＿寛解・院内寛解[[#All],[行ラベル]],0),MATCH($AN$3,年齢階層×在院期間区分F3＿寛解・院内寛解[#Headers],0)),0)+IFERROR(INDEX(年齢階層×在院期間区分F3＿寛解・院内寛解[#All],MATCH($AL26,年齢階層×在院期間区分F3＿寛解・院内寛解[[#All],[行ラベル]],0),MATCH($AO$3,年齢階層×在院期間区分F3＿寛解・院内寛解[#Headers],0)),0)+IFERROR(INDEX(年齢階層×在院期間区分F3＿寛解・院内寛解[#All],MATCH($AL26,年齢階層×在院期間区分F3＿寛解・院内寛解[[#All],[行ラベル]],0),MATCH($AP$3,年齢階層×在院期間区分F3＿寛解・院内寛解[#Headers],0)),0)</f>
        <v>57</v>
      </c>
      <c r="D26" s="155">
        <f t="shared" si="7"/>
        <v>0.21189591078066913</v>
      </c>
      <c r="E26" s="178">
        <f>IFERROR(INDEX(年齢階層×在院期間区分F3＿寛解・院内寛解[#All],MATCH($AL26,年齢階層×在院期間区分F3＿寛解・院内寛解[[#All],[行ラベル]],0),MATCH($AQ$3,年齢階層×在院期間区分F3＿寛解・院内寛解[#Headers],0)),0)+IFERROR(INDEX(年齢階層×在院期間区分F3＿寛解・院内寛解[#All],MATCH($AL26,年齢階層×在院期間区分F3＿寛解・院内寛解[[#All],[行ラベル]],0),MATCH($AR$3,年齢階層×在院期間区分F3＿寛解・院内寛解[#Headers],0)),0)+IFERROR(INDEX(年齢階層×在院期間区分F3＿寛解・院内寛解[#All],MATCH($AL26,年齢階層×在院期間区分F3＿寛解・院内寛解[[#All],[行ラベル]],0),MATCH($AS$3,年齢階層×在院期間区分F3＿寛解・院内寛解[#Headers],0)),0)+IFERROR(INDEX(年齢階層×在院期間区分F3＿寛解・院内寛解[#All],MATCH($AL26,年齢階層×在院期間区分F3＿寛解・院内寛解[[#All],[行ラベル]],0),MATCH($AT$3,年齢階層×在院期間区分F3＿寛解・院内寛解[#Headers],0)),0)+IFERROR(INDEX(年齢階層×在院期間区分F3＿寛解・院内寛解[#All],MATCH($AL26,年齢階層×在院期間区分F3＿寛解・院内寛解[[#All],[行ラベル]],0),MATCH($AU$3,年齢階層×在院期間区分F3＿寛解・院内寛解[#Headers],0)),0)</f>
        <v>22</v>
      </c>
      <c r="F26" s="155">
        <f t="shared" si="8"/>
        <v>0.3728813559322034</v>
      </c>
      <c r="G26" s="178">
        <f>IFERROR(INDEX(年齢階層×在院期間区分F3＿寛解・院内寛解[#All],MATCH($AL26,年齢階層×在院期間区分F3＿寛解・院内寛解[[#All],[行ラベル]],0),MATCH($AV$3,年齢階層×在院期間区分F3＿寛解・院内寛解[#Headers],0)),0)+IFERROR(INDEX(年齢階層×在院期間区分F3＿寛解・院内寛解[#All],MATCH($AL26,年齢階層×在院期間区分F3＿寛解・院内寛解[[#All],[行ラベル]],0),MATCH($AW$3,年齢階層×在院期間区分F3＿寛解・院内寛解[#Headers],0)),0)+IFERROR(INDEX(年齢階層×在院期間区分F3＿寛解・院内寛解[#All],MATCH($AL26,年齢階層×在院期間区分F3＿寛解・院内寛解[[#All],[行ラベル]],0),MATCH($AX$3,年齢階層×在院期間区分F3＿寛解・院内寛解[#Headers],0)),0)+IFERROR(INDEX(年齢階層×在院期間区分F3＿寛解・院内寛解[#All],MATCH($AL26,年齢階層×在院期間区分F3＿寛解・院内寛解[[#All],[行ラベル]],0),MATCH($AY$3,年齢階層×在院期間区分F3＿寛解・院内寛解[#Headers],0)),0)+IFERROR(INDEX(年齢階層×在院期間区分F3＿寛解・院内寛解[#All],MATCH($AL26,年齢階層×在院期間区分F3＿寛解・院内寛解[[#All],[行ラベル]],0),MATCH($AZ$3,年齢階層×在院期間区分F3＿寛解・院内寛解[#Headers],0)),0)</f>
        <v>6</v>
      </c>
      <c r="H26" s="155">
        <f t="shared" si="9"/>
        <v>0.46153846153846156</v>
      </c>
      <c r="I26" s="178">
        <f>IFERROR(INDEX(年齢階層×在院期間区分F3＿寛解・院内寛解[#All],MATCH($AL26,年齢階層×在院期間区分F3＿寛解・院内寛解[[#All],[行ラベル]],0),MATCH($BA$3,年齢階層×在院期間区分F3＿寛解・院内寛解[#Headers],0)),0)+IFERROR(INDEX(年齢階層×在院期間区分F3＿寛解・院内寛解[#All],MATCH($AL26,年齢階層×在院期間区分F3＿寛解・院内寛解[[#All],[行ラベル]],0),MATCH($BB$3,年齢階層×在院期間区分F3＿寛解・院内寛解[#Headers],0)),0)</f>
        <v>3</v>
      </c>
      <c r="J26" s="155">
        <f t="shared" si="10"/>
        <v>0.5</v>
      </c>
      <c r="K26" s="154">
        <f t="shared" si="11"/>
        <v>88</v>
      </c>
      <c r="L26" s="155">
        <f t="shared" si="12"/>
        <v>0.25360230547550433</v>
      </c>
      <c r="O26" s="53" t="s">
        <v>8</v>
      </c>
      <c r="P26" s="61">
        <v>14</v>
      </c>
      <c r="Q26" s="61">
        <v>26</v>
      </c>
      <c r="R26" s="61">
        <v>7</v>
      </c>
      <c r="S26" s="61">
        <v>10</v>
      </c>
      <c r="T26" s="61">
        <v>5</v>
      </c>
      <c r="U26" s="61">
        <v>4</v>
      </c>
      <c r="V26" s="61">
        <v>7</v>
      </c>
      <c r="W26" s="61">
        <v>4</v>
      </c>
      <c r="X26" s="61">
        <v>2</v>
      </c>
      <c r="Y26" s="61">
        <v>1</v>
      </c>
      <c r="Z26" s="61">
        <v>1</v>
      </c>
      <c r="AA26" s="61">
        <v>2</v>
      </c>
      <c r="AB26" s="61">
        <v>2</v>
      </c>
      <c r="AC26" s="61">
        <v>0</v>
      </c>
      <c r="AD26" s="61">
        <v>2</v>
      </c>
      <c r="AE26" s="61">
        <v>1</v>
      </c>
      <c r="AF26" s="21"/>
      <c r="AG26" s="21"/>
      <c r="AL26" s="53" t="s">
        <v>8</v>
      </c>
    </row>
    <row r="27" spans="2:54" ht="18.75" customHeight="1" x14ac:dyDescent="0.2">
      <c r="B27" s="176" t="s">
        <v>9</v>
      </c>
      <c r="C27" s="154">
        <f>IFERROR(INDEX(年齢階層×在院期間区分F3＿寛解・院内寛解[#All],MATCH($AL27,年齢階層×在院期間区分F3＿寛解・院内寛解[[#All],[行ラベル]],0),MATCH($AM$3,年齢階層×在院期間区分F3＿寛解・院内寛解[#Headers],0)),0)+IFERROR(INDEX(年齢階層×在院期間区分F3＿寛解・院内寛解[#All],MATCH($AL27,年齢階層×在院期間区分F3＿寛解・院内寛解[[#All],[行ラベル]],0),MATCH($AN$3,年齢階層×在院期間区分F3＿寛解・院内寛解[#Headers],0)),0)+IFERROR(INDEX(年齢階層×在院期間区分F3＿寛解・院内寛解[#All],MATCH($AL27,年齢階層×在院期間区分F3＿寛解・院内寛解[[#All],[行ラベル]],0),MATCH($AO$3,年齢階層×在院期間区分F3＿寛解・院内寛解[#Headers],0)),0)+IFERROR(INDEX(年齢階層×在院期間区分F3＿寛解・院内寛解[#All],MATCH($AL27,年齢階層×在院期間区分F3＿寛解・院内寛解[[#All],[行ラベル]],0),MATCH($AP$3,年齢階層×在院期間区分F3＿寛解・院内寛解[#Headers],0)),0)</f>
        <v>23</v>
      </c>
      <c r="D27" s="155">
        <f t="shared" si="7"/>
        <v>8.5501858736059477E-2</v>
      </c>
      <c r="E27" s="154">
        <f>IFERROR(INDEX(年齢階層×在院期間区分F3＿寛解・院内寛解[#All],MATCH($AL27,年齢階層×在院期間区分F3＿寛解・院内寛解[[#All],[行ラベル]],0),MATCH($AQ$3,年齢階層×在院期間区分F3＿寛解・院内寛解[#Headers],0)),0)+IFERROR(INDEX(年齢階層×在院期間区分F3＿寛解・院内寛解[#All],MATCH($AL27,年齢階層×在院期間区分F3＿寛解・院内寛解[[#All],[行ラベル]],0),MATCH($AR$3,年齢階層×在院期間区分F3＿寛解・院内寛解[#Headers],0)),0)+IFERROR(INDEX(年齢階層×在院期間区分F3＿寛解・院内寛解[#All],MATCH($AL27,年齢階層×在院期間区分F3＿寛解・院内寛解[[#All],[行ラベル]],0),MATCH($AS$3,年齢階層×在院期間区分F3＿寛解・院内寛解[#Headers],0)),0)+IFERROR(INDEX(年齢階層×在院期間区分F3＿寛解・院内寛解[#All],MATCH($AL27,年齢階層×在院期間区分F3＿寛解・院内寛解[[#All],[行ラベル]],0),MATCH($AT$3,年齢階層×在院期間区分F3＿寛解・院内寛解[#Headers],0)),0)+IFERROR(INDEX(年齢階層×在院期間区分F3＿寛解・院内寛解[#All],MATCH($AL27,年齢階層×在院期間区分F3＿寛解・院内寛解[[#All],[行ラベル]],0),MATCH($AU$3,年齢階層×在院期間区分F3＿寛解・院内寛解[#Headers],0)),0)</f>
        <v>10</v>
      </c>
      <c r="F27" s="155">
        <f t="shared" si="8"/>
        <v>0.16949152542372881</v>
      </c>
      <c r="G27" s="154">
        <f>IFERROR(INDEX(年齢階層×在院期間区分F3＿寛解・院内寛解[#All],MATCH($AL27,年齢階層×在院期間区分F3＿寛解・院内寛解[[#All],[行ラベル]],0),MATCH($AV$3,年齢階層×在院期間区分F3＿寛解・院内寛解[#Headers],0)),0)+IFERROR(INDEX(年齢階層×在院期間区分F3＿寛解・院内寛解[#All],MATCH($AL27,年齢階層×在院期間区分F3＿寛解・院内寛解[[#All],[行ラベル]],0),MATCH($AW$3,年齢階層×在院期間区分F3＿寛解・院内寛解[#Headers],0)),0)+IFERROR(INDEX(年齢階層×在院期間区分F3＿寛解・院内寛解[#All],MATCH($AL27,年齢階層×在院期間区分F3＿寛解・院内寛解[[#All],[行ラベル]],0),MATCH($AX$3,年齢階層×在院期間区分F3＿寛解・院内寛解[#Headers],0)),0)+IFERROR(INDEX(年齢階層×在院期間区分F3＿寛解・院内寛解[#All],MATCH($AL27,年齢階層×在院期間区分F3＿寛解・院内寛解[[#All],[行ラベル]],0),MATCH($AY$3,年齢階層×在院期間区分F3＿寛解・院内寛解[#Headers],0)),0)+IFERROR(INDEX(年齢階層×在院期間区分F3＿寛解・院内寛解[#All],MATCH($AL27,年齢階層×在院期間区分F3＿寛解・院内寛解[[#All],[行ラベル]],0),MATCH($AZ$3,年齢階層×在院期間区分F3＿寛解・院内寛解[#Headers],0)),0)</f>
        <v>4</v>
      </c>
      <c r="H27" s="155">
        <f t="shared" si="9"/>
        <v>0.30769230769230771</v>
      </c>
      <c r="I27" s="177">
        <f>IFERROR(INDEX(年齢階層×在院期間区分F3＿寛解・院内寛解[#All],MATCH($AL27,年齢階層×在院期間区分F3＿寛解・院内寛解[[#All],[行ラベル]],0),MATCH($BA$3,年齢階層×在院期間区分F3＿寛解・院内寛解[#Headers],0)),0)+IFERROR(INDEX(年齢階層×在院期間区分F3＿寛解・院内寛解[#All],MATCH($AL27,年齢階層×在院期間区分F3＿寛解・院内寛解[[#All],[行ラベル]],0),MATCH($BB$3,年齢階層×在院期間区分F3＿寛解・院内寛解[#Headers],0)),0)</f>
        <v>3</v>
      </c>
      <c r="J27" s="155">
        <f t="shared" si="10"/>
        <v>0.5</v>
      </c>
      <c r="K27" s="154">
        <f t="shared" si="11"/>
        <v>40</v>
      </c>
      <c r="L27" s="155">
        <f t="shared" si="12"/>
        <v>0.11527377521613832</v>
      </c>
      <c r="O27" s="53" t="s">
        <v>9</v>
      </c>
      <c r="P27" s="61">
        <v>5</v>
      </c>
      <c r="Q27" s="61">
        <v>12</v>
      </c>
      <c r="R27" s="61">
        <v>3</v>
      </c>
      <c r="S27" s="61">
        <v>3</v>
      </c>
      <c r="T27" s="61">
        <v>3</v>
      </c>
      <c r="U27" s="61">
        <v>1</v>
      </c>
      <c r="V27" s="61">
        <v>3</v>
      </c>
      <c r="W27" s="61">
        <v>1</v>
      </c>
      <c r="X27" s="61">
        <v>2</v>
      </c>
      <c r="Y27" s="61">
        <v>0</v>
      </c>
      <c r="Z27" s="61">
        <v>0</v>
      </c>
      <c r="AA27" s="61">
        <v>1</v>
      </c>
      <c r="AB27" s="61">
        <v>1</v>
      </c>
      <c r="AC27" s="61">
        <v>2</v>
      </c>
      <c r="AD27" s="61">
        <v>3</v>
      </c>
      <c r="AE27" s="61">
        <v>0</v>
      </c>
      <c r="AF27" s="21"/>
      <c r="AG27" s="21"/>
      <c r="AL27" s="53" t="s">
        <v>9</v>
      </c>
    </row>
    <row r="28" spans="2:54" ht="18.75" customHeight="1" thickBot="1" x14ac:dyDescent="0.25">
      <c r="B28" s="179" t="s">
        <v>10</v>
      </c>
      <c r="C28" s="180">
        <f>IFERROR(INDEX(年齢階層×在院期間区分F3＿寛解・院内寛解[#All],MATCH($AL28,年齢階層×在院期間区分F3＿寛解・院内寛解[[#All],[行ラベル]],0),MATCH($AM$3,年齢階層×在院期間区分F3＿寛解・院内寛解[#Headers],0)),0)+IFERROR(INDEX(年齢階層×在院期間区分F3＿寛解・院内寛解[#All],MATCH($AL28,年齢階層×在院期間区分F3＿寛解・院内寛解[[#All],[行ラベル]],0),MATCH($AN$3,年齢階層×在院期間区分F3＿寛解・院内寛解[#Headers],0)),0)+IFERROR(INDEX(年齢階層×在院期間区分F3＿寛解・院内寛解[#All],MATCH($AL28,年齢階層×在院期間区分F3＿寛解・院内寛解[[#All],[行ラベル]],0),MATCH($AO$3,年齢階層×在院期間区分F3＿寛解・院内寛解[#Headers],0)),0)+IFERROR(INDEX(年齢階層×在院期間区分F3＿寛解・院内寛解[#All],MATCH($AL28,年齢階層×在院期間区分F3＿寛解・院内寛解[[#All],[行ラベル]],0),MATCH($AP$3,年齢階層×在院期間区分F3＿寛解・院内寛解[#Headers],0)),0)</f>
        <v>3</v>
      </c>
      <c r="D28" s="159">
        <f t="shared" si="7"/>
        <v>1.1152416356877323E-2</v>
      </c>
      <c r="E28" s="180">
        <f>IFERROR(INDEX(年齢階層×在院期間区分F3＿寛解・院内寛解[#All],MATCH($AL28,年齢階層×在院期間区分F3＿寛解・院内寛解[[#All],[行ラベル]],0),MATCH($AQ$3,年齢階層×在院期間区分F3＿寛解・院内寛解[#Headers],0)),0)+IFERROR(INDEX(年齢階層×在院期間区分F3＿寛解・院内寛解[#All],MATCH($AL28,年齢階層×在院期間区分F3＿寛解・院内寛解[[#All],[行ラベル]],0),MATCH($AR$3,年齢階層×在院期間区分F3＿寛解・院内寛解[#Headers],0)),0)+IFERROR(INDEX(年齢階層×在院期間区分F3＿寛解・院内寛解[#All],MATCH($AL28,年齢階層×在院期間区分F3＿寛解・院内寛解[[#All],[行ラベル]],0),MATCH($AS$3,年齢階層×在院期間区分F3＿寛解・院内寛解[#Headers],0)),0)+IFERROR(INDEX(年齢階層×在院期間区分F3＿寛解・院内寛解[#All],MATCH($AL28,年齢階層×在院期間区分F3＿寛解・院内寛解[[#All],[行ラベル]],0),MATCH($AT$3,年齢階層×在院期間区分F3＿寛解・院内寛解[#Headers],0)),0)+IFERROR(INDEX(年齢階層×在院期間区分F3＿寛解・院内寛解[#All],MATCH($AL28,年齢階層×在院期間区分F3＿寛解・院内寛解[[#All],[行ラベル]],0),MATCH($AU$3,年齢階層×在院期間区分F3＿寛解・院内寛解[#Headers],0)),0)</f>
        <v>1</v>
      </c>
      <c r="F28" s="159">
        <f t="shared" si="8"/>
        <v>1.6949152542372881E-2</v>
      </c>
      <c r="G28" s="180">
        <f>IFERROR(INDEX(年齢階層×在院期間区分F3＿寛解・院内寛解[#All],MATCH($AL28,年齢階層×在院期間区分F3＿寛解・院内寛解[[#All],[行ラベル]],0),MATCH($AV$3,年齢階層×在院期間区分F3＿寛解・院内寛解[#Headers],0)),0)+IFERROR(INDEX(年齢階層×在院期間区分F3＿寛解・院内寛解[#All],MATCH($AL28,年齢階層×在院期間区分F3＿寛解・院内寛解[[#All],[行ラベル]],0),MATCH($AW$3,年齢階層×在院期間区分F3＿寛解・院内寛解[#Headers],0)),0)+IFERROR(INDEX(年齢階層×在院期間区分F3＿寛解・院内寛解[#All],MATCH($AL28,年齢階層×在院期間区分F3＿寛解・院内寛解[[#All],[行ラベル]],0),MATCH($AX$3,年齢階層×在院期間区分F3＿寛解・院内寛解[#Headers],0)),0)+IFERROR(INDEX(年齢階層×在院期間区分F3＿寛解・院内寛解[#All],MATCH($AL28,年齢階層×在院期間区分F3＿寛解・院内寛解[[#All],[行ラベル]],0),MATCH($AY$3,年齢階層×在院期間区分F3＿寛解・院内寛解[#Headers],0)),0)+IFERROR(INDEX(年齢階層×在院期間区分F3＿寛解・院内寛解[#All],MATCH($AL28,年齢階層×在院期間区分F3＿寛解・院内寛解[[#All],[行ラベル]],0),MATCH($AZ$3,年齢階層×在院期間区分F3＿寛解・院内寛解[#Headers],0)),0)</f>
        <v>0</v>
      </c>
      <c r="H28" s="159">
        <f t="shared" si="9"/>
        <v>0</v>
      </c>
      <c r="I28" s="157">
        <f>IFERROR(INDEX(年齢階層×在院期間区分F3＿寛解・院内寛解[#All],MATCH($AL28,年齢階層×在院期間区分F3＿寛解・院内寛解[[#All],[行ラベル]],0),MATCH($BA$3,年齢階層×在院期間区分F3＿寛解・院内寛解[#Headers],0)),0)+IFERROR(INDEX(年齢階層×在院期間区分F3＿寛解・院内寛解[#All],MATCH($AL28,年齢階層×在院期間区分F3＿寛解・院内寛解[[#All],[行ラベル]],0),MATCH($BB$3,年齢階層×在院期間区分F3＿寛解・院内寛解[#Headers],0)),0)</f>
        <v>0</v>
      </c>
      <c r="J28" s="159">
        <f t="shared" si="10"/>
        <v>0</v>
      </c>
      <c r="K28" s="157">
        <f t="shared" si="11"/>
        <v>4</v>
      </c>
      <c r="L28" s="159">
        <f t="shared" si="12"/>
        <v>1.1527377521613832E-2</v>
      </c>
      <c r="M28" s="63"/>
      <c r="O28" s="53" t="s">
        <v>10</v>
      </c>
      <c r="P28" s="61">
        <v>2</v>
      </c>
      <c r="Q28" s="61">
        <v>0</v>
      </c>
      <c r="R28" s="61">
        <v>1</v>
      </c>
      <c r="S28" s="61">
        <v>0</v>
      </c>
      <c r="T28" s="61">
        <v>0</v>
      </c>
      <c r="U28" s="61">
        <v>1</v>
      </c>
      <c r="V28" s="61">
        <v>0</v>
      </c>
      <c r="W28" s="61">
        <v>0</v>
      </c>
      <c r="X28" s="61">
        <v>0</v>
      </c>
      <c r="Y28" s="61">
        <v>0</v>
      </c>
      <c r="Z28" s="61">
        <v>0</v>
      </c>
      <c r="AA28" s="61">
        <v>0</v>
      </c>
      <c r="AB28" s="61">
        <v>0</v>
      </c>
      <c r="AC28" s="61">
        <v>0</v>
      </c>
      <c r="AD28" s="61">
        <v>0</v>
      </c>
      <c r="AE28" s="61">
        <v>0</v>
      </c>
      <c r="AF28" s="21"/>
      <c r="AG28" s="21"/>
      <c r="AL28" s="53" t="s">
        <v>10</v>
      </c>
    </row>
    <row r="29" spans="2:54" ht="18.75" customHeight="1" thickTop="1" thickBot="1" x14ac:dyDescent="0.25">
      <c r="B29" s="181" t="s">
        <v>161</v>
      </c>
      <c r="C29" s="182">
        <f t="shared" ref="C29:L29" si="13">SUM(C20:C28)</f>
        <v>269</v>
      </c>
      <c r="D29" s="189">
        <f t="shared" si="13"/>
        <v>1</v>
      </c>
      <c r="E29" s="182">
        <f t="shared" si="13"/>
        <v>59</v>
      </c>
      <c r="F29" s="189">
        <f t="shared" si="13"/>
        <v>1</v>
      </c>
      <c r="G29" s="182">
        <f t="shared" si="13"/>
        <v>13</v>
      </c>
      <c r="H29" s="189">
        <f t="shared" si="13"/>
        <v>1</v>
      </c>
      <c r="I29" s="182">
        <f t="shared" si="13"/>
        <v>6</v>
      </c>
      <c r="J29" s="189">
        <f t="shared" si="13"/>
        <v>1</v>
      </c>
      <c r="K29" s="182">
        <f t="shared" si="13"/>
        <v>347</v>
      </c>
      <c r="L29" s="189">
        <f t="shared" si="13"/>
        <v>1</v>
      </c>
      <c r="O29" s="298" t="s">
        <v>308</v>
      </c>
      <c r="P29" s="333" t="s">
        <v>182</v>
      </c>
      <c r="Q29" s="333" t="s">
        <v>183</v>
      </c>
      <c r="R29" s="333" t="s">
        <v>184</v>
      </c>
      <c r="S29" s="333" t="s">
        <v>185</v>
      </c>
      <c r="T29" s="333" t="s">
        <v>186</v>
      </c>
      <c r="U29" s="333" t="s">
        <v>187</v>
      </c>
      <c r="V29" s="333" t="s">
        <v>188</v>
      </c>
      <c r="W29" s="333" t="s">
        <v>189</v>
      </c>
      <c r="X29" s="333" t="s">
        <v>190</v>
      </c>
      <c r="Y29" s="333" t="s">
        <v>191</v>
      </c>
      <c r="Z29" s="333" t="s">
        <v>192</v>
      </c>
      <c r="AA29" s="333" t="s">
        <v>193</v>
      </c>
      <c r="AB29" s="333" t="s">
        <v>194</v>
      </c>
      <c r="AC29" s="333" t="s">
        <v>195</v>
      </c>
      <c r="AD29" s="333" t="s">
        <v>196</v>
      </c>
      <c r="AE29" s="332" t="s">
        <v>197</v>
      </c>
      <c r="AF29" s="21"/>
      <c r="AG29" s="21"/>
      <c r="AL29" s="21"/>
    </row>
    <row r="30" spans="2:54" ht="18.75" customHeight="1" thickTop="1" x14ac:dyDescent="0.2">
      <c r="B30" s="193" t="s">
        <v>93</v>
      </c>
      <c r="C30" s="194">
        <f>IFERROR(INDEX(年齢階層×在院期間区分F3_65歳未満以上＿寛解・院内寛解[#All],MATCH($AL30,年齢階層×在院期間区分F3_65歳未満以上＿寛解・院内寛解[[#All],[列1]],0),MATCH($AM$3,年齢階層×在院期間区分F3_65歳未満以上＿寛解・院内寛解[#Headers],0)),0)+IFERROR(INDEX(年齢階層×在院期間区分F3_65歳未満以上＿寛解・院内寛解[#All],MATCH($AL30,年齢階層×在院期間区分F3_65歳未満以上＿寛解・院内寛解[[#All],[列1]],0),MATCH($AN$3,年齢階層×在院期間区分F3_65歳未満以上＿寛解・院内寛解[#Headers],0)),0)+IFERROR(INDEX(年齢階層×在院期間区分F3_65歳未満以上＿寛解・院内寛解[#All],MATCH($AL30,年齢階層×在院期間区分F3_65歳未満以上＿寛解・院内寛解[[#All],[列1]],0),MATCH($AO$3,年齢階層×在院期間区分F3_65歳未満以上＿寛解・院内寛解[#Headers],0)),0)+IFERROR(INDEX(年齢階層×在院期間区分F3_65歳未満以上＿寛解・院内寛解[#All],MATCH($AL30,年齢階層×在院期間区分F3_65歳未満以上＿寛解・院内寛解[[#All],[列1]],0),MATCH($AP$3,年齢階層×在院期間区分F3_65歳未満以上＿寛解・院内寛解[#Headers],0)),0)</f>
        <v>166</v>
      </c>
      <c r="D30" s="170">
        <f>IFERROR(C30/$C$29,"-")</f>
        <v>0.61710037174721188</v>
      </c>
      <c r="E30" s="194">
        <f>IFERROR(INDEX(年齢階層×在院期間区分F3_65歳未満以上＿寛解・院内寛解[#All],MATCH($AL30,年齢階層×在院期間区分F3_65歳未満以上＿寛解・院内寛解[[#All],[列1]],0),MATCH($AQ$3,年齢階層×在院期間区分F3_65歳未満以上＿寛解・院内寛解[#Headers],0)),0)+IFERROR(INDEX(年齢階層×在院期間区分F3_65歳未満以上＿寛解・院内寛解[#All],MATCH($AL30,年齢階層×在院期間区分F3_65歳未満以上＿寛解・院内寛解[[#All],[列1]],0),MATCH($AR$3,年齢階層×在院期間区分F3_65歳未満以上＿寛解・院内寛解[#Headers],0)),0)+IFERROR(INDEX(年齢階層×在院期間区分F3_65歳未満以上＿寛解・院内寛解[#All],MATCH($AL30,年齢階層×在院期間区分F3_65歳未満以上＿寛解・院内寛解[[#All],[列1]],0),MATCH($AS$3,年齢階層×在院期間区分F3_65歳未満以上＿寛解・院内寛解[#Headers],0)),0)+IFERROR(INDEX(年齢階層×在院期間区分F3_65歳未満以上＿寛解・院内寛解[#All],MATCH($AL30,年齢階層×在院期間区分F3_65歳未満以上＿寛解・院内寛解[[#All],[列1]],0),MATCH($AT$3,年齢階層×在院期間区分F3_65歳未満以上＿寛解・院内寛解[#Headers],0)),0)+IFERROR(INDEX(年齢階層×在院期間区分F3_65歳未満以上＿寛解・院内寛解[#All],MATCH($AL30,年齢階層×在院期間区分F3_65歳未満以上＿寛解・院内寛解[[#All],[列1]],0),MATCH($AU$3,年齢階層×在院期間区分F3_65歳未満以上＿寛解・院内寛解[#Headers],0)),0)</f>
        <v>17</v>
      </c>
      <c r="F30" s="170">
        <f>IFERROR(E30/$E$29,"-")</f>
        <v>0.28813559322033899</v>
      </c>
      <c r="G30" s="194">
        <f>IFERROR(INDEX(年齢階層×在院期間区分F3_65歳未満以上＿寛解・院内寛解[#All],MATCH($AL30,年齢階層×在院期間区分F3_65歳未満以上＿寛解・院内寛解[[#All],[列1]],0),MATCH($AV$3,年齢階層×在院期間区分F3_65歳未満以上＿寛解・院内寛解[#Headers],0)),0)+IFERROR(INDEX(年齢階層×在院期間区分F3_65歳未満以上＿寛解・院内寛解[#All],MATCH($AL30,年齢階層×在院期間区分F3_65歳未満以上＿寛解・院内寛解[[#All],[列1]],0),MATCH($AW$3,年齢階層×在院期間区分F3_65歳未満以上＿寛解・院内寛解[#Headers],0)),0)+IFERROR(INDEX(年齢階層×在院期間区分F3_65歳未満以上＿寛解・院内寛解[#All],MATCH($AL30,年齢階層×在院期間区分F3_65歳未満以上＿寛解・院内寛解[[#All],[列1]],0),MATCH($AX$3,年齢階層×在院期間区分F3_65歳未満以上＿寛解・院内寛解[#Headers],0)),0)+IFERROR(INDEX(年齢階層×在院期間区分F3_65歳未満以上＿寛解・院内寛解[#All],MATCH($AL30,年齢階層×在院期間区分F3_65歳未満以上＿寛解・院内寛解[[#All],[列1]],0),MATCH($AY$3,年齢階層×在院期間区分F3_65歳未満以上＿寛解・院内寛解[#Headers],0)),0)+IFERROR(INDEX(年齢階層×在院期間区分F3_65歳未満以上＿寛解・院内寛解[#All],MATCH($AL30,年齢階層×在院期間区分F3_65歳未満以上＿寛解・院内寛解[[#All],[列1]],0),MATCH($AZ$3,年齢階層×在院期間区分F3_65歳未満以上＿寛解・院内寛解[#Headers],0)),0)</f>
        <v>1</v>
      </c>
      <c r="H30" s="170">
        <f>IFERROR(G30/$G$29,"-")</f>
        <v>7.6923076923076927E-2</v>
      </c>
      <c r="I30" s="194">
        <f>IFERROR(INDEX(年齢階層×在院期間区分F3_65歳未満以上＿寛解・院内寛解[#All],MATCH($AL30,年齢階層×在院期間区分F3_65歳未満以上＿寛解・院内寛解[[#All],[列1]],0),MATCH($BA$3,年齢階層×在院期間区分F3_65歳未満以上＿寛解・院内寛解[#Headers],0)),0)+IFERROR(INDEX(年齢階層×在院期間区分F3_65歳未満以上＿寛解・院内寛解[#All],MATCH($AL30,年齢階層×在院期間区分F3_65歳未満以上＿寛解・院内寛解[[#All],[列1]],0),MATCH($BB$3,年齢階層×在院期間区分F3_65歳未満以上＿寛解・院内寛解[#Headers],0)),0)</f>
        <v>0</v>
      </c>
      <c r="J30" s="170">
        <f>IFERROR(I30/$I$29,"-")</f>
        <v>0</v>
      </c>
      <c r="K30" s="194">
        <f>C30+E30+G30+I30</f>
        <v>184</v>
      </c>
      <c r="L30" s="170">
        <f>IFERROR(K30/$K$29,"-")</f>
        <v>0.53025936599423629</v>
      </c>
      <c r="O30" s="53" t="s">
        <v>306</v>
      </c>
      <c r="P30" s="61">
        <v>81</v>
      </c>
      <c r="Q30" s="61">
        <v>56</v>
      </c>
      <c r="R30" s="61">
        <v>19</v>
      </c>
      <c r="S30" s="61">
        <v>10</v>
      </c>
      <c r="T30" s="61">
        <v>5</v>
      </c>
      <c r="U30" s="61">
        <v>1</v>
      </c>
      <c r="V30" s="61">
        <v>6</v>
      </c>
      <c r="W30" s="61">
        <v>2</v>
      </c>
      <c r="X30" s="61">
        <v>3</v>
      </c>
      <c r="Y30" s="61">
        <v>0</v>
      </c>
      <c r="Z30" s="61">
        <v>1</v>
      </c>
      <c r="AA30" s="61">
        <v>0</v>
      </c>
      <c r="AB30" s="61">
        <v>0</v>
      </c>
      <c r="AC30" s="61">
        <v>0</v>
      </c>
      <c r="AD30" s="61">
        <v>0</v>
      </c>
      <c r="AE30" s="61">
        <v>0</v>
      </c>
      <c r="AF30" s="21"/>
      <c r="AG30" s="21"/>
      <c r="AL30" s="67" t="s">
        <v>156</v>
      </c>
    </row>
    <row r="31" spans="2:54" ht="18.75" customHeight="1" x14ac:dyDescent="0.2">
      <c r="B31" s="195" t="s">
        <v>89</v>
      </c>
      <c r="C31" s="194">
        <f>IFERROR(INDEX(年齢階層×在院期間区分F3_65歳未満以上＿寛解・院内寛解[#All],MATCH($AL31,年齢階層×在院期間区分F3_65歳未満以上＿寛解・院内寛解[[#All],[列1]],0),MATCH($AM$3,年齢階層×在院期間区分F3_65歳未満以上＿寛解・院内寛解[#Headers],0)),0)+IFERROR(INDEX(年齢階層×在院期間区分F3_65歳未満以上＿寛解・院内寛解[#All],MATCH($AL31,年齢階層×在院期間区分F3_65歳未満以上＿寛解・院内寛解[[#All],[列1]],0),MATCH($AN$3,年齢階層×在院期間区分F3_65歳未満以上＿寛解・院内寛解[#Headers],0)),0)+IFERROR(INDEX(年齢階層×在院期間区分F3_65歳未満以上＿寛解・院内寛解[#All],MATCH($AL31,年齢階層×在院期間区分F3_65歳未満以上＿寛解・院内寛解[[#All],[列1]],0),MATCH($AO$3,年齢階層×在院期間区分F3_65歳未満以上＿寛解・院内寛解[#Headers],0)),0)+IFERROR(INDEX(年齢階層×在院期間区分F3_65歳未満以上＿寛解・院内寛解[#All],MATCH($AL31,年齢階層×在院期間区分F3_65歳未満以上＿寛解・院内寛解[[#All],[列1]],0),MATCH($AP$3,年齢階層×在院期間区分F3_65歳未満以上＿寛解・院内寛解[#Headers],0)),0)</f>
        <v>103</v>
      </c>
      <c r="D31" s="187">
        <f>IFERROR(C31/$C$29,"-")</f>
        <v>0.38289962825278812</v>
      </c>
      <c r="E31" s="194">
        <f>IFERROR(INDEX(年齢階層×在院期間区分F3_65歳未満以上＿寛解・院内寛解[#All],MATCH($AL31,年齢階層×在院期間区分F3_65歳未満以上＿寛解・院内寛解[[#All],[列1]],0),MATCH($AQ$3,年齢階層×在院期間区分F3_65歳未満以上＿寛解・院内寛解[#Headers],0)),0)+IFERROR(INDEX(年齢階層×在院期間区分F3_65歳未満以上＿寛解・院内寛解[#All],MATCH($AL31,年齢階層×在院期間区分F3_65歳未満以上＿寛解・院内寛解[[#All],[列1]],0),MATCH($AR$3,年齢階層×在院期間区分F3_65歳未満以上＿寛解・院内寛解[#Headers],0)),0)+IFERROR(INDEX(年齢階層×在院期間区分F3_65歳未満以上＿寛解・院内寛解[#All],MATCH($AL31,年齢階層×在院期間区分F3_65歳未満以上＿寛解・院内寛解[[#All],[列1]],0),MATCH($AS$3,年齢階層×在院期間区分F3_65歳未満以上＿寛解・院内寛解[#Headers],0)),0)+IFERROR(INDEX(年齢階層×在院期間区分F3_65歳未満以上＿寛解・院内寛解[#All],MATCH($AL31,年齢階層×在院期間区分F3_65歳未満以上＿寛解・院内寛解[[#All],[列1]],0),MATCH($AT$3,年齢階層×在院期間区分F3_65歳未満以上＿寛解・院内寛解[#Headers],0)),0)+IFERROR(INDEX(年齢階層×在院期間区分F3_65歳未満以上＿寛解・院内寛解[#All],MATCH($AL31,年齢階層×在院期間区分F3_65歳未満以上＿寛解・院内寛解[[#All],[列1]],0),MATCH($AU$3,年齢階層×在院期間区分F3_65歳未満以上＿寛解・院内寛解[#Headers],0)),0)</f>
        <v>42</v>
      </c>
      <c r="F31" s="187">
        <f>IFERROR(E31/$E$29,"-")</f>
        <v>0.71186440677966101</v>
      </c>
      <c r="G31" s="194">
        <f>IFERROR(INDEX(年齢階層×在院期間区分F3_65歳未満以上＿寛解・院内寛解[#All],MATCH($AL31,年齢階層×在院期間区分F3_65歳未満以上＿寛解・院内寛解[[#All],[列1]],0),MATCH($AV$3,年齢階層×在院期間区分F3_65歳未満以上＿寛解・院内寛解[#Headers],0)),0)+IFERROR(INDEX(年齢階層×在院期間区分F3_65歳未満以上＿寛解・院内寛解[#All],MATCH($AL31,年齢階層×在院期間区分F3_65歳未満以上＿寛解・院内寛解[[#All],[列1]],0),MATCH($AW$3,年齢階層×在院期間区分F3_65歳未満以上＿寛解・院内寛解[#Headers],0)),0)+IFERROR(INDEX(年齢階層×在院期間区分F3_65歳未満以上＿寛解・院内寛解[#All],MATCH($AL31,年齢階層×在院期間区分F3_65歳未満以上＿寛解・院内寛解[[#All],[列1]],0),MATCH($AX$3,年齢階層×在院期間区分F3_65歳未満以上＿寛解・院内寛解[#Headers],0)),0)+IFERROR(INDEX(年齢階層×在院期間区分F3_65歳未満以上＿寛解・院内寛解[#All],MATCH($AL31,年齢階層×在院期間区分F3_65歳未満以上＿寛解・院内寛解[[#All],[列1]],0),MATCH($AY$3,年齢階層×在院期間区分F3_65歳未満以上＿寛解・院内寛解[#Headers],0)),0)+IFERROR(INDEX(年齢階層×在院期間区分F3_65歳未満以上＿寛解・院内寛解[#All],MATCH($AL31,年齢階層×在院期間区分F3_65歳未満以上＿寛解・院内寛解[[#All],[列1]],0),MATCH($AZ$3,年齢階層×在院期間区分F3_65歳未満以上＿寛解・院内寛解[#Headers],0)),0)</f>
        <v>12</v>
      </c>
      <c r="H31" s="187">
        <f>IFERROR(G31/$G$29,"-")</f>
        <v>0.92307692307692313</v>
      </c>
      <c r="I31" s="194">
        <f>IFERROR(INDEX(年齢階層×在院期間区分F3_65歳未満以上＿寛解・院内寛解[#All],MATCH($AL31,年齢階層×在院期間区分F3_65歳未満以上＿寛解・院内寛解[[#All],[列1]],0),MATCH($BA$3,年齢階層×在院期間区分F3_65歳未満以上＿寛解・院内寛解[#Headers],0)),0)+IFERROR(INDEX(年齢階層×在院期間区分F3_65歳未満以上＿寛解・院内寛解[#All],MATCH($AL31,年齢階層×在院期間区分F3_65歳未満以上＿寛解・院内寛解[[#All],[列1]],0),MATCH($BB$3,年齢階層×在院期間区分F3_65歳未満以上＿寛解・院内寛解[#Headers],0)),0)</f>
        <v>6</v>
      </c>
      <c r="J31" s="187">
        <f>IFERROR(I31/$I$29,"-")</f>
        <v>1</v>
      </c>
      <c r="K31" s="194">
        <f>C31+E31+G31+I31</f>
        <v>163</v>
      </c>
      <c r="L31" s="187">
        <f>IFERROR(K31/$K$29,"-")</f>
        <v>0.46974063400576371</v>
      </c>
      <c r="O31" s="67" t="s">
        <v>307</v>
      </c>
      <c r="P31" s="61">
        <v>25</v>
      </c>
      <c r="Q31" s="61">
        <v>49</v>
      </c>
      <c r="R31" s="61">
        <v>14</v>
      </c>
      <c r="S31" s="61">
        <v>15</v>
      </c>
      <c r="T31" s="61">
        <v>12</v>
      </c>
      <c r="U31" s="61">
        <v>8</v>
      </c>
      <c r="V31" s="61">
        <v>13</v>
      </c>
      <c r="W31" s="61">
        <v>5</v>
      </c>
      <c r="X31" s="61">
        <v>4</v>
      </c>
      <c r="Y31" s="61">
        <v>1</v>
      </c>
      <c r="Z31" s="61">
        <v>2</v>
      </c>
      <c r="AA31" s="61">
        <v>3</v>
      </c>
      <c r="AB31" s="61">
        <v>4</v>
      </c>
      <c r="AC31" s="61">
        <v>2</v>
      </c>
      <c r="AD31" s="61">
        <v>5</v>
      </c>
      <c r="AE31" s="61">
        <v>1</v>
      </c>
      <c r="AL31" s="67" t="s">
        <v>88</v>
      </c>
    </row>
    <row r="32" spans="2:54" x14ac:dyDescent="0.2">
      <c r="F32" s="62"/>
      <c r="H32" s="62"/>
      <c r="J32" s="62"/>
      <c r="K32" s="44"/>
    </row>
    <row r="34" spans="2:19" x14ac:dyDescent="0.2">
      <c r="C34" s="52"/>
      <c r="D34" s="60"/>
      <c r="E34" s="60"/>
      <c r="F34" s="60"/>
      <c r="G34" s="60"/>
      <c r="H34" s="60"/>
      <c r="I34" s="60"/>
      <c r="J34" s="60"/>
      <c r="K34" s="60"/>
      <c r="L34" s="60"/>
      <c r="M34" s="60"/>
      <c r="N34" s="60"/>
      <c r="O34" s="60"/>
      <c r="P34" s="60"/>
      <c r="Q34" s="60"/>
      <c r="R34" s="52"/>
    </row>
    <row r="35" spans="2:19" x14ac:dyDescent="0.2">
      <c r="B35" s="37"/>
      <c r="C35" s="22"/>
      <c r="D35" s="22"/>
      <c r="E35" s="22"/>
      <c r="F35" s="22"/>
      <c r="G35" s="22"/>
      <c r="H35" s="22"/>
      <c r="I35" s="22"/>
      <c r="J35" s="22"/>
      <c r="K35" s="22"/>
      <c r="L35" s="22"/>
      <c r="M35" s="22"/>
      <c r="N35" s="22"/>
      <c r="O35" s="22"/>
      <c r="P35" s="22"/>
      <c r="Q35" s="22"/>
      <c r="R35" s="22"/>
      <c r="S35" s="22"/>
    </row>
    <row r="36" spans="2:19" x14ac:dyDescent="0.2">
      <c r="B36" s="37"/>
      <c r="C36" s="22"/>
      <c r="D36" s="22"/>
      <c r="E36" s="22"/>
      <c r="F36" s="22"/>
      <c r="G36" s="22"/>
      <c r="H36" s="22"/>
      <c r="I36" s="22"/>
      <c r="J36" s="22"/>
      <c r="K36" s="22"/>
      <c r="L36" s="22"/>
      <c r="M36" s="22"/>
      <c r="N36" s="22"/>
      <c r="O36" s="22"/>
      <c r="P36" s="22"/>
      <c r="Q36" s="22"/>
      <c r="R36" s="22"/>
      <c r="S36" s="22"/>
    </row>
    <row r="37" spans="2:19" x14ac:dyDescent="0.2">
      <c r="B37" s="64"/>
      <c r="C37" s="65"/>
      <c r="D37" s="65"/>
      <c r="E37" s="65"/>
      <c r="F37" s="65"/>
      <c r="G37" s="65"/>
      <c r="H37" s="65"/>
      <c r="I37" s="65"/>
      <c r="J37" s="65"/>
      <c r="K37" s="65"/>
      <c r="L37" s="65"/>
      <c r="M37" s="65"/>
      <c r="N37" s="65"/>
      <c r="O37" s="65"/>
      <c r="P37" s="65"/>
      <c r="Q37" s="65"/>
      <c r="R37" s="65"/>
      <c r="S37" s="65"/>
    </row>
    <row r="38" spans="2:19" ht="35.25" customHeight="1" x14ac:dyDescent="0.2"/>
    <row r="39" spans="2:19" x14ac:dyDescent="0.2">
      <c r="B39" s="37"/>
      <c r="C39" s="22"/>
      <c r="D39" s="22"/>
      <c r="E39" s="22"/>
      <c r="F39" s="22"/>
      <c r="G39" s="22"/>
      <c r="H39" s="22"/>
      <c r="I39" s="22"/>
      <c r="J39" s="22"/>
      <c r="K39" s="22"/>
      <c r="L39" s="22"/>
      <c r="M39" s="22"/>
      <c r="N39" s="22"/>
      <c r="O39" s="22"/>
      <c r="P39" s="22"/>
      <c r="Q39" s="22"/>
      <c r="R39" s="22"/>
      <c r="S39" s="22"/>
    </row>
    <row r="40" spans="2:19" x14ac:dyDescent="0.2">
      <c r="B40" s="37"/>
      <c r="C40" s="22"/>
      <c r="D40" s="22"/>
      <c r="E40" s="22"/>
      <c r="F40" s="22"/>
      <c r="G40" s="22"/>
      <c r="H40" s="22"/>
      <c r="I40" s="22"/>
      <c r="J40" s="22"/>
      <c r="K40" s="22"/>
      <c r="L40" s="22"/>
      <c r="M40" s="22"/>
      <c r="N40" s="22"/>
      <c r="O40" s="22"/>
      <c r="P40" s="22"/>
      <c r="Q40" s="22"/>
      <c r="R40" s="22"/>
      <c r="S40" s="22"/>
    </row>
    <row r="41" spans="2:19" x14ac:dyDescent="0.2">
      <c r="B41" s="37"/>
      <c r="C41" s="22"/>
      <c r="D41" s="22"/>
      <c r="E41" s="22"/>
      <c r="F41" s="22"/>
      <c r="G41" s="22"/>
      <c r="H41" s="22"/>
      <c r="I41" s="22"/>
      <c r="J41" s="22"/>
      <c r="K41" s="22"/>
      <c r="L41" s="22"/>
      <c r="M41" s="22"/>
      <c r="N41" s="22"/>
      <c r="O41" s="22"/>
      <c r="P41" s="22"/>
      <c r="Q41" s="22"/>
      <c r="R41" s="22"/>
      <c r="S41" s="22"/>
    </row>
  </sheetData>
  <mergeCells count="14">
    <mergeCell ref="B18:B19"/>
    <mergeCell ref="C18:L18"/>
    <mergeCell ref="C19:D19"/>
    <mergeCell ref="E19:F19"/>
    <mergeCell ref="G19:H19"/>
    <mergeCell ref="I19:J19"/>
    <mergeCell ref="K19:L19"/>
    <mergeCell ref="B2:B3"/>
    <mergeCell ref="C2:L2"/>
    <mergeCell ref="C3:D3"/>
    <mergeCell ref="E3:F3"/>
    <mergeCell ref="G3:H3"/>
    <mergeCell ref="I3:J3"/>
    <mergeCell ref="K3:L3"/>
  </mergeCells>
  <phoneticPr fontId="2"/>
  <printOptions horizontalCentered="1"/>
  <pageMargins left="0.70866141732283472" right="0.70866141732283472" top="0.74803149606299213" bottom="0.74803149606299213" header="0.31496062992125984" footer="0.31496062992125984"/>
  <pageSetup paperSize="9" scale="90" orientation="landscape" r:id="rId1"/>
  <drawing r:id="rId2"/>
  <mc:AlternateContent xmlns:mc="http://schemas.openxmlformats.org/markup-compatibility/2006">
    <mc:Choice Requires="v">
      <legacyDrawing r:id="rId3"/>
    </mc:Choice>
  </mc:AlternateContent>
  <controls>
    <control shapeId="40961" r:id="rId4" name="Button 1">
      <controlPr defaultSize="0" print="0" autoFill="0" autoPict="0" macro="[0]!データ削除24">
        <anchor moveWithCells="1" sizeWithCells="1">
          <from>
            <xdr:col>31</xdr:col>
            <xdr:colOff>365760</xdr:colOff>
            <xdr:row>2</xdr:row>
            <xdr:rowOff>182880</xdr:rowOff>
          </from>
          <to>
            <xdr:col>34</xdr:col>
            <xdr:colOff>502920</xdr:colOff>
            <xdr:row>5</xdr:row>
            <xdr:rowOff>38100</xdr:rowOff>
          </to>
        </anchor>
      </controlPr>
    </control>
  </controls>
  <tableParts count="4">
    <tablePart r:id="rId5"/>
    <tablePart r:id="rId6"/>
    <tablePart r:id="rId7"/>
    <tablePart r:id="rId8"/>
  </tableParts>
</worksheet>
</file>

<file path=xl/worksheets/sheet2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2">
    <tabColor theme="9" tint="-0.499984740745262"/>
    <pageSetUpPr fitToPage="1"/>
  </sheetPr>
  <dimension ref="A1:BB31"/>
  <sheetViews>
    <sheetView showGridLines="0" view="pageBreakPreview" zoomScale="80" zoomScaleNormal="80" zoomScaleSheetLayoutView="80" workbookViewId="0"/>
  </sheetViews>
  <sheetFormatPr defaultColWidth="13.77734375" defaultRowHeight="17.399999999999999" x14ac:dyDescent="0.2"/>
  <cols>
    <col min="1" max="1" width="15.6640625" style="396" customWidth="1"/>
    <col min="2" max="10" width="8.77734375" style="396" customWidth="1"/>
    <col min="11" max="11" width="8" style="396" hidden="1" customWidth="1"/>
    <col min="12" max="12" width="8.109375" style="396" hidden="1" customWidth="1"/>
    <col min="13" max="13" width="9.77734375" style="396" hidden="1" customWidth="1"/>
    <col min="14" max="15" width="11.21875" style="396" hidden="1" customWidth="1"/>
    <col min="16" max="16" width="8.109375" style="396" hidden="1" customWidth="1"/>
    <col min="17" max="17" width="11.21875" style="396" hidden="1" customWidth="1"/>
    <col min="18" max="18" width="12.88671875" style="396" hidden="1" customWidth="1"/>
    <col min="19" max="19" width="14.33203125" style="396" hidden="1" customWidth="1"/>
    <col min="20" max="21" width="11.21875" style="396" hidden="1" customWidth="1"/>
    <col min="22" max="22" width="14.33203125" style="396" hidden="1" customWidth="1"/>
    <col min="23" max="23" width="12.88671875" style="396" hidden="1" customWidth="1"/>
    <col min="24" max="26" width="11.21875" style="396" hidden="1" customWidth="1"/>
    <col min="27" max="30" width="9.77734375" style="396" hidden="1" customWidth="1"/>
    <col min="31" max="31" width="8.109375" style="396" hidden="1" customWidth="1"/>
    <col min="32" max="32" width="4.77734375" style="396" hidden="1" customWidth="1"/>
    <col min="33" max="33" width="6.21875" style="396" hidden="1" customWidth="1"/>
    <col min="34" max="35" width="13.77734375" style="396" hidden="1" customWidth="1"/>
    <col min="36" max="37" width="6.77734375" style="396" hidden="1" customWidth="1"/>
    <col min="38" max="54" width="6.77734375" style="396" customWidth="1"/>
    <col min="55" max="16384" width="13.77734375" style="396"/>
  </cols>
  <sheetData>
    <row r="1" spans="1:54" s="3" customFormat="1" ht="19.2" x14ac:dyDescent="0.2">
      <c r="A1" s="2" t="s">
        <v>385</v>
      </c>
    </row>
    <row r="2" spans="1:54" ht="18" thickBot="1" x14ac:dyDescent="0.25">
      <c r="A2" s="4"/>
    </row>
    <row r="3" spans="1:54" ht="18.75" customHeight="1" thickTop="1" x14ac:dyDescent="0.2">
      <c r="A3" s="403"/>
      <c r="B3" s="403" t="s">
        <v>386</v>
      </c>
      <c r="C3" s="403" t="s">
        <v>387</v>
      </c>
      <c r="D3" s="403" t="s">
        <v>388</v>
      </c>
      <c r="E3" s="403" t="s">
        <v>389</v>
      </c>
      <c r="F3" s="403" t="s">
        <v>390</v>
      </c>
      <c r="G3" s="403" t="s">
        <v>391</v>
      </c>
      <c r="H3" s="403" t="s">
        <v>392</v>
      </c>
      <c r="I3" s="403" t="s">
        <v>393</v>
      </c>
      <c r="J3" s="403" t="s">
        <v>62</v>
      </c>
      <c r="L3" s="414" t="s">
        <v>372</v>
      </c>
      <c r="M3" s="470" t="s">
        <v>394</v>
      </c>
      <c r="N3" s="471" t="s">
        <v>395</v>
      </c>
      <c r="O3" s="472" t="s">
        <v>396</v>
      </c>
      <c r="P3" s="472" t="s">
        <v>397</v>
      </c>
      <c r="Q3" s="472" t="s">
        <v>398</v>
      </c>
      <c r="R3" s="472" t="s">
        <v>399</v>
      </c>
      <c r="S3" s="472" t="s">
        <v>400</v>
      </c>
      <c r="T3" s="472" t="s">
        <v>401</v>
      </c>
      <c r="U3" s="472" t="s">
        <v>402</v>
      </c>
      <c r="V3" s="472" t="s">
        <v>403</v>
      </c>
      <c r="W3" s="472" t="s">
        <v>564</v>
      </c>
      <c r="X3" s="472" t="s">
        <v>565</v>
      </c>
      <c r="Y3" s="472" t="s">
        <v>566</v>
      </c>
      <c r="Z3" s="472" t="s">
        <v>567</v>
      </c>
      <c r="AA3" s="472" t="s">
        <v>568</v>
      </c>
      <c r="AB3" s="472" t="s">
        <v>569</v>
      </c>
      <c r="AC3" s="472" t="s">
        <v>570</v>
      </c>
      <c r="AD3" s="472" t="s">
        <v>571</v>
      </c>
      <c r="AE3" s="525" t="s">
        <v>572</v>
      </c>
      <c r="AF3" s="396" t="s">
        <v>384</v>
      </c>
      <c r="AJ3" s="450" t="s">
        <v>394</v>
      </c>
      <c r="AK3" s="450"/>
      <c r="AL3" s="450"/>
      <c r="AM3" s="450"/>
      <c r="AN3" s="450"/>
      <c r="AO3" s="450"/>
      <c r="AP3" s="450"/>
      <c r="AQ3" s="450"/>
      <c r="AR3" s="450"/>
      <c r="AS3" s="450"/>
      <c r="AT3" s="450"/>
      <c r="AU3" s="450"/>
      <c r="AV3" s="450"/>
      <c r="AW3" s="450"/>
      <c r="AX3" s="450"/>
      <c r="AY3" s="450"/>
      <c r="AZ3" s="450"/>
      <c r="BA3" s="450"/>
      <c r="BB3" s="450"/>
    </row>
    <row r="4" spans="1:54" ht="18.75" customHeight="1" x14ac:dyDescent="0.2">
      <c r="A4" s="1005" t="s">
        <v>2</v>
      </c>
      <c r="B4" s="835">
        <f>HLOOKUP($AJ$3,'6-Ⅰ①'!$M$3:$AE$16,2,FALSE)+HLOOKUP($AJ$4,'6-Ⅰ①'!$M$3:$AE$16,2,FALSE)+HLOOKUP($AJ$5,'6-Ⅰ①'!$M$3:$AE$16,2,FALSE)</f>
        <v>6</v>
      </c>
      <c r="C4" s="835">
        <f>HLOOKUP($AJ$6,'6-Ⅰ①'!$M$3:$AE$16,2,FALSE)+HLOOKUP($AJ$7,'6-Ⅰ①'!$M$3:$AE$16,2,FALSE)</f>
        <v>7</v>
      </c>
      <c r="D4" s="835">
        <f>HLOOKUP($AJ$8,'6-Ⅰ①'!$M$3:$AE$16,2,FALSE)+HLOOKUP($AJ$9,'6-Ⅰ①'!$M$3:$AE$16,2,FALSE)+HLOOKUP($AJ$10,'6-Ⅰ①'!$M$3:$AE$16,2,FALSE)+HLOOKUP($AJ$11,'6-Ⅰ①'!$M$3:$AE$16,2,FALSE)</f>
        <v>44</v>
      </c>
      <c r="E4" s="835">
        <f>HLOOKUP($AJ$12,'6-Ⅰ①'!$M$3:$AE$16,2,FALSE)+HLOOKUP($AJ$13,'6-Ⅰ①'!$M$3:$AE$16,2,FALSE)+HLOOKUP($AJ$14,'6-Ⅰ①'!$M$3:$AE$16,2,FALSE)</f>
        <v>5</v>
      </c>
      <c r="F4" s="835">
        <f>HLOOKUP($AJ$15,'6-Ⅰ①'!$M$3:$AE$16,2,FALSE)+HLOOKUP($AJ$16,'6-Ⅰ①'!$M$3:$AE$16,2,FALSE)</f>
        <v>6</v>
      </c>
      <c r="G4" s="835">
        <f>HLOOKUP($AJ$17,'6-Ⅰ①'!$M$3:$AE$16,2,FALSE)+HLOOKUP($AJ$18,'6-Ⅰ①'!$M$3:$AE$16,2,FALSE)+HLOOKUP($AJ$19,'6-Ⅰ①'!$M$3:$AE$16,2,FALSE)</f>
        <v>9</v>
      </c>
      <c r="H4" s="835">
        <f>HLOOKUP($AJ$20,'6-Ⅰ①'!$M$3:$AE$16,2,FALSE)</f>
        <v>29</v>
      </c>
      <c r="I4" s="835">
        <f>HLOOKUP($AJ$21,'6-Ⅰ①'!$M$3:$AE$16,2,FALSE)</f>
        <v>60</v>
      </c>
      <c r="J4" s="837">
        <f>SUM(B4:I4)</f>
        <v>166</v>
      </c>
      <c r="L4" s="452" t="s">
        <v>2</v>
      </c>
      <c r="M4" s="475">
        <v>0</v>
      </c>
      <c r="N4" s="475">
        <v>6</v>
      </c>
      <c r="O4" s="475">
        <v>0</v>
      </c>
      <c r="P4" s="475">
        <v>0</v>
      </c>
      <c r="Q4" s="475">
        <v>7</v>
      </c>
      <c r="R4" s="475">
        <v>42</v>
      </c>
      <c r="S4" s="475">
        <v>0</v>
      </c>
      <c r="T4" s="475">
        <v>2</v>
      </c>
      <c r="U4" s="475">
        <v>0</v>
      </c>
      <c r="V4" s="475">
        <v>1</v>
      </c>
      <c r="W4" s="475">
        <v>1</v>
      </c>
      <c r="X4" s="475">
        <v>3</v>
      </c>
      <c r="Y4" s="475">
        <v>2</v>
      </c>
      <c r="Z4" s="475">
        <v>4</v>
      </c>
      <c r="AA4" s="475">
        <v>2</v>
      </c>
      <c r="AB4" s="475">
        <v>2</v>
      </c>
      <c r="AC4" s="475">
        <v>5</v>
      </c>
      <c r="AD4" s="475">
        <v>29</v>
      </c>
      <c r="AE4" s="526">
        <v>60</v>
      </c>
      <c r="AJ4" s="450" t="s">
        <v>395</v>
      </c>
      <c r="AL4" s="450"/>
    </row>
    <row r="5" spans="1:54" ht="18.75" customHeight="1" x14ac:dyDescent="0.2">
      <c r="A5" s="1007"/>
      <c r="B5" s="836">
        <f t="shared" ref="B5:J5" si="0">B4/B$24</f>
        <v>3.678724708767627E-3</v>
      </c>
      <c r="C5" s="836">
        <f t="shared" si="0"/>
        <v>3.7776578521316784E-3</v>
      </c>
      <c r="D5" s="836">
        <f t="shared" si="0"/>
        <v>3.4108527131782945E-2</v>
      </c>
      <c r="E5" s="836">
        <f t="shared" si="0"/>
        <v>4.0064102564102561E-3</v>
      </c>
      <c r="F5" s="836">
        <f t="shared" si="0"/>
        <v>4.8939641109298528E-3</v>
      </c>
      <c r="G5" s="836">
        <f t="shared" si="0"/>
        <v>1.8796992481203006E-3</v>
      </c>
      <c r="H5" s="836">
        <f t="shared" si="0"/>
        <v>0.17575757575757575</v>
      </c>
      <c r="I5" s="836">
        <f t="shared" si="0"/>
        <v>3.0627871362940276E-2</v>
      </c>
      <c r="J5" s="836">
        <f t="shared" si="0"/>
        <v>1.172316384180791E-2</v>
      </c>
      <c r="L5" s="452" t="s">
        <v>3</v>
      </c>
      <c r="M5" s="480">
        <v>2</v>
      </c>
      <c r="N5" s="480">
        <v>39</v>
      </c>
      <c r="O5" s="480">
        <v>1</v>
      </c>
      <c r="P5" s="480">
        <v>9</v>
      </c>
      <c r="Q5" s="480">
        <v>22</v>
      </c>
      <c r="R5" s="480">
        <v>28</v>
      </c>
      <c r="S5" s="480">
        <v>9</v>
      </c>
      <c r="T5" s="480">
        <v>3</v>
      </c>
      <c r="U5" s="480">
        <v>1</v>
      </c>
      <c r="V5" s="480">
        <v>24</v>
      </c>
      <c r="W5" s="480">
        <v>12</v>
      </c>
      <c r="X5" s="480">
        <v>5</v>
      </c>
      <c r="Y5" s="480">
        <v>8</v>
      </c>
      <c r="Z5" s="480">
        <v>25</v>
      </c>
      <c r="AA5" s="480">
        <v>10</v>
      </c>
      <c r="AB5" s="480">
        <v>34</v>
      </c>
      <c r="AC5" s="480">
        <v>22</v>
      </c>
      <c r="AD5" s="480">
        <v>12</v>
      </c>
      <c r="AE5" s="451">
        <v>76</v>
      </c>
      <c r="AJ5" s="450" t="s">
        <v>396</v>
      </c>
      <c r="AL5" s="450"/>
    </row>
    <row r="6" spans="1:54" ht="18.75" customHeight="1" x14ac:dyDescent="0.2">
      <c r="A6" s="1005" t="s">
        <v>3</v>
      </c>
      <c r="B6" s="835">
        <f>HLOOKUP($AJ$3,'6-Ⅰ①'!$M$3:$AE$16,3,FALSE)+HLOOKUP($AJ$4,'6-Ⅰ①'!$M$3:$AE$16,3,FALSE)+HLOOKUP($AJ$5,'6-Ⅰ①'!$M$3:$AE$16,3,FALSE)</f>
        <v>42</v>
      </c>
      <c r="C6" s="835">
        <f>HLOOKUP($AJ$6,'6-Ⅰ①'!$M$3:$AE$16,3,FALSE)+HLOOKUP($AJ$7,'6-Ⅰ①'!$M$3:$AE$16,3,FALSE)</f>
        <v>31</v>
      </c>
      <c r="D6" s="835">
        <f>HLOOKUP($AJ$8,'6-Ⅰ①'!$M$3:$AE$16,3,FALSE)+HLOOKUP($AJ$9,'6-Ⅰ①'!$M$3:$AE$16,3,FALSE)+HLOOKUP($AJ$10,'6-Ⅰ①'!$M$3:$AE$16,3,FALSE)+HLOOKUP($AJ$11,'6-Ⅰ①'!$M$3:$AE$16,3,FALSE)</f>
        <v>41</v>
      </c>
      <c r="E6" s="835">
        <f>HLOOKUP($AJ$12,'6-Ⅰ①'!$M$3:$AE$16,3,FALSE)+HLOOKUP($AJ$13,'6-Ⅰ①'!$M$3:$AE$16,3,FALSE)+HLOOKUP($AJ$14,'6-Ⅰ①'!$M$3:$AE$16,3,FALSE)</f>
        <v>41</v>
      </c>
      <c r="F6" s="835">
        <f>HLOOKUP($AJ$15,'6-Ⅰ①'!$M$3:$AE$16,3,FALSE)+HLOOKUP($AJ$16,'6-Ⅰ①'!$M$3:$AE$16,3,FALSE)</f>
        <v>33</v>
      </c>
      <c r="G6" s="835">
        <f>HLOOKUP($AJ$17,'6-Ⅰ①'!$M$3:$AE$16,3,FALSE)+HLOOKUP($AJ$18,'6-Ⅰ①'!$M$3:$AE$16,3,FALSE)+HLOOKUP($AJ$19,'6-Ⅰ①'!$M$3:$AE$16,3,FALSE)</f>
        <v>66</v>
      </c>
      <c r="H6" s="835">
        <f>HLOOKUP($AJ$20,'6-Ⅰ①'!$M$3:$AE$16,3,FALSE)</f>
        <v>12</v>
      </c>
      <c r="I6" s="835">
        <f>HLOOKUP($AJ$21,'6-Ⅰ①'!$M$3:$AE$16,3,FALSE)</f>
        <v>76</v>
      </c>
      <c r="J6" s="837">
        <f>SUM(B6:I6)</f>
        <v>342</v>
      </c>
      <c r="L6" s="452" t="s">
        <v>4</v>
      </c>
      <c r="M6" s="475">
        <v>5</v>
      </c>
      <c r="N6" s="475">
        <v>51</v>
      </c>
      <c r="O6" s="475">
        <v>6</v>
      </c>
      <c r="P6" s="475">
        <v>28</v>
      </c>
      <c r="Q6" s="475">
        <v>32</v>
      </c>
      <c r="R6" s="475">
        <v>36</v>
      </c>
      <c r="S6" s="475">
        <v>12</v>
      </c>
      <c r="T6" s="475">
        <v>9</v>
      </c>
      <c r="U6" s="475">
        <v>2</v>
      </c>
      <c r="V6" s="475">
        <v>26</v>
      </c>
      <c r="W6" s="475">
        <v>17</v>
      </c>
      <c r="X6" s="475">
        <v>8</v>
      </c>
      <c r="Y6" s="475">
        <v>9</v>
      </c>
      <c r="Z6" s="475">
        <v>33</v>
      </c>
      <c r="AA6" s="475">
        <v>26</v>
      </c>
      <c r="AB6" s="475">
        <v>68</v>
      </c>
      <c r="AC6" s="475">
        <v>36</v>
      </c>
      <c r="AD6" s="475">
        <v>23</v>
      </c>
      <c r="AE6" s="526">
        <v>85</v>
      </c>
      <c r="AJ6" s="450" t="s">
        <v>397</v>
      </c>
      <c r="AL6" s="450"/>
    </row>
    <row r="7" spans="1:54" ht="18.75" customHeight="1" x14ac:dyDescent="0.2">
      <c r="A7" s="1006"/>
      <c r="B7" s="836">
        <f t="shared" ref="B7:J7" si="1">B6/B$24</f>
        <v>2.575107296137339E-2</v>
      </c>
      <c r="C7" s="836">
        <f t="shared" si="1"/>
        <v>1.6729627630868861E-2</v>
      </c>
      <c r="D7" s="836">
        <f t="shared" si="1"/>
        <v>3.1782945736434108E-2</v>
      </c>
      <c r="E7" s="836">
        <f t="shared" si="1"/>
        <v>3.2852564102564104E-2</v>
      </c>
      <c r="F7" s="836">
        <f t="shared" si="1"/>
        <v>2.6916802610114192E-2</v>
      </c>
      <c r="G7" s="836">
        <f t="shared" si="1"/>
        <v>1.3784461152882205E-2</v>
      </c>
      <c r="H7" s="836">
        <f t="shared" si="1"/>
        <v>7.2727272727272724E-2</v>
      </c>
      <c r="I7" s="836">
        <f t="shared" si="1"/>
        <v>3.8795303726391013E-2</v>
      </c>
      <c r="J7" s="836">
        <f t="shared" si="1"/>
        <v>2.4152542372881357E-2</v>
      </c>
      <c r="L7" s="452" t="s">
        <v>5</v>
      </c>
      <c r="M7" s="480">
        <v>14</v>
      </c>
      <c r="N7" s="480">
        <v>81</v>
      </c>
      <c r="O7" s="480">
        <v>23</v>
      </c>
      <c r="P7" s="480">
        <v>69</v>
      </c>
      <c r="Q7" s="480">
        <v>52</v>
      </c>
      <c r="R7" s="480">
        <v>79</v>
      </c>
      <c r="S7" s="480">
        <v>27</v>
      </c>
      <c r="T7" s="480">
        <v>10</v>
      </c>
      <c r="U7" s="480">
        <v>8</v>
      </c>
      <c r="V7" s="480">
        <v>61</v>
      </c>
      <c r="W7" s="480">
        <v>22</v>
      </c>
      <c r="X7" s="480">
        <v>29</v>
      </c>
      <c r="Y7" s="480">
        <v>21</v>
      </c>
      <c r="Z7" s="480">
        <v>72</v>
      </c>
      <c r="AA7" s="480">
        <v>73</v>
      </c>
      <c r="AB7" s="480">
        <v>140</v>
      </c>
      <c r="AC7" s="480">
        <v>82</v>
      </c>
      <c r="AD7" s="480">
        <v>19</v>
      </c>
      <c r="AE7" s="451">
        <v>170</v>
      </c>
      <c r="AJ7" s="450" t="s">
        <v>398</v>
      </c>
      <c r="AL7" s="450"/>
    </row>
    <row r="8" spans="1:54" ht="18.75" customHeight="1" x14ac:dyDescent="0.2">
      <c r="A8" s="1005" t="s">
        <v>4</v>
      </c>
      <c r="B8" s="835">
        <f>HLOOKUP($AJ$3,'6-Ⅰ①'!$M$3:$AE$16,4,FALSE)+HLOOKUP($AJ$4,'6-Ⅰ①'!$M$3:$AE$16,4,FALSE)+HLOOKUP($AJ$5,'6-Ⅰ①'!$M$3:$AE$16,4,FALSE)</f>
        <v>62</v>
      </c>
      <c r="C8" s="835">
        <f>HLOOKUP($AJ$6,'6-Ⅰ①'!$M$3:$AE$16,4,FALSE)+HLOOKUP($AJ$7,'6-Ⅰ①'!$M$3:$AE$16,4,FALSE)</f>
        <v>60</v>
      </c>
      <c r="D8" s="835">
        <f>HLOOKUP($AJ$8,'6-Ⅰ①'!$M$3:$AE$16,4,FALSE)+HLOOKUP($AJ$9,'6-Ⅰ①'!$M$3:$AE$16,4,FALSE)+HLOOKUP($AJ$10,'6-Ⅰ①'!$M$3:$AE$16,4,FALSE)+HLOOKUP($AJ$11,'6-Ⅰ①'!$M$3:$AE$16,4,FALSE)</f>
        <v>59</v>
      </c>
      <c r="E8" s="835">
        <f>HLOOKUP($AJ$12,'6-Ⅰ①'!$M$3:$AE$16,4,FALSE)+HLOOKUP($AJ$13,'6-Ⅰ①'!$M$3:$AE$16,4,FALSE)+HLOOKUP($AJ$14,'6-Ⅰ①'!$M$3:$AE$16,4,FALSE)</f>
        <v>51</v>
      </c>
      <c r="F8" s="835">
        <f>HLOOKUP($AJ$15,'6-Ⅰ①'!$M$3:$AE$16,4,FALSE)+HLOOKUP($AJ$16,'6-Ⅰ①'!$M$3:$AE$16,4,FALSE)</f>
        <v>42</v>
      </c>
      <c r="G8" s="835">
        <f>HLOOKUP($AJ$17,'6-Ⅰ①'!$M$3:$AE$16,4,FALSE)+HLOOKUP($AJ$18,'6-Ⅰ①'!$M$3:$AE$16,4,FALSE)+HLOOKUP($AJ$19,'6-Ⅰ①'!$M$3:$AE$16,4,FALSE)</f>
        <v>130</v>
      </c>
      <c r="H8" s="835">
        <f>HLOOKUP($AJ$20,'6-Ⅰ①'!$M$3:$AE$16,4,FALSE)</f>
        <v>23</v>
      </c>
      <c r="I8" s="835">
        <f>HLOOKUP($AJ$21,'6-Ⅰ①'!$M$3:$AE$16,4,FALSE)</f>
        <v>85</v>
      </c>
      <c r="J8" s="837">
        <f>SUM(B8:I8)</f>
        <v>512</v>
      </c>
      <c r="L8" s="452" t="s">
        <v>6</v>
      </c>
      <c r="M8" s="475">
        <v>56</v>
      </c>
      <c r="N8" s="475">
        <v>190</v>
      </c>
      <c r="O8" s="475">
        <v>56</v>
      </c>
      <c r="P8" s="475">
        <v>183</v>
      </c>
      <c r="Q8" s="475">
        <v>111</v>
      </c>
      <c r="R8" s="475">
        <v>131</v>
      </c>
      <c r="S8" s="475">
        <v>48</v>
      </c>
      <c r="T8" s="475">
        <v>38</v>
      </c>
      <c r="U8" s="475">
        <v>19</v>
      </c>
      <c r="V8" s="475">
        <v>150</v>
      </c>
      <c r="W8" s="475">
        <v>62</v>
      </c>
      <c r="X8" s="475">
        <v>45</v>
      </c>
      <c r="Y8" s="475">
        <v>73</v>
      </c>
      <c r="Z8" s="475">
        <v>171</v>
      </c>
      <c r="AA8" s="475">
        <v>232</v>
      </c>
      <c r="AB8" s="475">
        <v>280</v>
      </c>
      <c r="AC8" s="475">
        <v>162</v>
      </c>
      <c r="AD8" s="475">
        <v>30</v>
      </c>
      <c r="AE8" s="526">
        <v>341</v>
      </c>
      <c r="AJ8" s="450" t="s">
        <v>399</v>
      </c>
      <c r="AL8" s="450"/>
    </row>
    <row r="9" spans="1:54" ht="18.75" customHeight="1" x14ac:dyDescent="0.2">
      <c r="A9" s="1006"/>
      <c r="B9" s="836">
        <f t="shared" ref="B9:J9" si="2">B8/B$24</f>
        <v>3.8013488657265483E-2</v>
      </c>
      <c r="C9" s="836">
        <f t="shared" si="2"/>
        <v>3.2379924446842956E-2</v>
      </c>
      <c r="D9" s="836">
        <f t="shared" si="2"/>
        <v>4.5736434108527131E-2</v>
      </c>
      <c r="E9" s="836">
        <f t="shared" si="2"/>
        <v>4.0865384615384616E-2</v>
      </c>
      <c r="F9" s="836">
        <f t="shared" si="2"/>
        <v>3.4257748776508973E-2</v>
      </c>
      <c r="G9" s="836">
        <f t="shared" si="2"/>
        <v>2.7151211361737676E-2</v>
      </c>
      <c r="H9" s="836">
        <f t="shared" si="2"/>
        <v>0.1393939393939394</v>
      </c>
      <c r="I9" s="836">
        <f t="shared" si="2"/>
        <v>4.3389484430832057E-2</v>
      </c>
      <c r="J9" s="836">
        <f t="shared" si="2"/>
        <v>3.6158192090395481E-2</v>
      </c>
      <c r="L9" s="452" t="s">
        <v>7</v>
      </c>
      <c r="M9" s="480">
        <v>82</v>
      </c>
      <c r="N9" s="480">
        <v>121</v>
      </c>
      <c r="O9" s="480">
        <v>61</v>
      </c>
      <c r="P9" s="480">
        <v>201</v>
      </c>
      <c r="Q9" s="480">
        <v>94</v>
      </c>
      <c r="R9" s="480">
        <v>90</v>
      </c>
      <c r="S9" s="480">
        <v>30</v>
      </c>
      <c r="T9" s="480">
        <v>33</v>
      </c>
      <c r="U9" s="480">
        <v>31</v>
      </c>
      <c r="V9" s="480">
        <v>151</v>
      </c>
      <c r="W9" s="480">
        <v>54</v>
      </c>
      <c r="X9" s="480">
        <v>45</v>
      </c>
      <c r="Y9" s="480">
        <v>95</v>
      </c>
      <c r="Z9" s="480">
        <v>148</v>
      </c>
      <c r="AA9" s="480">
        <v>279</v>
      </c>
      <c r="AB9" s="480">
        <v>335</v>
      </c>
      <c r="AC9" s="480">
        <v>176</v>
      </c>
      <c r="AD9" s="480">
        <v>16</v>
      </c>
      <c r="AE9" s="451">
        <v>306</v>
      </c>
      <c r="AJ9" s="450" t="s">
        <v>400</v>
      </c>
      <c r="AL9" s="450"/>
    </row>
    <row r="10" spans="1:54" ht="18.75" customHeight="1" x14ac:dyDescent="0.2">
      <c r="A10" s="1005" t="s">
        <v>5</v>
      </c>
      <c r="B10" s="835">
        <f>HLOOKUP($AJ$3,'6-Ⅰ①'!$M$3:$AE$16,5,FALSE)+HLOOKUP($AJ$4,'6-Ⅰ①'!$M$3:$AE$16,5,FALSE)+HLOOKUP($AJ$5,'6-Ⅰ①'!$M$3:$AE$16,5,FALSE)</f>
        <v>118</v>
      </c>
      <c r="C10" s="835">
        <f>HLOOKUP($AJ$6,'6-Ⅰ①'!$M$3:$AE$16,5,FALSE)+HLOOKUP($AJ$7,'6-Ⅰ①'!$M$3:$AE$16,5,FALSE)</f>
        <v>121</v>
      </c>
      <c r="D10" s="835">
        <f>HLOOKUP($AJ$8,'6-Ⅰ①'!$M$3:$AE$16,5,FALSE)+HLOOKUP($AJ$9,'6-Ⅰ①'!$M$3:$AE$16,5,FALSE)+HLOOKUP($AJ$10,'6-Ⅰ①'!$M$3:$AE$16,5,FALSE)+HLOOKUP($AJ$11,'6-Ⅰ①'!$M$3:$AE$16,5,FALSE)</f>
        <v>124</v>
      </c>
      <c r="E10" s="835">
        <f>HLOOKUP($AJ$12,'6-Ⅰ①'!$M$3:$AE$16,5,FALSE)+HLOOKUP($AJ$13,'6-Ⅰ①'!$M$3:$AE$16,5,FALSE)+HLOOKUP($AJ$14,'6-Ⅰ①'!$M$3:$AE$16,5,FALSE)</f>
        <v>112</v>
      </c>
      <c r="F10" s="835">
        <f>HLOOKUP($AJ$15,'6-Ⅰ①'!$M$3:$AE$16,5,FALSE)+HLOOKUP($AJ$16,'6-Ⅰ①'!$M$3:$AE$16,5,FALSE)</f>
        <v>93</v>
      </c>
      <c r="G10" s="835">
        <f>HLOOKUP($AJ$17,'6-Ⅰ①'!$M$3:$AE$16,5,FALSE)+HLOOKUP($AJ$18,'6-Ⅰ①'!$M$3:$AE$16,5,FALSE)+HLOOKUP($AJ$19,'6-Ⅰ①'!$M$3:$AE$16,5,FALSE)</f>
        <v>295</v>
      </c>
      <c r="H10" s="835">
        <f>HLOOKUP($AJ$20,'6-Ⅰ①'!$M$3:$AE$16,5,FALSE)</f>
        <v>19</v>
      </c>
      <c r="I10" s="835">
        <f>HLOOKUP($AJ$21,'6-Ⅰ①'!$M$3:$AE$16,5,FALSE)</f>
        <v>170</v>
      </c>
      <c r="J10" s="837">
        <f>SUM(B10:I10)</f>
        <v>1052</v>
      </c>
      <c r="L10" s="452" t="s">
        <v>8</v>
      </c>
      <c r="M10" s="475">
        <v>165</v>
      </c>
      <c r="N10" s="475">
        <v>183</v>
      </c>
      <c r="O10" s="475">
        <v>79</v>
      </c>
      <c r="P10" s="475">
        <v>315</v>
      </c>
      <c r="Q10" s="475">
        <v>147</v>
      </c>
      <c r="R10" s="475">
        <v>135</v>
      </c>
      <c r="S10" s="475">
        <v>48</v>
      </c>
      <c r="T10" s="475">
        <v>63</v>
      </c>
      <c r="U10" s="475">
        <v>55</v>
      </c>
      <c r="V10" s="475">
        <v>168</v>
      </c>
      <c r="W10" s="475">
        <v>72</v>
      </c>
      <c r="X10" s="475">
        <v>29</v>
      </c>
      <c r="Y10" s="475">
        <v>124</v>
      </c>
      <c r="Z10" s="475">
        <v>152</v>
      </c>
      <c r="AA10" s="475">
        <v>403</v>
      </c>
      <c r="AB10" s="475">
        <v>516</v>
      </c>
      <c r="AC10" s="475">
        <v>262</v>
      </c>
      <c r="AD10" s="475">
        <v>21</v>
      </c>
      <c r="AE10" s="526">
        <v>424</v>
      </c>
      <c r="AJ10" s="450" t="s">
        <v>401</v>
      </c>
      <c r="AL10" s="450"/>
    </row>
    <row r="11" spans="1:54" ht="18.75" customHeight="1" x14ac:dyDescent="0.2">
      <c r="A11" s="1006"/>
      <c r="B11" s="836">
        <f t="shared" ref="B11:J11" si="3">B10/B$24</f>
        <v>7.234825260576333E-2</v>
      </c>
      <c r="C11" s="836">
        <f t="shared" si="3"/>
        <v>6.5299514301133302E-2</v>
      </c>
      <c r="D11" s="836">
        <f t="shared" si="3"/>
        <v>9.6124031007751937E-2</v>
      </c>
      <c r="E11" s="836">
        <f t="shared" si="3"/>
        <v>8.9743589743589744E-2</v>
      </c>
      <c r="F11" s="836">
        <f t="shared" si="3"/>
        <v>7.5856443719412719E-2</v>
      </c>
      <c r="G11" s="836">
        <f t="shared" si="3"/>
        <v>6.1612364243943188E-2</v>
      </c>
      <c r="H11" s="836">
        <f t="shared" si="3"/>
        <v>0.11515151515151516</v>
      </c>
      <c r="I11" s="836">
        <f t="shared" si="3"/>
        <v>8.6778968861664113E-2</v>
      </c>
      <c r="J11" s="836">
        <f t="shared" si="3"/>
        <v>7.4293785310734467E-2</v>
      </c>
      <c r="L11" s="452" t="s">
        <v>9</v>
      </c>
      <c r="M11" s="480">
        <v>154</v>
      </c>
      <c r="N11" s="480">
        <v>156</v>
      </c>
      <c r="O11" s="480">
        <v>42</v>
      </c>
      <c r="P11" s="480">
        <v>328</v>
      </c>
      <c r="Q11" s="480">
        <v>149</v>
      </c>
      <c r="R11" s="480">
        <v>126</v>
      </c>
      <c r="S11" s="480">
        <v>40</v>
      </c>
      <c r="T11" s="480">
        <v>46</v>
      </c>
      <c r="U11" s="480">
        <v>37</v>
      </c>
      <c r="V11" s="480">
        <v>136</v>
      </c>
      <c r="W11" s="480">
        <v>75</v>
      </c>
      <c r="X11" s="480">
        <v>13</v>
      </c>
      <c r="Y11" s="480">
        <v>86</v>
      </c>
      <c r="Z11" s="480">
        <v>156</v>
      </c>
      <c r="AA11" s="480">
        <v>423</v>
      </c>
      <c r="AB11" s="480">
        <v>540</v>
      </c>
      <c r="AC11" s="480">
        <v>295</v>
      </c>
      <c r="AD11" s="480">
        <v>14</v>
      </c>
      <c r="AE11" s="451">
        <v>414</v>
      </c>
      <c r="AJ11" s="450" t="s">
        <v>402</v>
      </c>
      <c r="AL11" s="450"/>
    </row>
    <row r="12" spans="1:54" ht="18.75" customHeight="1" x14ac:dyDescent="0.2">
      <c r="A12" s="1005" t="s">
        <v>6</v>
      </c>
      <c r="B12" s="835">
        <f>HLOOKUP($AJ$3,'6-Ⅰ①'!$M$3:$AE$16,6,FALSE)+HLOOKUP($AJ$4,'6-Ⅰ①'!$M$3:$AE$16,6,FALSE)+HLOOKUP($AJ$5,'6-Ⅰ①'!$M$3:$AE$16,6,FALSE)</f>
        <v>302</v>
      </c>
      <c r="C12" s="835">
        <f>HLOOKUP($AJ$6,'6-Ⅰ①'!$M$3:$AE$16,6,FALSE)+HLOOKUP($AJ$7,'6-Ⅰ①'!$M$3:$AE$16,6,FALSE)</f>
        <v>294</v>
      </c>
      <c r="D12" s="835">
        <f>HLOOKUP($AJ$8,'6-Ⅰ①'!$M$3:$AE$16,6,FALSE)+HLOOKUP($AJ$9,'6-Ⅰ①'!$M$3:$AE$16,6,FALSE)+HLOOKUP($AJ$10,'6-Ⅰ①'!$M$3:$AE$16,6,FALSE)+HLOOKUP($AJ$11,'6-Ⅰ①'!$M$3:$AE$16,6,FALSE)</f>
        <v>236</v>
      </c>
      <c r="E12" s="835">
        <f>HLOOKUP($AJ$12,'6-Ⅰ①'!$M$3:$AE$16,6,FALSE)+HLOOKUP($AJ$13,'6-Ⅰ①'!$M$3:$AE$16,6,FALSE)+HLOOKUP($AJ$14,'6-Ⅰ①'!$M$3:$AE$16,6,FALSE)</f>
        <v>257</v>
      </c>
      <c r="F12" s="835">
        <f>HLOOKUP($AJ$15,'6-Ⅰ①'!$M$3:$AE$16,6,FALSE)+HLOOKUP($AJ$16,'6-Ⅰ①'!$M$3:$AE$16,6,FALSE)</f>
        <v>244</v>
      </c>
      <c r="G12" s="835">
        <f>HLOOKUP($AJ$17,'6-Ⅰ①'!$M$3:$AE$16,6,FALSE)+HLOOKUP($AJ$18,'6-Ⅰ①'!$M$3:$AE$16,6,FALSE)+HLOOKUP($AJ$19,'6-Ⅰ①'!$M$3:$AE$16,6,FALSE)</f>
        <v>674</v>
      </c>
      <c r="H12" s="835">
        <f>HLOOKUP($AJ$20,'6-Ⅰ①'!$M$3:$AE$16,6,FALSE)</f>
        <v>30</v>
      </c>
      <c r="I12" s="835">
        <f>HLOOKUP($AJ$21,'6-Ⅰ①'!$M$3:$AE$16,6,FALSE)</f>
        <v>341</v>
      </c>
      <c r="J12" s="837">
        <f>SUM(B12:I12)</f>
        <v>2378</v>
      </c>
      <c r="L12" s="452" t="s">
        <v>10</v>
      </c>
      <c r="M12" s="475">
        <v>30</v>
      </c>
      <c r="N12" s="475">
        <v>24</v>
      </c>
      <c r="O12" s="475">
        <v>4</v>
      </c>
      <c r="P12" s="475">
        <v>74</v>
      </c>
      <c r="Q12" s="475">
        <v>32</v>
      </c>
      <c r="R12" s="475">
        <v>29</v>
      </c>
      <c r="S12" s="475">
        <v>6</v>
      </c>
      <c r="T12" s="475">
        <v>5</v>
      </c>
      <c r="U12" s="475">
        <v>12</v>
      </c>
      <c r="V12" s="475">
        <v>17</v>
      </c>
      <c r="W12" s="475">
        <v>18</v>
      </c>
      <c r="X12" s="475">
        <v>4</v>
      </c>
      <c r="Y12" s="475">
        <v>11</v>
      </c>
      <c r="Z12" s="475">
        <v>36</v>
      </c>
      <c r="AA12" s="475">
        <v>135</v>
      </c>
      <c r="AB12" s="475">
        <v>155</v>
      </c>
      <c r="AC12" s="475">
        <v>94</v>
      </c>
      <c r="AD12" s="475">
        <v>1</v>
      </c>
      <c r="AE12" s="526">
        <v>83</v>
      </c>
      <c r="AJ12" s="450" t="s">
        <v>403</v>
      </c>
      <c r="AL12" s="450"/>
    </row>
    <row r="13" spans="1:54" ht="18.75" customHeight="1" x14ac:dyDescent="0.2">
      <c r="A13" s="1006"/>
      <c r="B13" s="836">
        <f t="shared" ref="B13:J13" si="4">B12/B$24</f>
        <v>0.18516247700797056</v>
      </c>
      <c r="C13" s="836">
        <f t="shared" si="4"/>
        <v>0.1586616297895305</v>
      </c>
      <c r="D13" s="836">
        <f t="shared" si="4"/>
        <v>0.18294573643410852</v>
      </c>
      <c r="E13" s="836">
        <f t="shared" si="4"/>
        <v>0.20592948717948717</v>
      </c>
      <c r="F13" s="836">
        <f t="shared" si="4"/>
        <v>0.19902120717781402</v>
      </c>
      <c r="G13" s="836">
        <f t="shared" si="4"/>
        <v>0.14076858813700918</v>
      </c>
      <c r="H13" s="836">
        <f t="shared" si="4"/>
        <v>0.18181818181818182</v>
      </c>
      <c r="I13" s="836">
        <f t="shared" si="4"/>
        <v>0.17406840224604389</v>
      </c>
      <c r="J13" s="836">
        <f t="shared" si="4"/>
        <v>0.16793785310734463</v>
      </c>
      <c r="L13" s="452" t="s">
        <v>573</v>
      </c>
      <c r="M13" s="480">
        <f>SUM(M4:M12)</f>
        <v>508</v>
      </c>
      <c r="N13" s="480">
        <f t="shared" ref="N13:AE13" si="5">SUM(N4:N12)</f>
        <v>851</v>
      </c>
      <c r="O13" s="480">
        <f t="shared" si="5"/>
        <v>272</v>
      </c>
      <c r="P13" s="480">
        <f t="shared" si="5"/>
        <v>1207</v>
      </c>
      <c r="Q13" s="480">
        <f t="shared" si="5"/>
        <v>646</v>
      </c>
      <c r="R13" s="480">
        <f t="shared" si="5"/>
        <v>696</v>
      </c>
      <c r="S13" s="480">
        <f t="shared" si="5"/>
        <v>220</v>
      </c>
      <c r="T13" s="480">
        <f t="shared" si="5"/>
        <v>209</v>
      </c>
      <c r="U13" s="480">
        <f t="shared" si="5"/>
        <v>165</v>
      </c>
      <c r="V13" s="480">
        <f t="shared" si="5"/>
        <v>734</v>
      </c>
      <c r="W13" s="480">
        <f t="shared" si="5"/>
        <v>333</v>
      </c>
      <c r="X13" s="480">
        <f t="shared" si="5"/>
        <v>181</v>
      </c>
      <c r="Y13" s="480">
        <f t="shared" si="5"/>
        <v>429</v>
      </c>
      <c r="Z13" s="480">
        <f t="shared" si="5"/>
        <v>797</v>
      </c>
      <c r="AA13" s="480">
        <f t="shared" si="5"/>
        <v>1583</v>
      </c>
      <c r="AB13" s="480">
        <f t="shared" si="5"/>
        <v>2070</v>
      </c>
      <c r="AC13" s="480">
        <f t="shared" si="5"/>
        <v>1134</v>
      </c>
      <c r="AD13" s="480">
        <f t="shared" si="5"/>
        <v>165</v>
      </c>
      <c r="AE13" s="451">
        <f t="shared" si="5"/>
        <v>1959</v>
      </c>
      <c r="AJ13" s="450" t="s">
        <v>564</v>
      </c>
      <c r="AL13" s="450"/>
    </row>
    <row r="14" spans="1:54" ht="18.75" customHeight="1" thickBot="1" x14ac:dyDescent="0.25">
      <c r="A14" s="1005" t="s">
        <v>7</v>
      </c>
      <c r="B14" s="835">
        <f>HLOOKUP($AJ$3,'6-Ⅰ①'!$M$3:$AE$16,7,FALSE)+HLOOKUP($AJ$4,'6-Ⅰ①'!$M$3:$AE$16,7,FALSE)+HLOOKUP($AJ$5,'6-Ⅰ①'!$M$3:$AE$16,7,FALSE)</f>
        <v>264</v>
      </c>
      <c r="C14" s="835">
        <f>HLOOKUP($AJ$6,'6-Ⅰ①'!$M$3:$AE$16,7,FALSE)+HLOOKUP($AJ$7,'6-Ⅰ①'!$M$3:$AE$16,7,FALSE)</f>
        <v>295</v>
      </c>
      <c r="D14" s="835">
        <f>HLOOKUP($AJ$8,'6-Ⅰ①'!$M$3:$AE$16,7,FALSE)+HLOOKUP($AJ$9,'6-Ⅰ①'!$M$3:$AE$16,7,FALSE)+HLOOKUP($AJ$10,'6-Ⅰ①'!$M$3:$AE$16,7,FALSE)+HLOOKUP($AJ$11,'6-Ⅰ①'!$M$3:$AE$16,7,FALSE)</f>
        <v>184</v>
      </c>
      <c r="E14" s="835">
        <f>HLOOKUP($AJ$12,'6-Ⅰ①'!$M$3:$AE$16,7,FALSE)+HLOOKUP($AJ$13,'6-Ⅰ①'!$M$3:$AE$16,7,FALSE)+HLOOKUP($AJ$14,'6-Ⅰ①'!$M$3:$AE$16,7,FALSE)</f>
        <v>250</v>
      </c>
      <c r="F14" s="835">
        <f>HLOOKUP($AJ$15,'6-Ⅰ①'!$M$3:$AE$16,7,FALSE)+HLOOKUP($AJ$16,'6-Ⅰ①'!$M$3:$AE$16,7,FALSE)</f>
        <v>243</v>
      </c>
      <c r="G14" s="835">
        <f>HLOOKUP($AJ$17,'6-Ⅰ①'!$M$3:$AE$16,7,FALSE)+HLOOKUP($AJ$18,'6-Ⅰ①'!$M$3:$AE$16,7,FALSE)+HLOOKUP($AJ$19,'6-Ⅰ①'!$M$3:$AE$16,7,FALSE)</f>
        <v>790</v>
      </c>
      <c r="H14" s="835">
        <f>HLOOKUP($AJ$20,'6-Ⅰ①'!$M$3:$AE$16,7,FALSE)</f>
        <v>16</v>
      </c>
      <c r="I14" s="835">
        <f>HLOOKUP($AJ$21,'6-Ⅰ①'!$M$3:$AE$16,7,FALSE)</f>
        <v>306</v>
      </c>
      <c r="J14" s="837">
        <f>SUM(B14:I14)</f>
        <v>2348</v>
      </c>
      <c r="M14" s="527" t="s">
        <v>308</v>
      </c>
      <c r="N14" s="528" t="s">
        <v>587</v>
      </c>
      <c r="O14" s="528" t="s">
        <v>588</v>
      </c>
      <c r="P14" s="528" t="s">
        <v>589</v>
      </c>
      <c r="Q14" s="528" t="s">
        <v>590</v>
      </c>
      <c r="R14" s="528" t="s">
        <v>591</v>
      </c>
      <c r="S14" s="528" t="s">
        <v>592</v>
      </c>
      <c r="T14" s="528" t="s">
        <v>593</v>
      </c>
      <c r="U14" s="528" t="s">
        <v>594</v>
      </c>
      <c r="V14" s="528" t="s">
        <v>595</v>
      </c>
      <c r="W14" s="528" t="s">
        <v>596</v>
      </c>
      <c r="X14" s="528" t="s">
        <v>597</v>
      </c>
      <c r="Y14" s="528" t="s">
        <v>598</v>
      </c>
      <c r="Z14" s="528" t="s">
        <v>599</v>
      </c>
      <c r="AA14" s="528" t="s">
        <v>600</v>
      </c>
      <c r="AB14" s="528" t="s">
        <v>601</v>
      </c>
      <c r="AC14" s="528" t="s">
        <v>602</v>
      </c>
      <c r="AD14" s="528" t="s">
        <v>603</v>
      </c>
      <c r="AE14" s="529" t="s">
        <v>604</v>
      </c>
      <c r="AF14" s="530" t="s">
        <v>605</v>
      </c>
      <c r="AJ14" s="450" t="s">
        <v>565</v>
      </c>
      <c r="AL14" s="450"/>
    </row>
    <row r="15" spans="1:54" ht="18.75" customHeight="1" thickTop="1" thickBot="1" x14ac:dyDescent="0.25">
      <c r="A15" s="1006"/>
      <c r="B15" s="836">
        <f t="shared" ref="B15:J15" si="6">B14/B$24</f>
        <v>0.1618638871857756</v>
      </c>
      <c r="C15" s="836">
        <f t="shared" si="6"/>
        <v>0.15920129519697787</v>
      </c>
      <c r="D15" s="836">
        <f t="shared" si="6"/>
        <v>0.14263565891472868</v>
      </c>
      <c r="E15" s="836">
        <f t="shared" si="6"/>
        <v>0.20032051282051283</v>
      </c>
      <c r="F15" s="836">
        <f t="shared" si="6"/>
        <v>0.19820554649265906</v>
      </c>
      <c r="G15" s="836">
        <f t="shared" si="6"/>
        <v>0.16499582289055972</v>
      </c>
      <c r="H15" s="836">
        <f t="shared" si="6"/>
        <v>9.696969696969697E-2</v>
      </c>
      <c r="I15" s="836">
        <f t="shared" si="6"/>
        <v>0.15620214395099541</v>
      </c>
      <c r="J15" s="836">
        <f t="shared" si="6"/>
        <v>0.16581920903954803</v>
      </c>
      <c r="L15" s="452" t="s">
        <v>156</v>
      </c>
      <c r="M15" s="486">
        <v>118</v>
      </c>
      <c r="N15" s="487">
        <v>434</v>
      </c>
      <c r="O15" s="481">
        <v>113</v>
      </c>
      <c r="P15" s="481">
        <v>402</v>
      </c>
      <c r="Q15" s="481">
        <v>270</v>
      </c>
      <c r="R15" s="481">
        <v>371</v>
      </c>
      <c r="S15" s="481">
        <v>113</v>
      </c>
      <c r="T15" s="481">
        <v>79</v>
      </c>
      <c r="U15" s="481">
        <v>40</v>
      </c>
      <c r="V15" s="481">
        <v>338</v>
      </c>
      <c r="W15" s="481">
        <v>137</v>
      </c>
      <c r="X15" s="481">
        <v>115</v>
      </c>
      <c r="Y15" s="481">
        <v>168</v>
      </c>
      <c r="Z15" s="481">
        <v>382</v>
      </c>
      <c r="AA15" s="481">
        <v>472</v>
      </c>
      <c r="AB15" s="481">
        <v>701</v>
      </c>
      <c r="AC15" s="481">
        <v>392</v>
      </c>
      <c r="AD15" s="481">
        <v>122</v>
      </c>
      <c r="AE15" s="451">
        <v>899</v>
      </c>
      <c r="AJ15" s="450" t="s">
        <v>566</v>
      </c>
      <c r="AL15" s="450"/>
    </row>
    <row r="16" spans="1:54" ht="18.75" customHeight="1" thickTop="1" x14ac:dyDescent="0.2">
      <c r="A16" s="1005" t="s">
        <v>8</v>
      </c>
      <c r="B16" s="835">
        <f>HLOOKUP($AJ$3,'6-Ⅰ①'!$M$3:$AE$16,8,FALSE)+HLOOKUP($AJ$4,'6-Ⅰ①'!$M$3:$AE$16,8,FALSE)+HLOOKUP($AJ$5,'6-Ⅰ①'!$M$3:$AE$16,8,FALSE)</f>
        <v>427</v>
      </c>
      <c r="C16" s="835">
        <f>HLOOKUP($AJ$6,'6-Ⅰ①'!$M$3:$AE$16,8,FALSE)+HLOOKUP($AJ$7,'6-Ⅰ①'!$M$3:$AE$16,8,FALSE)</f>
        <v>462</v>
      </c>
      <c r="D16" s="835">
        <f>HLOOKUP($AJ$8,'6-Ⅰ①'!$M$3:$AE$16,8,FALSE)+HLOOKUP($AJ$9,'6-Ⅰ①'!$M$3:$AE$16,8,FALSE)+HLOOKUP($AJ$10,'6-Ⅰ①'!$M$3:$AE$16,8,FALSE)+HLOOKUP($AJ$11,'6-Ⅰ①'!$M$3:$AE$16,8,FALSE)</f>
        <v>301</v>
      </c>
      <c r="E16" s="835">
        <f>HLOOKUP($AJ$12,'6-Ⅰ①'!$M$3:$AE$16,8,FALSE)+HLOOKUP($AJ$13,'6-Ⅰ①'!$M$3:$AE$16,8,FALSE)+HLOOKUP($AJ$14,'6-Ⅰ①'!$M$3:$AE$16,8,FALSE)</f>
        <v>269</v>
      </c>
      <c r="F16" s="835">
        <f>HLOOKUP($AJ$15,'6-Ⅰ①'!$M$3:$AE$16,8,FALSE)+HLOOKUP($AJ$16,'6-Ⅰ①'!$M$3:$AE$16,8,FALSE)</f>
        <v>276</v>
      </c>
      <c r="G16" s="835">
        <f>HLOOKUP($AJ$17,'6-Ⅰ①'!$M$3:$AE$16,8,FALSE)+HLOOKUP($AJ$18,'6-Ⅰ①'!$M$3:$AE$16,8,FALSE)+HLOOKUP($AJ$19,'6-Ⅰ①'!$M$3:$AE$16,8,FALSE)</f>
        <v>1181</v>
      </c>
      <c r="H16" s="835">
        <f>HLOOKUP($AJ$20,'6-Ⅰ①'!$M$3:$AE$16,8,FALSE)</f>
        <v>21</v>
      </c>
      <c r="I16" s="835">
        <f>HLOOKUP($AJ$21,'6-Ⅰ①'!$M$3:$AE$16,8,FALSE)</f>
        <v>424</v>
      </c>
      <c r="J16" s="837">
        <f>SUM(B16:I16)</f>
        <v>3361</v>
      </c>
      <c r="L16" s="452" t="s">
        <v>265</v>
      </c>
      <c r="M16" s="486">
        <v>390</v>
      </c>
      <c r="N16" s="476">
        <v>417</v>
      </c>
      <c r="O16" s="476">
        <v>159</v>
      </c>
      <c r="P16" s="476">
        <v>805</v>
      </c>
      <c r="Q16" s="476">
        <v>376</v>
      </c>
      <c r="R16" s="476">
        <v>325</v>
      </c>
      <c r="S16" s="476">
        <v>107</v>
      </c>
      <c r="T16" s="476">
        <v>130</v>
      </c>
      <c r="U16" s="476">
        <v>125</v>
      </c>
      <c r="V16" s="476">
        <v>396</v>
      </c>
      <c r="W16" s="476">
        <v>196</v>
      </c>
      <c r="X16" s="476">
        <v>66</v>
      </c>
      <c r="Y16" s="476">
        <v>261</v>
      </c>
      <c r="Z16" s="476">
        <v>415</v>
      </c>
      <c r="AA16" s="476">
        <v>1111</v>
      </c>
      <c r="AB16" s="476">
        <v>1369</v>
      </c>
      <c r="AC16" s="476">
        <v>742</v>
      </c>
      <c r="AD16" s="476">
        <v>43</v>
      </c>
      <c r="AE16" s="526">
        <v>1060</v>
      </c>
      <c r="AJ16" s="450" t="s">
        <v>567</v>
      </c>
      <c r="AL16" s="450"/>
    </row>
    <row r="17" spans="1:38" ht="18.75" customHeight="1" x14ac:dyDescent="0.2">
      <c r="A17" s="1006"/>
      <c r="B17" s="836">
        <f t="shared" ref="B17:J17" si="7">B16/B$24</f>
        <v>0.26180257510729615</v>
      </c>
      <c r="C17" s="836">
        <f t="shared" si="7"/>
        <v>0.24932541824069077</v>
      </c>
      <c r="D17" s="836">
        <f t="shared" si="7"/>
        <v>0.23333333333333334</v>
      </c>
      <c r="E17" s="836">
        <f t="shared" si="7"/>
        <v>0.21554487179487181</v>
      </c>
      <c r="F17" s="836">
        <f t="shared" si="7"/>
        <v>0.22512234910277323</v>
      </c>
      <c r="G17" s="836">
        <f t="shared" si="7"/>
        <v>0.24665831244778613</v>
      </c>
      <c r="H17" s="836">
        <f t="shared" si="7"/>
        <v>0.12727272727272726</v>
      </c>
      <c r="I17" s="836">
        <f t="shared" si="7"/>
        <v>0.2164369576314446</v>
      </c>
      <c r="J17" s="836">
        <f t="shared" si="7"/>
        <v>0.2373587570621469</v>
      </c>
      <c r="AJ17" s="450" t="s">
        <v>568</v>
      </c>
      <c r="AL17" s="450"/>
    </row>
    <row r="18" spans="1:38" ht="18.75" customHeight="1" x14ac:dyDescent="0.2">
      <c r="A18" s="1005" t="s">
        <v>9</v>
      </c>
      <c r="B18" s="835">
        <f>HLOOKUP($AJ$3,'6-Ⅰ①'!$M$3:$AE$16,9,FALSE)+HLOOKUP($AJ$4,'6-Ⅰ①'!$M$3:$AE$16,9,FALSE)+HLOOKUP($AJ$5,'6-Ⅰ①'!$M$3:$AE$16,9,FALSE)</f>
        <v>352</v>
      </c>
      <c r="C18" s="835">
        <f>HLOOKUP($AJ$6,'6-Ⅰ①'!$M$3:$AE$16,9,FALSE)+HLOOKUP($AJ$7,'6-Ⅰ①'!$M$3:$AE$16,9,FALSE)</f>
        <v>477</v>
      </c>
      <c r="D18" s="835">
        <f>HLOOKUP($AJ$8,'6-Ⅰ①'!$M$3:$AE$16,9,FALSE)+HLOOKUP($AJ$9,'6-Ⅰ①'!$M$3:$AE$16,9,FALSE)+HLOOKUP($AJ$10,'6-Ⅰ①'!$M$3:$AE$16,9,FALSE)+HLOOKUP($AJ$11,'6-Ⅰ①'!$M$3:$AE$16,9,FALSE)</f>
        <v>249</v>
      </c>
      <c r="E18" s="835">
        <f>HLOOKUP($AJ$12,'6-Ⅰ①'!$M$3:$AE$16,9,FALSE)+HLOOKUP($AJ$13,'6-Ⅰ①'!$M$3:$AE$16,9,FALSE)+HLOOKUP($AJ$14,'6-Ⅰ①'!$M$3:$AE$16,9,FALSE)</f>
        <v>224</v>
      </c>
      <c r="F18" s="835">
        <f>HLOOKUP($AJ$15,'6-Ⅰ①'!$M$3:$AE$16,9,FALSE)+HLOOKUP($AJ$16,'6-Ⅰ①'!$M$3:$AE$16,9,FALSE)</f>
        <v>242</v>
      </c>
      <c r="G18" s="835">
        <f>HLOOKUP($AJ$17,'6-Ⅰ①'!$M$3:$AE$16,9,FALSE)+HLOOKUP($AJ$18,'6-Ⅰ①'!$M$3:$AE$16,9,FALSE)+HLOOKUP($AJ$19,'6-Ⅰ①'!$M$3:$AE$16,9,FALSE)</f>
        <v>1258</v>
      </c>
      <c r="H18" s="835">
        <f>HLOOKUP($AJ$20,'6-Ⅰ①'!$M$3:$AE$16,9,FALSE)</f>
        <v>14</v>
      </c>
      <c r="I18" s="835">
        <f>HLOOKUP($AJ$21,'6-Ⅰ①'!$M$3:$AE$16,9,FALSE)</f>
        <v>414</v>
      </c>
      <c r="J18" s="837">
        <f>SUM(B18:I18)</f>
        <v>3230</v>
      </c>
      <c r="AJ18" s="450" t="s">
        <v>569</v>
      </c>
      <c r="AL18" s="450"/>
    </row>
    <row r="19" spans="1:38" ht="18.75" customHeight="1" x14ac:dyDescent="0.2">
      <c r="A19" s="1006"/>
      <c r="B19" s="836">
        <f t="shared" ref="B19:J19" si="8">B18/B$24</f>
        <v>0.21581851624770079</v>
      </c>
      <c r="C19" s="836">
        <f t="shared" si="8"/>
        <v>0.25742039935240152</v>
      </c>
      <c r="D19" s="836">
        <f t="shared" si="8"/>
        <v>0.19302325581395349</v>
      </c>
      <c r="E19" s="836">
        <f t="shared" si="8"/>
        <v>0.17948717948717949</v>
      </c>
      <c r="F19" s="836">
        <f t="shared" si="8"/>
        <v>0.19738988580750408</v>
      </c>
      <c r="G19" s="836">
        <f t="shared" si="8"/>
        <v>0.26274018379281538</v>
      </c>
      <c r="H19" s="836">
        <f t="shared" si="8"/>
        <v>8.4848484848484854E-2</v>
      </c>
      <c r="I19" s="836">
        <f t="shared" si="8"/>
        <v>0.2113323124042879</v>
      </c>
      <c r="J19" s="836">
        <f t="shared" si="8"/>
        <v>0.22810734463276836</v>
      </c>
      <c r="AJ19" s="450" t="s">
        <v>570</v>
      </c>
      <c r="AL19" s="450"/>
    </row>
    <row r="20" spans="1:38" ht="18.75" customHeight="1" x14ac:dyDescent="0.2">
      <c r="A20" s="1005" t="s">
        <v>10</v>
      </c>
      <c r="B20" s="835">
        <f>HLOOKUP($AJ$3,'6-Ⅰ①'!$M$3:$AE$16,10,FALSE)+HLOOKUP($AJ$4,'6-Ⅰ①'!$M$3:$AE$16,10,FALSE)+HLOOKUP($AJ$5,'6-Ⅰ①'!$M$3:$AE$16,10,FALSE)</f>
        <v>58</v>
      </c>
      <c r="C20" s="835">
        <f>HLOOKUP($AJ$6,'6-Ⅰ①'!$M$3:$AE$16,10,FALSE)+HLOOKUP($AJ$7,'6-Ⅰ①'!$M$3:$AE$16,10,FALSE)</f>
        <v>106</v>
      </c>
      <c r="D20" s="835">
        <f>HLOOKUP($AJ$8,'6-Ⅰ①'!$M$3:$AE$16,10,FALSE)+HLOOKUP($AJ$9,'6-Ⅰ①'!$M$3:$AE$16,10,FALSE)+HLOOKUP($AJ$10,'6-Ⅰ①'!$M$3:$AE$16,10,FALSE)+HLOOKUP($AJ$11,'6-Ⅰ①'!$M$3:$AE$16,10,FALSE)</f>
        <v>52</v>
      </c>
      <c r="E20" s="835">
        <f>HLOOKUP($AJ$12,'6-Ⅰ①'!$M$3:$AE$16,10,FALSE)+HLOOKUP($AJ$13,'6-Ⅰ①'!$M$3:$AE$16,10,FALSE)+HLOOKUP($AJ$14,'6-Ⅰ①'!$M$3:$AE$16,10,FALSE)</f>
        <v>39</v>
      </c>
      <c r="F20" s="835">
        <f>HLOOKUP($AJ$15,'6-Ⅰ①'!$M$3:$AE$16,10,FALSE)+HLOOKUP($AJ$16,'6-Ⅰ①'!$M$3:$AE$16,10,FALSE)</f>
        <v>47</v>
      </c>
      <c r="G20" s="835">
        <f>HLOOKUP($AJ$17,'6-Ⅰ①'!$M$3:$AE$16,10,FALSE)+HLOOKUP($AJ$18,'6-Ⅰ①'!$M$3:$AE$16,10,FALSE)+HLOOKUP($AJ$19,'6-Ⅰ①'!$M$3:$AE$16,10,FALSE)</f>
        <v>384</v>
      </c>
      <c r="H20" s="835">
        <f>HLOOKUP($AJ$20,'6-Ⅰ①'!$M$3:$AE$16,10,FALSE)</f>
        <v>1</v>
      </c>
      <c r="I20" s="835">
        <f>HLOOKUP($AJ$21,'6-Ⅰ①'!$M$3:$AE$16,10,FALSE)</f>
        <v>83</v>
      </c>
      <c r="J20" s="837">
        <f>SUM(B20:I20)</f>
        <v>770</v>
      </c>
      <c r="AJ20" s="450" t="s">
        <v>571</v>
      </c>
      <c r="AL20" s="450"/>
    </row>
    <row r="21" spans="1:38" ht="18.75" customHeight="1" x14ac:dyDescent="0.2">
      <c r="A21" s="1006"/>
      <c r="B21" s="836">
        <f t="shared" ref="B21:J21" si="9">B20/B$24</f>
        <v>3.5561005518087066E-2</v>
      </c>
      <c r="C21" s="836">
        <f t="shared" si="9"/>
        <v>5.7204533189422556E-2</v>
      </c>
      <c r="D21" s="836">
        <f t="shared" si="9"/>
        <v>4.0310077519379844E-2</v>
      </c>
      <c r="E21" s="836">
        <f t="shared" si="9"/>
        <v>3.125E-2</v>
      </c>
      <c r="F21" s="836">
        <f t="shared" si="9"/>
        <v>3.8336052202283852E-2</v>
      </c>
      <c r="G21" s="836">
        <f t="shared" si="9"/>
        <v>8.0200501253132828E-2</v>
      </c>
      <c r="H21" s="836">
        <f t="shared" si="9"/>
        <v>6.0606060606060606E-3</v>
      </c>
      <c r="I21" s="836">
        <f t="shared" si="9"/>
        <v>4.2368555385400714E-2</v>
      </c>
      <c r="J21" s="836">
        <f t="shared" si="9"/>
        <v>5.4378531073446326E-2</v>
      </c>
      <c r="AJ21" s="450" t="s">
        <v>572</v>
      </c>
      <c r="AL21" s="450"/>
    </row>
    <row r="22" spans="1:38" ht="18.75" customHeight="1" x14ac:dyDescent="0.2">
      <c r="A22" s="1005" t="s">
        <v>375</v>
      </c>
      <c r="B22" s="835">
        <v>0</v>
      </c>
      <c r="C22" s="835">
        <v>0</v>
      </c>
      <c r="D22" s="835">
        <v>0</v>
      </c>
      <c r="E22" s="835">
        <v>0</v>
      </c>
      <c r="F22" s="835">
        <v>0</v>
      </c>
      <c r="G22" s="835">
        <v>1</v>
      </c>
      <c r="H22" s="835">
        <v>0</v>
      </c>
      <c r="I22" s="835">
        <v>0</v>
      </c>
      <c r="J22" s="837">
        <f>SUM(B22:I22)</f>
        <v>1</v>
      </c>
    </row>
    <row r="23" spans="1:38" x14ac:dyDescent="0.2">
      <c r="A23" s="1006"/>
      <c r="B23" s="836">
        <f t="shared" ref="B23:J23" si="10">B22/B$24</f>
        <v>0</v>
      </c>
      <c r="C23" s="836">
        <f t="shared" si="10"/>
        <v>0</v>
      </c>
      <c r="D23" s="836">
        <f t="shared" si="10"/>
        <v>0</v>
      </c>
      <c r="E23" s="836">
        <f t="shared" si="10"/>
        <v>0</v>
      </c>
      <c r="F23" s="836">
        <f t="shared" si="10"/>
        <v>0</v>
      </c>
      <c r="G23" s="836">
        <f t="shared" si="10"/>
        <v>2.0885547201336674E-4</v>
      </c>
      <c r="H23" s="836">
        <f t="shared" si="10"/>
        <v>0</v>
      </c>
      <c r="I23" s="836">
        <f t="shared" si="10"/>
        <v>0</v>
      </c>
      <c r="J23" s="836">
        <f t="shared" si="10"/>
        <v>7.0621468926553675E-5</v>
      </c>
    </row>
    <row r="24" spans="1:38" x14ac:dyDescent="0.2">
      <c r="A24" s="1008" t="s">
        <v>161</v>
      </c>
      <c r="B24" s="405">
        <f>SUM(M13:O13)</f>
        <v>1631</v>
      </c>
      <c r="C24" s="405">
        <f>SUM(P13:Q13)</f>
        <v>1853</v>
      </c>
      <c r="D24" s="405">
        <f>SUM(R13:U13)</f>
        <v>1290</v>
      </c>
      <c r="E24" s="405">
        <f>SUM(V13:X13)</f>
        <v>1248</v>
      </c>
      <c r="F24" s="405">
        <f>SUM(Y13:Z13)</f>
        <v>1226</v>
      </c>
      <c r="G24" s="405">
        <f>SUM(AA13:AC13)+1</f>
        <v>4788</v>
      </c>
      <c r="H24" s="405">
        <f>AD13</f>
        <v>165</v>
      </c>
      <c r="I24" s="405">
        <f>AE13</f>
        <v>1959</v>
      </c>
      <c r="J24" s="406">
        <f>SUM(B24:I24)</f>
        <v>14160</v>
      </c>
    </row>
    <row r="25" spans="1:38" x14ac:dyDescent="0.2">
      <c r="A25" s="1009"/>
      <c r="B25" s="407">
        <f t="shared" ref="B25:J25" si="11">SUM(B5,B7,B9,B11,B13,B15,B17,B19,B21)</f>
        <v>0.99999999999999989</v>
      </c>
      <c r="C25" s="407">
        <f t="shared" si="11"/>
        <v>0.99999999999999989</v>
      </c>
      <c r="D25" s="407">
        <f t="shared" si="11"/>
        <v>1</v>
      </c>
      <c r="E25" s="407">
        <f t="shared" si="11"/>
        <v>1</v>
      </c>
      <c r="F25" s="407">
        <f t="shared" si="11"/>
        <v>0.99999999999999989</v>
      </c>
      <c r="G25" s="407">
        <f t="shared" si="11"/>
        <v>0.99979114452798656</v>
      </c>
      <c r="H25" s="407">
        <f t="shared" si="11"/>
        <v>0.99999999999999989</v>
      </c>
      <c r="I25" s="407">
        <f t="shared" si="11"/>
        <v>1</v>
      </c>
      <c r="J25" s="407">
        <f t="shared" si="11"/>
        <v>0.99992937853107355</v>
      </c>
    </row>
    <row r="26" spans="1:38" x14ac:dyDescent="0.2">
      <c r="A26" s="1005" t="s">
        <v>90</v>
      </c>
      <c r="B26" s="837">
        <f>HLOOKUP($AJ$3,'6-Ⅰ①'!$M$3:$AE$16,13,FALSE)+HLOOKUP($AJ$4,'6-Ⅰ①'!$M$3:$AE$16,13,FALSE)+HLOOKUP($AJ$5,'6-Ⅰ①'!$M$3:$AE$16,13,FALSE)</f>
        <v>665</v>
      </c>
      <c r="C26" s="837">
        <f>HLOOKUP($AJ$6,'6-Ⅰ①'!$M$3:$AE$16,13,FALSE)+HLOOKUP($AJ$7,'6-Ⅰ①'!$M$3:$AE$16,13,FALSE)</f>
        <v>672</v>
      </c>
      <c r="D26" s="837">
        <f>HLOOKUP($AJ$8,'6-Ⅰ①'!$M$3:$AE$16,13,FALSE)+HLOOKUP($AJ$9,'6-Ⅰ①'!$M$3:$AE$16,13,FALSE)+HLOOKUP($AJ$10,'6-Ⅰ①'!$M$3:$AE$16,13,FALSE)+HLOOKUP($AJ$11,'6-Ⅰ①'!$M$3:$AE$16,13,FALSE)</f>
        <v>603</v>
      </c>
      <c r="E26" s="837">
        <f>HLOOKUP($AJ$12,'6-Ⅰ①'!$M$3:$AE$16,13,FALSE)+HLOOKUP($AJ$13,'6-Ⅰ①'!$M$3:$AE$16,13,FALSE)+HLOOKUP($AJ$14,'6-Ⅰ①'!$M$3:$AE$16,13,FALSE)</f>
        <v>590</v>
      </c>
      <c r="F26" s="837">
        <f>HLOOKUP($AJ$15,'6-Ⅰ①'!$M$3:$AE$16,13,FALSE)+HLOOKUP($AJ$16,'6-Ⅰ①'!$M$3:$AE$16,13,FALSE)</f>
        <v>550</v>
      </c>
      <c r="G26" s="837">
        <f>HLOOKUP($AJ$17,'6-Ⅰ①'!$M$3:$AE$16,13,FALSE)+HLOOKUP($AJ$18,'6-Ⅰ①'!$M$3:$AE$16,13,FALSE)+HLOOKUP($AJ$19,'6-Ⅰ①'!$M$3:$AE$16,13,FALSE)</f>
        <v>1565</v>
      </c>
      <c r="H26" s="837">
        <f>HLOOKUP($AJ$20,'6-Ⅰ①'!$M$3:$AE$16,13,FALSE)</f>
        <v>122</v>
      </c>
      <c r="I26" s="837">
        <f>HLOOKUP($AJ$21,'6-Ⅰ①'!$M$3:$AE$16,13,FALSE)</f>
        <v>899</v>
      </c>
      <c r="J26" s="837">
        <f>SUM(B26:I26)</f>
        <v>5666</v>
      </c>
    </row>
    <row r="27" spans="1:38" x14ac:dyDescent="0.2">
      <c r="A27" s="1006"/>
      <c r="B27" s="873">
        <f t="shared" ref="B27:J27" si="12">B26/B$24</f>
        <v>0.40772532188841204</v>
      </c>
      <c r="C27" s="873">
        <f t="shared" si="12"/>
        <v>0.36265515380464114</v>
      </c>
      <c r="D27" s="873">
        <f t="shared" si="12"/>
        <v>0.46744186046511627</v>
      </c>
      <c r="E27" s="873">
        <f t="shared" si="12"/>
        <v>0.47275641025641024</v>
      </c>
      <c r="F27" s="873">
        <f t="shared" si="12"/>
        <v>0.44861337683523655</v>
      </c>
      <c r="G27" s="873">
        <f t="shared" si="12"/>
        <v>0.32685881370091896</v>
      </c>
      <c r="H27" s="873">
        <f t="shared" si="12"/>
        <v>0.73939393939393938</v>
      </c>
      <c r="I27" s="873">
        <f t="shared" si="12"/>
        <v>0.45890760592138846</v>
      </c>
      <c r="J27" s="873">
        <f t="shared" si="12"/>
        <v>0.40014124293785308</v>
      </c>
    </row>
    <row r="28" spans="1:38" x14ac:dyDescent="0.2">
      <c r="A28" s="1005" t="s">
        <v>91</v>
      </c>
      <c r="B28" s="835">
        <f>HLOOKUP($AJ$3,'6-Ⅰ①'!$M$3:$AE$16,14,FALSE)+HLOOKUP($AJ$4,'6-Ⅰ①'!$M$3:$AE$16,14,FALSE)+HLOOKUP($AJ$5,'6-Ⅰ①'!$M$3:$AE$16,14,FALSE)</f>
        <v>966</v>
      </c>
      <c r="C28" s="835">
        <f>HLOOKUP($AJ$6,'6-Ⅰ①'!$M$3:$AE$16,14,FALSE)+HLOOKUP($AJ$7,'6-Ⅰ①'!$M$3:$AE$16,14,FALSE)</f>
        <v>1181</v>
      </c>
      <c r="D28" s="835">
        <f>HLOOKUP($AJ$8,'6-Ⅰ①'!$M$3:$AE$16,14,FALSE)+HLOOKUP($AJ$9,'6-Ⅰ①'!$M$3:$AE$16,14,FALSE)+HLOOKUP($AJ$10,'6-Ⅰ①'!$M$3:$AE$16,14,FALSE)+HLOOKUP($AJ$11,'6-Ⅰ①'!$M$3:$AE$16,14,FALSE)</f>
        <v>687</v>
      </c>
      <c r="E28" s="835">
        <f>HLOOKUP($AJ$12,'6-Ⅰ①'!$M$3:$AE$16,14,FALSE)+HLOOKUP($AJ$13,'6-Ⅰ①'!$M$3:$AE$16,14,FALSE)+HLOOKUP($AJ$14,'6-Ⅰ①'!$M$3:$AE$16,14,FALSE)</f>
        <v>658</v>
      </c>
      <c r="F28" s="835">
        <f>HLOOKUP($AJ$15,'6-Ⅰ①'!$M$3:$AE$16,14,FALSE)+HLOOKUP($AJ$16,'6-Ⅰ①'!$M$3:$AE$16,14,FALSE)</f>
        <v>676</v>
      </c>
      <c r="G28" s="835">
        <f>HLOOKUP($AJ$17,'6-Ⅰ①'!$M$3:$AE$16,14,FALSE)+HLOOKUP($AJ$18,'6-Ⅰ①'!$M$3:$AE$16,14,FALSE)+HLOOKUP($AJ$19,'6-Ⅰ①'!$M$3:$AE$16,14,FALSE)</f>
        <v>3222</v>
      </c>
      <c r="H28" s="835">
        <f>HLOOKUP($AJ$20,'6-Ⅰ①'!$M$3:$AE$16,14,FALSE)</f>
        <v>43</v>
      </c>
      <c r="I28" s="835">
        <f>HLOOKUP($AJ$21,'6-Ⅰ①'!$M$3:$AE$16,14,FALSE)</f>
        <v>1060</v>
      </c>
      <c r="J28" s="837">
        <f>SUM(B28:I28)</f>
        <v>8493</v>
      </c>
    </row>
    <row r="29" spans="1:38" x14ac:dyDescent="0.2">
      <c r="A29" s="1006"/>
      <c r="B29" s="873">
        <f t="shared" ref="B29:J29" si="13">B28/B$24</f>
        <v>0.59227467811158796</v>
      </c>
      <c r="C29" s="873">
        <f t="shared" si="13"/>
        <v>0.63734484619535892</v>
      </c>
      <c r="D29" s="873">
        <f t="shared" si="13"/>
        <v>0.53255813953488373</v>
      </c>
      <c r="E29" s="873">
        <f t="shared" si="13"/>
        <v>0.52724358974358976</v>
      </c>
      <c r="F29" s="873">
        <f t="shared" si="13"/>
        <v>0.5513866231647635</v>
      </c>
      <c r="G29" s="873">
        <f t="shared" si="13"/>
        <v>0.67293233082706772</v>
      </c>
      <c r="H29" s="873">
        <f t="shared" si="13"/>
        <v>0.26060606060606062</v>
      </c>
      <c r="I29" s="873">
        <f t="shared" si="13"/>
        <v>0.54109239407861154</v>
      </c>
      <c r="J29" s="873">
        <f t="shared" si="13"/>
        <v>0.59978813559322031</v>
      </c>
    </row>
    <row r="30" spans="1:38" x14ac:dyDescent="0.2">
      <c r="A30" s="1005" t="s">
        <v>375</v>
      </c>
      <c r="B30" s="835">
        <v>0</v>
      </c>
      <c r="C30" s="835">
        <v>0</v>
      </c>
      <c r="D30" s="835">
        <v>0</v>
      </c>
      <c r="E30" s="835">
        <v>0</v>
      </c>
      <c r="F30" s="835">
        <v>0</v>
      </c>
      <c r="G30" s="835">
        <v>1</v>
      </c>
      <c r="H30" s="835">
        <v>0</v>
      </c>
      <c r="I30" s="835">
        <v>0</v>
      </c>
      <c r="J30" s="837">
        <f>SUM(B30:I30)</f>
        <v>1</v>
      </c>
    </row>
    <row r="31" spans="1:38" x14ac:dyDescent="0.2">
      <c r="A31" s="1006"/>
      <c r="B31" s="836">
        <f t="shared" ref="B31:J31" si="14">B30/B$24</f>
        <v>0</v>
      </c>
      <c r="C31" s="836">
        <f t="shared" si="14"/>
        <v>0</v>
      </c>
      <c r="D31" s="836">
        <f t="shared" si="14"/>
        <v>0</v>
      </c>
      <c r="E31" s="836">
        <f t="shared" si="14"/>
        <v>0</v>
      </c>
      <c r="F31" s="836">
        <f t="shared" si="14"/>
        <v>0</v>
      </c>
      <c r="G31" s="836">
        <f t="shared" si="14"/>
        <v>2.0885547201336674E-4</v>
      </c>
      <c r="H31" s="836">
        <f t="shared" si="14"/>
        <v>0</v>
      </c>
      <c r="I31" s="836">
        <f t="shared" si="14"/>
        <v>0</v>
      </c>
      <c r="J31" s="836">
        <f t="shared" si="14"/>
        <v>7.0621468926553675E-5</v>
      </c>
    </row>
  </sheetData>
  <mergeCells count="14">
    <mergeCell ref="A30:A31"/>
    <mergeCell ref="A28:A29"/>
    <mergeCell ref="A4:A5"/>
    <mergeCell ref="A6:A7"/>
    <mergeCell ref="A8:A9"/>
    <mergeCell ref="A10:A11"/>
    <mergeCell ref="A12:A13"/>
    <mergeCell ref="A14:A15"/>
    <mergeCell ref="A16:A17"/>
    <mergeCell ref="A18:A19"/>
    <mergeCell ref="A20:A21"/>
    <mergeCell ref="A24:A25"/>
    <mergeCell ref="A26:A27"/>
    <mergeCell ref="A22:A23"/>
  </mergeCells>
  <phoneticPr fontId="2"/>
  <printOptions horizontalCentered="1"/>
  <pageMargins left="0.70866141732283472" right="0.70866141732283472" top="0.74803149606299213" bottom="0.74803149606299213" header="0.31496062992125984" footer="0.31496062992125984"/>
  <pageSetup paperSize="9" scale="94" orientation="portrait" r:id="rId1"/>
  <drawing r:id="rId2"/>
  <mc:AlternateContent xmlns:mc="http://schemas.openxmlformats.org/markup-compatibility/2006">
    <mc:Choice Requires="v">
      <legacyDrawing r:id="rId3"/>
    </mc:Choice>
  </mc:AlternateContent>
  <controls>
    <control shapeId="48129" r:id="rId4" name="Button 1">
      <controlPr defaultSize="0" print="0" autoFill="0" autoPict="0" macro="[0]!データ削除_年齢区分病院圏域">
        <anchor moveWithCells="1" sizeWithCells="1">
          <from>
            <xdr:col>33</xdr:col>
            <xdr:colOff>304800</xdr:colOff>
            <xdr:row>2</xdr:row>
            <xdr:rowOff>83820</xdr:rowOff>
          </from>
          <to>
            <xdr:col>34</xdr:col>
            <xdr:colOff>723900</xdr:colOff>
            <xdr:row>4</xdr:row>
            <xdr:rowOff>198120</xdr:rowOff>
          </to>
        </anchor>
      </controlPr>
    </control>
  </controls>
  <tableParts count="2">
    <tablePart r:id="rId5"/>
    <tablePart r:id="rId6"/>
  </tableParts>
</worksheet>
</file>

<file path=xl/worksheets/sheet2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3">
    <tabColor theme="9" tint="-0.499984740745262"/>
    <pageSetUpPr fitToPage="1"/>
  </sheetPr>
  <dimension ref="A1:AY22"/>
  <sheetViews>
    <sheetView showGridLines="0" view="pageBreakPreview" zoomScale="90" zoomScaleNormal="70" zoomScaleSheetLayoutView="90" workbookViewId="0"/>
  </sheetViews>
  <sheetFormatPr defaultColWidth="13.77734375" defaultRowHeight="17.399999999999999" x14ac:dyDescent="0.2"/>
  <cols>
    <col min="1" max="1" width="15.6640625" style="396" customWidth="1"/>
    <col min="2" max="10" width="8.77734375" style="396" customWidth="1"/>
    <col min="11" max="11" width="7.6640625" style="396" customWidth="1"/>
    <col min="12" max="12" width="5.33203125" style="396" hidden="1" customWidth="1"/>
    <col min="13" max="32" width="9.21875" style="396" hidden="1" customWidth="1"/>
    <col min="33" max="33" width="8.33203125" style="396" hidden="1" customWidth="1"/>
    <col min="34" max="50" width="8.33203125" style="396" customWidth="1"/>
    <col min="51" max="51" width="7" style="396" customWidth="1"/>
    <col min="52" max="16384" width="13.77734375" style="396"/>
  </cols>
  <sheetData>
    <row r="1" spans="1:51" s="3" customFormat="1" ht="19.2" x14ac:dyDescent="0.2">
      <c r="A1" s="2" t="s">
        <v>404</v>
      </c>
    </row>
    <row r="2" spans="1:51" ht="18" thickBot="1" x14ac:dyDescent="0.25">
      <c r="A2" s="4"/>
    </row>
    <row r="3" spans="1:51" ht="18.75" customHeight="1" thickTop="1" thickBot="1" x14ac:dyDescent="0.25">
      <c r="A3" s="403"/>
      <c r="B3" s="403" t="s">
        <v>386</v>
      </c>
      <c r="C3" s="403" t="s">
        <v>387</v>
      </c>
      <c r="D3" s="403" t="s">
        <v>388</v>
      </c>
      <c r="E3" s="403" t="s">
        <v>389</v>
      </c>
      <c r="F3" s="403" t="s">
        <v>390</v>
      </c>
      <c r="G3" s="403" t="s">
        <v>391</v>
      </c>
      <c r="H3" s="403" t="s">
        <v>392</v>
      </c>
      <c r="I3" s="403" t="s">
        <v>393</v>
      </c>
      <c r="J3" s="403" t="s">
        <v>62</v>
      </c>
      <c r="L3" s="404"/>
      <c r="M3" s="532" t="s">
        <v>372</v>
      </c>
      <c r="N3" s="468" t="s">
        <v>394</v>
      </c>
      <c r="O3" s="468" t="s">
        <v>395</v>
      </c>
      <c r="P3" s="468" t="s">
        <v>396</v>
      </c>
      <c r="Q3" s="468" t="s">
        <v>397</v>
      </c>
      <c r="R3" s="468" t="s">
        <v>398</v>
      </c>
      <c r="S3" s="468" t="s">
        <v>399</v>
      </c>
      <c r="T3" s="468" t="s">
        <v>400</v>
      </c>
      <c r="U3" s="468" t="s">
        <v>401</v>
      </c>
      <c r="V3" s="468" t="s">
        <v>402</v>
      </c>
      <c r="W3" s="468" t="s">
        <v>403</v>
      </c>
      <c r="X3" s="468" t="s">
        <v>564</v>
      </c>
      <c r="Y3" s="468" t="s">
        <v>565</v>
      </c>
      <c r="Z3" s="468" t="s">
        <v>566</v>
      </c>
      <c r="AA3" s="468" t="s">
        <v>567</v>
      </c>
      <c r="AB3" s="468" t="s">
        <v>568</v>
      </c>
      <c r="AC3" s="468" t="s">
        <v>569</v>
      </c>
      <c r="AD3" s="468" t="s">
        <v>570</v>
      </c>
      <c r="AE3" s="468" t="s">
        <v>571</v>
      </c>
      <c r="AF3" s="468" t="s">
        <v>572</v>
      </c>
      <c r="AG3" s="452"/>
      <c r="AH3" s="452"/>
      <c r="AI3" s="452"/>
      <c r="AJ3" s="452"/>
      <c r="AK3" s="452"/>
      <c r="AL3" s="452"/>
      <c r="AM3" s="452"/>
      <c r="AN3" s="452"/>
      <c r="AO3" s="452"/>
      <c r="AP3" s="452"/>
      <c r="AQ3" s="452"/>
      <c r="AR3" s="452"/>
      <c r="AS3" s="452"/>
      <c r="AT3" s="452"/>
      <c r="AU3" s="452"/>
      <c r="AV3" s="452"/>
      <c r="AW3" s="452"/>
      <c r="AX3" s="452"/>
      <c r="AY3" s="414"/>
    </row>
    <row r="4" spans="1:51" ht="18.75" customHeight="1" thickTop="1" x14ac:dyDescent="0.2">
      <c r="A4" s="408" t="s">
        <v>405</v>
      </c>
      <c r="B4" s="835">
        <f>SUM(N4:P5)</f>
        <v>12</v>
      </c>
      <c r="C4" s="835">
        <f>SUM(Q4:R5)</f>
        <v>2</v>
      </c>
      <c r="D4" s="835">
        <f>SUM(S4:V5)</f>
        <v>11</v>
      </c>
      <c r="E4" s="835">
        <f>SUM(W4:Y5)</f>
        <v>12</v>
      </c>
      <c r="F4" s="835">
        <f>SUM(Z4:AA5)</f>
        <v>0</v>
      </c>
      <c r="G4" s="835">
        <f>SUM(AB4:AD5)</f>
        <v>9</v>
      </c>
      <c r="H4" s="835">
        <f>SUM(AE4:AE5)</f>
        <v>1</v>
      </c>
      <c r="I4" s="835">
        <f>SUM(AF4:AF5)</f>
        <v>15</v>
      </c>
      <c r="J4" s="837">
        <f>SUM(B4:I4)</f>
        <v>62</v>
      </c>
      <c r="L4" s="409"/>
      <c r="M4" s="531" t="s">
        <v>612</v>
      </c>
      <c r="N4" s="489"/>
      <c r="O4" s="489">
        <v>10</v>
      </c>
      <c r="P4" s="489">
        <v>2</v>
      </c>
      <c r="Q4" s="489">
        <v>1</v>
      </c>
      <c r="R4" s="489">
        <v>1</v>
      </c>
      <c r="S4" s="489">
        <v>7</v>
      </c>
      <c r="T4" s="489">
        <v>2</v>
      </c>
      <c r="U4" s="489">
        <v>1</v>
      </c>
      <c r="V4" s="489"/>
      <c r="W4" s="489">
        <v>1</v>
      </c>
      <c r="X4" s="489">
        <v>1</v>
      </c>
      <c r="Y4" s="489">
        <v>10</v>
      </c>
      <c r="Z4" s="489"/>
      <c r="AA4" s="489"/>
      <c r="AB4" s="489">
        <v>2</v>
      </c>
      <c r="AC4" s="489">
        <v>4</v>
      </c>
      <c r="AD4" s="489">
        <v>3</v>
      </c>
      <c r="AE4" s="489">
        <v>1</v>
      </c>
      <c r="AF4" s="489">
        <v>14</v>
      </c>
      <c r="AG4" s="394"/>
    </row>
    <row r="5" spans="1:51" ht="18.75" customHeight="1" x14ac:dyDescent="0.2">
      <c r="A5" s="410" t="s">
        <v>373</v>
      </c>
      <c r="B5" s="836">
        <f>B4/B$14</f>
        <v>7.357449417535254E-3</v>
      </c>
      <c r="C5" s="836">
        <f t="shared" ref="C5:J5" si="0">C4/C$14</f>
        <v>1.0793308148947653E-3</v>
      </c>
      <c r="D5" s="836">
        <f t="shared" si="0"/>
        <v>8.5271317829457363E-3</v>
      </c>
      <c r="E5" s="836">
        <f t="shared" si="0"/>
        <v>9.6153846153846159E-3</v>
      </c>
      <c r="F5" s="836">
        <f t="shared" si="0"/>
        <v>0</v>
      </c>
      <c r="G5" s="836">
        <f t="shared" si="0"/>
        <v>1.8796992481203006E-3</v>
      </c>
      <c r="H5" s="836">
        <f t="shared" si="0"/>
        <v>6.0606060606060606E-3</v>
      </c>
      <c r="I5" s="836">
        <f t="shared" si="0"/>
        <v>7.656967840735069E-3</v>
      </c>
      <c r="J5" s="836">
        <f t="shared" si="0"/>
        <v>4.3785310734463278E-3</v>
      </c>
      <c r="L5" s="409"/>
      <c r="M5" s="489" t="s">
        <v>373</v>
      </c>
      <c r="N5" s="489"/>
      <c r="O5" s="489"/>
      <c r="P5" s="489"/>
      <c r="Q5" s="489"/>
      <c r="R5" s="489"/>
      <c r="S5" s="489">
        <v>1</v>
      </c>
      <c r="T5" s="489"/>
      <c r="U5" s="489"/>
      <c r="V5" s="489"/>
      <c r="W5" s="489"/>
      <c r="X5" s="489"/>
      <c r="Y5" s="489"/>
      <c r="Z5" s="489"/>
      <c r="AA5" s="489"/>
      <c r="AB5" s="489"/>
      <c r="AC5" s="489"/>
      <c r="AD5" s="489"/>
      <c r="AE5" s="489"/>
      <c r="AF5" s="489">
        <v>1</v>
      </c>
      <c r="AG5" s="394"/>
    </row>
    <row r="6" spans="1:51" ht="18.75" customHeight="1" x14ac:dyDescent="0.2">
      <c r="A6" s="1005" t="s">
        <v>15</v>
      </c>
      <c r="B6" s="835">
        <f>SUM(入院形態病院圏域[[#This Row],[01豊能北]:[03豊能吹田]])</f>
        <v>770</v>
      </c>
      <c r="C6" s="835">
        <f>SUM(入院形態病院圏域[[#This Row],[04三島]:[05三島高槻]])</f>
        <v>1233</v>
      </c>
      <c r="D6" s="835">
        <f>SUM(入院形態病院圏域[[#This Row],[06北河内枚方]:[09北河内東]])</f>
        <v>772</v>
      </c>
      <c r="E6" s="835">
        <f>SUM(入院形態病院圏域[[#This Row],[10中河内東大阪]:[12中河内南]])</f>
        <v>658</v>
      </c>
      <c r="F6" s="835">
        <f>SUM(入院形態病院圏域[[#This Row],[13南河内北]:[14南河内南]])</f>
        <v>543</v>
      </c>
      <c r="G6" s="835">
        <f>SUM(入院形態病院圏域[[#This Row],[15泉州北]:[17泉州南]])</f>
        <v>2051</v>
      </c>
      <c r="H6" s="835">
        <f>入院形態病院圏域[[#This Row],[18大阪市]]</f>
        <v>70</v>
      </c>
      <c r="I6" s="835">
        <f>入院形態病院圏域[[#This Row],[19堺市]]</f>
        <v>1271</v>
      </c>
      <c r="J6" s="837">
        <f>SUM(B6:I6)</f>
        <v>7368</v>
      </c>
      <c r="L6" s="409"/>
      <c r="M6" s="489" t="s">
        <v>15</v>
      </c>
      <c r="N6" s="489">
        <v>274</v>
      </c>
      <c r="O6" s="489">
        <v>399</v>
      </c>
      <c r="P6" s="489">
        <v>97</v>
      </c>
      <c r="Q6" s="489">
        <v>885</v>
      </c>
      <c r="R6" s="489">
        <v>348</v>
      </c>
      <c r="S6" s="489">
        <v>434</v>
      </c>
      <c r="T6" s="489">
        <v>167</v>
      </c>
      <c r="U6" s="489">
        <v>104</v>
      </c>
      <c r="V6" s="489">
        <v>67</v>
      </c>
      <c r="W6" s="489">
        <v>390</v>
      </c>
      <c r="X6" s="489">
        <v>154</v>
      </c>
      <c r="Y6" s="489">
        <v>114</v>
      </c>
      <c r="Z6" s="489">
        <v>139</v>
      </c>
      <c r="AA6" s="489">
        <v>404</v>
      </c>
      <c r="AB6" s="489">
        <v>550</v>
      </c>
      <c r="AC6" s="489">
        <v>828</v>
      </c>
      <c r="AD6" s="489">
        <v>673</v>
      </c>
      <c r="AE6" s="489">
        <v>70</v>
      </c>
      <c r="AF6" s="489">
        <v>1271</v>
      </c>
      <c r="AG6" s="394"/>
    </row>
    <row r="7" spans="1:51" ht="18.75" customHeight="1" x14ac:dyDescent="0.2">
      <c r="A7" s="1006"/>
      <c r="B7" s="836">
        <f>B6/B$14</f>
        <v>0.47210300429184548</v>
      </c>
      <c r="C7" s="836">
        <f t="shared" ref="C7:J7" si="1">C6/C$14</f>
        <v>0.66540744738262281</v>
      </c>
      <c r="D7" s="836">
        <f t="shared" si="1"/>
        <v>0.59844961240310079</v>
      </c>
      <c r="E7" s="836">
        <f t="shared" si="1"/>
        <v>0.52724358974358976</v>
      </c>
      <c r="F7" s="836">
        <f t="shared" si="1"/>
        <v>0.44290375203915172</v>
      </c>
      <c r="G7" s="836">
        <f t="shared" si="1"/>
        <v>0.42836257309941522</v>
      </c>
      <c r="H7" s="836">
        <f t="shared" si="1"/>
        <v>0.42424242424242425</v>
      </c>
      <c r="I7" s="836">
        <f t="shared" si="1"/>
        <v>0.64880040837161812</v>
      </c>
      <c r="J7" s="836">
        <f t="shared" si="1"/>
        <v>0.52033898305084747</v>
      </c>
      <c r="L7" s="409"/>
      <c r="M7" s="489" t="s">
        <v>16</v>
      </c>
      <c r="N7" s="489">
        <v>234</v>
      </c>
      <c r="O7" s="489">
        <v>440</v>
      </c>
      <c r="P7" s="489">
        <v>173</v>
      </c>
      <c r="Q7" s="489">
        <v>321</v>
      </c>
      <c r="R7" s="489">
        <v>296</v>
      </c>
      <c r="S7" s="489">
        <v>221</v>
      </c>
      <c r="T7" s="489">
        <v>51</v>
      </c>
      <c r="U7" s="489">
        <v>103</v>
      </c>
      <c r="V7" s="489">
        <v>98</v>
      </c>
      <c r="W7" s="489">
        <v>343</v>
      </c>
      <c r="X7" s="489">
        <v>178</v>
      </c>
      <c r="Y7" s="489">
        <v>57</v>
      </c>
      <c r="Z7" s="489">
        <v>290</v>
      </c>
      <c r="AA7" s="489">
        <v>393</v>
      </c>
      <c r="AB7" s="489">
        <v>1031</v>
      </c>
      <c r="AC7" s="489">
        <v>1238</v>
      </c>
      <c r="AD7" s="489">
        <v>459</v>
      </c>
      <c r="AE7" s="489">
        <v>94</v>
      </c>
      <c r="AF7" s="489">
        <v>672</v>
      </c>
      <c r="AG7" s="394"/>
    </row>
    <row r="8" spans="1:51" ht="18.75" customHeight="1" x14ac:dyDescent="0.2">
      <c r="A8" s="1005" t="s">
        <v>16</v>
      </c>
      <c r="B8" s="835">
        <f>SUM(N7:P7)</f>
        <v>847</v>
      </c>
      <c r="C8" s="835">
        <f>SUM(Q7:R7)</f>
        <v>617</v>
      </c>
      <c r="D8" s="835">
        <f>SUM(S7:V7)</f>
        <v>473</v>
      </c>
      <c r="E8" s="835">
        <f>SUM(W7:Y7)</f>
        <v>578</v>
      </c>
      <c r="F8" s="835">
        <f>SUM(Z7:AA7)</f>
        <v>683</v>
      </c>
      <c r="G8" s="835">
        <f>SUM(AB7:AD7)</f>
        <v>2728</v>
      </c>
      <c r="H8" s="835">
        <f>AE7</f>
        <v>94</v>
      </c>
      <c r="I8" s="835">
        <f>AF7</f>
        <v>672</v>
      </c>
      <c r="J8" s="837">
        <f>SUM(B8:I8)</f>
        <v>6692</v>
      </c>
      <c r="L8" s="409"/>
      <c r="M8" s="489" t="s">
        <v>17</v>
      </c>
      <c r="N8" s="489"/>
      <c r="O8" s="489"/>
      <c r="P8" s="489"/>
      <c r="Q8" s="489"/>
      <c r="R8" s="489"/>
      <c r="S8" s="489">
        <v>1</v>
      </c>
      <c r="T8" s="489"/>
      <c r="U8" s="489"/>
      <c r="V8" s="489"/>
      <c r="W8" s="489"/>
      <c r="X8" s="489"/>
      <c r="Y8" s="489"/>
      <c r="Z8" s="489"/>
      <c r="AA8" s="489"/>
      <c r="AB8" s="489"/>
      <c r="AC8" s="489"/>
      <c r="AD8" s="489"/>
      <c r="AE8" s="489"/>
      <c r="AF8" s="489"/>
      <c r="AG8" s="394"/>
    </row>
    <row r="9" spans="1:51" ht="18.75" customHeight="1" x14ac:dyDescent="0.2">
      <c r="A9" s="1006"/>
      <c r="B9" s="836">
        <f>B8/B$14</f>
        <v>0.51931330472102999</v>
      </c>
      <c r="C9" s="836">
        <f t="shared" ref="C9:J9" si="2">C8/C$14</f>
        <v>0.33297355639503506</v>
      </c>
      <c r="D9" s="836">
        <f t="shared" si="2"/>
        <v>0.36666666666666664</v>
      </c>
      <c r="E9" s="836">
        <f t="shared" si="2"/>
        <v>0.46314102564102566</v>
      </c>
      <c r="F9" s="836">
        <f t="shared" si="2"/>
        <v>0.55709624796084833</v>
      </c>
      <c r="G9" s="836">
        <f t="shared" si="2"/>
        <v>0.56975772765246446</v>
      </c>
      <c r="H9" s="836">
        <f t="shared" si="2"/>
        <v>0.5696969696969697</v>
      </c>
      <c r="I9" s="836">
        <f t="shared" si="2"/>
        <v>0.34303215926493108</v>
      </c>
      <c r="J9" s="836">
        <f t="shared" si="2"/>
        <v>0.4725988700564972</v>
      </c>
      <c r="L9" s="409"/>
      <c r="M9" s="489" t="s">
        <v>613</v>
      </c>
      <c r="N9" s="489"/>
      <c r="O9" s="489">
        <v>2</v>
      </c>
      <c r="P9" s="489"/>
      <c r="Q9" s="489"/>
      <c r="R9" s="489">
        <v>1</v>
      </c>
      <c r="S9" s="489"/>
      <c r="T9" s="489"/>
      <c r="U9" s="489">
        <v>1</v>
      </c>
      <c r="V9" s="489"/>
      <c r="W9" s="489"/>
      <c r="X9" s="489"/>
      <c r="Y9" s="489"/>
      <c r="Z9" s="489"/>
      <c r="AA9" s="489"/>
      <c r="AB9" s="489"/>
      <c r="AC9" s="489"/>
      <c r="AD9" s="489"/>
      <c r="AE9" s="489"/>
      <c r="AF9" s="489">
        <v>1</v>
      </c>
      <c r="AG9" s="394"/>
    </row>
    <row r="10" spans="1:51" ht="18.75" customHeight="1" x14ac:dyDescent="0.2">
      <c r="A10" s="1005" t="s">
        <v>17</v>
      </c>
      <c r="B10" s="835">
        <f>SUM(N8:P8)</f>
        <v>0</v>
      </c>
      <c r="C10" s="835">
        <f>SUM(Q8:R8)</f>
        <v>0</v>
      </c>
      <c r="D10" s="835">
        <f>SUM(S8:V8)</f>
        <v>1</v>
      </c>
      <c r="E10" s="835">
        <f>SUM(W8:Y8)</f>
        <v>0</v>
      </c>
      <c r="F10" s="835">
        <f>SUM(Z8:AA8)</f>
        <v>0</v>
      </c>
      <c r="G10" s="835">
        <f>SUM(AB8:AD8)</f>
        <v>0</v>
      </c>
      <c r="H10" s="835">
        <f>AE8</f>
        <v>0</v>
      </c>
      <c r="I10" s="835">
        <f>AF8</f>
        <v>0</v>
      </c>
      <c r="J10" s="837">
        <f>SUM(B10:I10)</f>
        <v>1</v>
      </c>
      <c r="L10" s="409"/>
      <c r="M10" s="489" t="s">
        <v>614</v>
      </c>
      <c r="N10" s="489"/>
      <c r="O10" s="489"/>
      <c r="P10" s="489"/>
      <c r="Q10" s="489"/>
      <c r="R10" s="489"/>
      <c r="S10" s="489">
        <v>32</v>
      </c>
      <c r="T10" s="489"/>
      <c r="U10" s="489"/>
      <c r="V10" s="489"/>
      <c r="W10" s="489"/>
      <c r="X10" s="489"/>
      <c r="Y10" s="489"/>
      <c r="Z10" s="489"/>
      <c r="AA10" s="489"/>
      <c r="AB10" s="489"/>
      <c r="AC10" s="489"/>
      <c r="AD10" s="489"/>
      <c r="AE10" s="489"/>
      <c r="AF10" s="489"/>
      <c r="AG10" s="394"/>
    </row>
    <row r="11" spans="1:51" ht="18.75" customHeight="1" x14ac:dyDescent="0.2">
      <c r="A11" s="1006"/>
      <c r="B11" s="836">
        <f>B10/B$14</f>
        <v>0</v>
      </c>
      <c r="C11" s="836">
        <f t="shared" ref="C11:J11" si="3">C10/C$14</f>
        <v>0</v>
      </c>
      <c r="D11" s="836">
        <f t="shared" si="3"/>
        <v>7.7519379844961239E-4</v>
      </c>
      <c r="E11" s="836">
        <f t="shared" si="3"/>
        <v>0</v>
      </c>
      <c r="F11" s="836">
        <f t="shared" si="3"/>
        <v>0</v>
      </c>
      <c r="G11" s="836">
        <f t="shared" si="3"/>
        <v>0</v>
      </c>
      <c r="H11" s="836">
        <f t="shared" si="3"/>
        <v>0</v>
      </c>
      <c r="I11" s="836">
        <f t="shared" si="3"/>
        <v>0</v>
      </c>
      <c r="J11" s="836">
        <f t="shared" si="3"/>
        <v>7.0621468926553675E-5</v>
      </c>
      <c r="L11" s="409"/>
      <c r="M11" s="489" t="s">
        <v>384</v>
      </c>
      <c r="N11" s="489"/>
      <c r="O11" s="489"/>
      <c r="P11" s="489"/>
      <c r="Q11" s="489"/>
      <c r="R11" s="489"/>
      <c r="S11" s="489"/>
      <c r="T11" s="489"/>
      <c r="U11" s="489"/>
      <c r="V11" s="489"/>
      <c r="W11" s="489"/>
      <c r="X11" s="489"/>
      <c r="Y11" s="489"/>
      <c r="Z11" s="489"/>
      <c r="AA11" s="489"/>
      <c r="AB11" s="489"/>
      <c r="AC11" s="489"/>
      <c r="AD11" s="489"/>
      <c r="AE11" s="489"/>
      <c r="AF11" s="489"/>
      <c r="AG11" s="394"/>
    </row>
    <row r="12" spans="1:51" ht="18.75" customHeight="1" x14ac:dyDescent="0.2">
      <c r="A12" s="1005" t="s">
        <v>18</v>
      </c>
      <c r="B12" s="835">
        <f>SUM(N9:P11)</f>
        <v>2</v>
      </c>
      <c r="C12" s="835">
        <f>SUM(Q9:R11)</f>
        <v>1</v>
      </c>
      <c r="D12" s="835">
        <f>SUM(S9:V11)</f>
        <v>33</v>
      </c>
      <c r="E12" s="835">
        <f>SUM(W9:Y11)</f>
        <v>0</v>
      </c>
      <c r="F12" s="835">
        <f>SUM(Z9:AA11)</f>
        <v>0</v>
      </c>
      <c r="G12" s="835">
        <f>SUM(AB9:AD11)</f>
        <v>0</v>
      </c>
      <c r="H12" s="835">
        <f>SUM(AE9:AE11)</f>
        <v>0</v>
      </c>
      <c r="I12" s="835">
        <f>SUM(AF9:AF11)</f>
        <v>1</v>
      </c>
      <c r="J12" s="837">
        <f>SUM(B12:I12)</f>
        <v>37</v>
      </c>
      <c r="M12" s="103" t="s">
        <v>262</v>
      </c>
      <c r="N12" s="103">
        <v>508</v>
      </c>
      <c r="O12" s="103">
        <v>851</v>
      </c>
      <c r="P12" s="103">
        <v>272</v>
      </c>
      <c r="Q12" s="103">
        <v>1207</v>
      </c>
      <c r="R12" s="103">
        <v>646</v>
      </c>
      <c r="S12" s="103">
        <v>696</v>
      </c>
      <c r="T12" s="103">
        <v>220</v>
      </c>
      <c r="U12" s="103">
        <v>209</v>
      </c>
      <c r="V12" s="103">
        <v>165</v>
      </c>
      <c r="W12" s="103">
        <v>734</v>
      </c>
      <c r="X12" s="103">
        <v>333</v>
      </c>
      <c r="Y12" s="103">
        <v>181</v>
      </c>
      <c r="Z12" s="103">
        <v>429</v>
      </c>
      <c r="AA12" s="103">
        <v>797</v>
      </c>
      <c r="AB12" s="103">
        <v>1583</v>
      </c>
      <c r="AC12" s="103">
        <v>2070</v>
      </c>
      <c r="AD12" s="103">
        <v>1135</v>
      </c>
      <c r="AE12" s="103">
        <v>165</v>
      </c>
      <c r="AF12" s="103">
        <v>1959</v>
      </c>
      <c r="AG12" s="394"/>
    </row>
    <row r="13" spans="1:51" ht="18.75" customHeight="1" x14ac:dyDescent="0.2">
      <c r="A13" s="1006"/>
      <c r="B13" s="836">
        <f>B12/B$14</f>
        <v>1.226241569589209E-3</v>
      </c>
      <c r="C13" s="836">
        <f t="shared" ref="C13:J13" si="4">C12/C$14</f>
        <v>5.3966540744738263E-4</v>
      </c>
      <c r="D13" s="836">
        <f t="shared" si="4"/>
        <v>2.5581395348837209E-2</v>
      </c>
      <c r="E13" s="836">
        <f t="shared" si="4"/>
        <v>0</v>
      </c>
      <c r="F13" s="836">
        <f t="shared" si="4"/>
        <v>0</v>
      </c>
      <c r="G13" s="836">
        <f t="shared" si="4"/>
        <v>0</v>
      </c>
      <c r="H13" s="836">
        <f t="shared" si="4"/>
        <v>0</v>
      </c>
      <c r="I13" s="836">
        <f t="shared" si="4"/>
        <v>5.1046452271567128E-4</v>
      </c>
      <c r="J13" s="836">
        <f t="shared" si="4"/>
        <v>2.6129943502824857E-3</v>
      </c>
      <c r="M13" s="103"/>
      <c r="N13" s="103"/>
      <c r="O13" s="103"/>
      <c r="P13" s="103"/>
      <c r="Q13" s="103"/>
      <c r="R13" s="103"/>
      <c r="S13" s="103"/>
      <c r="T13" s="103"/>
      <c r="U13" s="103"/>
      <c r="V13" s="103"/>
      <c r="W13" s="103"/>
      <c r="X13" s="103"/>
      <c r="Y13" s="103"/>
      <c r="Z13" s="103"/>
      <c r="AA13" s="103"/>
      <c r="AB13" s="103"/>
      <c r="AC13" s="103"/>
      <c r="AD13" s="103"/>
      <c r="AE13" s="103"/>
      <c r="AF13" s="103"/>
      <c r="AG13" s="394"/>
    </row>
    <row r="14" spans="1:51" ht="18.75" customHeight="1" x14ac:dyDescent="0.2">
      <c r="A14" s="1008" t="s">
        <v>161</v>
      </c>
      <c r="B14" s="405">
        <f>B4+B6+B8+B10+B12</f>
        <v>1631</v>
      </c>
      <c r="C14" s="405">
        <f t="shared" ref="C14:I14" si="5">C4+C6+C8+C10+C12</f>
        <v>1853</v>
      </c>
      <c r="D14" s="405">
        <f t="shared" si="5"/>
        <v>1290</v>
      </c>
      <c r="E14" s="405">
        <f t="shared" si="5"/>
        <v>1248</v>
      </c>
      <c r="F14" s="405">
        <f t="shared" si="5"/>
        <v>1226</v>
      </c>
      <c r="G14" s="405">
        <f t="shared" si="5"/>
        <v>4788</v>
      </c>
      <c r="H14" s="405">
        <f t="shared" si="5"/>
        <v>165</v>
      </c>
      <c r="I14" s="405">
        <f t="shared" si="5"/>
        <v>1959</v>
      </c>
      <c r="J14" s="406">
        <f>SUM(B14:I14)</f>
        <v>14160</v>
      </c>
      <c r="M14" s="103"/>
      <c r="N14" s="103"/>
      <c r="O14" s="103"/>
      <c r="P14" s="103"/>
      <c r="Q14" s="103"/>
      <c r="R14" s="103"/>
      <c r="S14" s="103"/>
      <c r="T14" s="103"/>
      <c r="U14" s="103"/>
      <c r="V14" s="103"/>
      <c r="W14" s="103"/>
      <c r="X14" s="103"/>
      <c r="Y14" s="103"/>
      <c r="Z14" s="103"/>
      <c r="AA14" s="103"/>
      <c r="AB14" s="103"/>
      <c r="AC14" s="103"/>
      <c r="AD14" s="103"/>
      <c r="AE14" s="103"/>
      <c r="AF14" s="103"/>
      <c r="AG14" s="394"/>
    </row>
    <row r="15" spans="1:51" ht="18.75" customHeight="1" x14ac:dyDescent="0.2">
      <c r="A15" s="1006"/>
      <c r="B15" s="407">
        <f>SUM(B5,B7,B9,B11,B13)</f>
        <v>0.99999999999999989</v>
      </c>
      <c r="C15" s="407">
        <f>SUM(C5,C7,C9,C11,C13)</f>
        <v>1</v>
      </c>
      <c r="D15" s="407">
        <f t="shared" ref="D15:J15" si="6">SUM(D5,D7,D9,D11,D13)</f>
        <v>1</v>
      </c>
      <c r="E15" s="407">
        <f t="shared" si="6"/>
        <v>1</v>
      </c>
      <c r="F15" s="407">
        <f t="shared" si="6"/>
        <v>1</v>
      </c>
      <c r="G15" s="407">
        <f t="shared" si="6"/>
        <v>1</v>
      </c>
      <c r="H15" s="407">
        <f t="shared" si="6"/>
        <v>1</v>
      </c>
      <c r="I15" s="407">
        <f t="shared" si="6"/>
        <v>1</v>
      </c>
      <c r="J15" s="407">
        <f t="shared" si="6"/>
        <v>1</v>
      </c>
      <c r="M15" s="103"/>
      <c r="N15" s="103"/>
      <c r="O15" s="103"/>
      <c r="P15" s="103"/>
      <c r="Q15" s="103"/>
      <c r="R15" s="103"/>
      <c r="S15" s="103"/>
      <c r="T15" s="103"/>
      <c r="U15" s="103"/>
      <c r="V15" s="103"/>
      <c r="W15" s="103"/>
      <c r="X15" s="103"/>
      <c r="Y15" s="103"/>
      <c r="Z15" s="103"/>
      <c r="AA15" s="103"/>
      <c r="AB15" s="103"/>
      <c r="AC15" s="103"/>
      <c r="AD15" s="103"/>
      <c r="AE15" s="103"/>
      <c r="AF15" s="103"/>
      <c r="AG15" s="394"/>
    </row>
    <row r="16" spans="1:51" x14ac:dyDescent="0.2">
      <c r="AG16" s="394"/>
    </row>
    <row r="17" spans="1:33" x14ac:dyDescent="0.2">
      <c r="B17" s="38"/>
      <c r="AG17" s="394"/>
    </row>
    <row r="18" spans="1:33" x14ac:dyDescent="0.2">
      <c r="AG18" s="394"/>
    </row>
    <row r="19" spans="1:33" x14ac:dyDescent="0.2">
      <c r="AG19" s="394"/>
    </row>
    <row r="20" spans="1:33" x14ac:dyDescent="0.2">
      <c r="AG20" s="394"/>
    </row>
    <row r="21" spans="1:33" x14ac:dyDescent="0.2">
      <c r="AG21" s="394"/>
    </row>
    <row r="22" spans="1:33" x14ac:dyDescent="0.2">
      <c r="A22" s="280"/>
      <c r="B22" s="59"/>
      <c r="C22" s="59"/>
      <c r="D22" s="59"/>
      <c r="E22" s="59"/>
      <c r="F22" s="59"/>
      <c r="G22" s="59"/>
      <c r="H22" s="59"/>
      <c r="I22" s="59"/>
      <c r="J22" s="59"/>
      <c r="K22" s="59"/>
      <c r="L22" s="59"/>
      <c r="M22" s="59"/>
      <c r="N22" s="59"/>
      <c r="O22" s="59"/>
      <c r="P22" s="59"/>
      <c r="Q22" s="59"/>
      <c r="R22" s="59"/>
      <c r="S22" s="59"/>
      <c r="AG22" s="394"/>
    </row>
  </sheetData>
  <mergeCells count="5">
    <mergeCell ref="A6:A7"/>
    <mergeCell ref="A8:A9"/>
    <mergeCell ref="A10:A11"/>
    <mergeCell ref="A12:A13"/>
    <mergeCell ref="A14:A15"/>
  </mergeCells>
  <phoneticPr fontId="2"/>
  <printOptions horizontalCentered="1"/>
  <pageMargins left="0.70866141732283472" right="0.70866141732283472" top="0.74803149606299213" bottom="0.74803149606299213" header="0.31496062992125984" footer="0.31496062992125984"/>
  <pageSetup paperSize="9" scale="94" orientation="portrait" r:id="rId1"/>
  <drawing r:id="rId2"/>
  <mc:AlternateContent xmlns:mc="http://schemas.openxmlformats.org/markup-compatibility/2006">
    <mc:Choice Requires="v">
      <legacyDrawing r:id="rId3"/>
    </mc:Choice>
  </mc:AlternateContent>
  <controls>
    <control shapeId="49153" r:id="rId4" name="Button 1">
      <controlPr defaultSize="0" print="0" autoFill="0" autoPict="0" macro="[0]!データ削除_入院形態病院圏域">
        <anchor moveWithCells="1" sizeWithCells="1">
          <from>
            <xdr:col>29</xdr:col>
            <xdr:colOff>723900</xdr:colOff>
            <xdr:row>0</xdr:row>
            <xdr:rowOff>76200</xdr:rowOff>
          </from>
          <to>
            <xdr:col>31</xdr:col>
            <xdr:colOff>495300</xdr:colOff>
            <xdr:row>1</xdr:row>
            <xdr:rowOff>121920</xdr:rowOff>
          </to>
        </anchor>
      </controlPr>
    </control>
  </controls>
  <tableParts count="1">
    <tablePart r:id="rId5"/>
  </tableParts>
</worksheet>
</file>

<file path=xl/worksheets/sheet2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4">
    <tabColor theme="9" tint="-0.499984740745262"/>
    <pageSetUpPr fitToPage="1"/>
  </sheetPr>
  <dimension ref="A1:AI55"/>
  <sheetViews>
    <sheetView showGridLines="0" view="pageBreakPreview" zoomScale="70" zoomScaleNormal="80" zoomScaleSheetLayoutView="70" workbookViewId="0"/>
  </sheetViews>
  <sheetFormatPr defaultColWidth="13.77734375" defaultRowHeight="17.399999999999999" x14ac:dyDescent="0.2"/>
  <cols>
    <col min="1" max="1" width="27.44140625" style="396" customWidth="1"/>
    <col min="2" max="10" width="8.77734375" style="396" customWidth="1"/>
    <col min="11" max="11" width="8.6640625" style="396" customWidth="1"/>
    <col min="12" max="12" width="11" style="396" hidden="1" customWidth="1"/>
    <col min="13" max="13" width="10.77734375" style="396" hidden="1" customWidth="1"/>
    <col min="14" max="15" width="12.44140625" style="396" hidden="1" customWidth="1"/>
    <col min="16" max="16" width="8.88671875" style="396" hidden="1" customWidth="1"/>
    <col min="17" max="17" width="12.44140625" style="396" hidden="1" customWidth="1"/>
    <col min="18" max="18" width="14.21875" style="396" hidden="1" customWidth="1"/>
    <col min="19" max="19" width="16.109375" style="396" hidden="1" customWidth="1"/>
    <col min="20" max="21" width="12.44140625" style="396" hidden="1" customWidth="1"/>
    <col min="22" max="22" width="16.109375" style="396" hidden="1" customWidth="1"/>
    <col min="23" max="23" width="14.21875" style="396" hidden="1" customWidth="1"/>
    <col min="24" max="26" width="12.44140625" style="396" hidden="1" customWidth="1"/>
    <col min="27" max="30" width="10.77734375" style="396" hidden="1" customWidth="1"/>
    <col min="31" max="31" width="8.88671875" style="396" hidden="1" customWidth="1"/>
    <col min="32" max="35" width="13.77734375" style="396" hidden="1" customWidth="1"/>
    <col min="36" max="36" width="0" style="396" hidden="1" customWidth="1"/>
    <col min="37" max="16384" width="13.77734375" style="396"/>
  </cols>
  <sheetData>
    <row r="1" spans="1:34" s="3" customFormat="1" ht="19.2" x14ac:dyDescent="0.2">
      <c r="A1" s="2" t="s">
        <v>406</v>
      </c>
    </row>
    <row r="2" spans="1:34" ht="18" thickBot="1" x14ac:dyDescent="0.25">
      <c r="A2" s="4"/>
    </row>
    <row r="3" spans="1:34" ht="18.75" customHeight="1" thickTop="1" thickBot="1" x14ac:dyDescent="0.25">
      <c r="A3" s="403"/>
      <c r="B3" s="403" t="s">
        <v>386</v>
      </c>
      <c r="C3" s="403" t="s">
        <v>387</v>
      </c>
      <c r="D3" s="403" t="s">
        <v>388</v>
      </c>
      <c r="E3" s="403" t="s">
        <v>389</v>
      </c>
      <c r="F3" s="403" t="s">
        <v>390</v>
      </c>
      <c r="G3" s="403" t="s">
        <v>391</v>
      </c>
      <c r="H3" s="403" t="s">
        <v>392</v>
      </c>
      <c r="I3" s="403" t="s">
        <v>393</v>
      </c>
      <c r="J3" s="403" t="s">
        <v>62</v>
      </c>
      <c r="K3" s="8"/>
      <c r="M3" s="535" t="s">
        <v>372</v>
      </c>
      <c r="N3" s="466" t="s">
        <v>394</v>
      </c>
      <c r="O3" s="466" t="s">
        <v>395</v>
      </c>
      <c r="P3" s="466" t="s">
        <v>396</v>
      </c>
      <c r="Q3" s="466" t="s">
        <v>397</v>
      </c>
      <c r="R3" s="466" t="s">
        <v>398</v>
      </c>
      <c r="S3" s="466" t="s">
        <v>399</v>
      </c>
      <c r="T3" s="466" t="s">
        <v>400</v>
      </c>
      <c r="U3" s="466" t="s">
        <v>401</v>
      </c>
      <c r="V3" s="466" t="s">
        <v>402</v>
      </c>
      <c r="W3" s="466" t="s">
        <v>403</v>
      </c>
      <c r="X3" s="466" t="s">
        <v>564</v>
      </c>
      <c r="Y3" s="466" t="s">
        <v>565</v>
      </c>
      <c r="Z3" s="466" t="s">
        <v>566</v>
      </c>
      <c r="AA3" s="466" t="s">
        <v>567</v>
      </c>
      <c r="AB3" s="466" t="s">
        <v>568</v>
      </c>
      <c r="AC3" s="466" t="s">
        <v>569</v>
      </c>
      <c r="AD3" s="466" t="s">
        <v>570</v>
      </c>
      <c r="AE3" s="466" t="s">
        <v>571</v>
      </c>
      <c r="AF3" s="466" t="s">
        <v>572</v>
      </c>
      <c r="AG3" s="103" t="s">
        <v>606</v>
      </c>
      <c r="AH3" s="466" t="s">
        <v>607</v>
      </c>
    </row>
    <row r="4" spans="1:34" ht="18.75" customHeight="1" thickTop="1" x14ac:dyDescent="0.2">
      <c r="A4" s="1010" t="s">
        <v>407</v>
      </c>
      <c r="B4" s="835">
        <f>B6+B8+B10</f>
        <v>356</v>
      </c>
      <c r="C4" s="835">
        <f>C6+C8+C10</f>
        <v>620</v>
      </c>
      <c r="D4" s="835">
        <f t="shared" ref="D4:I4" si="0">D6+D8+D10</f>
        <v>316</v>
      </c>
      <c r="E4" s="835">
        <f t="shared" si="0"/>
        <v>290</v>
      </c>
      <c r="F4" s="835">
        <f t="shared" si="0"/>
        <v>285</v>
      </c>
      <c r="G4" s="835">
        <f t="shared" si="0"/>
        <v>1689</v>
      </c>
      <c r="H4" s="835">
        <f>H6+H8+H10</f>
        <v>10</v>
      </c>
      <c r="I4" s="835">
        <f t="shared" si="0"/>
        <v>493</v>
      </c>
      <c r="J4" s="837">
        <f>SUM(B4:I4)</f>
        <v>4059</v>
      </c>
      <c r="K4" s="8"/>
      <c r="M4" s="497" t="s">
        <v>295</v>
      </c>
      <c r="N4" s="498">
        <v>97</v>
      </c>
      <c r="O4" s="498">
        <v>68</v>
      </c>
      <c r="P4" s="498">
        <v>7</v>
      </c>
      <c r="Q4" s="498">
        <v>239</v>
      </c>
      <c r="R4" s="498">
        <v>118</v>
      </c>
      <c r="S4" s="498">
        <v>92</v>
      </c>
      <c r="T4" s="498">
        <v>13</v>
      </c>
      <c r="U4" s="498">
        <v>40</v>
      </c>
      <c r="V4" s="498">
        <v>18</v>
      </c>
      <c r="W4" s="498">
        <v>83</v>
      </c>
      <c r="X4" s="498">
        <v>70</v>
      </c>
      <c r="Y4" s="498">
        <v>1</v>
      </c>
      <c r="Z4" s="498">
        <v>40</v>
      </c>
      <c r="AA4" s="498">
        <v>94</v>
      </c>
      <c r="AB4" s="498">
        <v>297</v>
      </c>
      <c r="AC4" s="498">
        <v>340</v>
      </c>
      <c r="AD4" s="498">
        <v>200</v>
      </c>
      <c r="AE4" s="498">
        <v>5</v>
      </c>
      <c r="AF4" s="498">
        <v>264</v>
      </c>
      <c r="AG4" s="103"/>
      <c r="AH4" s="833"/>
    </row>
    <row r="5" spans="1:34" ht="18.75" customHeight="1" x14ac:dyDescent="0.2">
      <c r="A5" s="1011"/>
      <c r="B5" s="836">
        <f>B4/B$34</f>
        <v>0.21827099938687922</v>
      </c>
      <c r="C5" s="836">
        <f t="shared" ref="C5:I5" si="1">C4/C$34</f>
        <v>0.33459255261737725</v>
      </c>
      <c r="D5" s="836">
        <f t="shared" si="1"/>
        <v>0.24496124031007752</v>
      </c>
      <c r="E5" s="836">
        <f t="shared" si="1"/>
        <v>0.23237179487179488</v>
      </c>
      <c r="F5" s="836">
        <f t="shared" si="1"/>
        <v>0.23246329526916804</v>
      </c>
      <c r="G5" s="836">
        <f t="shared" si="1"/>
        <v>0.35275689223057644</v>
      </c>
      <c r="H5" s="836">
        <f t="shared" si="1"/>
        <v>6.0606060606060608E-2</v>
      </c>
      <c r="I5" s="836">
        <f t="shared" si="1"/>
        <v>0.25165900969882593</v>
      </c>
      <c r="J5" s="836">
        <f>J4/J$34</f>
        <v>0.28665254237288135</v>
      </c>
      <c r="K5" s="411"/>
      <c r="M5" s="497" t="s">
        <v>284</v>
      </c>
      <c r="N5" s="498">
        <v>16</v>
      </c>
      <c r="O5" s="498">
        <v>15</v>
      </c>
      <c r="P5" s="498"/>
      <c r="Q5" s="498">
        <v>40</v>
      </c>
      <c r="R5" s="498">
        <v>15</v>
      </c>
      <c r="S5" s="498">
        <v>18</v>
      </c>
      <c r="T5" s="498">
        <v>1</v>
      </c>
      <c r="U5" s="498">
        <v>4</v>
      </c>
      <c r="V5" s="498">
        <v>3</v>
      </c>
      <c r="W5" s="498">
        <v>10</v>
      </c>
      <c r="X5" s="498">
        <v>5</v>
      </c>
      <c r="Y5" s="498">
        <v>1</v>
      </c>
      <c r="Z5" s="498"/>
      <c r="AA5" s="498">
        <v>8</v>
      </c>
      <c r="AB5" s="498">
        <v>35</v>
      </c>
      <c r="AC5" s="498">
        <v>44</v>
      </c>
      <c r="AD5" s="498">
        <v>46</v>
      </c>
      <c r="AE5" s="498"/>
      <c r="AF5" s="498">
        <v>23</v>
      </c>
      <c r="AG5" s="103"/>
      <c r="AH5" s="498"/>
    </row>
    <row r="6" spans="1:34" ht="18.75" customHeight="1" x14ac:dyDescent="0.2">
      <c r="A6" s="1012" t="s">
        <v>408</v>
      </c>
      <c r="B6" s="835">
        <f>SUM(N4:P4)</f>
        <v>172</v>
      </c>
      <c r="C6" s="835">
        <f>SUM(Q4:R4)</f>
        <v>357</v>
      </c>
      <c r="D6" s="835">
        <f>SUM(S4:V4)</f>
        <v>163</v>
      </c>
      <c r="E6" s="835">
        <f>SUM(W4:Y4)</f>
        <v>154</v>
      </c>
      <c r="F6" s="835">
        <f>SUM(Z4:AA4)</f>
        <v>134</v>
      </c>
      <c r="G6" s="835">
        <f>SUM(AB4:AD4)</f>
        <v>837</v>
      </c>
      <c r="H6" s="835">
        <f>AE4</f>
        <v>5</v>
      </c>
      <c r="I6" s="835">
        <f>AF4</f>
        <v>264</v>
      </c>
      <c r="J6" s="837">
        <f>SUM(B6:I6)</f>
        <v>2086</v>
      </c>
      <c r="K6" s="8"/>
      <c r="M6" s="497" t="s">
        <v>285</v>
      </c>
      <c r="N6" s="498">
        <v>69</v>
      </c>
      <c r="O6" s="498">
        <v>76</v>
      </c>
      <c r="P6" s="498">
        <v>8</v>
      </c>
      <c r="Q6" s="498">
        <v>163</v>
      </c>
      <c r="R6" s="498">
        <v>45</v>
      </c>
      <c r="S6" s="498">
        <v>67</v>
      </c>
      <c r="T6" s="498">
        <v>39</v>
      </c>
      <c r="U6" s="498">
        <v>10</v>
      </c>
      <c r="V6" s="498">
        <v>11</v>
      </c>
      <c r="W6" s="498">
        <v>74</v>
      </c>
      <c r="X6" s="498">
        <v>32</v>
      </c>
      <c r="Y6" s="498">
        <v>14</v>
      </c>
      <c r="Z6" s="498">
        <v>34</v>
      </c>
      <c r="AA6" s="498">
        <v>109</v>
      </c>
      <c r="AB6" s="498">
        <v>259</v>
      </c>
      <c r="AC6" s="498">
        <v>286</v>
      </c>
      <c r="AD6" s="498">
        <v>182</v>
      </c>
      <c r="AE6" s="498">
        <v>5</v>
      </c>
      <c r="AF6" s="498">
        <v>206</v>
      </c>
      <c r="AG6" s="103"/>
      <c r="AH6" s="498"/>
    </row>
    <row r="7" spans="1:34" ht="18.75" customHeight="1" x14ac:dyDescent="0.2">
      <c r="A7" s="1013"/>
      <c r="B7" s="836">
        <f>B6/B$34</f>
        <v>0.10545677498467199</v>
      </c>
      <c r="C7" s="836">
        <f t="shared" ref="C7:J7" si="2">C6/C$34</f>
        <v>0.19266055045871561</v>
      </c>
      <c r="D7" s="836">
        <f t="shared" si="2"/>
        <v>0.12635658914728681</v>
      </c>
      <c r="E7" s="836">
        <f t="shared" si="2"/>
        <v>0.1233974358974359</v>
      </c>
      <c r="F7" s="836">
        <f t="shared" si="2"/>
        <v>0.10929853181076672</v>
      </c>
      <c r="G7" s="836">
        <f t="shared" si="2"/>
        <v>0.17481203007518797</v>
      </c>
      <c r="H7" s="836">
        <f t="shared" si="2"/>
        <v>3.0303030303030304E-2</v>
      </c>
      <c r="I7" s="836">
        <f t="shared" si="2"/>
        <v>0.13476263399693722</v>
      </c>
      <c r="J7" s="836">
        <f t="shared" si="2"/>
        <v>0.14731638418079096</v>
      </c>
      <c r="K7" s="411"/>
      <c r="M7" s="497" t="s">
        <v>286</v>
      </c>
      <c r="N7" s="498">
        <v>12</v>
      </c>
      <c r="O7" s="498">
        <v>18</v>
      </c>
      <c r="P7" s="498"/>
      <c r="Q7" s="498">
        <v>31</v>
      </c>
      <c r="R7" s="498">
        <v>57</v>
      </c>
      <c r="S7" s="498">
        <v>7</v>
      </c>
      <c r="T7" s="498">
        <v>5</v>
      </c>
      <c r="U7" s="498">
        <v>4</v>
      </c>
      <c r="V7" s="498">
        <v>6</v>
      </c>
      <c r="W7" s="498">
        <v>8</v>
      </c>
      <c r="X7" s="498">
        <v>3</v>
      </c>
      <c r="Y7" s="498">
        <v>3</v>
      </c>
      <c r="Z7" s="498">
        <v>18</v>
      </c>
      <c r="AA7" s="498">
        <v>32</v>
      </c>
      <c r="AB7" s="498">
        <v>276</v>
      </c>
      <c r="AC7" s="498">
        <v>79</v>
      </c>
      <c r="AD7" s="498">
        <v>20</v>
      </c>
      <c r="AE7" s="498">
        <v>1</v>
      </c>
      <c r="AF7" s="498">
        <v>54</v>
      </c>
      <c r="AG7" s="103"/>
      <c r="AH7" s="498"/>
    </row>
    <row r="8" spans="1:34" ht="18.75" customHeight="1" x14ac:dyDescent="0.2">
      <c r="A8" s="1012" t="s">
        <v>409</v>
      </c>
      <c r="B8" s="835">
        <f>SUM(N5:P5)</f>
        <v>31</v>
      </c>
      <c r="C8" s="835">
        <f>SUM(Q5:R5)</f>
        <v>55</v>
      </c>
      <c r="D8" s="835">
        <f>SUM(S5:V5)</f>
        <v>26</v>
      </c>
      <c r="E8" s="835">
        <f>SUM(W5:Y5)</f>
        <v>16</v>
      </c>
      <c r="F8" s="835">
        <f>SUM(Z5:AA5)</f>
        <v>8</v>
      </c>
      <c r="G8" s="835">
        <f>SUM(AB5:AD5)</f>
        <v>125</v>
      </c>
      <c r="H8" s="835">
        <f>AE5</f>
        <v>0</v>
      </c>
      <c r="I8" s="835">
        <f>AF5</f>
        <v>23</v>
      </c>
      <c r="J8" s="837">
        <f>SUM(B8:I8)</f>
        <v>284</v>
      </c>
      <c r="K8" s="8"/>
      <c r="M8" s="497" t="s">
        <v>200</v>
      </c>
      <c r="N8" s="498">
        <v>1</v>
      </c>
      <c r="O8" s="498">
        <v>5</v>
      </c>
      <c r="P8" s="498"/>
      <c r="Q8" s="498"/>
      <c r="R8" s="498"/>
      <c r="S8" s="498">
        <v>7</v>
      </c>
      <c r="T8" s="498">
        <v>1</v>
      </c>
      <c r="U8" s="498">
        <v>1</v>
      </c>
      <c r="V8" s="498">
        <v>1</v>
      </c>
      <c r="W8" s="498">
        <v>4</v>
      </c>
      <c r="X8" s="498"/>
      <c r="Y8" s="498"/>
      <c r="Z8" s="498">
        <v>3</v>
      </c>
      <c r="AA8" s="498">
        <v>4</v>
      </c>
      <c r="AB8" s="498">
        <v>6</v>
      </c>
      <c r="AC8" s="498">
        <v>9</v>
      </c>
      <c r="AD8" s="498">
        <v>1</v>
      </c>
      <c r="AE8" s="498">
        <v>1</v>
      </c>
      <c r="AF8" s="498">
        <v>13</v>
      </c>
      <c r="AG8" s="103"/>
      <c r="AH8" s="498"/>
    </row>
    <row r="9" spans="1:34" ht="18.75" customHeight="1" x14ac:dyDescent="0.2">
      <c r="A9" s="1013"/>
      <c r="B9" s="836">
        <f>B8/B$34</f>
        <v>1.9006744328632742E-2</v>
      </c>
      <c r="C9" s="836">
        <f t="shared" ref="C9:J9" si="3">C8/C$34</f>
        <v>2.9681597409606044E-2</v>
      </c>
      <c r="D9" s="836">
        <f t="shared" si="3"/>
        <v>2.0155038759689922E-2</v>
      </c>
      <c r="E9" s="836">
        <f t="shared" si="3"/>
        <v>1.282051282051282E-2</v>
      </c>
      <c r="F9" s="836">
        <f t="shared" si="3"/>
        <v>6.5252854812398045E-3</v>
      </c>
      <c r="G9" s="836">
        <f t="shared" si="3"/>
        <v>2.6106934001670842E-2</v>
      </c>
      <c r="H9" s="836">
        <f t="shared" si="3"/>
        <v>0</v>
      </c>
      <c r="I9" s="836">
        <f t="shared" si="3"/>
        <v>1.1740684022460439E-2</v>
      </c>
      <c r="J9" s="836">
        <f t="shared" si="3"/>
        <v>2.0056497175141241E-2</v>
      </c>
      <c r="K9" s="411"/>
      <c r="M9" s="497" t="s">
        <v>201</v>
      </c>
      <c r="N9" s="498"/>
      <c r="O9" s="498">
        <v>2</v>
      </c>
      <c r="P9" s="498"/>
      <c r="Q9" s="498">
        <v>2</v>
      </c>
      <c r="R9" s="498">
        <v>1</v>
      </c>
      <c r="S9" s="498">
        <v>4</v>
      </c>
      <c r="T9" s="498">
        <v>1</v>
      </c>
      <c r="U9" s="498"/>
      <c r="V9" s="498"/>
      <c r="W9" s="498"/>
      <c r="X9" s="498"/>
      <c r="Y9" s="498">
        <v>3</v>
      </c>
      <c r="Z9" s="498"/>
      <c r="AA9" s="498">
        <v>6</v>
      </c>
      <c r="AB9" s="498">
        <v>2</v>
      </c>
      <c r="AC9" s="498">
        <v>27</v>
      </c>
      <c r="AD9" s="498">
        <v>11</v>
      </c>
      <c r="AE9" s="498"/>
      <c r="AF9" s="498">
        <v>5</v>
      </c>
      <c r="AG9" s="103"/>
      <c r="AH9" s="498"/>
    </row>
    <row r="10" spans="1:34" ht="18.75" customHeight="1" x14ac:dyDescent="0.2">
      <c r="A10" s="1012" t="s">
        <v>410</v>
      </c>
      <c r="B10" s="835">
        <f>SUM(N6:P6)</f>
        <v>153</v>
      </c>
      <c r="C10" s="835">
        <f>SUM(Q6:R6)</f>
        <v>208</v>
      </c>
      <c r="D10" s="835">
        <f>SUM(S6:V6)</f>
        <v>127</v>
      </c>
      <c r="E10" s="835">
        <f>SUM(W6:Y6)</f>
        <v>120</v>
      </c>
      <c r="F10" s="835">
        <f>SUM(Z6:AA6)</f>
        <v>143</v>
      </c>
      <c r="G10" s="835">
        <f>SUM(AB6:AD6)</f>
        <v>727</v>
      </c>
      <c r="H10" s="835">
        <f>AE6</f>
        <v>5</v>
      </c>
      <c r="I10" s="835">
        <f>AF6</f>
        <v>206</v>
      </c>
      <c r="J10" s="837">
        <f>SUM(B10:I10)</f>
        <v>1689</v>
      </c>
      <c r="K10" s="8"/>
      <c r="M10" s="497" t="s">
        <v>287</v>
      </c>
      <c r="N10" s="498">
        <v>238</v>
      </c>
      <c r="O10" s="498">
        <v>502</v>
      </c>
      <c r="P10" s="498">
        <v>212</v>
      </c>
      <c r="Q10" s="498">
        <v>608</v>
      </c>
      <c r="R10" s="498">
        <v>278</v>
      </c>
      <c r="S10" s="498">
        <v>360</v>
      </c>
      <c r="T10" s="498">
        <v>132</v>
      </c>
      <c r="U10" s="498">
        <v>106</v>
      </c>
      <c r="V10" s="498">
        <v>106</v>
      </c>
      <c r="W10" s="498">
        <v>397</v>
      </c>
      <c r="X10" s="498">
        <v>151</v>
      </c>
      <c r="Y10" s="498">
        <v>116</v>
      </c>
      <c r="Z10" s="498">
        <v>239</v>
      </c>
      <c r="AA10" s="498">
        <v>368</v>
      </c>
      <c r="AB10" s="498">
        <v>506</v>
      </c>
      <c r="AC10" s="498">
        <v>911</v>
      </c>
      <c r="AD10" s="498">
        <v>489</v>
      </c>
      <c r="AE10" s="498">
        <v>59</v>
      </c>
      <c r="AF10" s="498">
        <v>953</v>
      </c>
      <c r="AG10" s="103"/>
      <c r="AH10" s="498"/>
    </row>
    <row r="11" spans="1:34" ht="26.25" customHeight="1" x14ac:dyDescent="0.2">
      <c r="A11" s="1013"/>
      <c r="B11" s="836">
        <f>B10/B$34</f>
        <v>9.3807480073574492E-2</v>
      </c>
      <c r="C11" s="836">
        <f t="shared" ref="C11:J11" si="4">C10/C$34</f>
        <v>0.11225040474905558</v>
      </c>
      <c r="D11" s="836">
        <f t="shared" si="4"/>
        <v>9.8449612403100781E-2</v>
      </c>
      <c r="E11" s="836">
        <f t="shared" si="4"/>
        <v>9.6153846153846159E-2</v>
      </c>
      <c r="F11" s="836">
        <f t="shared" si="4"/>
        <v>0.1166394779771615</v>
      </c>
      <c r="G11" s="836">
        <f t="shared" si="4"/>
        <v>0.15183792815371763</v>
      </c>
      <c r="H11" s="836">
        <f t="shared" si="4"/>
        <v>3.0303030303030304E-2</v>
      </c>
      <c r="I11" s="836">
        <f t="shared" si="4"/>
        <v>0.10515569167942827</v>
      </c>
      <c r="J11" s="836">
        <f t="shared" si="4"/>
        <v>0.11927966101694916</v>
      </c>
      <c r="K11" s="411"/>
      <c r="M11" s="497" t="s">
        <v>288</v>
      </c>
      <c r="N11" s="498">
        <v>28</v>
      </c>
      <c r="O11" s="498">
        <v>69</v>
      </c>
      <c r="P11" s="498">
        <v>20</v>
      </c>
      <c r="Q11" s="498">
        <v>40</v>
      </c>
      <c r="R11" s="498">
        <v>37</v>
      </c>
      <c r="S11" s="498">
        <v>29</v>
      </c>
      <c r="T11" s="498">
        <v>2</v>
      </c>
      <c r="U11" s="498">
        <v>16</v>
      </c>
      <c r="V11" s="498">
        <v>2</v>
      </c>
      <c r="W11" s="498">
        <v>47</v>
      </c>
      <c r="X11" s="498">
        <v>16</v>
      </c>
      <c r="Y11" s="498">
        <v>8</v>
      </c>
      <c r="Z11" s="498">
        <v>8</v>
      </c>
      <c r="AA11" s="498">
        <v>52</v>
      </c>
      <c r="AB11" s="498">
        <v>63</v>
      </c>
      <c r="AC11" s="498">
        <v>112</v>
      </c>
      <c r="AD11" s="498">
        <v>41</v>
      </c>
      <c r="AE11" s="498">
        <v>14</v>
      </c>
      <c r="AF11" s="498">
        <v>78</v>
      </c>
      <c r="AG11" s="103"/>
      <c r="AH11" s="498"/>
    </row>
    <row r="12" spans="1:34" ht="18.75" customHeight="1" x14ac:dyDescent="0.2">
      <c r="A12" s="1010" t="s">
        <v>20</v>
      </c>
      <c r="B12" s="835">
        <f>SUM(N7:P9)</f>
        <v>38</v>
      </c>
      <c r="C12" s="835">
        <f>SUM(Q7:R9)</f>
        <v>91</v>
      </c>
      <c r="D12" s="835">
        <f>SUM(S7:V9)</f>
        <v>37</v>
      </c>
      <c r="E12" s="835">
        <f>SUM(W7:Y9)</f>
        <v>21</v>
      </c>
      <c r="F12" s="835">
        <f>SUM(Z7:AA9)</f>
        <v>63</v>
      </c>
      <c r="G12" s="835">
        <f>SUM(AB7:AD9)</f>
        <v>431</v>
      </c>
      <c r="H12" s="835">
        <f>SUM(AE7:AE9)</f>
        <v>2</v>
      </c>
      <c r="I12" s="835">
        <f>SUM(AF7:AF9)</f>
        <v>72</v>
      </c>
      <c r="J12" s="837">
        <f>SUM(B12:I12)</f>
        <v>755</v>
      </c>
      <c r="K12" s="8"/>
      <c r="M12" s="497" t="s">
        <v>289</v>
      </c>
      <c r="N12" s="498">
        <v>27</v>
      </c>
      <c r="O12" s="498">
        <v>29</v>
      </c>
      <c r="P12" s="498">
        <v>12</v>
      </c>
      <c r="Q12" s="498">
        <v>46</v>
      </c>
      <c r="R12" s="498">
        <v>49</v>
      </c>
      <c r="S12" s="498">
        <v>36</v>
      </c>
      <c r="T12" s="498">
        <v>13</v>
      </c>
      <c r="U12" s="498">
        <v>20</v>
      </c>
      <c r="V12" s="498">
        <v>12</v>
      </c>
      <c r="W12" s="498">
        <v>56</v>
      </c>
      <c r="X12" s="498">
        <v>38</v>
      </c>
      <c r="Y12" s="498">
        <v>19</v>
      </c>
      <c r="Z12" s="498">
        <v>55</v>
      </c>
      <c r="AA12" s="498">
        <v>56</v>
      </c>
      <c r="AB12" s="498">
        <v>66</v>
      </c>
      <c r="AC12" s="498">
        <v>123</v>
      </c>
      <c r="AD12" s="498">
        <v>77</v>
      </c>
      <c r="AE12" s="498">
        <v>31</v>
      </c>
      <c r="AF12" s="498">
        <v>186</v>
      </c>
      <c r="AG12" s="103"/>
      <c r="AH12" s="498"/>
    </row>
    <row r="13" spans="1:34" ht="18.75" customHeight="1" x14ac:dyDescent="0.2">
      <c r="A13" s="1011"/>
      <c r="B13" s="836">
        <f>B12/B$34</f>
        <v>2.3298589822194973E-2</v>
      </c>
      <c r="C13" s="836">
        <f t="shared" ref="C13:J13" si="5">C12/C$34</f>
        <v>4.9109552077711817E-2</v>
      </c>
      <c r="D13" s="836">
        <f t="shared" si="5"/>
        <v>2.8682170542635659E-2</v>
      </c>
      <c r="E13" s="836">
        <f t="shared" si="5"/>
        <v>1.6826923076923076E-2</v>
      </c>
      <c r="F13" s="836">
        <f t="shared" si="5"/>
        <v>5.1386623164763459E-2</v>
      </c>
      <c r="G13" s="836">
        <f t="shared" si="5"/>
        <v>9.0016708437761064E-2</v>
      </c>
      <c r="H13" s="836">
        <f t="shared" si="5"/>
        <v>1.2121212121212121E-2</v>
      </c>
      <c r="I13" s="836">
        <f t="shared" si="5"/>
        <v>3.6753445635528334E-2</v>
      </c>
      <c r="J13" s="836">
        <f t="shared" si="5"/>
        <v>5.3319209039548024E-2</v>
      </c>
      <c r="K13" s="411"/>
      <c r="M13" s="497" t="s">
        <v>290</v>
      </c>
      <c r="N13" s="498">
        <v>5</v>
      </c>
      <c r="O13" s="498">
        <v>24</v>
      </c>
      <c r="P13" s="498">
        <v>3</v>
      </c>
      <c r="Q13" s="498">
        <v>5</v>
      </c>
      <c r="R13" s="498">
        <v>15</v>
      </c>
      <c r="S13" s="498">
        <v>21</v>
      </c>
      <c r="T13" s="498">
        <v>4</v>
      </c>
      <c r="U13" s="498">
        <v>3</v>
      </c>
      <c r="V13" s="498"/>
      <c r="W13" s="498">
        <v>19</v>
      </c>
      <c r="X13" s="498">
        <v>8</v>
      </c>
      <c r="Y13" s="498">
        <v>1</v>
      </c>
      <c r="Z13" s="498">
        <v>17</v>
      </c>
      <c r="AA13" s="498">
        <v>19</v>
      </c>
      <c r="AB13" s="498">
        <v>16</v>
      </c>
      <c r="AC13" s="498">
        <v>31</v>
      </c>
      <c r="AD13" s="498">
        <v>12</v>
      </c>
      <c r="AE13" s="498">
        <v>10</v>
      </c>
      <c r="AF13" s="498">
        <v>50</v>
      </c>
      <c r="AG13" s="103"/>
      <c r="AH13" s="498"/>
    </row>
    <row r="14" spans="1:34" ht="18.75" customHeight="1" x14ac:dyDescent="0.2">
      <c r="A14" s="1010" t="s">
        <v>21</v>
      </c>
      <c r="B14" s="835">
        <f>SUM(N10:P10)</f>
        <v>952</v>
      </c>
      <c r="C14" s="835">
        <f>SUM(Q10:R10)</f>
        <v>886</v>
      </c>
      <c r="D14" s="835">
        <f>SUM(S10:V10)</f>
        <v>704</v>
      </c>
      <c r="E14" s="835">
        <f>SUM(W10:Y10)</f>
        <v>664</v>
      </c>
      <c r="F14" s="835">
        <f>SUM(Z10:AA10)</f>
        <v>607</v>
      </c>
      <c r="G14" s="835">
        <f>SUM(AB10:AD10)</f>
        <v>1906</v>
      </c>
      <c r="H14" s="835">
        <f>AE10</f>
        <v>59</v>
      </c>
      <c r="I14" s="835">
        <f>AF10</f>
        <v>953</v>
      </c>
      <c r="J14" s="837">
        <f>SUM(B14:I14)</f>
        <v>6731</v>
      </c>
      <c r="K14" s="8"/>
      <c r="M14" s="497" t="s">
        <v>291</v>
      </c>
      <c r="N14" s="498"/>
      <c r="O14" s="498"/>
      <c r="P14" s="498"/>
      <c r="Q14" s="498">
        <v>1</v>
      </c>
      <c r="R14" s="498"/>
      <c r="S14" s="498">
        <v>1</v>
      </c>
      <c r="T14" s="498">
        <v>2</v>
      </c>
      <c r="U14" s="498">
        <v>1</v>
      </c>
      <c r="V14" s="498"/>
      <c r="W14" s="498"/>
      <c r="X14" s="498">
        <v>2</v>
      </c>
      <c r="Y14" s="498">
        <v>1</v>
      </c>
      <c r="Z14" s="498"/>
      <c r="AA14" s="498">
        <v>9</v>
      </c>
      <c r="AB14" s="498">
        <v>2</v>
      </c>
      <c r="AC14" s="498">
        <v>3</v>
      </c>
      <c r="AD14" s="498">
        <v>2</v>
      </c>
      <c r="AE14" s="498">
        <v>33</v>
      </c>
      <c r="AF14" s="498">
        <v>1</v>
      </c>
      <c r="AG14" s="103"/>
      <c r="AH14" s="498"/>
    </row>
    <row r="15" spans="1:34" ht="18.75" customHeight="1" x14ac:dyDescent="0.2">
      <c r="A15" s="1011"/>
      <c r="B15" s="836">
        <f>B14/B$34</f>
        <v>0.58369098712446355</v>
      </c>
      <c r="C15" s="836">
        <f t="shared" ref="C15:J15" si="6">C14/C$34</f>
        <v>0.47814355099838102</v>
      </c>
      <c r="D15" s="836">
        <f t="shared" si="6"/>
        <v>0.54573643410852712</v>
      </c>
      <c r="E15" s="836">
        <f t="shared" si="6"/>
        <v>0.53205128205128205</v>
      </c>
      <c r="F15" s="836">
        <f t="shared" si="6"/>
        <v>0.49510603588907015</v>
      </c>
      <c r="G15" s="836">
        <f t="shared" si="6"/>
        <v>0.39807852965747703</v>
      </c>
      <c r="H15" s="836">
        <f t="shared" si="6"/>
        <v>0.3575757575757576</v>
      </c>
      <c r="I15" s="836">
        <f t="shared" si="6"/>
        <v>0.48647269014803474</v>
      </c>
      <c r="J15" s="836">
        <f t="shared" si="6"/>
        <v>0.47535310734463276</v>
      </c>
      <c r="K15" s="411"/>
      <c r="M15" s="497" t="s">
        <v>296</v>
      </c>
      <c r="N15" s="498"/>
      <c r="O15" s="533">
        <v>4</v>
      </c>
      <c r="P15" s="498"/>
      <c r="Q15" s="498"/>
      <c r="R15" s="498">
        <v>1</v>
      </c>
      <c r="S15" s="498">
        <v>3</v>
      </c>
      <c r="T15" s="498"/>
      <c r="U15" s="498"/>
      <c r="V15" s="498"/>
      <c r="W15" s="498">
        <v>3</v>
      </c>
      <c r="X15" s="498"/>
      <c r="Y15" s="498"/>
      <c r="Z15" s="498">
        <v>2</v>
      </c>
      <c r="AA15" s="498">
        <v>10</v>
      </c>
      <c r="AB15" s="498">
        <v>1</v>
      </c>
      <c r="AC15" s="498">
        <v>7</v>
      </c>
      <c r="AD15" s="498">
        <v>3</v>
      </c>
      <c r="AE15" s="498"/>
      <c r="AF15" s="498">
        <v>4</v>
      </c>
      <c r="AG15" s="103"/>
      <c r="AH15" s="498"/>
    </row>
    <row r="16" spans="1:34" ht="18.75" customHeight="1" x14ac:dyDescent="0.2">
      <c r="A16" s="1010" t="s">
        <v>22</v>
      </c>
      <c r="B16" s="835">
        <f>SUM(N11:P12)</f>
        <v>185</v>
      </c>
      <c r="C16" s="835">
        <f>SUM(Q11:R12)</f>
        <v>172</v>
      </c>
      <c r="D16" s="835">
        <f>SUM(S11:V12)</f>
        <v>130</v>
      </c>
      <c r="E16" s="835">
        <f>SUM(W11:Y12)</f>
        <v>184</v>
      </c>
      <c r="F16" s="835">
        <f>SUM(Z11:AA12)</f>
        <v>171</v>
      </c>
      <c r="G16" s="835">
        <f>SUM(AB11:AD12)</f>
        <v>482</v>
      </c>
      <c r="H16" s="835">
        <f>SUM(AE11:AE12)</f>
        <v>45</v>
      </c>
      <c r="I16" s="835">
        <f>SUM(AF11:AF12)</f>
        <v>264</v>
      </c>
      <c r="J16" s="837">
        <f>SUM(B16:I16)</f>
        <v>1633</v>
      </c>
      <c r="K16" s="8"/>
      <c r="M16" s="497" t="s">
        <v>292</v>
      </c>
      <c r="N16" s="498">
        <v>10</v>
      </c>
      <c r="O16" s="534">
        <v>18</v>
      </c>
      <c r="P16" s="498">
        <v>2</v>
      </c>
      <c r="Q16" s="498">
        <v>19</v>
      </c>
      <c r="R16" s="498">
        <v>17</v>
      </c>
      <c r="S16" s="498">
        <v>13</v>
      </c>
      <c r="T16" s="498">
        <v>3</v>
      </c>
      <c r="U16" s="498">
        <v>1</v>
      </c>
      <c r="V16" s="498">
        <v>5</v>
      </c>
      <c r="W16" s="498">
        <v>13</v>
      </c>
      <c r="X16" s="498">
        <v>5</v>
      </c>
      <c r="Y16" s="498">
        <v>3</v>
      </c>
      <c r="Z16" s="498">
        <v>9</v>
      </c>
      <c r="AA16" s="498">
        <v>11</v>
      </c>
      <c r="AB16" s="498">
        <v>25</v>
      </c>
      <c r="AC16" s="498">
        <v>63</v>
      </c>
      <c r="AD16" s="498">
        <v>40</v>
      </c>
      <c r="AE16" s="498">
        <v>1</v>
      </c>
      <c r="AF16" s="498">
        <v>47</v>
      </c>
      <c r="AG16" s="103"/>
      <c r="AH16" s="498"/>
    </row>
    <row r="17" spans="1:34" ht="18.75" customHeight="1" x14ac:dyDescent="0.2">
      <c r="A17" s="1011"/>
      <c r="B17" s="836">
        <f>B16/B$34</f>
        <v>0.11342734518700184</v>
      </c>
      <c r="C17" s="836">
        <f t="shared" ref="C17:J17" si="7">C16/C$34</f>
        <v>9.2822450080949817E-2</v>
      </c>
      <c r="D17" s="836">
        <f t="shared" si="7"/>
        <v>0.10077519379844961</v>
      </c>
      <c r="E17" s="836">
        <f t="shared" si="7"/>
        <v>0.14743589743589744</v>
      </c>
      <c r="F17" s="836">
        <f t="shared" si="7"/>
        <v>0.13947797716150082</v>
      </c>
      <c r="G17" s="836">
        <f t="shared" si="7"/>
        <v>0.10066833751044277</v>
      </c>
      <c r="H17" s="836">
        <f t="shared" si="7"/>
        <v>0.27272727272727271</v>
      </c>
      <c r="I17" s="836">
        <f t="shared" si="7"/>
        <v>0.13476263399693722</v>
      </c>
      <c r="J17" s="836">
        <f t="shared" si="7"/>
        <v>0.11532485875706215</v>
      </c>
      <c r="K17" s="411"/>
      <c r="M17" s="497" t="s">
        <v>293</v>
      </c>
      <c r="N17" s="498">
        <v>1</v>
      </c>
      <c r="O17" s="498">
        <v>10</v>
      </c>
      <c r="P17" s="498">
        <v>2</v>
      </c>
      <c r="Q17" s="498">
        <v>5</v>
      </c>
      <c r="R17" s="498">
        <v>8</v>
      </c>
      <c r="S17" s="498">
        <v>28</v>
      </c>
      <c r="T17" s="498">
        <v>3</v>
      </c>
      <c r="U17" s="498">
        <v>3</v>
      </c>
      <c r="V17" s="498"/>
      <c r="W17" s="498">
        <v>10</v>
      </c>
      <c r="X17" s="498">
        <v>3</v>
      </c>
      <c r="Y17" s="498">
        <v>5</v>
      </c>
      <c r="Z17" s="498">
        <v>1</v>
      </c>
      <c r="AA17" s="498">
        <v>6</v>
      </c>
      <c r="AB17" s="498">
        <v>7</v>
      </c>
      <c r="AC17" s="498">
        <v>18</v>
      </c>
      <c r="AD17" s="498">
        <v>5</v>
      </c>
      <c r="AE17" s="498">
        <v>1</v>
      </c>
      <c r="AF17" s="498">
        <v>37</v>
      </c>
      <c r="AG17" s="103"/>
      <c r="AH17" s="498"/>
    </row>
    <row r="18" spans="1:34" ht="18.75" customHeight="1" x14ac:dyDescent="0.2">
      <c r="A18" s="1010" t="s">
        <v>253</v>
      </c>
      <c r="B18" s="835">
        <f>SUM(N13:P13)</f>
        <v>32</v>
      </c>
      <c r="C18" s="835">
        <f>SUM(Q13:R13)</f>
        <v>20</v>
      </c>
      <c r="D18" s="835">
        <f>SUM(S13:V13)</f>
        <v>28</v>
      </c>
      <c r="E18" s="835">
        <f>SUM(W13:Y13)</f>
        <v>28</v>
      </c>
      <c r="F18" s="835">
        <f>SUM(Z13:AA13)</f>
        <v>36</v>
      </c>
      <c r="G18" s="835">
        <f>SUM(AB13:AD13)</f>
        <v>59</v>
      </c>
      <c r="H18" s="835">
        <f>AE13</f>
        <v>10</v>
      </c>
      <c r="I18" s="835">
        <f>AF13</f>
        <v>50</v>
      </c>
      <c r="J18" s="837">
        <f>SUM(B18:I18)</f>
        <v>263</v>
      </c>
      <c r="K18" s="8"/>
      <c r="M18" s="497" t="s">
        <v>297</v>
      </c>
      <c r="N18" s="498"/>
      <c r="O18" s="498">
        <v>1</v>
      </c>
      <c r="P18" s="498">
        <v>4</v>
      </c>
      <c r="Q18" s="498">
        <v>4</v>
      </c>
      <c r="R18" s="498">
        <v>2</v>
      </c>
      <c r="S18" s="498">
        <v>8</v>
      </c>
      <c r="T18" s="498">
        <v>1</v>
      </c>
      <c r="U18" s="498"/>
      <c r="V18" s="498"/>
      <c r="W18" s="498">
        <v>2</v>
      </c>
      <c r="X18" s="498"/>
      <c r="Y18" s="498">
        <v>1</v>
      </c>
      <c r="Z18" s="498"/>
      <c r="AA18" s="498">
        <v>4</v>
      </c>
      <c r="AB18" s="498"/>
      <c r="AC18" s="498">
        <v>1</v>
      </c>
      <c r="AD18" s="498"/>
      <c r="AE18" s="498"/>
      <c r="AF18" s="498">
        <v>15</v>
      </c>
      <c r="AG18" s="103"/>
      <c r="AH18" s="498"/>
    </row>
    <row r="19" spans="1:34" ht="18.75" customHeight="1" x14ac:dyDescent="0.2">
      <c r="A19" s="1011"/>
      <c r="B19" s="836">
        <f>B18/B$34</f>
        <v>1.9619865113427344E-2</v>
      </c>
      <c r="C19" s="836">
        <f t="shared" ref="C19:J19" si="8">C18/C$34</f>
        <v>1.0793308148947653E-2</v>
      </c>
      <c r="D19" s="836">
        <f t="shared" si="8"/>
        <v>2.1705426356589147E-2</v>
      </c>
      <c r="E19" s="836">
        <f t="shared" si="8"/>
        <v>2.2435897435897436E-2</v>
      </c>
      <c r="F19" s="836">
        <f t="shared" si="8"/>
        <v>2.936378466557912E-2</v>
      </c>
      <c r="G19" s="836">
        <f t="shared" si="8"/>
        <v>1.2322472848788638E-2</v>
      </c>
      <c r="H19" s="836">
        <f t="shared" si="8"/>
        <v>6.0606060606060608E-2</v>
      </c>
      <c r="I19" s="836">
        <f t="shared" si="8"/>
        <v>2.5523226135783564E-2</v>
      </c>
      <c r="J19" s="836">
        <f t="shared" si="8"/>
        <v>1.8573446327683617E-2</v>
      </c>
      <c r="K19" s="411"/>
      <c r="M19" s="497" t="s">
        <v>294</v>
      </c>
      <c r="N19" s="498">
        <v>2</v>
      </c>
      <c r="O19" s="498">
        <v>4</v>
      </c>
      <c r="P19" s="498">
        <v>1</v>
      </c>
      <c r="Q19" s="498">
        <v>3</v>
      </c>
      <c r="R19" s="498">
        <v>3</v>
      </c>
      <c r="S19" s="498">
        <v>1</v>
      </c>
      <c r="T19" s="498"/>
      <c r="U19" s="498"/>
      <c r="V19" s="498"/>
      <c r="W19" s="498"/>
      <c r="X19" s="498"/>
      <c r="Y19" s="498">
        <v>3</v>
      </c>
      <c r="Z19" s="498">
        <v>3</v>
      </c>
      <c r="AA19" s="498">
        <v>1</v>
      </c>
      <c r="AB19" s="498">
        <v>1</v>
      </c>
      <c r="AC19" s="498">
        <v>11</v>
      </c>
      <c r="AD19" s="498">
        <v>3</v>
      </c>
      <c r="AE19" s="498"/>
      <c r="AF19" s="498">
        <v>4</v>
      </c>
      <c r="AG19" s="103"/>
      <c r="AH19" s="498"/>
    </row>
    <row r="20" spans="1:34" ht="18.75" customHeight="1" x14ac:dyDescent="0.2">
      <c r="A20" s="1010" t="s">
        <v>254</v>
      </c>
      <c r="B20" s="835">
        <f>SUM(N14:P14)</f>
        <v>0</v>
      </c>
      <c r="C20" s="835">
        <f>SUM(Q14:R14)</f>
        <v>1</v>
      </c>
      <c r="D20" s="835">
        <f>SUM(S14:V14)</f>
        <v>4</v>
      </c>
      <c r="E20" s="835">
        <f>SUM(W14:Y14)</f>
        <v>3</v>
      </c>
      <c r="F20" s="835">
        <f>SUM(Z14:AA14)</f>
        <v>9</v>
      </c>
      <c r="G20" s="835">
        <f>SUM(AB14:AD14)</f>
        <v>7</v>
      </c>
      <c r="H20" s="835">
        <f>AE14</f>
        <v>33</v>
      </c>
      <c r="I20" s="835">
        <f>AF14</f>
        <v>1</v>
      </c>
      <c r="J20" s="837">
        <f>SUM(B20:I20)</f>
        <v>58</v>
      </c>
      <c r="K20" s="8"/>
      <c r="M20" s="497" t="s">
        <v>18</v>
      </c>
      <c r="N20" s="498">
        <v>2</v>
      </c>
      <c r="O20" s="498">
        <v>6</v>
      </c>
      <c r="P20" s="498">
        <v>1</v>
      </c>
      <c r="Q20" s="498">
        <v>1</v>
      </c>
      <c r="R20" s="498"/>
      <c r="S20" s="498">
        <v>1</v>
      </c>
      <c r="T20" s="498"/>
      <c r="U20" s="498"/>
      <c r="V20" s="498">
        <v>1</v>
      </c>
      <c r="W20" s="498">
        <v>8</v>
      </c>
      <c r="X20" s="498"/>
      <c r="Y20" s="498">
        <v>2</v>
      </c>
      <c r="Z20" s="498"/>
      <c r="AA20" s="498">
        <v>8</v>
      </c>
      <c r="AB20" s="498">
        <v>21</v>
      </c>
      <c r="AC20" s="498">
        <v>5</v>
      </c>
      <c r="AD20" s="498">
        <v>3</v>
      </c>
      <c r="AE20" s="498">
        <v>4</v>
      </c>
      <c r="AF20" s="498">
        <v>19</v>
      </c>
      <c r="AG20" s="103"/>
      <c r="AH20" s="498"/>
    </row>
    <row r="21" spans="1:34" ht="18.75" customHeight="1" x14ac:dyDescent="0.2">
      <c r="A21" s="1011"/>
      <c r="B21" s="836">
        <f>B20/B$34</f>
        <v>0</v>
      </c>
      <c r="C21" s="836">
        <f t="shared" ref="C21:J21" si="9">C20/C$34</f>
        <v>5.3966540744738263E-4</v>
      </c>
      <c r="D21" s="836">
        <f t="shared" si="9"/>
        <v>3.1007751937984496E-3</v>
      </c>
      <c r="E21" s="836">
        <f t="shared" si="9"/>
        <v>2.403846153846154E-3</v>
      </c>
      <c r="F21" s="836">
        <f t="shared" si="9"/>
        <v>7.34094616639478E-3</v>
      </c>
      <c r="G21" s="836">
        <f t="shared" si="9"/>
        <v>1.4619883040935672E-3</v>
      </c>
      <c r="H21" s="836">
        <f t="shared" si="9"/>
        <v>0.2</v>
      </c>
      <c r="I21" s="836">
        <f t="shared" si="9"/>
        <v>5.1046452271567128E-4</v>
      </c>
      <c r="J21" s="836">
        <f t="shared" si="9"/>
        <v>4.0960451977401129E-3</v>
      </c>
      <c r="K21" s="411"/>
      <c r="M21" s="497" t="s">
        <v>384</v>
      </c>
      <c r="N21" s="498"/>
      <c r="O21" s="498"/>
      <c r="P21" s="498"/>
      <c r="Q21" s="498"/>
      <c r="R21" s="498"/>
      <c r="S21" s="498"/>
      <c r="T21" s="498"/>
      <c r="U21" s="498"/>
      <c r="V21" s="498"/>
      <c r="W21" s="498"/>
      <c r="X21" s="498"/>
      <c r="Y21" s="498"/>
      <c r="Z21" s="498"/>
      <c r="AA21" s="498"/>
      <c r="AB21" s="498"/>
      <c r="AC21" s="498"/>
      <c r="AD21" s="498"/>
      <c r="AE21" s="498"/>
      <c r="AF21" s="498"/>
      <c r="AG21" s="103"/>
      <c r="AH21" s="498"/>
    </row>
    <row r="22" spans="1:34" ht="18.75" customHeight="1" x14ac:dyDescent="0.2">
      <c r="A22" s="1010" t="s">
        <v>411</v>
      </c>
      <c r="B22" s="835">
        <f>SUM(N15:P15)</f>
        <v>4</v>
      </c>
      <c r="C22" s="835">
        <f>SUM(Q15:R15)</f>
        <v>1</v>
      </c>
      <c r="D22" s="835">
        <f>SUM(S15:V15)</f>
        <v>3</v>
      </c>
      <c r="E22" s="835">
        <f>SUM(W15:Y15)</f>
        <v>3</v>
      </c>
      <c r="F22" s="835">
        <f>SUM(Z15:AA15)</f>
        <v>12</v>
      </c>
      <c r="G22" s="835">
        <f>SUM(AB15:AD15)</f>
        <v>11</v>
      </c>
      <c r="H22" s="835">
        <f>AE15</f>
        <v>0</v>
      </c>
      <c r="I22" s="835">
        <f>AF15</f>
        <v>4</v>
      </c>
      <c r="J22" s="837">
        <f>SUM(B22:I22)</f>
        <v>38</v>
      </c>
      <c r="K22" s="8"/>
      <c r="M22" s="497" t="s">
        <v>262</v>
      </c>
      <c r="N22" s="498">
        <v>508</v>
      </c>
      <c r="O22" s="498">
        <v>851</v>
      </c>
      <c r="P22" s="498">
        <v>272</v>
      </c>
      <c r="Q22" s="498">
        <v>1207</v>
      </c>
      <c r="R22" s="498">
        <v>646</v>
      </c>
      <c r="S22" s="498">
        <v>696</v>
      </c>
      <c r="T22" s="498">
        <v>220</v>
      </c>
      <c r="U22" s="498">
        <v>209</v>
      </c>
      <c r="V22" s="498">
        <v>165</v>
      </c>
      <c r="W22" s="498">
        <v>734</v>
      </c>
      <c r="X22" s="498">
        <v>333</v>
      </c>
      <c r="Y22" s="498">
        <v>181</v>
      </c>
      <c r="Z22" s="498">
        <v>429</v>
      </c>
      <c r="AA22" s="498">
        <v>797</v>
      </c>
      <c r="AB22" s="498">
        <v>1583</v>
      </c>
      <c r="AC22" s="498">
        <v>2070</v>
      </c>
      <c r="AD22" s="498">
        <v>1135</v>
      </c>
      <c r="AE22" s="498">
        <v>165</v>
      </c>
      <c r="AF22" s="498">
        <v>1959</v>
      </c>
      <c r="AG22" s="103"/>
      <c r="AH22" s="533"/>
    </row>
    <row r="23" spans="1:34" ht="18.75" customHeight="1" x14ac:dyDescent="0.2">
      <c r="A23" s="1011"/>
      <c r="B23" s="836">
        <f>B22/B$34</f>
        <v>2.452483139178418E-3</v>
      </c>
      <c r="C23" s="836">
        <f t="shared" ref="C23:J23" si="10">C22/C$34</f>
        <v>5.3966540744738263E-4</v>
      </c>
      <c r="D23" s="836">
        <f t="shared" si="10"/>
        <v>2.3255813953488372E-3</v>
      </c>
      <c r="E23" s="836">
        <f t="shared" si="10"/>
        <v>2.403846153846154E-3</v>
      </c>
      <c r="F23" s="836">
        <f t="shared" si="10"/>
        <v>9.7879282218597055E-3</v>
      </c>
      <c r="G23" s="836">
        <f t="shared" si="10"/>
        <v>2.2974101921470341E-3</v>
      </c>
      <c r="H23" s="836">
        <f t="shared" si="10"/>
        <v>0</v>
      </c>
      <c r="I23" s="836">
        <f t="shared" si="10"/>
        <v>2.0418580908626851E-3</v>
      </c>
      <c r="J23" s="836">
        <f t="shared" si="10"/>
        <v>2.6836158192090395E-3</v>
      </c>
      <c r="K23" s="411"/>
    </row>
    <row r="24" spans="1:34" ht="18.75" customHeight="1" x14ac:dyDescent="0.2">
      <c r="A24" s="1010" t="s">
        <v>412</v>
      </c>
      <c r="B24" s="835">
        <f>SUM(N16:P16)</f>
        <v>30</v>
      </c>
      <c r="C24" s="835">
        <f>SUM(Q16:R16)</f>
        <v>36</v>
      </c>
      <c r="D24" s="835">
        <f>SUM(S16:V16)</f>
        <v>22</v>
      </c>
      <c r="E24" s="835">
        <f>SUM(W16:Y16)</f>
        <v>21</v>
      </c>
      <c r="F24" s="835">
        <f>SUM(Z16:AA16)</f>
        <v>20</v>
      </c>
      <c r="G24" s="835">
        <f>SUM(AB16:AD16)</f>
        <v>128</v>
      </c>
      <c r="H24" s="835">
        <f>AE16</f>
        <v>1</v>
      </c>
      <c r="I24" s="835">
        <f>AF16</f>
        <v>47</v>
      </c>
      <c r="J24" s="837">
        <f>SUM(B24:I24)</f>
        <v>305</v>
      </c>
      <c r="K24" s="8"/>
    </row>
    <row r="25" spans="1:34" ht="18.75" customHeight="1" x14ac:dyDescent="0.2">
      <c r="A25" s="1011"/>
      <c r="B25" s="836">
        <f>B24/B$34</f>
        <v>1.8393623543838136E-2</v>
      </c>
      <c r="C25" s="836">
        <f t="shared" ref="C25:J25" si="11">C24/C$34</f>
        <v>1.9427954668105773E-2</v>
      </c>
      <c r="D25" s="836">
        <f t="shared" si="11"/>
        <v>1.7054263565891473E-2</v>
      </c>
      <c r="E25" s="836">
        <f t="shared" si="11"/>
        <v>1.6826923076923076E-2</v>
      </c>
      <c r="F25" s="836">
        <f t="shared" si="11"/>
        <v>1.6313213703099509E-2</v>
      </c>
      <c r="G25" s="836">
        <f t="shared" si="11"/>
        <v>2.6733500417710943E-2</v>
      </c>
      <c r="H25" s="836">
        <f t="shared" si="11"/>
        <v>6.0606060606060606E-3</v>
      </c>
      <c r="I25" s="836">
        <f t="shared" si="11"/>
        <v>2.399183256763655E-2</v>
      </c>
      <c r="J25" s="836">
        <f t="shared" si="11"/>
        <v>2.1539548022598869E-2</v>
      </c>
      <c r="K25" s="411"/>
    </row>
    <row r="26" spans="1:34" ht="18.75" customHeight="1" x14ac:dyDescent="0.2">
      <c r="A26" s="1010" t="s">
        <v>83</v>
      </c>
      <c r="B26" s="835">
        <f>SUM(N17:P17)</f>
        <v>13</v>
      </c>
      <c r="C26" s="835">
        <f>SUM(Q17:R17)</f>
        <v>13</v>
      </c>
      <c r="D26" s="835">
        <f>SUM(S17:V17)</f>
        <v>34</v>
      </c>
      <c r="E26" s="835">
        <f>SUM(W17:Y17)</f>
        <v>18</v>
      </c>
      <c r="F26" s="835">
        <f>SUM(Z17:AA17)</f>
        <v>7</v>
      </c>
      <c r="G26" s="835">
        <f>SUM(AB17:AD17)</f>
        <v>30</v>
      </c>
      <c r="H26" s="835">
        <f>AE17</f>
        <v>1</v>
      </c>
      <c r="I26" s="835">
        <f>AF17</f>
        <v>37</v>
      </c>
      <c r="J26" s="837">
        <f>SUM(B26:I26)</f>
        <v>153</v>
      </c>
      <c r="K26" s="8"/>
    </row>
    <row r="27" spans="1:34" ht="18.75" customHeight="1" x14ac:dyDescent="0.2">
      <c r="A27" s="1011"/>
      <c r="B27" s="836">
        <f>B26/B$34</f>
        <v>7.9705702023298592E-3</v>
      </c>
      <c r="C27" s="836">
        <f t="shared" ref="C27:J27" si="12">C26/C$34</f>
        <v>7.0156502968159737E-3</v>
      </c>
      <c r="D27" s="836">
        <f t="shared" si="12"/>
        <v>2.6356589147286821E-2</v>
      </c>
      <c r="E27" s="836">
        <f t="shared" si="12"/>
        <v>1.4423076923076924E-2</v>
      </c>
      <c r="F27" s="836">
        <f t="shared" si="12"/>
        <v>5.7096247960848291E-3</v>
      </c>
      <c r="G27" s="836">
        <f t="shared" si="12"/>
        <v>6.2656641604010022E-3</v>
      </c>
      <c r="H27" s="836">
        <f t="shared" si="12"/>
        <v>6.0606060606060606E-3</v>
      </c>
      <c r="I27" s="836">
        <f t="shared" si="12"/>
        <v>1.8887187340479835E-2</v>
      </c>
      <c r="J27" s="836">
        <f t="shared" si="12"/>
        <v>1.0805084745762712E-2</v>
      </c>
      <c r="K27" s="411"/>
    </row>
    <row r="28" spans="1:34" ht="18.75" customHeight="1" x14ac:dyDescent="0.2">
      <c r="A28" s="1010" t="s">
        <v>413</v>
      </c>
      <c r="B28" s="835">
        <f>SUM(N18:P18)</f>
        <v>5</v>
      </c>
      <c r="C28" s="835">
        <f>SUM(Q18:R18)</f>
        <v>6</v>
      </c>
      <c r="D28" s="835">
        <f>SUM(S18:V18)</f>
        <v>9</v>
      </c>
      <c r="E28" s="835">
        <f>SUM(W18:Y18)</f>
        <v>3</v>
      </c>
      <c r="F28" s="835">
        <f>SUM(Z18:AA18)</f>
        <v>4</v>
      </c>
      <c r="G28" s="835">
        <f>SUM(AB18:AD18)</f>
        <v>1</v>
      </c>
      <c r="H28" s="835">
        <f>AE18</f>
        <v>0</v>
      </c>
      <c r="I28" s="835">
        <f>AF18</f>
        <v>15</v>
      </c>
      <c r="J28" s="837">
        <f>SUM(B28:I28)</f>
        <v>43</v>
      </c>
      <c r="K28" s="8"/>
    </row>
    <row r="29" spans="1:34" ht="26.25" customHeight="1" x14ac:dyDescent="0.2">
      <c r="A29" s="1011"/>
      <c r="B29" s="836">
        <f>B28/B$34</f>
        <v>3.0656039239730227E-3</v>
      </c>
      <c r="C29" s="836">
        <f t="shared" ref="C29:J29" si="13">C28/C$34</f>
        <v>3.2379924446842958E-3</v>
      </c>
      <c r="D29" s="836">
        <f t="shared" si="13"/>
        <v>6.9767441860465115E-3</v>
      </c>
      <c r="E29" s="836">
        <f t="shared" si="13"/>
        <v>2.403846153846154E-3</v>
      </c>
      <c r="F29" s="836">
        <f t="shared" si="13"/>
        <v>3.2626427406199023E-3</v>
      </c>
      <c r="G29" s="836">
        <f t="shared" si="13"/>
        <v>2.0885547201336674E-4</v>
      </c>
      <c r="H29" s="836">
        <f t="shared" si="13"/>
        <v>0</v>
      </c>
      <c r="I29" s="836">
        <f t="shared" si="13"/>
        <v>7.656967840735069E-3</v>
      </c>
      <c r="J29" s="836">
        <f t="shared" si="13"/>
        <v>3.036723163841808E-3</v>
      </c>
      <c r="K29" s="411"/>
    </row>
    <row r="30" spans="1:34" ht="18.75" customHeight="1" x14ac:dyDescent="0.2">
      <c r="A30" s="1010" t="s">
        <v>123</v>
      </c>
      <c r="B30" s="835">
        <f>SUM(N19:P19)</f>
        <v>7</v>
      </c>
      <c r="C30" s="835">
        <f>SUM(Q19:R19)</f>
        <v>6</v>
      </c>
      <c r="D30" s="835">
        <f>SUM(S19:V19)</f>
        <v>1</v>
      </c>
      <c r="E30" s="835">
        <f>SUM(W19:Y19)</f>
        <v>3</v>
      </c>
      <c r="F30" s="835">
        <f>SUM(Z19:AA19)</f>
        <v>4</v>
      </c>
      <c r="G30" s="835">
        <f>SUM(AB19:AD19)</f>
        <v>15</v>
      </c>
      <c r="H30" s="835">
        <f>AE19</f>
        <v>0</v>
      </c>
      <c r="I30" s="835">
        <f>AF19</f>
        <v>4</v>
      </c>
      <c r="J30" s="837">
        <f>SUM(B30:I30)</f>
        <v>40</v>
      </c>
      <c r="K30" s="8"/>
    </row>
    <row r="31" spans="1:34" ht="18.75" customHeight="1" x14ac:dyDescent="0.2">
      <c r="A31" s="1011"/>
      <c r="B31" s="836">
        <f t="shared" ref="B31:I31" si="14">B30/B$34</f>
        <v>4.2918454935622317E-3</v>
      </c>
      <c r="C31" s="836">
        <f t="shared" si="14"/>
        <v>3.2379924446842958E-3</v>
      </c>
      <c r="D31" s="836">
        <f t="shared" si="14"/>
        <v>7.7519379844961239E-4</v>
      </c>
      <c r="E31" s="836">
        <f t="shared" si="14"/>
        <v>2.403846153846154E-3</v>
      </c>
      <c r="F31" s="836">
        <f t="shared" si="14"/>
        <v>3.2626427406199023E-3</v>
      </c>
      <c r="G31" s="836">
        <f t="shared" si="14"/>
        <v>3.1328320802005011E-3</v>
      </c>
      <c r="H31" s="836">
        <f t="shared" si="14"/>
        <v>0</v>
      </c>
      <c r="I31" s="836">
        <f t="shared" si="14"/>
        <v>2.0418580908626851E-3</v>
      </c>
      <c r="J31" s="836">
        <f t="shared" ref="J31" si="15">J30/J$34</f>
        <v>2.8248587570621469E-3</v>
      </c>
      <c r="K31" s="411"/>
    </row>
    <row r="32" spans="1:34" ht="18.75" customHeight="1" x14ac:dyDescent="0.2">
      <c r="A32" s="1010" t="s">
        <v>583</v>
      </c>
      <c r="B32" s="835">
        <f>SUM(N20:P21)</f>
        <v>9</v>
      </c>
      <c r="C32" s="835">
        <f>SUM(Q20:R21)</f>
        <v>1</v>
      </c>
      <c r="D32" s="835">
        <f>SUM(S20:V21)</f>
        <v>2</v>
      </c>
      <c r="E32" s="835">
        <f>SUM(W20:Y21)</f>
        <v>10</v>
      </c>
      <c r="F32" s="835">
        <f>SUM(Z20:AA21)</f>
        <v>8</v>
      </c>
      <c r="G32" s="835">
        <f>SUM(AB20:AD21)</f>
        <v>29</v>
      </c>
      <c r="H32" s="835">
        <f>SUM(AE20:AE21)</f>
        <v>4</v>
      </c>
      <c r="I32" s="835">
        <f>SUM(AF20:AF21)</f>
        <v>19</v>
      </c>
      <c r="J32" s="837">
        <f>SUM(B32:I32)</f>
        <v>82</v>
      </c>
      <c r="K32" s="8"/>
    </row>
    <row r="33" spans="1:34" ht="18.75" customHeight="1" x14ac:dyDescent="0.2">
      <c r="A33" s="1011"/>
      <c r="B33" s="836">
        <f t="shared" ref="B33:I33" si="16">B32/B$34</f>
        <v>5.5180870631514412E-3</v>
      </c>
      <c r="C33" s="836">
        <f t="shared" si="16"/>
        <v>5.3966540744738263E-4</v>
      </c>
      <c r="D33" s="836">
        <f t="shared" si="16"/>
        <v>1.5503875968992248E-3</v>
      </c>
      <c r="E33" s="836">
        <f t="shared" si="16"/>
        <v>8.0128205128205121E-3</v>
      </c>
      <c r="F33" s="836">
        <f t="shared" si="16"/>
        <v>6.5252854812398045E-3</v>
      </c>
      <c r="G33" s="836">
        <f t="shared" si="16"/>
        <v>6.0568086883876354E-3</v>
      </c>
      <c r="H33" s="836">
        <f t="shared" si="16"/>
        <v>2.4242424242424242E-2</v>
      </c>
      <c r="I33" s="836">
        <f t="shared" si="16"/>
        <v>9.6988259315977533E-3</v>
      </c>
      <c r="J33" s="836">
        <f t="shared" ref="J33" si="17">J32/J$34</f>
        <v>5.7909604519774012E-3</v>
      </c>
      <c r="K33" s="411"/>
    </row>
    <row r="34" spans="1:34" ht="18.75" customHeight="1" x14ac:dyDescent="0.2">
      <c r="A34" s="1008" t="s">
        <v>161</v>
      </c>
      <c r="B34" s="405">
        <f t="shared" ref="B34:I34" si="18">B4+B12+B14+B16+B18+B20+B22+B24+B26+B28+B30+B32</f>
        <v>1631</v>
      </c>
      <c r="C34" s="405">
        <f t="shared" si="18"/>
        <v>1853</v>
      </c>
      <c r="D34" s="405">
        <f t="shared" si="18"/>
        <v>1290</v>
      </c>
      <c r="E34" s="405">
        <f t="shared" si="18"/>
        <v>1248</v>
      </c>
      <c r="F34" s="405">
        <f t="shared" si="18"/>
        <v>1226</v>
      </c>
      <c r="G34" s="405">
        <f t="shared" si="18"/>
        <v>4788</v>
      </c>
      <c r="H34" s="405">
        <f t="shared" si="18"/>
        <v>165</v>
      </c>
      <c r="I34" s="405">
        <f t="shared" si="18"/>
        <v>1959</v>
      </c>
      <c r="J34" s="405">
        <f>J4+J12+J14+J16+J18+J20+J22+J24+J26+J28+J30+J32</f>
        <v>14160</v>
      </c>
      <c r="K34" s="41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row>
    <row r="35" spans="1:34" ht="18.75" customHeight="1" x14ac:dyDescent="0.2">
      <c r="A35" s="1006"/>
      <c r="B35" s="407">
        <f>SUM(B7,B9,B11,B13,B15,B17,B19,B21,B23,B25,B27,B29,B31,B33)</f>
        <v>1</v>
      </c>
      <c r="C35" s="407">
        <f t="shared" ref="C35:J35" si="19">SUM(C7,C9,C11,C13,C15,C17,C19,C21,C23,C25,C27,C29,C31,C33)</f>
        <v>1</v>
      </c>
      <c r="D35" s="407">
        <f t="shared" si="19"/>
        <v>1</v>
      </c>
      <c r="E35" s="407">
        <f t="shared" si="19"/>
        <v>1</v>
      </c>
      <c r="F35" s="407">
        <f t="shared" si="19"/>
        <v>0.99999999999999989</v>
      </c>
      <c r="G35" s="407">
        <f t="shared" si="19"/>
        <v>1</v>
      </c>
      <c r="H35" s="407">
        <f t="shared" si="19"/>
        <v>1</v>
      </c>
      <c r="I35" s="407">
        <f t="shared" si="19"/>
        <v>1</v>
      </c>
      <c r="J35" s="407">
        <f t="shared" si="19"/>
        <v>0.99999999999999989</v>
      </c>
      <c r="K35" s="413"/>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row>
    <row r="38" spans="1:34" x14ac:dyDescent="0.2">
      <c r="A38" s="247"/>
      <c r="B38" s="247"/>
      <c r="C38" s="247"/>
      <c r="D38" s="247"/>
      <c r="E38" s="247"/>
      <c r="F38" s="247"/>
      <c r="G38" s="247"/>
      <c r="H38" s="247"/>
      <c r="I38" s="247"/>
      <c r="J38" s="247"/>
      <c r="K38" s="247"/>
      <c r="L38" s="247"/>
      <c r="M38" s="247"/>
      <c r="N38" s="247"/>
      <c r="O38" s="247"/>
      <c r="P38" s="247"/>
      <c r="Q38" s="247"/>
    </row>
    <row r="39" spans="1:34" x14ac:dyDescent="0.2">
      <c r="A39" s="53"/>
    </row>
    <row r="40" spans="1:34" x14ac:dyDescent="0.2">
      <c r="A40" s="53"/>
    </row>
    <row r="41" spans="1:34" x14ac:dyDescent="0.2">
      <c r="A41" s="53"/>
    </row>
    <row r="42" spans="1:34" x14ac:dyDescent="0.2">
      <c r="A42" s="53"/>
    </row>
    <row r="43" spans="1:34" x14ac:dyDescent="0.2">
      <c r="A43" s="53"/>
    </row>
    <row r="44" spans="1:34" x14ac:dyDescent="0.2">
      <c r="A44" s="53"/>
    </row>
    <row r="45" spans="1:34" x14ac:dyDescent="0.2">
      <c r="A45" s="53"/>
    </row>
    <row r="46" spans="1:34" x14ac:dyDescent="0.2">
      <c r="A46" s="53"/>
    </row>
    <row r="47" spans="1:34" x14ac:dyDescent="0.2">
      <c r="A47" s="53"/>
    </row>
    <row r="48" spans="1:34" x14ac:dyDescent="0.2">
      <c r="A48" s="53"/>
    </row>
    <row r="49" spans="1:5" x14ac:dyDescent="0.2">
      <c r="A49" s="53"/>
    </row>
    <row r="50" spans="1:5" x14ac:dyDescent="0.2">
      <c r="A50" s="53"/>
    </row>
    <row r="51" spans="1:5" x14ac:dyDescent="0.2">
      <c r="A51" s="53"/>
    </row>
    <row r="52" spans="1:5" x14ac:dyDescent="0.2">
      <c r="A52" s="53"/>
    </row>
    <row r="53" spans="1:5" x14ac:dyDescent="0.2">
      <c r="A53" s="53"/>
      <c r="B53" s="414"/>
      <c r="C53" s="414"/>
      <c r="D53" s="414"/>
      <c r="E53" s="414"/>
    </row>
    <row r="54" spans="1:5" x14ac:dyDescent="0.2">
      <c r="A54" s="42"/>
      <c r="B54" s="414"/>
      <c r="C54" s="414"/>
      <c r="D54" s="414"/>
      <c r="E54" s="414"/>
    </row>
    <row r="55" spans="1:5" x14ac:dyDescent="0.2">
      <c r="A55" s="53"/>
    </row>
  </sheetData>
  <mergeCells count="16">
    <mergeCell ref="A14:A15"/>
    <mergeCell ref="A4:A5"/>
    <mergeCell ref="A6:A7"/>
    <mergeCell ref="A8:A9"/>
    <mergeCell ref="A10:A11"/>
    <mergeCell ref="A12:A13"/>
    <mergeCell ref="A28:A29"/>
    <mergeCell ref="A30:A31"/>
    <mergeCell ref="A32:A33"/>
    <mergeCell ref="A34:A35"/>
    <mergeCell ref="A16:A17"/>
    <mergeCell ref="A18:A19"/>
    <mergeCell ref="A20:A21"/>
    <mergeCell ref="A22:A23"/>
    <mergeCell ref="A24:A25"/>
    <mergeCell ref="A26:A27"/>
  </mergeCells>
  <phoneticPr fontId="2"/>
  <printOptions horizontalCentered="1"/>
  <pageMargins left="0.70866141732283472" right="0.70866141732283472" top="0.74803149606299213" bottom="0.74803149606299213" header="0.31496062992125984" footer="0.31496062992125984"/>
  <pageSetup paperSize="9" scale="83" orientation="portrait" r:id="rId1"/>
  <drawing r:id="rId2"/>
  <mc:AlternateContent xmlns:mc="http://schemas.openxmlformats.org/markup-compatibility/2006">
    <mc:Choice Requires="v">
      <legacyDrawing r:id="rId3"/>
    </mc:Choice>
  </mc:AlternateContent>
  <controls>
    <control shapeId="50177" r:id="rId4" name="Button 1">
      <controlPr defaultSize="0" print="0" autoFill="0" autoPict="0" macro="[0]!データ削除_疾患名区分病院所在地">
        <anchor moveWithCells="1" sizeWithCells="1">
          <from>
            <xdr:col>33</xdr:col>
            <xdr:colOff>190500</xdr:colOff>
            <xdr:row>3</xdr:row>
            <xdr:rowOff>228600</xdr:rowOff>
          </from>
          <to>
            <xdr:col>34</xdr:col>
            <xdr:colOff>655320</xdr:colOff>
            <xdr:row>6</xdr:row>
            <xdr:rowOff>99060</xdr:rowOff>
          </to>
        </anchor>
      </controlPr>
    </control>
  </controls>
  <tableParts count="1">
    <tablePart r:id="rId5"/>
  </tableParts>
</worksheet>
</file>

<file path=xl/worksheets/sheet2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5">
    <tabColor theme="9" tint="-0.499984740745262"/>
    <pageSetUpPr fitToPage="1"/>
  </sheetPr>
  <dimension ref="A1:AH47"/>
  <sheetViews>
    <sheetView showGridLines="0" view="pageBreakPreview" zoomScale="70" zoomScaleNormal="90" zoomScaleSheetLayoutView="70" zoomScalePageLayoutView="70" workbookViewId="0"/>
  </sheetViews>
  <sheetFormatPr defaultColWidth="13.77734375" defaultRowHeight="17.399999999999999" x14ac:dyDescent="0.2"/>
  <cols>
    <col min="1" max="1" width="15.6640625" style="396" customWidth="1"/>
    <col min="2" max="10" width="8.77734375" style="396" customWidth="1"/>
    <col min="11" max="11" width="7.6640625" style="396" customWidth="1"/>
    <col min="12" max="13" width="7.6640625" style="396" hidden="1" customWidth="1"/>
    <col min="14" max="14" width="10" style="396" hidden="1" customWidth="1"/>
    <col min="15" max="33" width="10.44140625" style="396" hidden="1" customWidth="1"/>
    <col min="34" max="34" width="13.77734375" style="396" hidden="1" customWidth="1"/>
    <col min="35" max="16384" width="13.77734375" style="396"/>
  </cols>
  <sheetData>
    <row r="1" spans="1:33" s="3" customFormat="1" ht="19.2" x14ac:dyDescent="0.2">
      <c r="A1" s="2" t="s">
        <v>414</v>
      </c>
    </row>
    <row r="2" spans="1:33" ht="18" thickBot="1" x14ac:dyDescent="0.25">
      <c r="A2" s="4"/>
    </row>
    <row r="3" spans="1:33" ht="18.75" customHeight="1" thickTop="1" thickBot="1" x14ac:dyDescent="0.25">
      <c r="A3" s="403"/>
      <c r="B3" s="403" t="s">
        <v>386</v>
      </c>
      <c r="C3" s="403" t="s">
        <v>387</v>
      </c>
      <c r="D3" s="403" t="s">
        <v>388</v>
      </c>
      <c r="E3" s="403" t="s">
        <v>389</v>
      </c>
      <c r="F3" s="403" t="s">
        <v>390</v>
      </c>
      <c r="G3" s="403" t="s">
        <v>391</v>
      </c>
      <c r="H3" s="403" t="s">
        <v>392</v>
      </c>
      <c r="I3" s="403" t="s">
        <v>393</v>
      </c>
      <c r="J3" s="403" t="s">
        <v>62</v>
      </c>
      <c r="M3" s="556" t="s">
        <v>372</v>
      </c>
      <c r="N3" s="247" t="s">
        <v>394</v>
      </c>
      <c r="O3" s="247" t="s">
        <v>395</v>
      </c>
      <c r="P3" s="247" t="s">
        <v>396</v>
      </c>
      <c r="Q3" s="247" t="s">
        <v>397</v>
      </c>
      <c r="R3" s="247" t="s">
        <v>398</v>
      </c>
      <c r="S3" s="247" t="s">
        <v>399</v>
      </c>
      <c r="T3" s="247" t="s">
        <v>400</v>
      </c>
      <c r="U3" s="247" t="s">
        <v>401</v>
      </c>
      <c r="V3" s="247" t="s">
        <v>402</v>
      </c>
      <c r="W3" s="247" t="s">
        <v>403</v>
      </c>
      <c r="X3" s="247" t="s">
        <v>564</v>
      </c>
      <c r="Y3" s="247" t="s">
        <v>565</v>
      </c>
      <c r="Z3" s="247" t="s">
        <v>566</v>
      </c>
      <c r="AA3" s="247" t="s">
        <v>567</v>
      </c>
      <c r="AB3" s="247" t="s">
        <v>568</v>
      </c>
      <c r="AC3" s="247" t="s">
        <v>569</v>
      </c>
      <c r="AD3" s="247" t="s">
        <v>570</v>
      </c>
      <c r="AE3" s="247" t="s">
        <v>571</v>
      </c>
      <c r="AF3" s="396" t="s">
        <v>572</v>
      </c>
      <c r="AG3" s="247" t="s">
        <v>606</v>
      </c>
    </row>
    <row r="4" spans="1:33" s="21" customFormat="1" ht="18.75" customHeight="1" thickTop="1" x14ac:dyDescent="0.2">
      <c r="A4" s="1014" t="s">
        <v>60</v>
      </c>
      <c r="B4" s="835">
        <f>SUM(N4:P4)</f>
        <v>211</v>
      </c>
      <c r="C4" s="835">
        <f>SUM(Q4:R4)</f>
        <v>219</v>
      </c>
      <c r="D4" s="835">
        <f>SUM(S4:V4)</f>
        <v>172</v>
      </c>
      <c r="E4" s="835">
        <f>SUM(W4:Y4)</f>
        <v>217</v>
      </c>
      <c r="F4" s="835">
        <f>SUM(Z4:AA4)</f>
        <v>145</v>
      </c>
      <c r="G4" s="835">
        <f>SUM(AB4:AD4)</f>
        <v>384</v>
      </c>
      <c r="H4" s="835">
        <f>AE4</f>
        <v>85</v>
      </c>
      <c r="I4" s="835">
        <f>AF4</f>
        <v>338</v>
      </c>
      <c r="J4" s="837">
        <f>SUM(B4:I4)</f>
        <v>1771</v>
      </c>
      <c r="M4" s="53" t="s">
        <v>182</v>
      </c>
      <c r="N4" s="420">
        <v>33</v>
      </c>
      <c r="O4" s="420">
        <v>158</v>
      </c>
      <c r="P4" s="420">
        <v>20</v>
      </c>
      <c r="Q4" s="420">
        <v>94</v>
      </c>
      <c r="R4" s="420">
        <v>125</v>
      </c>
      <c r="S4" s="420">
        <v>110</v>
      </c>
      <c r="T4" s="420">
        <v>18</v>
      </c>
      <c r="U4" s="420">
        <v>31</v>
      </c>
      <c r="V4" s="420">
        <v>13</v>
      </c>
      <c r="W4" s="420">
        <v>108</v>
      </c>
      <c r="X4" s="420">
        <v>76</v>
      </c>
      <c r="Y4" s="420">
        <v>33</v>
      </c>
      <c r="Z4" s="420">
        <v>52</v>
      </c>
      <c r="AA4" s="420">
        <v>93</v>
      </c>
      <c r="AB4" s="420">
        <v>180</v>
      </c>
      <c r="AC4" s="420">
        <v>115</v>
      </c>
      <c r="AD4" s="420">
        <v>89</v>
      </c>
      <c r="AE4" s="420">
        <v>85</v>
      </c>
      <c r="AF4" s="396">
        <v>338</v>
      </c>
      <c r="AG4" s="455"/>
    </row>
    <row r="5" spans="1:33" s="21" customFormat="1" ht="18.75" customHeight="1" x14ac:dyDescent="0.2">
      <c r="A5" s="1006"/>
      <c r="B5" s="836">
        <f>B4/B$36</f>
        <v>0.12936848559166156</v>
      </c>
      <c r="C5" s="836">
        <f t="shared" ref="C5:J5" si="0">C4/C$36</f>
        <v>0.1181867242309768</v>
      </c>
      <c r="D5" s="836">
        <f t="shared" si="0"/>
        <v>0.13333333333333333</v>
      </c>
      <c r="E5" s="836">
        <f t="shared" si="0"/>
        <v>0.17387820512820512</v>
      </c>
      <c r="F5" s="836">
        <f t="shared" si="0"/>
        <v>0.11827079934747145</v>
      </c>
      <c r="G5" s="836">
        <f t="shared" si="0"/>
        <v>8.0200501253132828E-2</v>
      </c>
      <c r="H5" s="836">
        <f t="shared" si="0"/>
        <v>0.51515151515151514</v>
      </c>
      <c r="I5" s="836">
        <f t="shared" si="0"/>
        <v>0.1725370086778969</v>
      </c>
      <c r="J5" s="836">
        <f t="shared" si="0"/>
        <v>0.12507062146892656</v>
      </c>
      <c r="M5" s="53" t="s">
        <v>183</v>
      </c>
      <c r="N5" s="420">
        <v>47</v>
      </c>
      <c r="O5" s="420">
        <v>176</v>
      </c>
      <c r="P5" s="420">
        <v>37</v>
      </c>
      <c r="Q5" s="420">
        <v>130</v>
      </c>
      <c r="R5" s="420">
        <v>156</v>
      </c>
      <c r="S5" s="420">
        <v>124</v>
      </c>
      <c r="T5" s="420">
        <v>43</v>
      </c>
      <c r="U5" s="420">
        <v>33</v>
      </c>
      <c r="V5" s="420">
        <v>19</v>
      </c>
      <c r="W5" s="420">
        <v>143</v>
      </c>
      <c r="X5" s="420">
        <v>79</v>
      </c>
      <c r="Y5" s="420">
        <v>34</v>
      </c>
      <c r="Z5" s="420">
        <v>58</v>
      </c>
      <c r="AA5" s="420">
        <v>129</v>
      </c>
      <c r="AB5" s="420">
        <v>224</v>
      </c>
      <c r="AC5" s="420">
        <v>140</v>
      </c>
      <c r="AD5" s="420">
        <v>127</v>
      </c>
      <c r="AE5" s="420">
        <v>68</v>
      </c>
      <c r="AF5" s="396">
        <v>354</v>
      </c>
      <c r="AG5" s="455"/>
    </row>
    <row r="6" spans="1:33" s="21" customFormat="1" ht="18.75" customHeight="1" x14ac:dyDescent="0.2">
      <c r="A6" s="415" t="s">
        <v>415</v>
      </c>
      <c r="B6" s="835">
        <f>SUM(N5:P5)</f>
        <v>260</v>
      </c>
      <c r="C6" s="835">
        <f>SUM(Q5:R5)</f>
        <v>286</v>
      </c>
      <c r="D6" s="835">
        <f>SUM(S5:V5)</f>
        <v>219</v>
      </c>
      <c r="E6" s="835">
        <f>SUM(W5:Y5)</f>
        <v>256</v>
      </c>
      <c r="F6" s="835">
        <f>SUM(Z5:AA5)</f>
        <v>187</v>
      </c>
      <c r="G6" s="835">
        <f>SUM(AB5:AD5)</f>
        <v>491</v>
      </c>
      <c r="H6" s="835">
        <f>AE5</f>
        <v>68</v>
      </c>
      <c r="I6" s="835">
        <f>AF5</f>
        <v>354</v>
      </c>
      <c r="J6" s="837">
        <f>SUM(B6:I6)</f>
        <v>2121</v>
      </c>
      <c r="M6" s="53" t="s">
        <v>184</v>
      </c>
      <c r="N6" s="420">
        <v>37</v>
      </c>
      <c r="O6" s="420">
        <v>89</v>
      </c>
      <c r="P6" s="420">
        <v>14</v>
      </c>
      <c r="Q6" s="420">
        <v>127</v>
      </c>
      <c r="R6" s="420">
        <v>62</v>
      </c>
      <c r="S6" s="420">
        <v>81</v>
      </c>
      <c r="T6" s="420">
        <v>21</v>
      </c>
      <c r="U6" s="420">
        <v>18</v>
      </c>
      <c r="V6" s="420">
        <v>14</v>
      </c>
      <c r="W6" s="420">
        <v>70</v>
      </c>
      <c r="X6" s="420">
        <v>40</v>
      </c>
      <c r="Y6" s="420">
        <v>11</v>
      </c>
      <c r="Z6" s="420">
        <v>14</v>
      </c>
      <c r="AA6" s="420">
        <v>64</v>
      </c>
      <c r="AB6" s="420">
        <v>146</v>
      </c>
      <c r="AC6" s="420">
        <v>128</v>
      </c>
      <c r="AD6" s="420">
        <v>70</v>
      </c>
      <c r="AE6" s="420">
        <v>10</v>
      </c>
      <c r="AF6" s="396">
        <v>143</v>
      </c>
      <c r="AG6" s="455"/>
    </row>
    <row r="7" spans="1:33" s="21" customFormat="1" ht="18.75" customHeight="1" x14ac:dyDescent="0.2">
      <c r="A7" s="416" t="s">
        <v>416</v>
      </c>
      <c r="B7" s="836">
        <f>B6/B$36</f>
        <v>0.15941140404659718</v>
      </c>
      <c r="C7" s="836">
        <f t="shared" ref="C7:J7" si="1">C6/C$36</f>
        <v>0.15434430652995143</v>
      </c>
      <c r="D7" s="836">
        <f t="shared" si="1"/>
        <v>0.16976744186046511</v>
      </c>
      <c r="E7" s="836">
        <f t="shared" si="1"/>
        <v>0.20512820512820512</v>
      </c>
      <c r="F7" s="836">
        <f t="shared" si="1"/>
        <v>0.15252854812398042</v>
      </c>
      <c r="G7" s="836">
        <f t="shared" si="1"/>
        <v>0.10254803675856307</v>
      </c>
      <c r="H7" s="836">
        <f t="shared" si="1"/>
        <v>0.41212121212121211</v>
      </c>
      <c r="I7" s="836">
        <f t="shared" si="1"/>
        <v>0.18070444104134761</v>
      </c>
      <c r="J7" s="836">
        <f t="shared" si="1"/>
        <v>0.14978813559322035</v>
      </c>
      <c r="M7" s="53" t="s">
        <v>185</v>
      </c>
      <c r="N7" s="420">
        <v>52</v>
      </c>
      <c r="O7" s="420">
        <v>85</v>
      </c>
      <c r="P7" s="420">
        <v>14</v>
      </c>
      <c r="Q7" s="420">
        <v>124</v>
      </c>
      <c r="R7" s="420">
        <v>56</v>
      </c>
      <c r="S7" s="420">
        <v>78</v>
      </c>
      <c r="T7" s="420">
        <v>23</v>
      </c>
      <c r="U7" s="420">
        <v>22</v>
      </c>
      <c r="V7" s="420">
        <v>14</v>
      </c>
      <c r="W7" s="420">
        <v>75</v>
      </c>
      <c r="X7" s="420">
        <v>32</v>
      </c>
      <c r="Y7" s="420">
        <v>12</v>
      </c>
      <c r="Z7" s="420">
        <v>42</v>
      </c>
      <c r="AA7" s="420">
        <v>93</v>
      </c>
      <c r="AB7" s="420">
        <v>158</v>
      </c>
      <c r="AC7" s="420">
        <v>220</v>
      </c>
      <c r="AD7" s="420">
        <v>96</v>
      </c>
      <c r="AE7" s="420">
        <v>2</v>
      </c>
      <c r="AF7" s="396">
        <v>145</v>
      </c>
      <c r="AG7" s="455"/>
    </row>
    <row r="8" spans="1:33" s="21" customFormat="1" ht="18.75" customHeight="1" x14ac:dyDescent="0.2">
      <c r="A8" s="415" t="s">
        <v>417</v>
      </c>
      <c r="B8" s="835">
        <f>SUM(N6:P6)</f>
        <v>140</v>
      </c>
      <c r="C8" s="835">
        <f>SUM(Q6:R6)</f>
        <v>189</v>
      </c>
      <c r="D8" s="835">
        <f>SUM(S6:V6)</f>
        <v>134</v>
      </c>
      <c r="E8" s="835">
        <f>SUM(W6:Y6)</f>
        <v>121</v>
      </c>
      <c r="F8" s="835">
        <f>SUM(Z6:AA6)</f>
        <v>78</v>
      </c>
      <c r="G8" s="835">
        <f>SUM(AB6:AD6)</f>
        <v>344</v>
      </c>
      <c r="H8" s="835">
        <f>AE6</f>
        <v>10</v>
      </c>
      <c r="I8" s="835">
        <f>AF6</f>
        <v>143</v>
      </c>
      <c r="J8" s="837">
        <f>SUM(B8:I8)</f>
        <v>1159</v>
      </c>
      <c r="M8" s="53" t="s">
        <v>186</v>
      </c>
      <c r="N8" s="420">
        <v>44</v>
      </c>
      <c r="O8" s="420">
        <v>43</v>
      </c>
      <c r="P8" s="420">
        <v>14</v>
      </c>
      <c r="Q8" s="420">
        <v>80</v>
      </c>
      <c r="R8" s="420">
        <v>32</v>
      </c>
      <c r="S8" s="420">
        <v>33</v>
      </c>
      <c r="T8" s="420">
        <v>21</v>
      </c>
      <c r="U8" s="420">
        <v>9</v>
      </c>
      <c r="V8" s="420">
        <v>8</v>
      </c>
      <c r="W8" s="420">
        <v>56</v>
      </c>
      <c r="X8" s="420">
        <v>22</v>
      </c>
      <c r="Y8" s="420">
        <v>13</v>
      </c>
      <c r="Z8" s="420">
        <v>24</v>
      </c>
      <c r="AA8" s="420">
        <v>51</v>
      </c>
      <c r="AB8" s="420">
        <v>111</v>
      </c>
      <c r="AC8" s="420">
        <v>194</v>
      </c>
      <c r="AD8" s="420">
        <v>74</v>
      </c>
      <c r="AE8" s="420"/>
      <c r="AF8" s="396">
        <v>107</v>
      </c>
      <c r="AG8" s="455"/>
    </row>
    <row r="9" spans="1:33" s="21" customFormat="1" ht="18.75" customHeight="1" x14ac:dyDescent="0.2">
      <c r="A9" s="416" t="s">
        <v>418</v>
      </c>
      <c r="B9" s="836">
        <f>B8/B$36</f>
        <v>8.5836909871244635E-2</v>
      </c>
      <c r="C9" s="836">
        <f t="shared" ref="C9:J9" si="2">C8/C$36</f>
        <v>0.10199676200755532</v>
      </c>
      <c r="D9" s="836">
        <f t="shared" si="2"/>
        <v>0.10387596899224806</v>
      </c>
      <c r="E9" s="836">
        <f t="shared" si="2"/>
        <v>9.6955128205128208E-2</v>
      </c>
      <c r="F9" s="836">
        <f t="shared" si="2"/>
        <v>6.3621533442088096E-2</v>
      </c>
      <c r="G9" s="836">
        <f t="shared" si="2"/>
        <v>7.1846282372598158E-2</v>
      </c>
      <c r="H9" s="836">
        <f t="shared" si="2"/>
        <v>6.0606060606060608E-2</v>
      </c>
      <c r="I9" s="836">
        <f t="shared" si="2"/>
        <v>7.299642674834099E-2</v>
      </c>
      <c r="J9" s="836">
        <f t="shared" si="2"/>
        <v>8.1850282485875711E-2</v>
      </c>
      <c r="M9" s="53" t="s">
        <v>187</v>
      </c>
      <c r="N9" s="420">
        <v>33</v>
      </c>
      <c r="O9" s="420">
        <v>31</v>
      </c>
      <c r="P9" s="420">
        <v>10</v>
      </c>
      <c r="Q9" s="420">
        <v>70</v>
      </c>
      <c r="R9" s="420">
        <v>25</v>
      </c>
      <c r="S9" s="420">
        <v>28</v>
      </c>
      <c r="T9" s="420">
        <v>12</v>
      </c>
      <c r="U9" s="420">
        <v>8</v>
      </c>
      <c r="V9" s="420">
        <v>12</v>
      </c>
      <c r="W9" s="420">
        <v>24</v>
      </c>
      <c r="X9" s="420">
        <v>9</v>
      </c>
      <c r="Y9" s="420">
        <v>9</v>
      </c>
      <c r="Z9" s="420">
        <v>13</v>
      </c>
      <c r="AA9" s="420">
        <v>51</v>
      </c>
      <c r="AB9" s="420">
        <v>73</v>
      </c>
      <c r="AC9" s="420">
        <v>117</v>
      </c>
      <c r="AD9" s="420">
        <v>57</v>
      </c>
      <c r="AE9" s="420"/>
      <c r="AF9" s="396">
        <v>66</v>
      </c>
      <c r="AG9" s="455"/>
    </row>
    <row r="10" spans="1:33" s="21" customFormat="1" ht="18.75" customHeight="1" x14ac:dyDescent="0.2">
      <c r="A10" s="415" t="s">
        <v>419</v>
      </c>
      <c r="B10" s="835">
        <f>SUM(N7:P7)</f>
        <v>151</v>
      </c>
      <c r="C10" s="835">
        <f>SUM(Q7:R7)</f>
        <v>180</v>
      </c>
      <c r="D10" s="835">
        <f>SUM(S7:V7)</f>
        <v>137</v>
      </c>
      <c r="E10" s="835">
        <f>SUM(W7:Y7)</f>
        <v>119</v>
      </c>
      <c r="F10" s="835">
        <f>SUM(Z7:AA7)</f>
        <v>135</v>
      </c>
      <c r="G10" s="835">
        <f>SUM(AB7:AD7)</f>
        <v>474</v>
      </c>
      <c r="H10" s="835">
        <f>AE7</f>
        <v>2</v>
      </c>
      <c r="I10" s="835">
        <f>AF7</f>
        <v>145</v>
      </c>
      <c r="J10" s="837">
        <f>SUM(B10:I10)</f>
        <v>1343</v>
      </c>
      <c r="M10" s="53" t="s">
        <v>188</v>
      </c>
      <c r="N10" s="420">
        <v>37</v>
      </c>
      <c r="O10" s="420">
        <v>27</v>
      </c>
      <c r="P10" s="420">
        <v>19</v>
      </c>
      <c r="Q10" s="420">
        <v>106</v>
      </c>
      <c r="R10" s="420">
        <v>44</v>
      </c>
      <c r="S10" s="420">
        <v>34</v>
      </c>
      <c r="T10" s="420">
        <v>18</v>
      </c>
      <c r="U10" s="420">
        <v>8</v>
      </c>
      <c r="V10" s="420">
        <v>15</v>
      </c>
      <c r="W10" s="420">
        <v>43</v>
      </c>
      <c r="X10" s="420">
        <v>15</v>
      </c>
      <c r="Y10" s="420">
        <v>8</v>
      </c>
      <c r="Z10" s="420">
        <v>31</v>
      </c>
      <c r="AA10" s="420">
        <v>48</v>
      </c>
      <c r="AB10" s="420">
        <v>115</v>
      </c>
      <c r="AC10" s="420">
        <v>190</v>
      </c>
      <c r="AD10" s="420">
        <v>108</v>
      </c>
      <c r="AE10" s="420"/>
      <c r="AF10" s="396">
        <v>114</v>
      </c>
      <c r="AG10" s="455"/>
    </row>
    <row r="11" spans="1:33" s="21" customFormat="1" ht="18.75" customHeight="1" x14ac:dyDescent="0.2">
      <c r="A11" s="416" t="s">
        <v>69</v>
      </c>
      <c r="B11" s="836">
        <f>B10/B$36</f>
        <v>9.258123850398528E-2</v>
      </c>
      <c r="C11" s="836">
        <f t="shared" ref="C11:J11" si="3">C10/C$36</f>
        <v>9.7139773340528868E-2</v>
      </c>
      <c r="D11" s="836">
        <f t="shared" si="3"/>
        <v>0.1062015503875969</v>
      </c>
      <c r="E11" s="836">
        <f t="shared" si="3"/>
        <v>9.5352564102564097E-2</v>
      </c>
      <c r="F11" s="836">
        <f t="shared" si="3"/>
        <v>0.11011419249592169</v>
      </c>
      <c r="G11" s="836">
        <f t="shared" si="3"/>
        <v>9.8997493734335834E-2</v>
      </c>
      <c r="H11" s="836">
        <f t="shared" si="3"/>
        <v>1.2121212121212121E-2</v>
      </c>
      <c r="I11" s="836">
        <f t="shared" si="3"/>
        <v>7.4017355793772333E-2</v>
      </c>
      <c r="J11" s="836">
        <f t="shared" si="3"/>
        <v>9.4844632768361581E-2</v>
      </c>
      <c r="M11" s="53" t="s">
        <v>189</v>
      </c>
      <c r="N11" s="420">
        <v>32</v>
      </c>
      <c r="O11" s="420">
        <v>33</v>
      </c>
      <c r="P11" s="420">
        <v>13</v>
      </c>
      <c r="Q11" s="420">
        <v>73</v>
      </c>
      <c r="R11" s="420">
        <v>22</v>
      </c>
      <c r="S11" s="420">
        <v>21</v>
      </c>
      <c r="T11" s="420">
        <v>10</v>
      </c>
      <c r="U11" s="420">
        <v>7</v>
      </c>
      <c r="V11" s="420">
        <v>15</v>
      </c>
      <c r="W11" s="420">
        <v>26</v>
      </c>
      <c r="X11" s="420">
        <v>12</v>
      </c>
      <c r="Y11" s="420">
        <v>14</v>
      </c>
      <c r="Z11" s="420">
        <v>19</v>
      </c>
      <c r="AA11" s="420">
        <v>34</v>
      </c>
      <c r="AB11" s="420">
        <v>111</v>
      </c>
      <c r="AC11" s="420">
        <v>146</v>
      </c>
      <c r="AD11" s="420">
        <v>67</v>
      </c>
      <c r="AE11" s="420"/>
      <c r="AF11" s="396">
        <v>86</v>
      </c>
      <c r="AG11" s="455"/>
    </row>
    <row r="12" spans="1:33" s="21" customFormat="1" ht="18.75" customHeight="1" x14ac:dyDescent="0.2">
      <c r="A12" s="415" t="s">
        <v>420</v>
      </c>
      <c r="B12" s="835">
        <f>SUM(N8:P8)</f>
        <v>101</v>
      </c>
      <c r="C12" s="835">
        <f>SUM(Q8:R8)</f>
        <v>112</v>
      </c>
      <c r="D12" s="835">
        <f>SUM(S8:V8)</f>
        <v>71</v>
      </c>
      <c r="E12" s="835">
        <f>SUM(W8:Y8)</f>
        <v>91</v>
      </c>
      <c r="F12" s="835">
        <f>SUM(Z8:AA8)</f>
        <v>75</v>
      </c>
      <c r="G12" s="835">
        <f>SUM(AB8:AD8)</f>
        <v>379</v>
      </c>
      <c r="H12" s="835">
        <f>AE8</f>
        <v>0</v>
      </c>
      <c r="I12" s="835">
        <f>AF8</f>
        <v>107</v>
      </c>
      <c r="J12" s="837">
        <f>SUM(B12:I12)</f>
        <v>936</v>
      </c>
      <c r="M12" s="53" t="s">
        <v>190</v>
      </c>
      <c r="N12" s="420">
        <v>22</v>
      </c>
      <c r="O12" s="420">
        <v>24</v>
      </c>
      <c r="P12" s="420">
        <v>12</v>
      </c>
      <c r="Q12" s="420">
        <v>67</v>
      </c>
      <c r="R12" s="420">
        <v>13</v>
      </c>
      <c r="S12" s="420">
        <v>25</v>
      </c>
      <c r="T12" s="420">
        <v>8</v>
      </c>
      <c r="U12" s="420">
        <v>13</v>
      </c>
      <c r="V12" s="420">
        <v>4</v>
      </c>
      <c r="W12" s="420">
        <v>25</v>
      </c>
      <c r="X12" s="420">
        <v>3</v>
      </c>
      <c r="Y12" s="420">
        <v>6</v>
      </c>
      <c r="Z12" s="420">
        <v>24</v>
      </c>
      <c r="AA12" s="420">
        <v>36</v>
      </c>
      <c r="AB12" s="420">
        <v>95</v>
      </c>
      <c r="AC12" s="420">
        <v>138</v>
      </c>
      <c r="AD12" s="420">
        <v>75</v>
      </c>
      <c r="AE12" s="420"/>
      <c r="AF12" s="396">
        <v>60</v>
      </c>
      <c r="AG12" s="455"/>
    </row>
    <row r="13" spans="1:33" s="21" customFormat="1" ht="18.75" customHeight="1" x14ac:dyDescent="0.2">
      <c r="A13" s="416" t="s">
        <v>421</v>
      </c>
      <c r="B13" s="836">
        <f>B12/B$36</f>
        <v>6.1925199264255056E-2</v>
      </c>
      <c r="C13" s="836">
        <f t="shared" ref="C13:J13" si="4">C12/C$36</f>
        <v>6.0442525634106854E-2</v>
      </c>
      <c r="D13" s="836">
        <f t="shared" si="4"/>
        <v>5.503875968992248E-2</v>
      </c>
      <c r="E13" s="836">
        <f t="shared" si="4"/>
        <v>7.2916666666666671E-2</v>
      </c>
      <c r="F13" s="836">
        <f t="shared" si="4"/>
        <v>6.1174551386623165E-2</v>
      </c>
      <c r="G13" s="836">
        <f t="shared" si="4"/>
        <v>7.9156223893065994E-2</v>
      </c>
      <c r="H13" s="836">
        <f t="shared" si="4"/>
        <v>0</v>
      </c>
      <c r="I13" s="836">
        <f t="shared" si="4"/>
        <v>5.4619703930576823E-2</v>
      </c>
      <c r="J13" s="836">
        <f t="shared" si="4"/>
        <v>6.6101694915254236E-2</v>
      </c>
      <c r="M13" s="53" t="s">
        <v>191</v>
      </c>
      <c r="N13" s="420">
        <v>20</v>
      </c>
      <c r="O13" s="420">
        <v>16</v>
      </c>
      <c r="P13" s="420">
        <v>11</v>
      </c>
      <c r="Q13" s="420">
        <v>49</v>
      </c>
      <c r="R13" s="420">
        <v>14</v>
      </c>
      <c r="S13" s="420">
        <v>17</v>
      </c>
      <c r="T13" s="420">
        <v>9</v>
      </c>
      <c r="U13" s="420">
        <v>14</v>
      </c>
      <c r="V13" s="420"/>
      <c r="W13" s="420">
        <v>30</v>
      </c>
      <c r="X13" s="420">
        <v>4</v>
      </c>
      <c r="Y13" s="420">
        <v>14</v>
      </c>
      <c r="Z13" s="420">
        <v>22</v>
      </c>
      <c r="AA13" s="420">
        <v>21</v>
      </c>
      <c r="AB13" s="420">
        <v>94</v>
      </c>
      <c r="AC13" s="420">
        <v>72</v>
      </c>
      <c r="AD13" s="420">
        <v>48</v>
      </c>
      <c r="AE13" s="420"/>
      <c r="AF13" s="396">
        <v>64</v>
      </c>
      <c r="AG13" s="455"/>
    </row>
    <row r="14" spans="1:33" s="21" customFormat="1" ht="18.75" customHeight="1" x14ac:dyDescent="0.2">
      <c r="A14" s="415" t="s">
        <v>422</v>
      </c>
      <c r="B14" s="835">
        <f>SUM(N9:P9)</f>
        <v>74</v>
      </c>
      <c r="C14" s="835">
        <f>SUM(Q9:R9)</f>
        <v>95</v>
      </c>
      <c r="D14" s="835">
        <f>SUM(S9:V9)</f>
        <v>60</v>
      </c>
      <c r="E14" s="835">
        <f>SUM(W9:Y9)</f>
        <v>42</v>
      </c>
      <c r="F14" s="835">
        <f>SUM(Z9:AA9)</f>
        <v>64</v>
      </c>
      <c r="G14" s="835">
        <f>SUM(AB9:AD9)</f>
        <v>247</v>
      </c>
      <c r="H14" s="835">
        <f>AE9</f>
        <v>0</v>
      </c>
      <c r="I14" s="835">
        <f>AF9</f>
        <v>66</v>
      </c>
      <c r="J14" s="837">
        <f>SUM(B14:I14)</f>
        <v>648</v>
      </c>
      <c r="M14" s="53" t="s">
        <v>192</v>
      </c>
      <c r="N14" s="420">
        <v>19</v>
      </c>
      <c r="O14" s="420">
        <v>19</v>
      </c>
      <c r="P14" s="420">
        <v>14</v>
      </c>
      <c r="Q14" s="420">
        <v>70</v>
      </c>
      <c r="R14" s="420">
        <v>10</v>
      </c>
      <c r="S14" s="420">
        <v>30</v>
      </c>
      <c r="T14" s="420">
        <v>5</v>
      </c>
      <c r="U14" s="420">
        <v>6</v>
      </c>
      <c r="V14" s="420">
        <v>5</v>
      </c>
      <c r="W14" s="420">
        <v>14</v>
      </c>
      <c r="X14" s="420">
        <v>5</v>
      </c>
      <c r="Y14" s="420">
        <v>4</v>
      </c>
      <c r="Z14" s="420">
        <v>14</v>
      </c>
      <c r="AA14" s="420">
        <v>20</v>
      </c>
      <c r="AB14" s="420">
        <v>36</v>
      </c>
      <c r="AC14" s="420">
        <v>77</v>
      </c>
      <c r="AD14" s="420">
        <v>48</v>
      </c>
      <c r="AE14" s="420"/>
      <c r="AF14" s="396">
        <v>51</v>
      </c>
      <c r="AG14" s="455"/>
    </row>
    <row r="15" spans="1:33" s="21" customFormat="1" ht="18.75" customHeight="1" x14ac:dyDescent="0.2">
      <c r="A15" s="416" t="s">
        <v>423</v>
      </c>
      <c r="B15" s="836">
        <f>B14/B$36</f>
        <v>4.5370938074800735E-2</v>
      </c>
      <c r="C15" s="836">
        <f t="shared" ref="C15:J15" si="5">C14/C$36</f>
        <v>5.1268213707501349E-2</v>
      </c>
      <c r="D15" s="836">
        <f t="shared" si="5"/>
        <v>4.6511627906976744E-2</v>
      </c>
      <c r="E15" s="836">
        <f t="shared" si="5"/>
        <v>3.3653846153846152E-2</v>
      </c>
      <c r="F15" s="836">
        <f t="shared" si="5"/>
        <v>5.2202283849918436E-2</v>
      </c>
      <c r="G15" s="836">
        <f t="shared" si="5"/>
        <v>5.1587301587301584E-2</v>
      </c>
      <c r="H15" s="836">
        <f t="shared" si="5"/>
        <v>0</v>
      </c>
      <c r="I15" s="836">
        <f t="shared" si="5"/>
        <v>3.3690658499234305E-2</v>
      </c>
      <c r="J15" s="836">
        <f t="shared" si="5"/>
        <v>4.576271186440678E-2</v>
      </c>
      <c r="M15" s="53" t="s">
        <v>193</v>
      </c>
      <c r="N15" s="420">
        <v>13</v>
      </c>
      <c r="O15" s="420">
        <v>25</v>
      </c>
      <c r="P15" s="420">
        <v>4</v>
      </c>
      <c r="Q15" s="420">
        <v>22</v>
      </c>
      <c r="R15" s="420">
        <v>12</v>
      </c>
      <c r="S15" s="420">
        <v>13</v>
      </c>
      <c r="T15" s="420">
        <v>6</v>
      </c>
      <c r="U15" s="420">
        <v>5</v>
      </c>
      <c r="V15" s="420">
        <v>8</v>
      </c>
      <c r="W15" s="420">
        <v>19</v>
      </c>
      <c r="X15" s="420">
        <v>2</v>
      </c>
      <c r="Y15" s="420">
        <v>4</v>
      </c>
      <c r="Z15" s="420">
        <v>12</v>
      </c>
      <c r="AA15" s="420">
        <v>17</v>
      </c>
      <c r="AB15" s="420">
        <v>37</v>
      </c>
      <c r="AC15" s="420">
        <v>66</v>
      </c>
      <c r="AD15" s="420">
        <v>31</v>
      </c>
      <c r="AE15" s="420"/>
      <c r="AF15" s="396">
        <v>38</v>
      </c>
      <c r="AG15" s="455"/>
    </row>
    <row r="16" spans="1:33" s="21" customFormat="1" ht="18.75" customHeight="1" x14ac:dyDescent="0.2">
      <c r="A16" s="415" t="s">
        <v>424</v>
      </c>
      <c r="B16" s="835">
        <f>SUM(N10:P10)</f>
        <v>83</v>
      </c>
      <c r="C16" s="835">
        <f>SUM(Q10:R10)</f>
        <v>150</v>
      </c>
      <c r="D16" s="835">
        <f>SUM(S10:V10)</f>
        <v>75</v>
      </c>
      <c r="E16" s="835">
        <f>SUM(W10:Y10)</f>
        <v>66</v>
      </c>
      <c r="F16" s="835">
        <f>SUM(Z10:AA10)</f>
        <v>79</v>
      </c>
      <c r="G16" s="835">
        <f>SUM(AB10:AD10)</f>
        <v>413</v>
      </c>
      <c r="H16" s="835">
        <f>AE10</f>
        <v>0</v>
      </c>
      <c r="I16" s="835">
        <f>AF10</f>
        <v>114</v>
      </c>
      <c r="J16" s="837">
        <f>SUM(B16:I16)</f>
        <v>980</v>
      </c>
      <c r="M16" s="53" t="s">
        <v>194</v>
      </c>
      <c r="N16" s="420">
        <v>9</v>
      </c>
      <c r="O16" s="420">
        <v>18</v>
      </c>
      <c r="P16" s="420">
        <v>9</v>
      </c>
      <c r="Q16" s="420">
        <v>24</v>
      </c>
      <c r="R16" s="420">
        <v>10</v>
      </c>
      <c r="S16" s="420">
        <v>9</v>
      </c>
      <c r="T16" s="420">
        <v>8</v>
      </c>
      <c r="U16" s="420">
        <v>6</v>
      </c>
      <c r="V16" s="420">
        <v>4</v>
      </c>
      <c r="W16" s="420">
        <v>11</v>
      </c>
      <c r="X16" s="420">
        <v>2</v>
      </c>
      <c r="Y16" s="420">
        <v>1</v>
      </c>
      <c r="Z16" s="420">
        <v>10</v>
      </c>
      <c r="AA16" s="420">
        <v>14</v>
      </c>
      <c r="AB16" s="420">
        <v>16</v>
      </c>
      <c r="AC16" s="420">
        <v>44</v>
      </c>
      <c r="AD16" s="420">
        <v>32</v>
      </c>
      <c r="AE16" s="420"/>
      <c r="AF16" s="396">
        <v>25</v>
      </c>
      <c r="AG16" s="455"/>
    </row>
    <row r="17" spans="1:33" s="21" customFormat="1" ht="18.75" customHeight="1" x14ac:dyDescent="0.2">
      <c r="A17" s="416" t="s">
        <v>425</v>
      </c>
      <c r="B17" s="836">
        <f>B16/B$36</f>
        <v>5.0889025137952175E-2</v>
      </c>
      <c r="C17" s="836">
        <f t="shared" ref="C17:J17" si="6">C16/C$36</f>
        <v>8.094981111710739E-2</v>
      </c>
      <c r="D17" s="836">
        <f t="shared" si="6"/>
        <v>5.8139534883720929E-2</v>
      </c>
      <c r="E17" s="836">
        <f t="shared" si="6"/>
        <v>5.2884615384615384E-2</v>
      </c>
      <c r="F17" s="836">
        <f t="shared" si="6"/>
        <v>6.4437194127243066E-2</v>
      </c>
      <c r="G17" s="836">
        <f t="shared" si="6"/>
        <v>8.6257309941520463E-2</v>
      </c>
      <c r="H17" s="836">
        <f t="shared" si="6"/>
        <v>0</v>
      </c>
      <c r="I17" s="836">
        <f t="shared" si="6"/>
        <v>5.8192955589586523E-2</v>
      </c>
      <c r="J17" s="836">
        <f t="shared" si="6"/>
        <v>6.9209039548022599E-2</v>
      </c>
      <c r="M17" s="53" t="s">
        <v>195</v>
      </c>
      <c r="N17" s="420">
        <v>9</v>
      </c>
      <c r="O17" s="420">
        <v>17</v>
      </c>
      <c r="P17" s="420">
        <v>12</v>
      </c>
      <c r="Q17" s="420">
        <v>16</v>
      </c>
      <c r="R17" s="420">
        <v>3</v>
      </c>
      <c r="S17" s="420">
        <v>14</v>
      </c>
      <c r="T17" s="420">
        <v>3</v>
      </c>
      <c r="U17" s="420">
        <v>2</v>
      </c>
      <c r="V17" s="420">
        <v>3</v>
      </c>
      <c r="W17" s="420">
        <v>10</v>
      </c>
      <c r="X17" s="420">
        <v>5</v>
      </c>
      <c r="Y17" s="420">
        <v>4</v>
      </c>
      <c r="Z17" s="420">
        <v>12</v>
      </c>
      <c r="AA17" s="420">
        <v>14</v>
      </c>
      <c r="AB17" s="420">
        <v>24</v>
      </c>
      <c r="AC17" s="420">
        <v>50</v>
      </c>
      <c r="AD17" s="420">
        <v>25</v>
      </c>
      <c r="AE17" s="420"/>
      <c r="AF17" s="396">
        <v>31</v>
      </c>
      <c r="AG17" s="455"/>
    </row>
    <row r="18" spans="1:33" s="21" customFormat="1" ht="18.75" customHeight="1" x14ac:dyDescent="0.2">
      <c r="A18" s="415" t="s">
        <v>426</v>
      </c>
      <c r="B18" s="835">
        <f>SUM(N11:P11)</f>
        <v>78</v>
      </c>
      <c r="C18" s="835">
        <f>SUM(Q11:R11)</f>
        <v>95</v>
      </c>
      <c r="D18" s="835">
        <f>SUM(S11:V11)</f>
        <v>53</v>
      </c>
      <c r="E18" s="835">
        <f>SUM(W11:Y11)</f>
        <v>52</v>
      </c>
      <c r="F18" s="835">
        <f>SUM(Z11:AA11)</f>
        <v>53</v>
      </c>
      <c r="G18" s="835">
        <f>SUM(AB11:AD11)</f>
        <v>324</v>
      </c>
      <c r="H18" s="835">
        <f>AE11</f>
        <v>0</v>
      </c>
      <c r="I18" s="835">
        <f>AF11</f>
        <v>86</v>
      </c>
      <c r="J18" s="837">
        <f>SUM(B18:I18)</f>
        <v>741</v>
      </c>
      <c r="M18" s="53" t="s">
        <v>196</v>
      </c>
      <c r="N18" s="420">
        <v>48</v>
      </c>
      <c r="O18" s="420">
        <v>73</v>
      </c>
      <c r="P18" s="420">
        <v>31</v>
      </c>
      <c r="Q18" s="420">
        <v>98</v>
      </c>
      <c r="R18" s="420">
        <v>43</v>
      </c>
      <c r="S18" s="420">
        <v>46</v>
      </c>
      <c r="T18" s="420">
        <v>11</v>
      </c>
      <c r="U18" s="420">
        <v>21</v>
      </c>
      <c r="V18" s="420">
        <v>17</v>
      </c>
      <c r="W18" s="420">
        <v>55</v>
      </c>
      <c r="X18" s="420">
        <v>15</v>
      </c>
      <c r="Y18" s="420">
        <v>12</v>
      </c>
      <c r="Z18" s="420">
        <v>53</v>
      </c>
      <c r="AA18" s="420">
        <v>70</v>
      </c>
      <c r="AB18" s="420">
        <v>104</v>
      </c>
      <c r="AC18" s="420">
        <v>252</v>
      </c>
      <c r="AD18" s="420">
        <v>109</v>
      </c>
      <c r="AE18" s="420"/>
      <c r="AF18" s="396">
        <v>182</v>
      </c>
      <c r="AG18" s="455"/>
    </row>
    <row r="19" spans="1:33" s="21" customFormat="1" ht="18.75" customHeight="1" x14ac:dyDescent="0.2">
      <c r="A19" s="416" t="s">
        <v>427</v>
      </c>
      <c r="B19" s="836">
        <f>B18/B$36</f>
        <v>4.7823421213979152E-2</v>
      </c>
      <c r="C19" s="836">
        <f t="shared" ref="C19:J19" si="7">C18/C$36</f>
        <v>5.1268213707501349E-2</v>
      </c>
      <c r="D19" s="836">
        <f t="shared" si="7"/>
        <v>4.1085271317829457E-2</v>
      </c>
      <c r="E19" s="836">
        <f t="shared" si="7"/>
        <v>4.1666666666666664E-2</v>
      </c>
      <c r="F19" s="836">
        <f t="shared" si="7"/>
        <v>4.3230016313213701E-2</v>
      </c>
      <c r="G19" s="836">
        <f t="shared" si="7"/>
        <v>6.7669172932330823E-2</v>
      </c>
      <c r="H19" s="836">
        <f t="shared" si="7"/>
        <v>0</v>
      </c>
      <c r="I19" s="836">
        <f t="shared" si="7"/>
        <v>4.3899948953547728E-2</v>
      </c>
      <c r="J19" s="836">
        <f t="shared" si="7"/>
        <v>5.2330508474576272E-2</v>
      </c>
      <c r="M19" s="53" t="s">
        <v>197</v>
      </c>
      <c r="N19" s="420">
        <v>53</v>
      </c>
      <c r="O19" s="420">
        <v>17</v>
      </c>
      <c r="P19" s="420">
        <v>38</v>
      </c>
      <c r="Q19" s="420">
        <v>57</v>
      </c>
      <c r="R19" s="420">
        <v>19</v>
      </c>
      <c r="S19" s="420">
        <v>33</v>
      </c>
      <c r="T19" s="420">
        <v>4</v>
      </c>
      <c r="U19" s="420">
        <v>6</v>
      </c>
      <c r="V19" s="420">
        <v>14</v>
      </c>
      <c r="W19" s="420">
        <v>25</v>
      </c>
      <c r="X19" s="420">
        <v>12</v>
      </c>
      <c r="Y19" s="420">
        <v>2</v>
      </c>
      <c r="Z19" s="420">
        <v>29</v>
      </c>
      <c r="AA19" s="420">
        <v>42</v>
      </c>
      <c r="AB19" s="420">
        <v>59</v>
      </c>
      <c r="AC19" s="420">
        <v>121</v>
      </c>
      <c r="AD19" s="420">
        <v>79</v>
      </c>
      <c r="AE19" s="420"/>
      <c r="AF19" s="396">
        <v>155</v>
      </c>
      <c r="AG19" s="455"/>
    </row>
    <row r="20" spans="1:33" s="21" customFormat="1" ht="18.75" customHeight="1" x14ac:dyDescent="0.2">
      <c r="A20" s="415" t="s">
        <v>428</v>
      </c>
      <c r="B20" s="835">
        <f>SUM(N12:P12)</f>
        <v>58</v>
      </c>
      <c r="C20" s="835">
        <f>SUM(Q12:R12)</f>
        <v>80</v>
      </c>
      <c r="D20" s="835">
        <f>SUM(S12:V12)</f>
        <v>50</v>
      </c>
      <c r="E20" s="835">
        <f>SUM(W12:Y12)</f>
        <v>34</v>
      </c>
      <c r="F20" s="835">
        <f>SUM(Z12:AA12)</f>
        <v>60</v>
      </c>
      <c r="G20" s="835">
        <f>SUM(AB12:AD12)</f>
        <v>308</v>
      </c>
      <c r="H20" s="835">
        <f>AE12</f>
        <v>0</v>
      </c>
      <c r="I20" s="835">
        <f>AF12</f>
        <v>60</v>
      </c>
      <c r="J20" s="837">
        <f>SUM(B20:I20)</f>
        <v>650</v>
      </c>
      <c r="M20" s="67" t="s">
        <v>384</v>
      </c>
      <c r="N20" s="455"/>
      <c r="O20" s="455"/>
      <c r="P20" s="455"/>
      <c r="Q20" s="455"/>
      <c r="R20" s="455"/>
      <c r="S20" s="455"/>
      <c r="T20" s="455"/>
      <c r="U20" s="455"/>
      <c r="V20" s="455"/>
      <c r="W20" s="455"/>
      <c r="X20" s="455"/>
      <c r="Y20" s="455"/>
      <c r="Z20" s="455"/>
      <c r="AA20" s="455"/>
      <c r="AB20" s="455"/>
      <c r="AC20" s="455"/>
      <c r="AD20" s="455"/>
      <c r="AE20" s="455"/>
      <c r="AG20" s="455"/>
    </row>
    <row r="21" spans="1:33" s="21" customFormat="1" ht="18.75" customHeight="1" x14ac:dyDescent="0.2">
      <c r="A21" s="416" t="s">
        <v>429</v>
      </c>
      <c r="B21" s="836">
        <f>B20/B$36</f>
        <v>3.5561005518087066E-2</v>
      </c>
      <c r="C21" s="836">
        <f t="shared" ref="C21:J21" si="8">C20/C$36</f>
        <v>4.317323259579061E-2</v>
      </c>
      <c r="D21" s="836">
        <f t="shared" si="8"/>
        <v>3.875968992248062E-2</v>
      </c>
      <c r="E21" s="836">
        <f t="shared" si="8"/>
        <v>2.7243589743589744E-2</v>
      </c>
      <c r="F21" s="836">
        <f t="shared" si="8"/>
        <v>4.8939641109298535E-2</v>
      </c>
      <c r="G21" s="836">
        <f t="shared" si="8"/>
        <v>6.4327485380116955E-2</v>
      </c>
      <c r="H21" s="836">
        <f t="shared" si="8"/>
        <v>0</v>
      </c>
      <c r="I21" s="836">
        <f t="shared" si="8"/>
        <v>3.0627871362940276E-2</v>
      </c>
      <c r="J21" s="836">
        <f t="shared" si="8"/>
        <v>4.5903954802259887E-2</v>
      </c>
    </row>
    <row r="22" spans="1:33" s="21" customFormat="1" ht="18.75" customHeight="1" x14ac:dyDescent="0.2">
      <c r="A22" s="415" t="s">
        <v>430</v>
      </c>
      <c r="B22" s="835">
        <f>SUM(N13:P13)</f>
        <v>47</v>
      </c>
      <c r="C22" s="835">
        <f>SUM(Q13:R13)</f>
        <v>63</v>
      </c>
      <c r="D22" s="835">
        <f>SUM(S13:V13)</f>
        <v>40</v>
      </c>
      <c r="E22" s="835">
        <f>SUM(W13:Y13)</f>
        <v>48</v>
      </c>
      <c r="F22" s="835">
        <f>SUM(Z13:AA13)</f>
        <v>43</v>
      </c>
      <c r="G22" s="835">
        <f>SUM(AB13:AD13)</f>
        <v>214</v>
      </c>
      <c r="H22" s="835">
        <f>AE13</f>
        <v>0</v>
      </c>
      <c r="I22" s="835">
        <f>AF13</f>
        <v>64</v>
      </c>
      <c r="J22" s="837">
        <f>SUM(B22:I22)</f>
        <v>519</v>
      </c>
    </row>
    <row r="23" spans="1:33" s="21" customFormat="1" ht="18.75" customHeight="1" x14ac:dyDescent="0.2">
      <c r="A23" s="416" t="s">
        <v>431</v>
      </c>
      <c r="B23" s="836">
        <f>B22/B$36</f>
        <v>2.8816676885346414E-2</v>
      </c>
      <c r="C23" s="836">
        <f t="shared" ref="C23:J23" si="9">C22/C$36</f>
        <v>3.3998920669185105E-2</v>
      </c>
      <c r="D23" s="836">
        <f t="shared" si="9"/>
        <v>3.1007751937984496E-2</v>
      </c>
      <c r="E23" s="836">
        <f t="shared" si="9"/>
        <v>3.8461538461538464E-2</v>
      </c>
      <c r="F23" s="836">
        <f t="shared" si="9"/>
        <v>3.507340946166395E-2</v>
      </c>
      <c r="G23" s="836">
        <f t="shared" si="9"/>
        <v>4.4695071010860482E-2</v>
      </c>
      <c r="H23" s="836">
        <f t="shared" si="9"/>
        <v>0</v>
      </c>
      <c r="I23" s="836">
        <f t="shared" si="9"/>
        <v>3.2669729453802962E-2</v>
      </c>
      <c r="J23" s="836">
        <f t="shared" si="9"/>
        <v>3.6652542372881354E-2</v>
      </c>
    </row>
    <row r="24" spans="1:33" s="21" customFormat="1" ht="18.75" customHeight="1" x14ac:dyDescent="0.2">
      <c r="A24" s="415" t="s">
        <v>432</v>
      </c>
      <c r="B24" s="835">
        <f>SUM(N14:P14)</f>
        <v>52</v>
      </c>
      <c r="C24" s="835">
        <f>SUM(Q14:R14)</f>
        <v>80</v>
      </c>
      <c r="D24" s="835">
        <f>SUM(S14:V14)</f>
        <v>46</v>
      </c>
      <c r="E24" s="835">
        <f>SUM(W14:Y14)</f>
        <v>23</v>
      </c>
      <c r="F24" s="835">
        <f>SUM(Z14:AA14)</f>
        <v>34</v>
      </c>
      <c r="G24" s="835">
        <f>SUM(AB14:AD14)</f>
        <v>161</v>
      </c>
      <c r="H24" s="835">
        <f>AE14</f>
        <v>0</v>
      </c>
      <c r="I24" s="835">
        <f>AF14</f>
        <v>51</v>
      </c>
      <c r="J24" s="837">
        <f>SUM(B24:I24)</f>
        <v>447</v>
      </c>
    </row>
    <row r="25" spans="1:33" s="21" customFormat="1" ht="18.75" customHeight="1" x14ac:dyDescent="0.2">
      <c r="A25" s="416" t="s">
        <v>433</v>
      </c>
      <c r="B25" s="836">
        <f>B24/B$36</f>
        <v>3.1882280809319437E-2</v>
      </c>
      <c r="C25" s="836">
        <f t="shared" ref="C25:J25" si="10">C24/C$36</f>
        <v>4.317323259579061E-2</v>
      </c>
      <c r="D25" s="836">
        <f t="shared" si="10"/>
        <v>3.565891472868217E-2</v>
      </c>
      <c r="E25" s="836">
        <f t="shared" si="10"/>
        <v>1.842948717948718E-2</v>
      </c>
      <c r="F25" s="836">
        <f t="shared" si="10"/>
        <v>2.7732463295269169E-2</v>
      </c>
      <c r="G25" s="836">
        <f t="shared" si="10"/>
        <v>3.3625730994152045E-2</v>
      </c>
      <c r="H25" s="836">
        <f t="shared" si="10"/>
        <v>0</v>
      </c>
      <c r="I25" s="836">
        <f t="shared" si="10"/>
        <v>2.6033690658499236E-2</v>
      </c>
      <c r="J25" s="836">
        <f t="shared" si="10"/>
        <v>3.1567796610169493E-2</v>
      </c>
    </row>
    <row r="26" spans="1:33" s="21" customFormat="1" ht="18.75" customHeight="1" x14ac:dyDescent="0.2">
      <c r="A26" s="415" t="s">
        <v>434</v>
      </c>
      <c r="B26" s="835">
        <f>SUM(N15:P15)</f>
        <v>42</v>
      </c>
      <c r="C26" s="835">
        <f>SUM(Q15:R15)</f>
        <v>34</v>
      </c>
      <c r="D26" s="835">
        <f>SUM(S15:V15)</f>
        <v>32</v>
      </c>
      <c r="E26" s="835">
        <f>SUM(W15:Y15)</f>
        <v>25</v>
      </c>
      <c r="F26" s="835">
        <f>SUM(Z15:AA15)</f>
        <v>29</v>
      </c>
      <c r="G26" s="835">
        <f>SUM(AB15:AD15)</f>
        <v>134</v>
      </c>
      <c r="H26" s="835">
        <f>AE15</f>
        <v>0</v>
      </c>
      <c r="I26" s="835">
        <f>AF15</f>
        <v>38</v>
      </c>
      <c r="J26" s="837">
        <f>SUM(B26:I26)</f>
        <v>334</v>
      </c>
    </row>
    <row r="27" spans="1:33" s="21" customFormat="1" ht="18.75" customHeight="1" x14ac:dyDescent="0.2">
      <c r="A27" s="416" t="s">
        <v>435</v>
      </c>
      <c r="B27" s="836">
        <f>B26/B$36</f>
        <v>2.575107296137339E-2</v>
      </c>
      <c r="C27" s="836">
        <f t="shared" ref="C27:J27" si="11">C26/C$36</f>
        <v>1.834862385321101E-2</v>
      </c>
      <c r="D27" s="836">
        <f t="shared" si="11"/>
        <v>2.4806201550387597E-2</v>
      </c>
      <c r="E27" s="836">
        <f t="shared" si="11"/>
        <v>2.0032051282051284E-2</v>
      </c>
      <c r="F27" s="836">
        <f t="shared" si="11"/>
        <v>2.365415986949429E-2</v>
      </c>
      <c r="G27" s="836">
        <f t="shared" si="11"/>
        <v>2.7986633249791143E-2</v>
      </c>
      <c r="H27" s="836">
        <f t="shared" si="11"/>
        <v>0</v>
      </c>
      <c r="I27" s="836">
        <f t="shared" si="11"/>
        <v>1.9397651863195507E-2</v>
      </c>
      <c r="J27" s="836">
        <f t="shared" si="11"/>
        <v>2.3587570621468927E-2</v>
      </c>
    </row>
    <row r="28" spans="1:33" s="21" customFormat="1" ht="18.75" customHeight="1" x14ac:dyDescent="0.2">
      <c r="A28" s="415" t="s">
        <v>436</v>
      </c>
      <c r="B28" s="835">
        <f>SUM(N16:P16)</f>
        <v>36</v>
      </c>
      <c r="C28" s="835">
        <f>SUM(Q16:R16)</f>
        <v>34</v>
      </c>
      <c r="D28" s="835">
        <f>SUM(S16:V16)</f>
        <v>27</v>
      </c>
      <c r="E28" s="835">
        <f>SUM(W16:Y16)</f>
        <v>14</v>
      </c>
      <c r="F28" s="835">
        <f>SUM(Z16:AA16)</f>
        <v>24</v>
      </c>
      <c r="G28" s="835">
        <f>SUM(AB16:AD16)</f>
        <v>92</v>
      </c>
      <c r="H28" s="835">
        <f>AE16</f>
        <v>0</v>
      </c>
      <c r="I28" s="835">
        <f>AF16</f>
        <v>25</v>
      </c>
      <c r="J28" s="837">
        <f>SUM(B28:I28)</f>
        <v>252</v>
      </c>
    </row>
    <row r="29" spans="1:33" s="21" customFormat="1" ht="18.75" customHeight="1" x14ac:dyDescent="0.2">
      <c r="A29" s="416" t="s">
        <v>437</v>
      </c>
      <c r="B29" s="836">
        <f>B28/B$36</f>
        <v>2.2072348252605765E-2</v>
      </c>
      <c r="C29" s="836">
        <f t="shared" ref="C29:J29" si="12">C28/C$36</f>
        <v>1.834862385321101E-2</v>
      </c>
      <c r="D29" s="836">
        <f t="shared" si="12"/>
        <v>2.0930232558139535E-2</v>
      </c>
      <c r="E29" s="836">
        <f t="shared" si="12"/>
        <v>1.1217948717948718E-2</v>
      </c>
      <c r="F29" s="836">
        <f t="shared" si="12"/>
        <v>1.9575856443719411E-2</v>
      </c>
      <c r="G29" s="836">
        <f t="shared" si="12"/>
        <v>1.921470342522974E-2</v>
      </c>
      <c r="H29" s="836">
        <f t="shared" si="12"/>
        <v>0</v>
      </c>
      <c r="I29" s="836">
        <f t="shared" si="12"/>
        <v>1.2761613067891782E-2</v>
      </c>
      <c r="J29" s="836">
        <f t="shared" si="12"/>
        <v>1.7796610169491526E-2</v>
      </c>
    </row>
    <row r="30" spans="1:33" s="21" customFormat="1" ht="18.75" customHeight="1" x14ac:dyDescent="0.2">
      <c r="A30" s="415" t="s">
        <v>438</v>
      </c>
      <c r="B30" s="835">
        <f>SUM(N17:P17)</f>
        <v>38</v>
      </c>
      <c r="C30" s="835">
        <f>SUM(Q17:R17)</f>
        <v>19</v>
      </c>
      <c r="D30" s="835">
        <f>SUM(S17:V17)</f>
        <v>22</v>
      </c>
      <c r="E30" s="835">
        <f>SUM(W17:Y17)</f>
        <v>19</v>
      </c>
      <c r="F30" s="835">
        <f>SUM(Z17:AA17)</f>
        <v>26</v>
      </c>
      <c r="G30" s="835">
        <f>SUM(AB17:AD17)</f>
        <v>99</v>
      </c>
      <c r="H30" s="835">
        <f>AE17</f>
        <v>0</v>
      </c>
      <c r="I30" s="835">
        <f>AF17</f>
        <v>31</v>
      </c>
      <c r="J30" s="837">
        <f>SUM(B30:I30)</f>
        <v>254</v>
      </c>
    </row>
    <row r="31" spans="1:33" s="21" customFormat="1" ht="18.75" customHeight="1" x14ac:dyDescent="0.2">
      <c r="A31" s="416" t="s">
        <v>439</v>
      </c>
      <c r="B31" s="836">
        <f>B30/B$36</f>
        <v>2.3298589822194973E-2</v>
      </c>
      <c r="C31" s="836">
        <f t="shared" ref="C31:J31" si="13">C30/C$36</f>
        <v>1.0253642741500269E-2</v>
      </c>
      <c r="D31" s="836">
        <f t="shared" si="13"/>
        <v>1.7054263565891473E-2</v>
      </c>
      <c r="E31" s="836">
        <f t="shared" si="13"/>
        <v>1.5224358974358974E-2</v>
      </c>
      <c r="F31" s="836">
        <f t="shared" si="13"/>
        <v>2.1207177814029365E-2</v>
      </c>
      <c r="G31" s="836">
        <f t="shared" si="13"/>
        <v>2.0676691729323307E-2</v>
      </c>
      <c r="H31" s="836">
        <f t="shared" si="13"/>
        <v>0</v>
      </c>
      <c r="I31" s="836">
        <f t="shared" si="13"/>
        <v>1.582440020418581E-2</v>
      </c>
      <c r="J31" s="836">
        <f t="shared" si="13"/>
        <v>1.7937853107344633E-2</v>
      </c>
    </row>
    <row r="32" spans="1:33" s="21" customFormat="1" ht="18.75" customHeight="1" x14ac:dyDescent="0.2">
      <c r="A32" s="415" t="s">
        <v>440</v>
      </c>
      <c r="B32" s="835">
        <f>SUM(N18:P18)</f>
        <v>152</v>
      </c>
      <c r="C32" s="835">
        <f>SUM(Q18:R18)</f>
        <v>141</v>
      </c>
      <c r="D32" s="835">
        <f>SUM(S18:V18)</f>
        <v>95</v>
      </c>
      <c r="E32" s="835">
        <f>SUM(W18:Y18)</f>
        <v>82</v>
      </c>
      <c r="F32" s="835">
        <f>SUM(Z18:AA18)</f>
        <v>123</v>
      </c>
      <c r="G32" s="835">
        <f>SUM(AB18:AD18)</f>
        <v>465</v>
      </c>
      <c r="H32" s="835">
        <f>AE18</f>
        <v>0</v>
      </c>
      <c r="I32" s="835">
        <f>AF18</f>
        <v>182</v>
      </c>
      <c r="J32" s="837">
        <f>SUM(B32:I32)</f>
        <v>1240</v>
      </c>
    </row>
    <row r="33" spans="1:10" s="21" customFormat="1" ht="18.75" customHeight="1" x14ac:dyDescent="0.2">
      <c r="A33" s="416" t="s">
        <v>441</v>
      </c>
      <c r="B33" s="836">
        <f>B32/B$36</f>
        <v>9.3194359288779893E-2</v>
      </c>
      <c r="C33" s="836">
        <f t="shared" ref="C33:J33" si="14">C32/C$36</f>
        <v>7.6092822450080949E-2</v>
      </c>
      <c r="D33" s="836">
        <f t="shared" si="14"/>
        <v>7.3643410852713184E-2</v>
      </c>
      <c r="E33" s="836">
        <f t="shared" si="14"/>
        <v>6.5705128205128208E-2</v>
      </c>
      <c r="F33" s="836">
        <f t="shared" si="14"/>
        <v>0.10032626427406199</v>
      </c>
      <c r="G33" s="836">
        <f t="shared" si="14"/>
        <v>9.7117794486215533E-2</v>
      </c>
      <c r="H33" s="836">
        <f t="shared" si="14"/>
        <v>0</v>
      </c>
      <c r="I33" s="836">
        <f t="shared" si="14"/>
        <v>9.2904543134252171E-2</v>
      </c>
      <c r="J33" s="836">
        <f t="shared" si="14"/>
        <v>8.7570621468926552E-2</v>
      </c>
    </row>
    <row r="34" spans="1:10" s="21" customFormat="1" ht="18.75" customHeight="1" x14ac:dyDescent="0.2">
      <c r="A34" s="1014" t="s">
        <v>61</v>
      </c>
      <c r="B34" s="835">
        <f>SUM(N19:P19)</f>
        <v>108</v>
      </c>
      <c r="C34" s="835">
        <f>SUM(Q19:R19)</f>
        <v>76</v>
      </c>
      <c r="D34" s="835">
        <f>SUM(S19:V19)</f>
        <v>57</v>
      </c>
      <c r="E34" s="835">
        <f>SUM(W19:Y19)</f>
        <v>39</v>
      </c>
      <c r="F34" s="835">
        <f>SUM(Z19:AA19)</f>
        <v>71</v>
      </c>
      <c r="G34" s="835">
        <f>SUM(AB19:AD19)</f>
        <v>259</v>
      </c>
      <c r="H34" s="835">
        <f>AE19</f>
        <v>0</v>
      </c>
      <c r="I34" s="835">
        <f>AF19</f>
        <v>155</v>
      </c>
      <c r="J34" s="837">
        <f>SUM(B34:I34)</f>
        <v>765</v>
      </c>
    </row>
    <row r="35" spans="1:10" s="21" customFormat="1" ht="18.75" customHeight="1" x14ac:dyDescent="0.2">
      <c r="A35" s="1006"/>
      <c r="B35" s="836">
        <f>B34/B$36</f>
        <v>6.6217044757817284E-2</v>
      </c>
      <c r="C35" s="836">
        <f t="shared" ref="C35:J35" si="15">C34/C$36</f>
        <v>4.1014570966001078E-2</v>
      </c>
      <c r="D35" s="836">
        <f t="shared" si="15"/>
        <v>4.4186046511627906E-2</v>
      </c>
      <c r="E35" s="836">
        <f t="shared" si="15"/>
        <v>3.125E-2</v>
      </c>
      <c r="F35" s="836">
        <f t="shared" si="15"/>
        <v>5.7911908646003263E-2</v>
      </c>
      <c r="G35" s="836">
        <f t="shared" si="15"/>
        <v>5.4093567251461985E-2</v>
      </c>
      <c r="H35" s="836">
        <f t="shared" si="15"/>
        <v>0</v>
      </c>
      <c r="I35" s="836">
        <f t="shared" si="15"/>
        <v>7.9122001020929048E-2</v>
      </c>
      <c r="J35" s="836">
        <f t="shared" si="15"/>
        <v>5.4025423728813561E-2</v>
      </c>
    </row>
    <row r="36" spans="1:10" s="21" customFormat="1" ht="18.75" customHeight="1" x14ac:dyDescent="0.2">
      <c r="A36" s="1008" t="s">
        <v>161</v>
      </c>
      <c r="B36" s="405">
        <f>SUM(B4,B6,B8,B10,B12,B14,B16,B18,B20,B22,B24,B26,B28,B30,B32,B34)</f>
        <v>1631</v>
      </c>
      <c r="C36" s="405">
        <f t="shared" ref="C36:J36" si="16">SUM(C4,C6,C8,C10,C12,C14,C16,C18,C20,C22,C24,C26,C28,C30,C32,C34)</f>
        <v>1853</v>
      </c>
      <c r="D36" s="405">
        <f t="shared" si="16"/>
        <v>1290</v>
      </c>
      <c r="E36" s="405">
        <f t="shared" si="16"/>
        <v>1248</v>
      </c>
      <c r="F36" s="405">
        <f t="shared" si="16"/>
        <v>1226</v>
      </c>
      <c r="G36" s="405">
        <f t="shared" si="16"/>
        <v>4788</v>
      </c>
      <c r="H36" s="405">
        <f t="shared" si="16"/>
        <v>165</v>
      </c>
      <c r="I36" s="405">
        <f t="shared" si="16"/>
        <v>1959</v>
      </c>
      <c r="J36" s="406">
        <f t="shared" si="16"/>
        <v>14160</v>
      </c>
    </row>
    <row r="37" spans="1:10" s="21" customFormat="1" ht="18.75" customHeight="1" x14ac:dyDescent="0.2">
      <c r="A37" s="1006"/>
      <c r="B37" s="407">
        <f t="shared" ref="B37:J37" si="17">SUM(B5,B7,B9,B11,B13,B15,B17,B19,B21,B23,B25,B27,B29,B31,B33,B35)</f>
        <v>1</v>
      </c>
      <c r="C37" s="407">
        <f t="shared" si="17"/>
        <v>1.0000000000000002</v>
      </c>
      <c r="D37" s="407">
        <f t="shared" si="17"/>
        <v>1</v>
      </c>
      <c r="E37" s="407">
        <f t="shared" si="17"/>
        <v>0.99999999999999989</v>
      </c>
      <c r="F37" s="407">
        <f t="shared" si="17"/>
        <v>0.99999999999999978</v>
      </c>
      <c r="G37" s="407">
        <f t="shared" si="17"/>
        <v>0.99999999999999989</v>
      </c>
      <c r="H37" s="407">
        <f t="shared" si="17"/>
        <v>0.99999999999999989</v>
      </c>
      <c r="I37" s="407">
        <f t="shared" si="17"/>
        <v>1.0000000000000002</v>
      </c>
      <c r="J37" s="407">
        <f t="shared" si="17"/>
        <v>1</v>
      </c>
    </row>
    <row r="38" spans="1:10" s="6" customFormat="1" ht="18.75" customHeight="1" x14ac:dyDescent="0.2">
      <c r="A38" s="1014" t="s">
        <v>56</v>
      </c>
      <c r="B38" s="835">
        <f>SUM(B4,B6,B8,B10)</f>
        <v>762</v>
      </c>
      <c r="C38" s="835">
        <f t="shared" ref="C38:I38" si="18">SUM(C4,C6,C8,C10)</f>
        <v>874</v>
      </c>
      <c r="D38" s="835">
        <f t="shared" si="18"/>
        <v>662</v>
      </c>
      <c r="E38" s="835">
        <f t="shared" si="18"/>
        <v>713</v>
      </c>
      <c r="F38" s="835">
        <f t="shared" si="18"/>
        <v>545</v>
      </c>
      <c r="G38" s="835">
        <f t="shared" si="18"/>
        <v>1693</v>
      </c>
      <c r="H38" s="835">
        <f t="shared" si="18"/>
        <v>165</v>
      </c>
      <c r="I38" s="835">
        <f t="shared" si="18"/>
        <v>980</v>
      </c>
      <c r="J38" s="835">
        <f t="shared" ref="J38" si="19">SUM(B38:I38)</f>
        <v>6394</v>
      </c>
    </row>
    <row r="39" spans="1:10" s="6" customFormat="1" ht="18.75" customHeight="1" x14ac:dyDescent="0.2">
      <c r="A39" s="1006"/>
      <c r="B39" s="836">
        <f>B38/B$36</f>
        <v>0.46719803801348864</v>
      </c>
      <c r="C39" s="836">
        <f t="shared" ref="C39:J45" si="20">C38/C$36</f>
        <v>0.47166756610901239</v>
      </c>
      <c r="D39" s="836">
        <f t="shared" si="20"/>
        <v>0.51317829457364339</v>
      </c>
      <c r="E39" s="836">
        <f t="shared" si="20"/>
        <v>0.57131410256410253</v>
      </c>
      <c r="F39" s="836">
        <f t="shared" si="20"/>
        <v>0.44453507340946169</v>
      </c>
      <c r="G39" s="836">
        <f t="shared" si="20"/>
        <v>0.3535923141186299</v>
      </c>
      <c r="H39" s="836">
        <f t="shared" si="20"/>
        <v>1</v>
      </c>
      <c r="I39" s="836">
        <f t="shared" si="20"/>
        <v>0.50025523226135782</v>
      </c>
      <c r="J39" s="836">
        <f t="shared" si="20"/>
        <v>0.45155367231638416</v>
      </c>
    </row>
    <row r="40" spans="1:10" s="21" customFormat="1" ht="18.75" customHeight="1" x14ac:dyDescent="0.2">
      <c r="A40" s="417" t="s">
        <v>442</v>
      </c>
      <c r="B40" s="835">
        <f>SUM(B12,B14,B16,B18,B20)</f>
        <v>394</v>
      </c>
      <c r="C40" s="835">
        <f t="shared" ref="C40:I40" si="21">SUM(C12,C14,C16,C18,C20)</f>
        <v>532</v>
      </c>
      <c r="D40" s="835">
        <f t="shared" si="21"/>
        <v>309</v>
      </c>
      <c r="E40" s="835">
        <f t="shared" si="21"/>
        <v>285</v>
      </c>
      <c r="F40" s="835">
        <f t="shared" si="21"/>
        <v>331</v>
      </c>
      <c r="G40" s="835">
        <f t="shared" si="21"/>
        <v>1671</v>
      </c>
      <c r="H40" s="835">
        <f t="shared" si="21"/>
        <v>0</v>
      </c>
      <c r="I40" s="835">
        <f t="shared" si="21"/>
        <v>433</v>
      </c>
      <c r="J40" s="835">
        <f t="shared" ref="J40" si="22">SUM(B40:I40)</f>
        <v>3955</v>
      </c>
    </row>
    <row r="41" spans="1:10" s="21" customFormat="1" ht="18.75" customHeight="1" x14ac:dyDescent="0.2">
      <c r="A41" s="418" t="s">
        <v>443</v>
      </c>
      <c r="B41" s="836">
        <f>B40/B$36</f>
        <v>0.24156958920907418</v>
      </c>
      <c r="C41" s="836">
        <f t="shared" ref="C41:I41" si="23">C40/C$36</f>
        <v>0.28710199676200754</v>
      </c>
      <c r="D41" s="836">
        <f t="shared" si="23"/>
        <v>0.23953488372093024</v>
      </c>
      <c r="E41" s="836">
        <f t="shared" si="23"/>
        <v>0.22836538461538461</v>
      </c>
      <c r="F41" s="836">
        <f t="shared" si="23"/>
        <v>0.26998368678629692</v>
      </c>
      <c r="G41" s="836">
        <f t="shared" si="23"/>
        <v>0.34899749373433586</v>
      </c>
      <c r="H41" s="836">
        <f t="shared" si="23"/>
        <v>0</v>
      </c>
      <c r="I41" s="836">
        <f t="shared" si="23"/>
        <v>0.22103113833588567</v>
      </c>
      <c r="J41" s="836">
        <f t="shared" si="20"/>
        <v>0.27930790960451979</v>
      </c>
    </row>
    <row r="42" spans="1:10" s="6" customFormat="1" ht="18.75" customHeight="1" x14ac:dyDescent="0.2">
      <c r="A42" s="417" t="s">
        <v>444</v>
      </c>
      <c r="B42" s="835">
        <f>SUM(B22,B24,B26,B28,B30)</f>
        <v>215</v>
      </c>
      <c r="C42" s="835">
        <f t="shared" ref="C42:I42" si="24">SUM(C22,C24,C26,C28,C30)</f>
        <v>230</v>
      </c>
      <c r="D42" s="835">
        <f t="shared" si="24"/>
        <v>167</v>
      </c>
      <c r="E42" s="835">
        <f t="shared" si="24"/>
        <v>129</v>
      </c>
      <c r="F42" s="835">
        <f t="shared" si="24"/>
        <v>156</v>
      </c>
      <c r="G42" s="835">
        <f t="shared" si="24"/>
        <v>700</v>
      </c>
      <c r="H42" s="835">
        <f t="shared" si="24"/>
        <v>0</v>
      </c>
      <c r="I42" s="835">
        <f t="shared" si="24"/>
        <v>209</v>
      </c>
      <c r="J42" s="835">
        <f t="shared" ref="J42" si="25">SUM(B42:I42)</f>
        <v>1806</v>
      </c>
    </row>
    <row r="43" spans="1:10" s="6" customFormat="1" ht="18.75" customHeight="1" x14ac:dyDescent="0.2">
      <c r="A43" s="419" t="s">
        <v>445</v>
      </c>
      <c r="B43" s="836">
        <f>B42/B$36</f>
        <v>0.13182096873083998</v>
      </c>
      <c r="C43" s="836">
        <f t="shared" ref="C43:I43" si="26">C42/C$36</f>
        <v>0.12412304371289801</v>
      </c>
      <c r="D43" s="836">
        <f t="shared" si="26"/>
        <v>0.12945736434108526</v>
      </c>
      <c r="E43" s="836">
        <f t="shared" si="26"/>
        <v>0.10336538461538461</v>
      </c>
      <c r="F43" s="836">
        <f t="shared" si="26"/>
        <v>0.12724306688417619</v>
      </c>
      <c r="G43" s="836">
        <f t="shared" si="26"/>
        <v>0.14619883040935672</v>
      </c>
      <c r="H43" s="836">
        <f t="shared" si="26"/>
        <v>0</v>
      </c>
      <c r="I43" s="836">
        <f t="shared" si="26"/>
        <v>0.10668708524757529</v>
      </c>
      <c r="J43" s="836">
        <f t="shared" si="20"/>
        <v>0.12754237288135592</v>
      </c>
    </row>
    <row r="44" spans="1:10" s="21" customFormat="1" ht="18.75" customHeight="1" x14ac:dyDescent="0.2">
      <c r="A44" s="1014" t="s">
        <v>446</v>
      </c>
      <c r="B44" s="835">
        <f>SUM(B32,B34)</f>
        <v>260</v>
      </c>
      <c r="C44" s="835">
        <f t="shared" ref="C44:I44" si="27">SUM(C32,C34)</f>
        <v>217</v>
      </c>
      <c r="D44" s="835">
        <f t="shared" si="27"/>
        <v>152</v>
      </c>
      <c r="E44" s="835">
        <f t="shared" si="27"/>
        <v>121</v>
      </c>
      <c r="F44" s="835">
        <f t="shared" si="27"/>
        <v>194</v>
      </c>
      <c r="G44" s="835">
        <f t="shared" si="27"/>
        <v>724</v>
      </c>
      <c r="H44" s="835">
        <f t="shared" si="27"/>
        <v>0</v>
      </c>
      <c r="I44" s="835">
        <f t="shared" si="27"/>
        <v>337</v>
      </c>
      <c r="J44" s="835">
        <f t="shared" ref="J44" si="28">SUM(B44:I44)</f>
        <v>2005</v>
      </c>
    </row>
    <row r="45" spans="1:10" s="21" customFormat="1" ht="18.75" customHeight="1" x14ac:dyDescent="0.2">
      <c r="A45" s="1006"/>
      <c r="B45" s="836">
        <f>B44/B$36</f>
        <v>0.15941140404659718</v>
      </c>
      <c r="C45" s="836">
        <f t="shared" ref="C45:I45" si="29">C44/C$36</f>
        <v>0.11710739341608203</v>
      </c>
      <c r="D45" s="836">
        <f t="shared" si="29"/>
        <v>0.11782945736434108</v>
      </c>
      <c r="E45" s="836">
        <f t="shared" si="29"/>
        <v>9.6955128205128208E-2</v>
      </c>
      <c r="F45" s="836">
        <f t="shared" si="29"/>
        <v>0.15823817292006526</v>
      </c>
      <c r="G45" s="836">
        <f t="shared" si="29"/>
        <v>0.15121136173767752</v>
      </c>
      <c r="H45" s="836">
        <f t="shared" si="29"/>
        <v>0</v>
      </c>
      <c r="I45" s="836">
        <f t="shared" si="29"/>
        <v>0.1720265441551812</v>
      </c>
      <c r="J45" s="836">
        <f t="shared" si="20"/>
        <v>0.14159604519774011</v>
      </c>
    </row>
    <row r="46" spans="1:10" hidden="1" x14ac:dyDescent="0.2">
      <c r="B46" s="39">
        <f>SUM(B38,B40,B42,B44)</f>
        <v>1631</v>
      </c>
      <c r="C46" s="39">
        <f t="shared" ref="C46:I46" si="30">SUM(C38,C40,C42,C44)</f>
        <v>1853</v>
      </c>
      <c r="D46" s="39">
        <f t="shared" si="30"/>
        <v>1290</v>
      </c>
      <c r="E46" s="39">
        <f t="shared" si="30"/>
        <v>1248</v>
      </c>
      <c r="F46" s="39">
        <f t="shared" si="30"/>
        <v>1226</v>
      </c>
      <c r="G46" s="39">
        <f>SUM(G38,G40,G42,G44)</f>
        <v>4788</v>
      </c>
      <c r="H46" s="39">
        <f t="shared" si="30"/>
        <v>165</v>
      </c>
      <c r="I46" s="39">
        <f t="shared" si="30"/>
        <v>1959</v>
      </c>
    </row>
    <row r="47" spans="1:10" x14ac:dyDescent="0.2">
      <c r="B47" s="39"/>
      <c r="C47" s="39"/>
      <c r="D47" s="39"/>
      <c r="E47" s="39"/>
      <c r="F47" s="39"/>
      <c r="G47" s="39"/>
      <c r="H47" s="39"/>
      <c r="I47" s="39"/>
    </row>
  </sheetData>
  <mergeCells count="5">
    <mergeCell ref="A4:A5"/>
    <mergeCell ref="A34:A35"/>
    <mergeCell ref="A36:A37"/>
    <mergeCell ref="A38:A39"/>
    <mergeCell ref="A44:A45"/>
  </mergeCells>
  <phoneticPr fontId="2"/>
  <printOptions horizontalCentered="1"/>
  <pageMargins left="0.70866141732283472" right="0.70866141732283472" top="0.74803149606299213" bottom="0.74803149606299213" header="0.31496062992125984" footer="0.31496062992125984"/>
  <pageSetup paperSize="9" scale="94" orientation="portrait" r:id="rId1"/>
  <drawing r:id="rId2"/>
  <mc:AlternateContent xmlns:mc="http://schemas.openxmlformats.org/markup-compatibility/2006">
    <mc:Choice Requires="v">
      <legacyDrawing r:id="rId3"/>
    </mc:Choice>
  </mc:AlternateContent>
  <controls>
    <control shapeId="51203" r:id="rId4" name="Button 3">
      <controlPr defaultSize="0" print="0" autoFill="0" autoPict="0" macro="[0]!データ削除_在院期間区分病院所在地">
        <anchor moveWithCells="1" sizeWithCells="1">
          <from>
            <xdr:col>11</xdr:col>
            <xdr:colOff>304800</xdr:colOff>
            <xdr:row>21</xdr:row>
            <xdr:rowOff>60960</xdr:rowOff>
          </from>
          <to>
            <xdr:col>13</xdr:col>
            <xdr:colOff>655320</xdr:colOff>
            <xdr:row>23</xdr:row>
            <xdr:rowOff>160020</xdr:rowOff>
          </to>
        </anchor>
      </controlPr>
    </control>
  </controls>
  <tableParts count="1">
    <tablePart r:id="rId5"/>
  </tableParts>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249977111117893"/>
  </sheetPr>
  <dimension ref="A1:T22"/>
  <sheetViews>
    <sheetView showGridLines="0" view="pageBreakPreview" zoomScale="90" zoomScaleNormal="100" zoomScaleSheetLayoutView="90" workbookViewId="0"/>
  </sheetViews>
  <sheetFormatPr defaultColWidth="9" defaultRowHeight="17.399999999999999" x14ac:dyDescent="0.2"/>
  <cols>
    <col min="1" max="1" width="22.109375" style="1" customWidth="1"/>
    <col min="2" max="2" width="10.5546875" style="1" bestFit="1" customWidth="1"/>
    <col min="3" max="3" width="10.77734375" style="1" bestFit="1" customWidth="1"/>
    <col min="4" max="4" width="9" style="1" customWidth="1"/>
    <col min="5" max="5" width="10.77734375" style="1" bestFit="1" customWidth="1"/>
    <col min="6" max="6" width="5.88671875" style="1" bestFit="1" customWidth="1"/>
    <col min="7" max="7" width="20.77734375" style="1" hidden="1" customWidth="1"/>
    <col min="8" max="8" width="22.21875" style="1" hidden="1" customWidth="1"/>
    <col min="9" max="9" width="5" style="1" hidden="1" customWidth="1"/>
    <col min="10" max="10" width="15.21875" style="1" hidden="1" customWidth="1"/>
    <col min="11" max="11" width="13.88671875" style="1" hidden="1" customWidth="1"/>
    <col min="12" max="12" width="20.33203125" style="1" hidden="1" customWidth="1"/>
    <col min="13" max="13" width="5" style="1" hidden="1" customWidth="1"/>
    <col min="14" max="14" width="6.6640625" style="1" hidden="1" customWidth="1"/>
    <col min="15" max="15" width="7.33203125" style="1" hidden="1" customWidth="1"/>
    <col min="16" max="16384" width="9" style="1"/>
  </cols>
  <sheetData>
    <row r="1" spans="1:20" s="3" customFormat="1" ht="19.2" x14ac:dyDescent="0.2">
      <c r="A1" s="2" t="s">
        <v>118</v>
      </c>
    </row>
    <row r="2" spans="1:20" x14ac:dyDescent="0.2">
      <c r="A2" s="4"/>
      <c r="G2" s="55" t="s">
        <v>63</v>
      </c>
    </row>
    <row r="3" spans="1:20" s="3" customFormat="1" ht="18" customHeight="1" thickBot="1" x14ac:dyDescent="0.25">
      <c r="A3" s="4" t="s">
        <v>13</v>
      </c>
      <c r="G3" s="257" t="s">
        <v>281</v>
      </c>
      <c r="H3" s="339" t="s">
        <v>349</v>
      </c>
      <c r="I3" s="1"/>
      <c r="J3" s="1"/>
    </row>
    <row r="4" spans="1:20" ht="15.75" customHeight="1" thickTop="1" thickBot="1" x14ac:dyDescent="0.25">
      <c r="A4" s="580"/>
      <c r="B4" s="580" t="s">
        <v>0</v>
      </c>
      <c r="C4" s="580" t="s">
        <v>1</v>
      </c>
      <c r="D4" s="172"/>
      <c r="E4" s="172"/>
      <c r="G4" s="288" t="s">
        <v>372</v>
      </c>
      <c r="H4" s="37" t="s">
        <v>611</v>
      </c>
      <c r="J4" s="36"/>
    </row>
    <row r="5" spans="1:20" ht="18" thickTop="1" x14ac:dyDescent="0.2">
      <c r="A5" s="704" t="s">
        <v>14</v>
      </c>
      <c r="B5" s="713">
        <f>IFERROR(VLOOKUP("措置入院",入院形態[#All],2,FALSE),0)+IFERROR(VLOOKUP("緊急措置入院",入院形態[#All],2,FALSE),0)</f>
        <v>62</v>
      </c>
      <c r="C5" s="706">
        <f>IFERROR(B5/B$10,"-")</f>
        <v>4.3785310734463278E-3</v>
      </c>
      <c r="D5" s="172"/>
      <c r="E5" s="172"/>
      <c r="G5" s="39" t="s">
        <v>16</v>
      </c>
      <c r="H5" s="40">
        <v>6692</v>
      </c>
      <c r="J5" s="41"/>
    </row>
    <row r="6" spans="1:20" x14ac:dyDescent="0.2">
      <c r="A6" s="704" t="s">
        <v>15</v>
      </c>
      <c r="B6" s="713">
        <f>IFERROR(VLOOKUP(A6,入院形態[#All],2,FALSE),0)</f>
        <v>7368</v>
      </c>
      <c r="C6" s="706">
        <f t="shared" ref="C6:C9" si="0">IFERROR(B6/B$10,"-")</f>
        <v>0.52033898305084747</v>
      </c>
      <c r="D6" s="172"/>
      <c r="E6" s="172"/>
      <c r="G6" s="39" t="s">
        <v>612</v>
      </c>
      <c r="H6" s="342">
        <v>60</v>
      </c>
      <c r="J6" s="41"/>
    </row>
    <row r="7" spans="1:20" x14ac:dyDescent="0.2">
      <c r="A7" s="704" t="s">
        <v>16</v>
      </c>
      <c r="B7" s="713">
        <f>IFERROR(VLOOKUP(A7,入院形態[#All],2,FALSE),0)</f>
        <v>6692</v>
      </c>
      <c r="C7" s="706">
        <f t="shared" si="0"/>
        <v>0.4725988700564972</v>
      </c>
      <c r="D7" s="172"/>
      <c r="E7" s="172"/>
      <c r="G7" s="39" t="s">
        <v>613</v>
      </c>
      <c r="H7" s="40">
        <v>5</v>
      </c>
      <c r="J7" s="41"/>
    </row>
    <row r="8" spans="1:20" x14ac:dyDescent="0.2">
      <c r="A8" s="704" t="s">
        <v>17</v>
      </c>
      <c r="B8" s="713">
        <f>IFERROR(VLOOKUP(A8,入院形態[#All],2,FALSE),0)</f>
        <v>1</v>
      </c>
      <c r="C8" s="706">
        <f t="shared" si="0"/>
        <v>7.0621468926553675E-5</v>
      </c>
      <c r="D8" s="172"/>
      <c r="E8" s="172"/>
      <c r="G8" s="39" t="s">
        <v>17</v>
      </c>
      <c r="H8" s="40">
        <v>1</v>
      </c>
      <c r="J8" s="41"/>
    </row>
    <row r="9" spans="1:20" x14ac:dyDescent="0.2">
      <c r="A9" s="704" t="s">
        <v>18</v>
      </c>
      <c r="B9" s="713">
        <f>IFERROR(VLOOKUP("鑑定入院",入院形態[#All],2,FALSE),0)+IFERROR(VLOOKUP("医療観察法による入院",入院形態[#All],2,FALSE),0)+IFERROR(VLOOKUP("不明",入院形態[#All],2,FALSE),0)</f>
        <v>37</v>
      </c>
      <c r="C9" s="706">
        <f t="shared" si="0"/>
        <v>2.6129943502824857E-3</v>
      </c>
      <c r="D9" s="172"/>
      <c r="E9" s="172"/>
      <c r="G9" s="39" t="s">
        <v>15</v>
      </c>
      <c r="H9" s="40">
        <v>7368</v>
      </c>
    </row>
    <row r="10" spans="1:20" x14ac:dyDescent="0.2">
      <c r="A10" s="708" t="s">
        <v>11</v>
      </c>
      <c r="B10" s="709">
        <f>SUM(B5:B9)</f>
        <v>14160</v>
      </c>
      <c r="C10" s="710">
        <f>SUM(C5:C9)</f>
        <v>1</v>
      </c>
      <c r="D10" s="172"/>
      <c r="E10" s="172"/>
      <c r="G10" s="42" t="s">
        <v>614</v>
      </c>
      <c r="H10" s="40">
        <v>32</v>
      </c>
    </row>
    <row r="11" spans="1:20" x14ac:dyDescent="0.2">
      <c r="A11" s="714"/>
      <c r="B11" s="715"/>
      <c r="C11" s="716"/>
      <c r="D11" s="172"/>
      <c r="E11" s="172"/>
      <c r="G11" s="42" t="s">
        <v>373</v>
      </c>
      <c r="H11" s="40">
        <v>2</v>
      </c>
    </row>
    <row r="12" spans="1:20" x14ac:dyDescent="0.2">
      <c r="A12" s="714"/>
      <c r="B12" s="715"/>
      <c r="C12" s="716"/>
      <c r="D12" s="172"/>
      <c r="E12" s="172"/>
      <c r="G12" s="39" t="s">
        <v>374</v>
      </c>
      <c r="H12" s="40">
        <v>0</v>
      </c>
    </row>
    <row r="13" spans="1:20" ht="18" thickBot="1" x14ac:dyDescent="0.25">
      <c r="A13" s="714"/>
      <c r="B13" s="715"/>
      <c r="C13" s="716"/>
      <c r="D13" s="172"/>
      <c r="E13" s="172"/>
      <c r="G13" s="341" t="s">
        <v>281</v>
      </c>
      <c r="H13" s="339" t="s">
        <v>28</v>
      </c>
      <c r="J13" s="341" t="s">
        <v>281</v>
      </c>
      <c r="K13" s="339" t="s">
        <v>282</v>
      </c>
    </row>
    <row r="14" spans="1:20" s="3" customFormat="1" ht="20.399999999999999" thickTop="1" thickBot="1" x14ac:dyDescent="0.25">
      <c r="A14" s="717" t="s">
        <v>113</v>
      </c>
      <c r="B14" s="718"/>
      <c r="C14" s="718"/>
      <c r="D14" s="718"/>
      <c r="E14" s="718"/>
      <c r="G14" s="288" t="s">
        <v>372</v>
      </c>
      <c r="H14" s="37" t="s">
        <v>611</v>
      </c>
      <c r="J14" s="288" t="s">
        <v>372</v>
      </c>
      <c r="K14" s="37" t="s">
        <v>611</v>
      </c>
    </row>
    <row r="15" spans="1:20" ht="16.5" customHeight="1" thickTop="1" x14ac:dyDescent="0.2">
      <c r="A15" s="580"/>
      <c r="B15" s="580" t="s">
        <v>114</v>
      </c>
      <c r="C15" s="580" t="s">
        <v>116</v>
      </c>
      <c r="D15" s="580" t="s">
        <v>12</v>
      </c>
      <c r="E15" s="580" t="s">
        <v>1</v>
      </c>
      <c r="G15" s="39" t="s">
        <v>16</v>
      </c>
      <c r="H15" s="40">
        <v>284</v>
      </c>
      <c r="J15" s="39" t="s">
        <v>16</v>
      </c>
      <c r="K15" s="40">
        <v>1006</v>
      </c>
      <c r="L15" s="46"/>
    </row>
    <row r="16" spans="1:20" x14ac:dyDescent="0.2">
      <c r="A16" s="704" t="s">
        <v>14</v>
      </c>
      <c r="B16" s="707">
        <f>IFERROR(VLOOKUP("措置入院",入院形態_寛解[#All],2,FALSE),0)+IFERROR(VLOOKUP("緊急措置入院",入院形態_寛解[#All],2,FALSE),0)</f>
        <v>4</v>
      </c>
      <c r="C16" s="707">
        <f>IFERROR(VLOOKUP("措置入院",入院形態_院内寛解[#All],2,FALSE),0)+IFERROR(VLOOKUP("緊急措置入院",入院形態_院内寛解[#All],2,FALSE),0)</f>
        <v>6</v>
      </c>
      <c r="D16" s="707">
        <f>SUM(B16:C16)</f>
        <v>10</v>
      </c>
      <c r="E16" s="706">
        <f>IFERROR(D16/D$21,"-")</f>
        <v>5.546311702717693E-3</v>
      </c>
      <c r="G16" s="39" t="s">
        <v>612</v>
      </c>
      <c r="H16" s="47">
        <v>4</v>
      </c>
      <c r="I16" s="21"/>
      <c r="J16" s="39" t="s">
        <v>612</v>
      </c>
      <c r="K16" s="47">
        <v>6</v>
      </c>
      <c r="L16" s="48"/>
      <c r="M16" s="21"/>
      <c r="N16" s="21"/>
      <c r="O16" s="21"/>
      <c r="P16" s="21"/>
      <c r="Q16" s="21"/>
      <c r="R16" s="21"/>
      <c r="S16" s="21"/>
      <c r="T16" s="21"/>
    </row>
    <row r="17" spans="1:20" x14ac:dyDescent="0.2">
      <c r="A17" s="704" t="s">
        <v>15</v>
      </c>
      <c r="B17" s="707">
        <f>IFERROR(VLOOKUP(A17,入院形態_寛解[#All],2,FALSE),0)</f>
        <v>110</v>
      </c>
      <c r="C17" s="707">
        <f>IFERROR(VLOOKUP(A17,入院形態_院内寛解[#All],2,FALSE),0)</f>
        <v>392</v>
      </c>
      <c r="D17" s="707">
        <f t="shared" ref="D17:D20" si="1">SUM(B17:C17)</f>
        <v>502</v>
      </c>
      <c r="E17" s="706">
        <f t="shared" ref="E17:E20" si="2">IFERROR(D17/D$21,"-")</f>
        <v>0.27842484747642815</v>
      </c>
      <c r="G17" s="39" t="s">
        <v>613</v>
      </c>
      <c r="H17" s="47">
        <v>0</v>
      </c>
      <c r="I17" s="21"/>
      <c r="J17" s="39" t="s">
        <v>613</v>
      </c>
      <c r="K17" s="47">
        <v>0</v>
      </c>
      <c r="L17" s="48"/>
      <c r="M17" s="21"/>
      <c r="N17" s="21"/>
      <c r="O17" s="21"/>
      <c r="P17" s="21"/>
      <c r="Q17" s="21"/>
      <c r="R17" s="21"/>
      <c r="S17" s="21"/>
      <c r="T17" s="21"/>
    </row>
    <row r="18" spans="1:20" x14ac:dyDescent="0.2">
      <c r="A18" s="704" t="s">
        <v>16</v>
      </c>
      <c r="B18" s="707">
        <f>IFERROR(VLOOKUP(A18,入院形態_寛解[#All],2,FALSE),0)</f>
        <v>284</v>
      </c>
      <c r="C18" s="707">
        <f>IFERROR(VLOOKUP(A18,入院形態_院内寛解[#All],2,FALSE),0)</f>
        <v>1006</v>
      </c>
      <c r="D18" s="707">
        <f t="shared" si="1"/>
        <v>1290</v>
      </c>
      <c r="E18" s="706">
        <f t="shared" si="2"/>
        <v>0.71547420965058239</v>
      </c>
      <c r="G18" s="39" t="s">
        <v>17</v>
      </c>
      <c r="H18" s="47">
        <v>0</v>
      </c>
      <c r="I18" s="21"/>
      <c r="J18" s="39" t="s">
        <v>17</v>
      </c>
      <c r="K18" s="47">
        <v>0</v>
      </c>
      <c r="L18" s="48"/>
      <c r="M18" s="21"/>
      <c r="N18" s="21"/>
      <c r="O18" s="21"/>
      <c r="P18" s="21"/>
      <c r="Q18" s="21"/>
      <c r="R18" s="21"/>
      <c r="S18" s="21"/>
      <c r="T18" s="21"/>
    </row>
    <row r="19" spans="1:20" x14ac:dyDescent="0.2">
      <c r="A19" s="704" t="s">
        <v>17</v>
      </c>
      <c r="B19" s="707">
        <f>IFERROR(VLOOKUP(A19,入院形態_寛解[#All],2,FALSE),0)</f>
        <v>0</v>
      </c>
      <c r="C19" s="707">
        <f>IFERROR(VLOOKUP(A19,入院形態_院内寛解[#All],2,FALSE),0)</f>
        <v>0</v>
      </c>
      <c r="D19" s="707">
        <f t="shared" si="1"/>
        <v>0</v>
      </c>
      <c r="E19" s="706">
        <f t="shared" si="2"/>
        <v>0</v>
      </c>
      <c r="G19" s="39" t="s">
        <v>15</v>
      </c>
      <c r="H19" s="47">
        <v>110</v>
      </c>
      <c r="I19" s="21"/>
      <c r="J19" s="39" t="s">
        <v>15</v>
      </c>
      <c r="K19" s="47">
        <v>392</v>
      </c>
      <c r="L19" s="48"/>
      <c r="M19" s="21"/>
      <c r="N19" s="21"/>
      <c r="O19" s="21"/>
      <c r="P19" s="21"/>
      <c r="Q19" s="21"/>
      <c r="R19" s="21"/>
      <c r="S19" s="21"/>
      <c r="T19" s="21"/>
    </row>
    <row r="20" spans="1:20" x14ac:dyDescent="0.2">
      <c r="A20" s="704" t="s">
        <v>18</v>
      </c>
      <c r="B20" s="713">
        <f>IFERROR(VLOOKUP("鑑定入院",入院形態_寛解[#All],2,FALSE),0)+IFERROR(VLOOKUP("医療観察法による入院",入院形態_寛解[#All],2,FALSE),0)+IFERROR(VLOOKUP("不明",入院形態_寛解[#All],2,FALSE),0)</f>
        <v>0</v>
      </c>
      <c r="C20" s="713">
        <f>IFERROR(VLOOKUP("鑑定入院",入院形態_院内寛解[#All],2,FALSE),0)+IFERROR(VLOOKUP("医療観察法による入院",入院形態_院内寛解[#All],2,FALSE),0)+IFERROR(VLOOKUP("不明",入院形態_院内寛解[#All],2,FALSE),0)</f>
        <v>1</v>
      </c>
      <c r="D20" s="707">
        <f t="shared" si="1"/>
        <v>1</v>
      </c>
      <c r="E20" s="706">
        <f t="shared" si="2"/>
        <v>5.5463117027176932E-4</v>
      </c>
      <c r="G20" s="42" t="s">
        <v>614</v>
      </c>
      <c r="H20" s="47">
        <v>0</v>
      </c>
      <c r="J20" s="42" t="s">
        <v>614</v>
      </c>
      <c r="K20" s="47">
        <v>1</v>
      </c>
      <c r="L20" s="51"/>
    </row>
    <row r="21" spans="1:20" x14ac:dyDescent="0.2">
      <c r="A21" s="708" t="s">
        <v>11</v>
      </c>
      <c r="B21" s="709">
        <f>SUM(B16:B20)</f>
        <v>398</v>
      </c>
      <c r="C21" s="709">
        <f>SUM(C16:C20)</f>
        <v>1405</v>
      </c>
      <c r="D21" s="709">
        <f>SUM(D16:D20)</f>
        <v>1803</v>
      </c>
      <c r="E21" s="710">
        <f>SUM(E16:E20)</f>
        <v>1</v>
      </c>
      <c r="G21" s="42" t="s">
        <v>373</v>
      </c>
      <c r="H21" s="47">
        <v>0</v>
      </c>
      <c r="J21" s="42" t="s">
        <v>373</v>
      </c>
      <c r="K21" s="47">
        <v>0</v>
      </c>
    </row>
    <row r="22" spans="1:20" x14ac:dyDescent="0.2">
      <c r="G22" s="39" t="s">
        <v>374</v>
      </c>
      <c r="H22" s="47">
        <v>0</v>
      </c>
      <c r="J22" s="39" t="s">
        <v>374</v>
      </c>
      <c r="K22" s="47">
        <v>0</v>
      </c>
    </row>
  </sheetData>
  <phoneticPr fontId="2"/>
  <pageMargins left="0.70866141732283472" right="0.70866141732283472" top="0.74803149606299213" bottom="0.74803149606299213" header="0.31496062992125984" footer="0.31496062992125984"/>
  <pageSetup paperSize="11" scale="87" orientation="landscape" r:id="rId1"/>
  <drawing r:id="rId2"/>
  <mc:AlternateContent xmlns:mc="http://schemas.openxmlformats.org/markup-compatibility/2006">
    <mc:Choice Requires="v">
      <legacyDrawing r:id="rId3"/>
    </mc:Choice>
  </mc:AlternateContent>
  <controls>
    <control shapeId="18433" r:id="rId4" name="Button 1">
      <controlPr defaultSize="0" print="0" autoFill="0" autoPict="0" macro="[0]!データ削除_入院形態">
        <anchor moveWithCells="1" sizeWithCells="1">
          <from>
            <xdr:col>11</xdr:col>
            <xdr:colOff>533400</xdr:colOff>
            <xdr:row>2</xdr:row>
            <xdr:rowOff>152400</xdr:rowOff>
          </from>
          <to>
            <xdr:col>13</xdr:col>
            <xdr:colOff>289560</xdr:colOff>
            <xdr:row>5</xdr:row>
            <xdr:rowOff>7620</xdr:rowOff>
          </to>
        </anchor>
      </controlPr>
    </control>
  </controls>
  <tableParts count="3">
    <tablePart r:id="rId5"/>
    <tablePart r:id="rId6"/>
    <tablePart r:id="rId7"/>
  </tableParts>
</worksheet>
</file>

<file path=xl/worksheets/sheet3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8">
    <tabColor theme="9" tint="-0.499984740745262"/>
    <pageSetUpPr fitToPage="1"/>
  </sheetPr>
  <dimension ref="A1:BB38"/>
  <sheetViews>
    <sheetView showGridLines="0" view="pageBreakPreview" zoomScale="90" zoomScaleNormal="80" zoomScaleSheetLayoutView="90" workbookViewId="0"/>
  </sheetViews>
  <sheetFormatPr defaultColWidth="13.77734375" defaultRowHeight="17.399999999999999" x14ac:dyDescent="0.2"/>
  <cols>
    <col min="1" max="1" width="10" style="396" customWidth="1"/>
    <col min="2" max="7" width="8.77734375" style="396" customWidth="1"/>
    <col min="8" max="8" width="8.6640625" style="396" customWidth="1"/>
    <col min="9" max="10" width="8.77734375" style="396" customWidth="1"/>
    <col min="11" max="11" width="7.44140625" style="396" customWidth="1"/>
    <col min="12" max="12" width="7.44140625" style="396" hidden="1" customWidth="1"/>
    <col min="13" max="13" width="10" style="396" hidden="1" customWidth="1"/>
    <col min="14" max="14" width="10.77734375" style="396" hidden="1" customWidth="1"/>
    <col min="15" max="16" width="12.44140625" style="396" hidden="1" customWidth="1"/>
    <col min="17" max="17" width="8.88671875" style="396" hidden="1" customWidth="1"/>
    <col min="18" max="18" width="12.44140625" style="396" hidden="1" customWidth="1"/>
    <col min="19" max="19" width="14.21875" style="396" hidden="1" customWidth="1"/>
    <col min="20" max="20" width="16.109375" style="396" hidden="1" customWidth="1"/>
    <col min="21" max="22" width="12.44140625" style="396" hidden="1" customWidth="1"/>
    <col min="23" max="23" width="16.109375" style="396" hidden="1" customWidth="1"/>
    <col min="24" max="24" width="14.21875" style="396" hidden="1" customWidth="1"/>
    <col min="25" max="27" width="12.44140625" style="396" hidden="1" customWidth="1"/>
    <col min="28" max="31" width="10.77734375" style="396" hidden="1" customWidth="1"/>
    <col min="32" max="32" width="8.88671875" style="396" hidden="1" customWidth="1"/>
    <col min="33" max="34" width="13.77734375" style="396" hidden="1" customWidth="1"/>
    <col min="35" max="55" width="0" style="396" hidden="1" customWidth="1"/>
    <col min="56" max="16384" width="13.77734375" style="396"/>
  </cols>
  <sheetData>
    <row r="1" spans="1:54" s="3" customFormat="1" ht="19.2" x14ac:dyDescent="0.2">
      <c r="A1" s="2" t="s">
        <v>447</v>
      </c>
    </row>
    <row r="2" spans="1:54" ht="18" thickBot="1" x14ac:dyDescent="0.25">
      <c r="A2" s="4"/>
      <c r="AJ2" s="669" t="s">
        <v>394</v>
      </c>
      <c r="AK2" s="669" t="s">
        <v>395</v>
      </c>
      <c r="AL2" s="669" t="s">
        <v>396</v>
      </c>
      <c r="AM2" s="669" t="s">
        <v>397</v>
      </c>
      <c r="AN2" s="669" t="s">
        <v>398</v>
      </c>
      <c r="AO2" s="669" t="s">
        <v>399</v>
      </c>
      <c r="AP2" s="669" t="s">
        <v>400</v>
      </c>
      <c r="AQ2" s="669" t="s">
        <v>401</v>
      </c>
      <c r="AR2" s="669" t="s">
        <v>402</v>
      </c>
      <c r="AS2" s="669" t="s">
        <v>403</v>
      </c>
      <c r="AT2" s="669" t="s">
        <v>564</v>
      </c>
      <c r="AU2" s="669" t="s">
        <v>565</v>
      </c>
      <c r="AV2" s="669" t="s">
        <v>566</v>
      </c>
      <c r="AW2" s="669" t="s">
        <v>567</v>
      </c>
      <c r="AX2" s="669" t="s">
        <v>568</v>
      </c>
      <c r="AY2" s="669" t="s">
        <v>569</v>
      </c>
      <c r="AZ2" s="669" t="s">
        <v>570</v>
      </c>
      <c r="BA2" s="669" t="s">
        <v>571</v>
      </c>
      <c r="BB2" s="669" t="s">
        <v>572</v>
      </c>
    </row>
    <row r="3" spans="1:54" ht="18.75" customHeight="1" thickTop="1" thickBot="1" x14ac:dyDescent="0.25">
      <c r="A3" s="834"/>
      <c r="B3" s="834" t="s">
        <v>386</v>
      </c>
      <c r="C3" s="834" t="s">
        <v>387</v>
      </c>
      <c r="D3" s="834" t="s">
        <v>388</v>
      </c>
      <c r="E3" s="834" t="s">
        <v>389</v>
      </c>
      <c r="F3" s="834" t="s">
        <v>390</v>
      </c>
      <c r="G3" s="834" t="s">
        <v>391</v>
      </c>
      <c r="H3" s="834" t="s">
        <v>392</v>
      </c>
      <c r="I3" s="834" t="s">
        <v>393</v>
      </c>
      <c r="J3" s="834" t="s">
        <v>62</v>
      </c>
      <c r="M3" s="557" t="s">
        <v>372</v>
      </c>
      <c r="N3" s="456" t="s">
        <v>394</v>
      </c>
      <c r="O3" s="456" t="s">
        <v>395</v>
      </c>
      <c r="P3" s="456" t="s">
        <v>396</v>
      </c>
      <c r="Q3" s="456" t="s">
        <v>397</v>
      </c>
      <c r="R3" s="456" t="s">
        <v>398</v>
      </c>
      <c r="S3" s="456" t="s">
        <v>399</v>
      </c>
      <c r="T3" s="456" t="s">
        <v>400</v>
      </c>
      <c r="U3" s="456" t="s">
        <v>401</v>
      </c>
      <c r="V3" s="456" t="s">
        <v>402</v>
      </c>
      <c r="W3" s="456" t="s">
        <v>403</v>
      </c>
      <c r="X3" s="456" t="s">
        <v>564</v>
      </c>
      <c r="Y3" s="456" t="s">
        <v>565</v>
      </c>
      <c r="Z3" s="456" t="s">
        <v>566</v>
      </c>
      <c r="AA3" s="456" t="s">
        <v>567</v>
      </c>
      <c r="AB3" s="456" t="s">
        <v>568</v>
      </c>
      <c r="AC3" s="456" t="s">
        <v>569</v>
      </c>
      <c r="AD3" s="456" t="s">
        <v>570</v>
      </c>
      <c r="AE3" s="456" t="s">
        <v>571</v>
      </c>
      <c r="AF3" s="452" t="s">
        <v>572</v>
      </c>
      <c r="AG3" s="456" t="s">
        <v>606</v>
      </c>
      <c r="AH3" s="456"/>
    </row>
    <row r="4" spans="1:54" s="21" customFormat="1" ht="18.75" customHeight="1" thickTop="1" thickBot="1" x14ac:dyDescent="0.25">
      <c r="A4" s="1015" t="s">
        <v>28</v>
      </c>
      <c r="B4" s="835">
        <f>AJ5</f>
        <v>45</v>
      </c>
      <c r="C4" s="835">
        <f t="shared" ref="C4:I4" si="0">AK5</f>
        <v>55</v>
      </c>
      <c r="D4" s="835">
        <f t="shared" si="0"/>
        <v>62</v>
      </c>
      <c r="E4" s="835">
        <f t="shared" si="0"/>
        <v>75</v>
      </c>
      <c r="F4" s="835">
        <f t="shared" si="0"/>
        <v>55</v>
      </c>
      <c r="G4" s="835">
        <f t="shared" si="0"/>
        <v>78</v>
      </c>
      <c r="H4" s="835">
        <f t="shared" si="0"/>
        <v>5</v>
      </c>
      <c r="I4" s="835">
        <f t="shared" si="0"/>
        <v>23</v>
      </c>
      <c r="J4" s="837">
        <f>SUM(B4:I4)</f>
        <v>398</v>
      </c>
      <c r="M4" s="452">
        <v>1</v>
      </c>
      <c r="N4" s="457">
        <v>8</v>
      </c>
      <c r="O4" s="457">
        <v>25</v>
      </c>
      <c r="P4" s="457">
        <v>12</v>
      </c>
      <c r="Q4" s="457">
        <v>18</v>
      </c>
      <c r="R4" s="457">
        <v>37</v>
      </c>
      <c r="S4" s="457">
        <v>26</v>
      </c>
      <c r="T4" s="457">
        <v>28</v>
      </c>
      <c r="U4" s="457">
        <v>4</v>
      </c>
      <c r="V4" s="457">
        <v>4</v>
      </c>
      <c r="W4" s="457">
        <v>55</v>
      </c>
      <c r="X4" s="457">
        <v>18</v>
      </c>
      <c r="Y4" s="457">
        <v>2</v>
      </c>
      <c r="Z4" s="457">
        <v>37</v>
      </c>
      <c r="AA4" s="457">
        <v>18</v>
      </c>
      <c r="AB4" s="457">
        <v>43</v>
      </c>
      <c r="AC4" s="457">
        <v>32</v>
      </c>
      <c r="AD4" s="457">
        <v>3</v>
      </c>
      <c r="AE4" s="457">
        <v>5</v>
      </c>
      <c r="AF4" s="458">
        <v>23</v>
      </c>
      <c r="AG4" s="459"/>
      <c r="AH4" s="459"/>
      <c r="AI4" s="670"/>
      <c r="AJ4" s="671" t="s">
        <v>386</v>
      </c>
      <c r="AK4" s="672" t="s">
        <v>387</v>
      </c>
      <c r="AL4" s="672" t="s">
        <v>388</v>
      </c>
      <c r="AM4" s="672" t="s">
        <v>389</v>
      </c>
      <c r="AN4" s="672" t="s">
        <v>390</v>
      </c>
      <c r="AO4" s="672" t="s">
        <v>391</v>
      </c>
      <c r="AP4" s="672" t="s">
        <v>392</v>
      </c>
      <c r="AQ4" s="673" t="s">
        <v>393</v>
      </c>
    </row>
    <row r="5" spans="1:54" s="21" customFormat="1" ht="18.75" customHeight="1" x14ac:dyDescent="0.2">
      <c r="A5" s="1016"/>
      <c r="B5" s="836">
        <f>B4/B$16</f>
        <v>2.7590435315757205E-2</v>
      </c>
      <c r="C5" s="836">
        <f t="shared" ref="C5:J5" si="1">C4/C$16</f>
        <v>2.9681597409606044E-2</v>
      </c>
      <c r="D5" s="836">
        <f t="shared" si="1"/>
        <v>4.8062015503875968E-2</v>
      </c>
      <c r="E5" s="836">
        <f t="shared" si="1"/>
        <v>6.0096153846153848E-2</v>
      </c>
      <c r="F5" s="836">
        <f t="shared" si="1"/>
        <v>4.4861337683523655E-2</v>
      </c>
      <c r="G5" s="836">
        <f t="shared" si="1"/>
        <v>1.6290726817042606E-2</v>
      </c>
      <c r="H5" s="836">
        <f t="shared" si="1"/>
        <v>3.0303030303030304E-2</v>
      </c>
      <c r="I5" s="836">
        <f t="shared" si="1"/>
        <v>1.1740684022460439E-2</v>
      </c>
      <c r="J5" s="836">
        <f t="shared" si="1"/>
        <v>2.8107344632768361E-2</v>
      </c>
      <c r="M5" s="452">
        <v>2</v>
      </c>
      <c r="N5" s="457">
        <v>30</v>
      </c>
      <c r="O5" s="457">
        <v>82</v>
      </c>
      <c r="P5" s="457">
        <v>32</v>
      </c>
      <c r="Q5" s="457">
        <v>46</v>
      </c>
      <c r="R5" s="457">
        <v>122</v>
      </c>
      <c r="S5" s="457">
        <v>66</v>
      </c>
      <c r="T5" s="457">
        <v>48</v>
      </c>
      <c r="U5" s="457">
        <v>6</v>
      </c>
      <c r="V5" s="457">
        <v>14</v>
      </c>
      <c r="W5" s="457">
        <v>112</v>
      </c>
      <c r="X5" s="457">
        <v>93</v>
      </c>
      <c r="Y5" s="457">
        <v>11</v>
      </c>
      <c r="Z5" s="457">
        <v>9</v>
      </c>
      <c r="AA5" s="457">
        <v>99</v>
      </c>
      <c r="AB5" s="457">
        <v>177</v>
      </c>
      <c r="AC5" s="457">
        <v>248</v>
      </c>
      <c r="AD5" s="457">
        <v>35</v>
      </c>
      <c r="AE5" s="457">
        <v>16</v>
      </c>
      <c r="AF5" s="458">
        <v>159</v>
      </c>
      <c r="AG5" s="459"/>
      <c r="AH5" s="459"/>
      <c r="AI5" s="674">
        <v>1</v>
      </c>
      <c r="AJ5" s="675">
        <f>IFERROR(INDEX(状態像区分病院所在地[#All],MATCH(1,状態像区分病院所在地[[#All],[行ラベル]]),MATCH($AJ$2,状態像区分病院所在地[#Headers],0)),0)+IFERROR(INDEX(状態像区分病院所在地[#All],MATCH(1,状態像区分病院所在地[[#All],[行ラベル]]),MATCH($AK$2,状態像区分病院所在地[#Headers],0)),0)+IFERROR(INDEX(状態像区分病院所在地[#All],MATCH(1,状態像区分病院所在地[[#All],[行ラベル]]),MATCH($AL$2,状態像区分病院所在地[#Headers],0)),0)</f>
        <v>45</v>
      </c>
      <c r="AK5" s="676">
        <f>IFERROR(INDEX(状態像区分病院所在地[#All],MATCH(1,状態像区分病院所在地[[#All],[行ラベル]]),MATCH($AM$2,状態像区分病院所在地[#Headers],0)),0)+IFERROR(INDEX(状態像区分病院所在地[#All],MATCH(1,状態像区分病院所在地[[#All],[行ラベル]]),MATCH($AN$2,状態像区分病院所在地[#Headers],0)),0)</f>
        <v>55</v>
      </c>
      <c r="AL5" s="676">
        <f>IFERROR(INDEX(状態像区分病院所在地[#All],MATCH(1,状態像区分病院所在地[[#All],[行ラベル]]),MATCH($AO$2,状態像区分病院所在地[#Headers],0)),0)+IFERROR(INDEX(状態像区分病院所在地[#All],MATCH(1,状態像区分病院所在地[[#All],[行ラベル]]),MATCH($AP$2,状態像区分病院所在地[#Headers],0)),0)+IFERROR(INDEX(状態像区分病院所在地[#All],MATCH(1,状態像区分病院所在地[[#All],[行ラベル]]),MATCH($AQ$2,状態像区分病院所在地[#Headers],0)),0)+IFERROR(INDEX(状態像区分病院所在地[#All],MATCH(1,状態像区分病院所在地[[#All],[行ラベル]]),MATCH($AR$2,状態像区分病院所在地[#Headers],0)),0)</f>
        <v>62</v>
      </c>
      <c r="AM5" s="676">
        <f>IFERROR(INDEX(状態像区分病院所在地[#All],MATCH(1,状態像区分病院所在地[[#All],[行ラベル]]),MATCH($AS$2,状態像区分病院所在地[#Headers],0)),0)+IFERROR(INDEX(状態像区分病院所在地[#All],MATCH(1,状態像区分病院所在地[[#All],[行ラベル]]),MATCH($AT$2,状態像区分病院所在地[#Headers],0)),0)+IFERROR(INDEX(状態像区分病院所在地[#All],MATCH(1,状態像区分病院所在地[[#All],[行ラベル]]),MATCH($AU$2,状態像区分病院所在地[#Headers],0)),0)</f>
        <v>75</v>
      </c>
      <c r="AN5" s="676">
        <f>IFERROR(INDEX(状態像区分病院所在地[#All],MATCH(1,状態像区分病院所在地[[#All],[行ラベル]]),MATCH($AV$2,状態像区分病院所在地[#Headers],0)),0)+IFERROR(INDEX(状態像区分病院所在地[#All],MATCH(1,状態像区分病院所在地[[#All],[行ラベル]]),MATCH($AW$2,状態像区分病院所在地[#Headers],0)),0)</f>
        <v>55</v>
      </c>
      <c r="AO5" s="676">
        <f>IFERROR(INDEX(状態像区分病院所在地[#All],MATCH(1,状態像区分病院所在地[[#All],[行ラベル]]),MATCH($AX$2,状態像区分病院所在地[#Headers],0)),0)+IFERROR(INDEX(状態像区分病院所在地[#All],MATCH(1,状態像区分病院所在地[[#All],[行ラベル]]),MATCH($AY$2,状態像区分病院所在地[#Headers],0)),0)+IFERROR(INDEX(状態像区分病院所在地[#All],MATCH(1,状態像区分病院所在地[[#All],[行ラベル]]),MATCH($AZ$2,状態像区分病院所在地[#Headers],0)),0)</f>
        <v>78</v>
      </c>
      <c r="AP5" s="676">
        <f>IFERROR(INDEX(状態像区分病院所在地[#All],MATCH(1,状態像区分病院所在地[[#All],[行ラベル]]),MATCH($BA$2,状態像区分病院所在地[#Headers],0)),0)</f>
        <v>5</v>
      </c>
      <c r="AQ5" s="676">
        <f>IFERROR(INDEX(状態像区分病院所在地[#All],MATCH(1,状態像区分病院所在地[[#All],[行ラベル]]),MATCH($BB$2,状態像区分病院所在地[#Headers],0)),0)</f>
        <v>23</v>
      </c>
    </row>
    <row r="6" spans="1:54" s="21" customFormat="1" ht="18.75" customHeight="1" x14ac:dyDescent="0.2">
      <c r="A6" s="1015" t="s">
        <v>29</v>
      </c>
      <c r="B6" s="835">
        <f>AJ6</f>
        <v>144</v>
      </c>
      <c r="C6" s="835">
        <f t="shared" ref="C6:I6" si="2">AK6</f>
        <v>168</v>
      </c>
      <c r="D6" s="835">
        <f t="shared" si="2"/>
        <v>134</v>
      </c>
      <c r="E6" s="835">
        <f t="shared" si="2"/>
        <v>216</v>
      </c>
      <c r="F6" s="835">
        <f t="shared" si="2"/>
        <v>108</v>
      </c>
      <c r="G6" s="835">
        <f t="shared" si="2"/>
        <v>460</v>
      </c>
      <c r="H6" s="835">
        <f t="shared" si="2"/>
        <v>16</v>
      </c>
      <c r="I6" s="835">
        <f t="shared" si="2"/>
        <v>159</v>
      </c>
      <c r="J6" s="837">
        <f>SUM(B6:I6)</f>
        <v>1405</v>
      </c>
      <c r="M6" s="452">
        <v>3</v>
      </c>
      <c r="N6" s="457">
        <v>56</v>
      </c>
      <c r="O6" s="457">
        <v>135</v>
      </c>
      <c r="P6" s="457">
        <v>31</v>
      </c>
      <c r="Q6" s="457">
        <v>100</v>
      </c>
      <c r="R6" s="457">
        <v>155</v>
      </c>
      <c r="S6" s="457">
        <v>158</v>
      </c>
      <c r="T6" s="457">
        <v>48</v>
      </c>
      <c r="U6" s="457">
        <v>12</v>
      </c>
      <c r="V6" s="457">
        <v>30</v>
      </c>
      <c r="W6" s="457">
        <v>244</v>
      </c>
      <c r="X6" s="457">
        <v>95</v>
      </c>
      <c r="Y6" s="457">
        <v>19</v>
      </c>
      <c r="Z6" s="457">
        <v>26</v>
      </c>
      <c r="AA6" s="457">
        <v>136</v>
      </c>
      <c r="AB6" s="457">
        <v>314</v>
      </c>
      <c r="AC6" s="457">
        <v>349</v>
      </c>
      <c r="AD6" s="457">
        <v>247</v>
      </c>
      <c r="AE6" s="457">
        <v>25</v>
      </c>
      <c r="AF6" s="458">
        <v>499</v>
      </c>
      <c r="AG6" s="459"/>
      <c r="AH6" s="459"/>
      <c r="AI6" s="677">
        <v>2</v>
      </c>
      <c r="AJ6" s="678">
        <f>IFERROR(INDEX(状態像区分病院所在地[#All],MATCH(2,状態像区分病院所在地[[#All],[行ラベル]]),MATCH($AJ$2,状態像区分病院所在地[#Headers],0)),0)+IFERROR(INDEX(状態像区分病院所在地[#All],MATCH(2,状態像区分病院所在地[[#All],[行ラベル]]),MATCH($AK$2,状態像区分病院所在地[#Headers],0)),0)+IFERROR(INDEX(状態像区分病院所在地[#All],MATCH(2,状態像区分病院所在地[[#All],[行ラベル]]),MATCH($AL$2,状態像区分病院所在地[#Headers],0)),0)</f>
        <v>144</v>
      </c>
      <c r="AK6" s="679">
        <f>IFERROR(INDEX(状態像区分病院所在地[#All],MATCH(2,状態像区分病院所在地[[#All],[行ラベル]]),MATCH($AM$2,状態像区分病院所在地[#Headers],0)),0)+IFERROR(INDEX(状態像区分病院所在地[#All],MATCH(2,状態像区分病院所在地[[#All],[行ラベル]]),MATCH($AN$2,状態像区分病院所在地[#Headers],0)),0)</f>
        <v>168</v>
      </c>
      <c r="AL6" s="679">
        <f>IFERROR(INDEX(状態像区分病院所在地[#All],MATCH(2,状態像区分病院所在地[[#All],[行ラベル]]),MATCH($AO$2,状態像区分病院所在地[#Headers],0)),0)+IFERROR(INDEX(状態像区分病院所在地[#All],MATCH(2,状態像区分病院所在地[[#All],[行ラベル]]),MATCH($AP$2,状態像区分病院所在地[#Headers],0)),0)+IFERROR(INDEX(状態像区分病院所在地[#All],MATCH(2,状態像区分病院所在地[[#All],[行ラベル]]),MATCH($AQ$2,状態像区分病院所在地[#Headers],0)),0)+IFERROR(INDEX(状態像区分病院所在地[#All],MATCH(2,状態像区分病院所在地[[#All],[行ラベル]]),MATCH($AR$2,状態像区分病院所在地[#Headers],0)),0)</f>
        <v>134</v>
      </c>
      <c r="AM6" s="679">
        <f>IFERROR(INDEX(状態像区分病院所在地[#All],MATCH(2,状態像区分病院所在地[[#All],[行ラベル]]),MATCH($AS$2,状態像区分病院所在地[#Headers],0)),0)+IFERROR(INDEX(状態像区分病院所在地[#All],MATCH(2,状態像区分病院所在地[[#All],[行ラベル]]),MATCH($AT$2,状態像区分病院所在地[#Headers],0)),0)+IFERROR(INDEX(状態像区分病院所在地[#All],MATCH(2,状態像区分病院所在地[[#All],[行ラベル]]),MATCH($AU$2,状態像区分病院所在地[#Headers],0)),0)</f>
        <v>216</v>
      </c>
      <c r="AN6" s="679">
        <f>IFERROR(INDEX(状態像区分病院所在地[#All],MATCH(2,状態像区分病院所在地[[#All],[行ラベル]]),MATCH($AV$2,状態像区分病院所在地[#Headers],0)),0)+IFERROR(INDEX(状態像区分病院所在地[#All],MATCH(2,状態像区分病院所在地[[#All],[行ラベル]]),MATCH($AW$2,状態像区分病院所在地[#Headers],0)),0)</f>
        <v>108</v>
      </c>
      <c r="AO6" s="679">
        <f>IFERROR(INDEX(状態像区分病院所在地[#All],MATCH(2,状態像区分病院所在地[[#All],[行ラベル]]),MATCH($AX$2,状態像区分病院所在地[#Headers],0)),0)+IFERROR(INDEX(状態像区分病院所在地[#All],MATCH(2,状態像区分病院所在地[[#All],[行ラベル]]),MATCH($AY$2,状態像区分病院所在地[#Headers],0)),0)+IFERROR(INDEX(状態像区分病院所在地[#All],MATCH(2,状態像区分病院所在地[[#All],[行ラベル]]),MATCH($AZ$2,状態像区分病院所在地[#Headers],0)),0)</f>
        <v>460</v>
      </c>
      <c r="AP6" s="679">
        <f>IFERROR(INDEX(状態像区分病院所在地[#All],MATCH(2,状態像区分病院所在地[[#All],[行ラベル]]),MATCH($BA$2,状態像区分病院所在地[#Headers],0)),0)</f>
        <v>16</v>
      </c>
      <c r="AQ6" s="679">
        <f>IFERROR(INDEX(状態像区分病院所在地[#All],MATCH(2,状態像区分病院所在地[[#All],[行ラベル]]),MATCH($BB$2,状態像区分病院所在地[#Headers],0)),0)</f>
        <v>159</v>
      </c>
    </row>
    <row r="7" spans="1:54" s="21" customFormat="1" ht="18.75" customHeight="1" x14ac:dyDescent="0.2">
      <c r="A7" s="1016"/>
      <c r="B7" s="836">
        <f>B6/B$16</f>
        <v>8.8289393010423059E-2</v>
      </c>
      <c r="C7" s="836">
        <f t="shared" ref="C7:J7" si="3">C6/C$16</f>
        <v>9.0663788451160285E-2</v>
      </c>
      <c r="D7" s="836">
        <f t="shared" si="3"/>
        <v>0.10387596899224806</v>
      </c>
      <c r="E7" s="836">
        <f t="shared" si="3"/>
        <v>0.17307692307692307</v>
      </c>
      <c r="F7" s="836">
        <f t="shared" si="3"/>
        <v>8.8091353996737357E-2</v>
      </c>
      <c r="G7" s="836">
        <f t="shared" si="3"/>
        <v>9.60735171261487E-2</v>
      </c>
      <c r="H7" s="836">
        <f t="shared" si="3"/>
        <v>9.696969696969697E-2</v>
      </c>
      <c r="I7" s="836">
        <f t="shared" si="3"/>
        <v>8.1163859111791734E-2</v>
      </c>
      <c r="J7" s="836">
        <f t="shared" si="3"/>
        <v>9.9223163841807904E-2</v>
      </c>
      <c r="M7" s="452">
        <v>4</v>
      </c>
      <c r="N7" s="457">
        <v>274</v>
      </c>
      <c r="O7" s="457">
        <v>341</v>
      </c>
      <c r="P7" s="457">
        <v>101</v>
      </c>
      <c r="Q7" s="457">
        <v>468</v>
      </c>
      <c r="R7" s="457">
        <v>234</v>
      </c>
      <c r="S7" s="457">
        <v>247</v>
      </c>
      <c r="T7" s="457">
        <v>48</v>
      </c>
      <c r="U7" s="457">
        <v>79</v>
      </c>
      <c r="V7" s="457">
        <v>73</v>
      </c>
      <c r="W7" s="457">
        <v>285</v>
      </c>
      <c r="X7" s="457">
        <v>97</v>
      </c>
      <c r="Y7" s="457">
        <v>77</v>
      </c>
      <c r="Z7" s="457">
        <v>139</v>
      </c>
      <c r="AA7" s="457">
        <v>339</v>
      </c>
      <c r="AB7" s="457">
        <v>631</v>
      </c>
      <c r="AC7" s="457">
        <v>878</v>
      </c>
      <c r="AD7" s="457">
        <v>574</v>
      </c>
      <c r="AE7" s="457">
        <v>69</v>
      </c>
      <c r="AF7" s="458">
        <v>751</v>
      </c>
      <c r="AG7" s="459"/>
      <c r="AH7" s="459"/>
      <c r="AI7" s="677">
        <v>3</v>
      </c>
      <c r="AJ7" s="678">
        <f>IFERROR(INDEX(状態像区分病院所在地[#All],MATCH(3,状態像区分病院所在地[[#All],[行ラベル]]),MATCH($AJ$2,状態像区分病院所在地[#Headers],0)),0)+IFERROR(INDEX(状態像区分病院所在地[#All],MATCH(3,状態像区分病院所在地[[#All],[行ラベル]]),MATCH($AK$2,状態像区分病院所在地[#Headers],0)),0)+IFERROR(INDEX(状態像区分病院所在地[#All],MATCH(3,状態像区分病院所在地[[#All],[行ラベル]]),MATCH($AL$2,状態像区分病院所在地[#Headers],0)),0)</f>
        <v>222</v>
      </c>
      <c r="AK7" s="679">
        <f>IFERROR(INDEX(状態像区分病院所在地[#All],MATCH(3,状態像区分病院所在地[[#All],[行ラベル]]),MATCH($AM$2,状態像区分病院所在地[#Headers],0)),0)+IFERROR(INDEX(状態像区分病院所在地[#All],MATCH(3,状態像区分病院所在地[[#All],[行ラベル]]),MATCH($AN$2,状態像区分病院所在地[#Headers],0)),0)</f>
        <v>255</v>
      </c>
      <c r="AL7" s="679">
        <f>IFERROR(INDEX(状態像区分病院所在地[#All],MATCH(3,状態像区分病院所在地[[#All],[行ラベル]]),MATCH($AO$2,状態像区分病院所在地[#Headers],0)),0)+IFERROR(INDEX(状態像区分病院所在地[#All],MATCH(3,状態像区分病院所在地[[#All],[行ラベル]]),MATCH($AP$2,状態像区分病院所在地[#Headers],0)),0)+IFERROR(INDEX(状態像区分病院所在地[#All],MATCH(3,状態像区分病院所在地[[#All],[行ラベル]]),MATCH($AQ$2,状態像区分病院所在地[#Headers],0)),0)+IFERROR(INDEX(状態像区分病院所在地[#All],MATCH(3,状態像区分病院所在地[[#All],[行ラベル]]),MATCH($AR$2,状態像区分病院所在地[#Headers],0)),0)</f>
        <v>248</v>
      </c>
      <c r="AM7" s="679">
        <f>IFERROR(INDEX(状態像区分病院所在地[#All],MATCH(3,状態像区分病院所在地[[#All],[行ラベル]]),MATCH($AS$2,状態像区分病院所在地[#Headers],0)),0)+IFERROR(INDEX(状態像区分病院所在地[#All],MATCH(3,状態像区分病院所在地[[#All],[行ラベル]]),MATCH($AT$2,状態像区分病院所在地[#Headers],0)),0)+IFERROR(INDEX(状態像区分病院所在地[#All],MATCH(3,状態像区分病院所在地[[#All],[行ラベル]]),MATCH($AU$2,状態像区分病院所在地[#Headers],0)),0)</f>
        <v>358</v>
      </c>
      <c r="AN7" s="679">
        <f>IFERROR(INDEX(状態像区分病院所在地[#All],MATCH(3,状態像区分病院所在地[[#All],[行ラベル]]),MATCH($AV$2,状態像区分病院所在地[#Headers],0)),0)+IFERROR(INDEX(状態像区分病院所在地[#All],MATCH(3,状態像区分病院所在地[[#All],[行ラベル]]),MATCH($AW$2,状態像区分病院所在地[#Headers],0)),0)</f>
        <v>162</v>
      </c>
      <c r="AO7" s="679">
        <f>IFERROR(INDEX(状態像区分病院所在地[#All],MATCH(3,状態像区分病院所在地[[#All],[行ラベル]]),MATCH($AX$2,状態像区分病院所在地[#Headers],0)),0)+IFERROR(INDEX(状態像区分病院所在地[#All],MATCH(3,状態像区分病院所在地[[#All],[行ラベル]]),MATCH($AY$2,状態像区分病院所在地[#Headers],0)),0)+IFERROR(INDEX(状態像区分病院所在地[#All],MATCH(3,状態像区分病院所在地[[#All],[行ラベル]]),MATCH($AZ$2,状態像区分病院所在地[#Headers],0)),0)</f>
        <v>910</v>
      </c>
      <c r="AP7" s="679">
        <f>IFERROR(INDEX(状態像区分病院所在地[#All],MATCH(3,状態像区分病院所在地[[#All],[行ラベル]]),MATCH($BA$2,状態像区分病院所在地[#Headers],0)),0)</f>
        <v>25</v>
      </c>
      <c r="AQ7" s="679">
        <f>IFERROR(INDEX(状態像区分病院所在地[#All],MATCH(3,状態像区分病院所在地[[#All],[行ラベル]]),MATCH($BB$2,状態像区分病院所在地[#Headers],0)),0)</f>
        <v>499</v>
      </c>
    </row>
    <row r="8" spans="1:54" s="21" customFormat="1" ht="18.75" customHeight="1" x14ac:dyDescent="0.2">
      <c r="A8" s="1015" t="s">
        <v>30</v>
      </c>
      <c r="B8" s="835">
        <f>AJ7</f>
        <v>222</v>
      </c>
      <c r="C8" s="835">
        <f t="shared" ref="C8:I8" si="4">AK7</f>
        <v>255</v>
      </c>
      <c r="D8" s="835">
        <f t="shared" si="4"/>
        <v>248</v>
      </c>
      <c r="E8" s="835">
        <f t="shared" si="4"/>
        <v>358</v>
      </c>
      <c r="F8" s="835">
        <f t="shared" si="4"/>
        <v>162</v>
      </c>
      <c r="G8" s="835">
        <f t="shared" si="4"/>
        <v>910</v>
      </c>
      <c r="H8" s="835">
        <f t="shared" si="4"/>
        <v>25</v>
      </c>
      <c r="I8" s="835">
        <f t="shared" si="4"/>
        <v>499</v>
      </c>
      <c r="J8" s="837">
        <f>SUM(B8:I8)</f>
        <v>2679</v>
      </c>
      <c r="M8" s="452">
        <v>5</v>
      </c>
      <c r="N8" s="457">
        <v>124</v>
      </c>
      <c r="O8" s="457">
        <v>206</v>
      </c>
      <c r="P8" s="457">
        <v>66</v>
      </c>
      <c r="Q8" s="457">
        <v>410</v>
      </c>
      <c r="R8" s="457">
        <v>87</v>
      </c>
      <c r="S8" s="457">
        <v>170</v>
      </c>
      <c r="T8" s="457">
        <v>46</v>
      </c>
      <c r="U8" s="457">
        <v>62</v>
      </c>
      <c r="V8" s="457">
        <v>36</v>
      </c>
      <c r="W8" s="457">
        <v>36</v>
      </c>
      <c r="X8" s="457">
        <v>28</v>
      </c>
      <c r="Y8" s="457">
        <v>58</v>
      </c>
      <c r="Z8" s="457">
        <v>203</v>
      </c>
      <c r="AA8" s="457">
        <v>181</v>
      </c>
      <c r="AB8" s="457">
        <v>352</v>
      </c>
      <c r="AC8" s="457">
        <v>455</v>
      </c>
      <c r="AD8" s="457">
        <v>258</v>
      </c>
      <c r="AE8" s="457">
        <v>48</v>
      </c>
      <c r="AF8" s="458">
        <v>472</v>
      </c>
      <c r="AG8" s="459"/>
      <c r="AH8" s="459"/>
      <c r="AI8" s="677">
        <v>4</v>
      </c>
      <c r="AJ8" s="678">
        <f>IFERROR(INDEX(状態像区分病院所在地[#All],MATCH(4,状態像区分病院所在地[[#All],[行ラベル]]),MATCH($AJ$2,状態像区分病院所在地[#Headers],0)),0)+IFERROR(INDEX(状態像区分病院所在地[#All],MATCH(4,状態像区分病院所在地[[#All],[行ラベル]]),MATCH($AK$2,状態像区分病院所在地[#Headers],0)),0)+IFERROR(INDEX(状態像区分病院所在地[#All],MATCH(4,状態像区分病院所在地[[#All],[行ラベル]]),MATCH($AL$2,状態像区分病院所在地[#Headers],0)),0)</f>
        <v>716</v>
      </c>
      <c r="AK8" s="679">
        <f>IFERROR(INDEX(状態像区分病院所在地[#All],MATCH(4,状態像区分病院所在地[[#All],[行ラベル]]),MATCH($AM$2,状態像区分病院所在地[#Headers],0)),0)+IFERROR(INDEX(状態像区分病院所在地[#All],MATCH(4,状態像区分病院所在地[[#All],[行ラベル]]),MATCH($AN$2,状態像区分病院所在地[#Headers],0)),0)</f>
        <v>702</v>
      </c>
      <c r="AL8" s="679">
        <f>IFERROR(INDEX(状態像区分病院所在地[#All],MATCH(4,状態像区分病院所在地[[#All],[行ラベル]]),MATCH($AO$2,状態像区分病院所在地[#Headers],0)),0)+IFERROR(INDEX(状態像区分病院所在地[#All],MATCH(4,状態像区分病院所在地[[#All],[行ラベル]]),MATCH($AP$2,状態像区分病院所在地[#Headers],0)),0)+IFERROR(INDEX(状態像区分病院所在地[#All],MATCH(4,状態像区分病院所在地[[#All],[行ラベル]]),MATCH($AQ$2,状態像区分病院所在地[#Headers],0)),0)+IFERROR(INDEX(状態像区分病院所在地[#All],MATCH(4,状態像区分病院所在地[[#All],[行ラベル]]),MATCH($AR$2,状態像区分病院所在地[#Headers],0)),0)</f>
        <v>447</v>
      </c>
      <c r="AM8" s="679">
        <f>IFERROR(INDEX(状態像区分病院所在地[#All],MATCH(4,状態像区分病院所在地[[#All],[行ラベル]]),MATCH($AS$2,状態像区分病院所在地[#Headers],0)),0)+IFERROR(INDEX(状態像区分病院所在地[#All],MATCH(4,状態像区分病院所在地[[#All],[行ラベル]]),MATCH($AT$2,状態像区分病院所在地[#Headers],0)),0)+IFERROR(INDEX(状態像区分病院所在地[#All],MATCH(4,状態像区分病院所在地[[#All],[行ラベル]]),MATCH($AU$2,状態像区分病院所在地[#Headers],0)),0)</f>
        <v>459</v>
      </c>
      <c r="AN8" s="679">
        <f>IFERROR(INDEX(状態像区分病院所在地[#All],MATCH(4,状態像区分病院所在地[[#All],[行ラベル]]),MATCH($AV$2,状態像区分病院所在地[#Headers],0)),0)+IFERROR(INDEX(状態像区分病院所在地[#All],MATCH(4,状態像区分病院所在地[[#All],[行ラベル]]),MATCH($AW$2,状態像区分病院所在地[#Headers],0)),0)</f>
        <v>478</v>
      </c>
      <c r="AO8" s="679">
        <f>IFERROR(INDEX(状態像区分病院所在地[#All],MATCH(4,状態像区分病院所在地[[#All],[行ラベル]]),MATCH($AX$2,状態像区分病院所在地[#Headers],0)),0)+IFERROR(INDEX(状態像区分病院所在地[#All],MATCH(4,状態像区分病院所在地[[#All],[行ラベル]]),MATCH($AY$2,状態像区分病院所在地[#Headers],0)),0)+IFERROR(INDEX(状態像区分病院所在地[#All],MATCH(4,状態像区分病院所在地[[#All],[行ラベル]]),MATCH($AZ$2,状態像区分病院所在地[#Headers],0)),0)</f>
        <v>2083</v>
      </c>
      <c r="AP8" s="679">
        <f>IFERROR(INDEX(状態像区分病院所在地[#All],MATCH(4,状態像区分病院所在地[[#All],[行ラベル]]),MATCH($BA$2,状態像区分病院所在地[#Headers],0)),0)</f>
        <v>69</v>
      </c>
      <c r="AQ8" s="679">
        <f>IFERROR(INDEX(状態像区分病院所在地[#All],MATCH(4,状態像区分病院所在地[[#All],[行ラベル]]),MATCH($BB$2,状態像区分病院所在地[#Headers],0)),0)</f>
        <v>751</v>
      </c>
    </row>
    <row r="9" spans="1:54" s="21" customFormat="1" ht="18.75" customHeight="1" x14ac:dyDescent="0.2">
      <c r="A9" s="1016"/>
      <c r="B9" s="836">
        <f>B8/B$16</f>
        <v>0.13611281422440222</v>
      </c>
      <c r="C9" s="836">
        <f t="shared" ref="C9:J9" si="5">C8/C$16</f>
        <v>0.13761467889908258</v>
      </c>
      <c r="D9" s="836">
        <f t="shared" si="5"/>
        <v>0.19224806201550387</v>
      </c>
      <c r="E9" s="836">
        <f t="shared" si="5"/>
        <v>0.28685897435897434</v>
      </c>
      <c r="F9" s="836">
        <f t="shared" si="5"/>
        <v>0.13213703099510604</v>
      </c>
      <c r="G9" s="836">
        <f t="shared" si="5"/>
        <v>0.19005847953216373</v>
      </c>
      <c r="H9" s="836">
        <f t="shared" si="5"/>
        <v>0.15151515151515152</v>
      </c>
      <c r="I9" s="836">
        <f t="shared" si="5"/>
        <v>0.25472179683511997</v>
      </c>
      <c r="J9" s="836">
        <f t="shared" si="5"/>
        <v>0.18919491525423729</v>
      </c>
      <c r="M9" s="452">
        <v>6</v>
      </c>
      <c r="N9" s="457">
        <v>16</v>
      </c>
      <c r="O9" s="457">
        <v>62</v>
      </c>
      <c r="P9" s="457">
        <v>30</v>
      </c>
      <c r="Q9" s="457">
        <v>165</v>
      </c>
      <c r="R9" s="457">
        <v>11</v>
      </c>
      <c r="S9" s="457">
        <v>29</v>
      </c>
      <c r="T9" s="457">
        <v>2</v>
      </c>
      <c r="U9" s="457">
        <v>46</v>
      </c>
      <c r="V9" s="457">
        <v>8</v>
      </c>
      <c r="W9" s="457">
        <v>2</v>
      </c>
      <c r="X9" s="457">
        <v>2</v>
      </c>
      <c r="Y9" s="457">
        <v>14</v>
      </c>
      <c r="Z9" s="457">
        <v>15</v>
      </c>
      <c r="AA9" s="457">
        <v>24</v>
      </c>
      <c r="AB9" s="457">
        <v>66</v>
      </c>
      <c r="AC9" s="457">
        <v>108</v>
      </c>
      <c r="AD9" s="457">
        <v>18</v>
      </c>
      <c r="AE9" s="457">
        <v>2</v>
      </c>
      <c r="AF9" s="458">
        <v>55</v>
      </c>
      <c r="AG9" s="459"/>
      <c r="AH9" s="459"/>
      <c r="AI9" s="677">
        <v>5</v>
      </c>
      <c r="AJ9" s="678">
        <f>IFERROR(INDEX(状態像区分病院所在地[#All],MATCH(5,状態像区分病院所在地[[#All],[行ラベル]]),MATCH($AJ$2,状態像区分病院所在地[#Headers],0)),0)+IFERROR(INDEX(状態像区分病院所在地[#All],MATCH(5,状態像区分病院所在地[[#All],[行ラベル]]),MATCH($AK$2,状態像区分病院所在地[#Headers],0)),0)+IFERROR(INDEX(状態像区分病院所在地[#All],MATCH(5,状態像区分病院所在地[[#All],[行ラベル]]),MATCH($AL$2,状態像区分病院所在地[#Headers],0)),0)</f>
        <v>396</v>
      </c>
      <c r="AK9" s="679">
        <f>IFERROR(INDEX(状態像区分病院所在地[#All],MATCH(5,状態像区分病院所在地[[#All],[行ラベル]]),MATCH($AM$2,状態像区分病院所在地[#Headers],0)),0)+IFERROR(INDEX(状態像区分病院所在地[#All],MATCH(5,状態像区分病院所在地[[#All],[行ラベル]]),MATCH($AN$2,状態像区分病院所在地[#Headers],0)),0)</f>
        <v>497</v>
      </c>
      <c r="AL9" s="679">
        <f>IFERROR(INDEX(状態像区分病院所在地[#All],MATCH(5,状態像区分病院所在地[[#All],[行ラベル]]),MATCH($AO$2,状態像区分病院所在地[#Headers],0)),0)+IFERROR(INDEX(状態像区分病院所在地[#All],MATCH(5,状態像区分病院所在地[[#All],[行ラベル]]),MATCH($AP$2,状態像区分病院所在地[#Headers],0)),0)+IFERROR(INDEX(状態像区分病院所在地[#All],MATCH(5,状態像区分病院所在地[[#All],[行ラベル]]),MATCH($AQ$2,状態像区分病院所在地[#Headers],0)),0)+IFERROR(INDEX(状態像区分病院所在地[#All],MATCH(5,状態像区分病院所在地[[#All],[行ラベル]]),MATCH($AR$2,状態像区分病院所在地[#Headers],0)),0)</f>
        <v>314</v>
      </c>
      <c r="AM9" s="679">
        <f>IFERROR(INDEX(状態像区分病院所在地[#All],MATCH(5,状態像区分病院所在地[[#All],[行ラベル]]),MATCH($AS$2,状態像区分病院所在地[#Headers],0)),0)+IFERROR(INDEX(状態像区分病院所在地[#All],MATCH(5,状態像区分病院所在地[[#All],[行ラベル]]),MATCH($AT$2,状態像区分病院所在地[#Headers],0)),0)+IFERROR(INDEX(状態像区分病院所在地[#All],MATCH(5,状態像区分病院所在地[[#All],[行ラベル]]),MATCH($AU$2,状態像区分病院所在地[#Headers],0)),0)</f>
        <v>122</v>
      </c>
      <c r="AN9" s="679">
        <f>IFERROR(INDEX(状態像区分病院所在地[#All],MATCH(5,状態像区分病院所在地[[#All],[行ラベル]]),MATCH($AV$2,状態像区分病院所在地[#Headers],0)),0)+IFERROR(INDEX(状態像区分病院所在地[#All],MATCH(5,状態像区分病院所在地[[#All],[行ラベル]]),MATCH($AW$2,状態像区分病院所在地[#Headers],0)),0)</f>
        <v>384</v>
      </c>
      <c r="AO9" s="679">
        <f>IFERROR(INDEX(状態像区分病院所在地[#All],MATCH(5,状態像区分病院所在地[[#All],[行ラベル]]),MATCH($AX$2,状態像区分病院所在地[#Headers],0)),0)+IFERROR(INDEX(状態像区分病院所在地[#All],MATCH(5,状態像区分病院所在地[[#All],[行ラベル]]),MATCH($AY$2,状態像区分病院所在地[#Headers],0)),0)+IFERROR(INDEX(状態像区分病院所在地[#All],MATCH(5,状態像区分病院所在地[[#All],[行ラベル]]),MATCH($AZ$2,状態像区分病院所在地[#Headers],0)),0)</f>
        <v>1065</v>
      </c>
      <c r="AP9" s="679">
        <f>IFERROR(INDEX(状態像区分病院所在地[#All],MATCH(5,状態像区分病院所在地[[#All],[行ラベル]]),MATCH($BA$2,状態像区分病院所在地[#Headers],0)),0)</f>
        <v>48</v>
      </c>
      <c r="AQ9" s="679">
        <f>IFERROR(INDEX(状態像区分病院所在地[#All],MATCH(5,状態像区分病院所在地[[#All],[行ラベル]]),MATCH($BB$2,状態像区分病院所在地[#Headers],0)),0)</f>
        <v>472</v>
      </c>
    </row>
    <row r="10" spans="1:54" s="21" customFormat="1" ht="18.75" customHeight="1" thickBot="1" x14ac:dyDescent="0.25">
      <c r="A10" s="1015" t="s">
        <v>31</v>
      </c>
      <c r="B10" s="835">
        <f>AJ8</f>
        <v>716</v>
      </c>
      <c r="C10" s="835">
        <f t="shared" ref="C10:I10" si="6">AK8</f>
        <v>702</v>
      </c>
      <c r="D10" s="835">
        <f t="shared" si="6"/>
        <v>447</v>
      </c>
      <c r="E10" s="835">
        <f t="shared" si="6"/>
        <v>459</v>
      </c>
      <c r="F10" s="835">
        <f t="shared" si="6"/>
        <v>478</v>
      </c>
      <c r="G10" s="835">
        <f t="shared" si="6"/>
        <v>2083</v>
      </c>
      <c r="H10" s="835">
        <f t="shared" si="6"/>
        <v>69</v>
      </c>
      <c r="I10" s="835">
        <f t="shared" si="6"/>
        <v>751</v>
      </c>
      <c r="J10" s="837">
        <f>SUM(B10:I10)</f>
        <v>5705</v>
      </c>
      <c r="M10" s="458" t="s">
        <v>384</v>
      </c>
      <c r="N10" s="459"/>
      <c r="O10" s="459"/>
      <c r="P10" s="459"/>
      <c r="Q10" s="459"/>
      <c r="R10" s="459"/>
      <c r="S10" s="459"/>
      <c r="T10" s="459"/>
      <c r="U10" s="459"/>
      <c r="V10" s="459"/>
      <c r="W10" s="459"/>
      <c r="X10" s="459"/>
      <c r="Y10" s="459"/>
      <c r="Z10" s="459"/>
      <c r="AA10" s="459"/>
      <c r="AB10" s="459"/>
      <c r="AC10" s="459"/>
      <c r="AD10" s="459"/>
      <c r="AE10" s="459"/>
      <c r="AF10" s="458"/>
      <c r="AG10" s="459"/>
      <c r="AH10" s="459"/>
      <c r="AI10" s="680">
        <v>6</v>
      </c>
      <c r="AJ10" s="678">
        <f>IFERROR(INDEX(状態像区分病院所在地[#All],MATCH(6,状態像区分病院所在地[[#All],[行ラベル]]),MATCH($AJ$2,状態像区分病院所在地[#Headers],0)),0)+IFERROR(INDEX(状態像区分病院所在地[#All],MATCH(6,状態像区分病院所在地[[#All],[行ラベル]]),MATCH($AK$2,状態像区分病院所在地[#Headers],0)),0)+IFERROR(INDEX(状態像区分病院所在地[#All],MATCH(6,状態像区分病院所在地[[#All],[行ラベル]]),MATCH($AL$2,状態像区分病院所在地[#Headers],0)),0)</f>
        <v>108</v>
      </c>
      <c r="AK10" s="679">
        <f>IFERROR(INDEX(状態像区分病院所在地[#All],MATCH(6,状態像区分病院所在地[[#All],[行ラベル]]),MATCH($AM$2,状態像区分病院所在地[#Headers],0)),0)+IFERROR(INDEX(状態像区分病院所在地[#All],MATCH(6,状態像区分病院所在地[[#All],[行ラベル]]),MATCH($AN$2,状態像区分病院所在地[#Headers],0)),0)</f>
        <v>176</v>
      </c>
      <c r="AL10" s="679">
        <f>IFERROR(INDEX(状態像区分病院所在地[#All],MATCH(6,状態像区分病院所在地[[#All],[行ラベル]]),MATCH($AO$2,状態像区分病院所在地[#Headers],0)),0)+IFERROR(INDEX(状態像区分病院所在地[#All],MATCH(61,状態像区分病院所在地[[#All],[行ラベル]]),MATCH($AP$2,状態像区分病院所在地[#Headers],0)),0)+IFERROR(INDEX(状態像区分病院所在地[#All],MATCH(6,状態像区分病院所在地[[#All],[行ラベル]]),MATCH($AQ$2,状態像区分病院所在地[#Headers],0)),0)+IFERROR(INDEX(状態像区分病院所在地[#All],MATCH(6,状態像区分病院所在地[[#All],[行ラベル]]),MATCH($AR$2,状態像区分病院所在地[#Headers],0)),0)</f>
        <v>85</v>
      </c>
      <c r="AM10" s="679">
        <f>IFERROR(INDEX(状態像区分病院所在地[#All],MATCH(6,状態像区分病院所在地[[#All],[行ラベル]]),MATCH($AS$2,状態像区分病院所在地[#Headers],0)),0)+IFERROR(INDEX(状態像区分病院所在地[#All],MATCH(6,状態像区分病院所在地[[#All],[行ラベル]]),MATCH($AT$2,状態像区分病院所在地[#Headers],0)),0)+IFERROR(INDEX(状態像区分病院所在地[#All],MATCH(6,状態像区分病院所在地[[#All],[行ラベル]]),MATCH($AU$2,状態像区分病院所在地[#Headers],0)),0)</f>
        <v>18</v>
      </c>
      <c r="AN10" s="679">
        <f>IFERROR(INDEX(状態像区分病院所在地[#All],MATCH(6,状態像区分病院所在地[[#All],[行ラベル]]),MATCH($AV$2,状態像区分病院所在地[#Headers],0)),0)+IFERROR(INDEX(状態像区分病院所在地[#All],MATCH(6,状態像区分病院所在地[[#All],[行ラベル]]),MATCH($AW$2,状態像区分病院所在地[#Headers],0)),0)</f>
        <v>39</v>
      </c>
      <c r="AO10" s="679">
        <f>IFERROR(INDEX(状態像区分病院所在地[#All],MATCH(6,状態像区分病院所在地[[#All],[行ラベル]]),MATCH($AX$2,状態像区分病院所在地[#Headers],0)),0)+IFERROR(INDEX(状態像区分病院所在地[#All],MATCH(6,状態像区分病院所在地[[#All],[行ラベル]]),MATCH($AY$2,状態像区分病院所在地[#Headers],0)),0)+IFERROR(INDEX(状態像区分病院所在地[#All],MATCH(6,状態像区分病院所在地[[#All],[行ラベル]]),MATCH($AZ$2,状態像区分病院所在地[#Headers],0)),0)</f>
        <v>192</v>
      </c>
      <c r="AP10" s="679">
        <f>IFERROR(INDEX(状態像区分病院所在地[#All],MATCH(6,状態像区分病院所在地[[#All],[行ラベル]]),MATCH($BA$2,状態像区分病院所在地[#Headers],0)),0)</f>
        <v>2</v>
      </c>
      <c r="AQ10" s="679">
        <f>IFERROR(INDEX(状態像区分病院所在地[#All],MATCH(6,状態像区分病院所在地[[#All],[行ラベル]]),MATCH($BB$2,状態像区分病院所在地[#Headers],0)),0)</f>
        <v>55</v>
      </c>
    </row>
    <row r="11" spans="1:54" s="21" customFormat="1" ht="18.75" customHeight="1" x14ac:dyDescent="0.2">
      <c r="A11" s="1016"/>
      <c r="B11" s="836">
        <f>B10/B$16</f>
        <v>0.43899448191293683</v>
      </c>
      <c r="C11" s="836">
        <f t="shared" ref="C11:J11" si="7">C10/C$16</f>
        <v>0.37884511602806259</v>
      </c>
      <c r="D11" s="836">
        <f t="shared" si="7"/>
        <v>0.34651162790697676</v>
      </c>
      <c r="E11" s="836">
        <f t="shared" si="7"/>
        <v>0.36778846153846156</v>
      </c>
      <c r="F11" s="836">
        <f t="shared" si="7"/>
        <v>0.38988580750407831</v>
      </c>
      <c r="G11" s="836">
        <f t="shared" si="7"/>
        <v>0.43504594820384296</v>
      </c>
      <c r="H11" s="836">
        <f t="shared" si="7"/>
        <v>0.41818181818181815</v>
      </c>
      <c r="I11" s="836">
        <f t="shared" si="7"/>
        <v>0.38335885655946911</v>
      </c>
      <c r="J11" s="836">
        <f t="shared" si="7"/>
        <v>0.4028954802259887</v>
      </c>
      <c r="AJ11" s="669"/>
    </row>
    <row r="12" spans="1:54" s="21" customFormat="1" ht="18.75" customHeight="1" x14ac:dyDescent="0.2">
      <c r="A12" s="1015" t="s">
        <v>32</v>
      </c>
      <c r="B12" s="835">
        <f>AJ9</f>
        <v>396</v>
      </c>
      <c r="C12" s="835">
        <f t="shared" ref="C12:I12" si="8">AK9</f>
        <v>497</v>
      </c>
      <c r="D12" s="835">
        <f t="shared" si="8"/>
        <v>314</v>
      </c>
      <c r="E12" s="835">
        <f t="shared" si="8"/>
        <v>122</v>
      </c>
      <c r="F12" s="835">
        <f t="shared" si="8"/>
        <v>384</v>
      </c>
      <c r="G12" s="835">
        <f t="shared" si="8"/>
        <v>1065</v>
      </c>
      <c r="H12" s="835">
        <f t="shared" si="8"/>
        <v>48</v>
      </c>
      <c r="I12" s="835">
        <f t="shared" si="8"/>
        <v>472</v>
      </c>
      <c r="J12" s="837">
        <f>SUM(B12:I12)</f>
        <v>3298</v>
      </c>
      <c r="AJ12" s="669"/>
    </row>
    <row r="13" spans="1:54" s="21" customFormat="1" ht="18.75" customHeight="1" x14ac:dyDescent="0.2">
      <c r="A13" s="1016"/>
      <c r="B13" s="836">
        <f>B12/B$16</f>
        <v>0.2427958307786634</v>
      </c>
      <c r="C13" s="836">
        <f t="shared" ref="C13:J13" si="9">C12/C$16</f>
        <v>0.26821370750134915</v>
      </c>
      <c r="D13" s="836">
        <f t="shared" si="9"/>
        <v>0.24341085271317831</v>
      </c>
      <c r="E13" s="836">
        <f t="shared" si="9"/>
        <v>9.7756410256410256E-2</v>
      </c>
      <c r="F13" s="836">
        <f t="shared" si="9"/>
        <v>0.31321370309951058</v>
      </c>
      <c r="G13" s="836">
        <f t="shared" si="9"/>
        <v>0.22243107769423559</v>
      </c>
      <c r="H13" s="836">
        <f t="shared" si="9"/>
        <v>0.29090909090909089</v>
      </c>
      <c r="I13" s="836">
        <f t="shared" si="9"/>
        <v>0.24093925472179684</v>
      </c>
      <c r="J13" s="836">
        <f t="shared" si="9"/>
        <v>0.23290960451977402</v>
      </c>
      <c r="AJ13" s="669"/>
    </row>
    <row r="14" spans="1:54" s="21" customFormat="1" ht="18.75" customHeight="1" x14ac:dyDescent="0.2">
      <c r="A14" s="1015" t="s">
        <v>33</v>
      </c>
      <c r="B14" s="835">
        <f>AJ10</f>
        <v>108</v>
      </c>
      <c r="C14" s="835">
        <f t="shared" ref="C14:I14" si="10">AK10</f>
        <v>176</v>
      </c>
      <c r="D14" s="835">
        <f t="shared" si="10"/>
        <v>85</v>
      </c>
      <c r="E14" s="835">
        <f t="shared" si="10"/>
        <v>18</v>
      </c>
      <c r="F14" s="835">
        <f t="shared" si="10"/>
        <v>39</v>
      </c>
      <c r="G14" s="835">
        <f t="shared" si="10"/>
        <v>192</v>
      </c>
      <c r="H14" s="835">
        <f t="shared" si="10"/>
        <v>2</v>
      </c>
      <c r="I14" s="835">
        <f t="shared" si="10"/>
        <v>55</v>
      </c>
      <c r="J14" s="837">
        <f>SUM(B14:I14)</f>
        <v>675</v>
      </c>
      <c r="AJ14" s="669"/>
    </row>
    <row r="15" spans="1:54" s="21" customFormat="1" ht="18.75" customHeight="1" x14ac:dyDescent="0.2">
      <c r="A15" s="1016"/>
      <c r="B15" s="836">
        <f>B14/B$16</f>
        <v>6.6217044757817284E-2</v>
      </c>
      <c r="C15" s="836">
        <f t="shared" ref="C15:J15" si="11">C14/C$16</f>
        <v>9.4981111710739335E-2</v>
      </c>
      <c r="D15" s="836">
        <f t="shared" si="11"/>
        <v>6.589147286821706E-2</v>
      </c>
      <c r="E15" s="836">
        <f t="shared" si="11"/>
        <v>1.4423076923076924E-2</v>
      </c>
      <c r="F15" s="836">
        <f t="shared" si="11"/>
        <v>3.1810766721044048E-2</v>
      </c>
      <c r="G15" s="836">
        <f t="shared" si="11"/>
        <v>4.0100250626566414E-2</v>
      </c>
      <c r="H15" s="836">
        <f t="shared" si="11"/>
        <v>1.2121212121212121E-2</v>
      </c>
      <c r="I15" s="836">
        <f t="shared" si="11"/>
        <v>2.8075548749361919E-2</v>
      </c>
      <c r="J15" s="836">
        <f t="shared" si="11"/>
        <v>4.7669491525423727E-2</v>
      </c>
      <c r="AJ15" s="669"/>
    </row>
    <row r="16" spans="1:54" s="21" customFormat="1" ht="18.75" customHeight="1" x14ac:dyDescent="0.2">
      <c r="A16" s="1019" t="s">
        <v>161</v>
      </c>
      <c r="B16" s="405">
        <f>SUM(B4,B6,B8,B10,B12,B14)</f>
        <v>1631</v>
      </c>
      <c r="C16" s="405">
        <f t="shared" ref="C16:J16" si="12">SUM(C4,C6,C8,C10,C12,C14)</f>
        <v>1853</v>
      </c>
      <c r="D16" s="405">
        <f t="shared" si="12"/>
        <v>1290</v>
      </c>
      <c r="E16" s="405">
        <f t="shared" si="12"/>
        <v>1248</v>
      </c>
      <c r="F16" s="405">
        <f t="shared" si="12"/>
        <v>1226</v>
      </c>
      <c r="G16" s="405">
        <f t="shared" si="12"/>
        <v>4788</v>
      </c>
      <c r="H16" s="405">
        <f t="shared" si="12"/>
        <v>165</v>
      </c>
      <c r="I16" s="405">
        <f t="shared" si="12"/>
        <v>1959</v>
      </c>
      <c r="J16" s="406">
        <f t="shared" si="12"/>
        <v>14160</v>
      </c>
      <c r="AJ16" s="669"/>
    </row>
    <row r="17" spans="1:43" s="21" customFormat="1" ht="18.75" customHeight="1" x14ac:dyDescent="0.2">
      <c r="A17" s="1016"/>
      <c r="B17" s="407">
        <f t="shared" ref="B17:J17" si="13">SUM(B5,B7,B9,B11,B13,B15)</f>
        <v>1</v>
      </c>
      <c r="C17" s="407">
        <f t="shared" si="13"/>
        <v>1</v>
      </c>
      <c r="D17" s="407">
        <f t="shared" si="13"/>
        <v>1</v>
      </c>
      <c r="E17" s="407">
        <f t="shared" si="13"/>
        <v>1</v>
      </c>
      <c r="F17" s="407">
        <f t="shared" si="13"/>
        <v>1</v>
      </c>
      <c r="G17" s="407">
        <f t="shared" si="13"/>
        <v>1</v>
      </c>
      <c r="H17" s="407">
        <f t="shared" si="13"/>
        <v>1</v>
      </c>
      <c r="I17" s="407">
        <f t="shared" si="13"/>
        <v>0.99999999999999989</v>
      </c>
      <c r="J17" s="407">
        <f t="shared" si="13"/>
        <v>1</v>
      </c>
      <c r="AJ17" s="669"/>
    </row>
    <row r="18" spans="1:43" x14ac:dyDescent="0.2">
      <c r="AJ18" s="669"/>
    </row>
    <row r="19" spans="1:43" x14ac:dyDescent="0.2">
      <c r="AJ19" s="669"/>
    </row>
    <row r="20" spans="1:43" x14ac:dyDescent="0.2">
      <c r="A20" s="460"/>
      <c r="B20" s="461"/>
      <c r="C20" s="461"/>
      <c r="D20" s="461"/>
      <c r="E20" s="461"/>
      <c r="F20" s="461"/>
      <c r="G20" s="461"/>
      <c r="H20" s="461"/>
      <c r="I20" s="461"/>
      <c r="AJ20" s="669"/>
    </row>
    <row r="21" spans="1:43" x14ac:dyDescent="0.2">
      <c r="A21" s="109"/>
      <c r="B21" s="109"/>
      <c r="C21" s="109"/>
      <c r="D21" s="109"/>
      <c r="E21" s="109"/>
      <c r="F21" s="109"/>
      <c r="G21" s="109"/>
      <c r="H21" s="109"/>
      <c r="I21" s="109"/>
      <c r="AJ21" s="669"/>
    </row>
    <row r="22" spans="1:43" ht="19.2" x14ac:dyDescent="0.2">
      <c r="A22" s="2" t="s">
        <v>646</v>
      </c>
      <c r="B22" s="3"/>
      <c r="C22" s="3"/>
      <c r="D22" s="3"/>
      <c r="E22" s="3"/>
      <c r="F22" s="3"/>
      <c r="G22" s="3"/>
      <c r="H22" s="3"/>
      <c r="I22" s="3"/>
      <c r="J22" s="3"/>
    </row>
    <row r="23" spans="1:43" ht="18" thickBot="1" x14ac:dyDescent="0.25">
      <c r="A23" s="4"/>
    </row>
    <row r="24" spans="1:43" ht="18.600000000000001" thickTop="1" thickBot="1" x14ac:dyDescent="0.25">
      <c r="A24" s="659"/>
      <c r="B24" s="659" t="s">
        <v>386</v>
      </c>
      <c r="C24" s="659" t="s">
        <v>387</v>
      </c>
      <c r="D24" s="659" t="s">
        <v>388</v>
      </c>
      <c r="E24" s="659" t="s">
        <v>389</v>
      </c>
      <c r="F24" s="659" t="s">
        <v>390</v>
      </c>
      <c r="G24" s="659" t="s">
        <v>391</v>
      </c>
      <c r="H24" s="659" t="s">
        <v>392</v>
      </c>
      <c r="I24" s="659" t="s">
        <v>393</v>
      </c>
      <c r="J24" s="659" t="s">
        <v>62</v>
      </c>
      <c r="M24" s="655" t="s">
        <v>372</v>
      </c>
      <c r="N24" s="656" t="s">
        <v>394</v>
      </c>
      <c r="O24" s="656" t="s">
        <v>395</v>
      </c>
      <c r="P24" s="656" t="s">
        <v>396</v>
      </c>
      <c r="Q24" s="656" t="s">
        <v>397</v>
      </c>
      <c r="R24" s="656" t="s">
        <v>398</v>
      </c>
      <c r="S24" s="656" t="s">
        <v>399</v>
      </c>
      <c r="T24" s="656" t="s">
        <v>400</v>
      </c>
      <c r="U24" s="656" t="s">
        <v>401</v>
      </c>
      <c r="V24" s="656" t="s">
        <v>402</v>
      </c>
      <c r="W24" s="656" t="s">
        <v>403</v>
      </c>
      <c r="X24" s="656" t="s">
        <v>564</v>
      </c>
      <c r="Y24" s="656" t="s">
        <v>565</v>
      </c>
      <c r="Z24" s="656" t="s">
        <v>566</v>
      </c>
      <c r="AA24" s="656" t="s">
        <v>567</v>
      </c>
      <c r="AB24" s="656" t="s">
        <v>568</v>
      </c>
      <c r="AC24" s="656" t="s">
        <v>569</v>
      </c>
      <c r="AD24" s="656" t="s">
        <v>570</v>
      </c>
      <c r="AE24" s="656" t="s">
        <v>572</v>
      </c>
      <c r="AF24" s="660" t="s">
        <v>384</v>
      </c>
      <c r="AG24" s="681" t="s">
        <v>606</v>
      </c>
      <c r="AH24" s="682"/>
    </row>
    <row r="25" spans="1:43" ht="18.600000000000001" thickTop="1" thickBot="1" x14ac:dyDescent="0.25">
      <c r="A25" s="1005" t="s">
        <v>28</v>
      </c>
      <c r="B25" s="835">
        <f>AJ26</f>
        <v>9</v>
      </c>
      <c r="C25" s="835">
        <f t="shared" ref="C25:I25" si="14">AK26</f>
        <v>7</v>
      </c>
      <c r="D25" s="835">
        <f t="shared" si="14"/>
        <v>18</v>
      </c>
      <c r="E25" s="835">
        <f t="shared" si="14"/>
        <v>10</v>
      </c>
      <c r="F25" s="835">
        <f t="shared" si="14"/>
        <v>9</v>
      </c>
      <c r="G25" s="835">
        <f t="shared" si="14"/>
        <v>13</v>
      </c>
      <c r="H25" s="835">
        <f t="shared" si="14"/>
        <v>0</v>
      </c>
      <c r="I25" s="835">
        <f t="shared" si="14"/>
        <v>2</v>
      </c>
      <c r="J25" s="837">
        <f>SUM(B25:I25)</f>
        <v>68</v>
      </c>
      <c r="M25" s="657">
        <v>1</v>
      </c>
      <c r="N25" s="658"/>
      <c r="O25" s="658">
        <v>9</v>
      </c>
      <c r="P25" s="658"/>
      <c r="Q25" s="658">
        <v>6</v>
      </c>
      <c r="R25" s="658">
        <v>1</v>
      </c>
      <c r="S25" s="658">
        <v>1</v>
      </c>
      <c r="T25" s="658">
        <v>17</v>
      </c>
      <c r="U25" s="658"/>
      <c r="V25" s="658"/>
      <c r="W25" s="658">
        <v>4</v>
      </c>
      <c r="X25" s="658">
        <v>5</v>
      </c>
      <c r="Y25" s="658">
        <v>1</v>
      </c>
      <c r="Z25" s="658">
        <v>1</v>
      </c>
      <c r="AA25" s="658">
        <v>8</v>
      </c>
      <c r="AB25" s="658">
        <v>10</v>
      </c>
      <c r="AC25" s="658">
        <v>3</v>
      </c>
      <c r="AD25" s="658"/>
      <c r="AE25" s="658">
        <v>2</v>
      </c>
      <c r="AF25" s="657"/>
      <c r="AG25" s="683"/>
      <c r="AH25" s="459"/>
      <c r="AI25" s="670"/>
      <c r="AJ25" s="684" t="s">
        <v>386</v>
      </c>
      <c r="AK25" s="685" t="s">
        <v>387</v>
      </c>
      <c r="AL25" s="685" t="s">
        <v>388</v>
      </c>
      <c r="AM25" s="685" t="s">
        <v>389</v>
      </c>
      <c r="AN25" s="685" t="s">
        <v>390</v>
      </c>
      <c r="AO25" s="685" t="s">
        <v>391</v>
      </c>
      <c r="AP25" s="685" t="s">
        <v>392</v>
      </c>
      <c r="AQ25" s="686" t="s">
        <v>393</v>
      </c>
    </row>
    <row r="26" spans="1:43" x14ac:dyDescent="0.2">
      <c r="A26" s="1006"/>
      <c r="B26" s="836">
        <f>B25/B$37</f>
        <v>1.0356731875719217E-2</v>
      </c>
      <c r="C26" s="836">
        <f t="shared" ref="C26:J36" si="15">C25/C$37</f>
        <v>7.1501532175689483E-3</v>
      </c>
      <c r="D26" s="836">
        <f t="shared" si="15"/>
        <v>2.8662420382165606E-2</v>
      </c>
      <c r="E26" s="836">
        <f t="shared" si="15"/>
        <v>1.8691588785046728E-2</v>
      </c>
      <c r="F26" s="836">
        <f t="shared" si="15"/>
        <v>1.3215859030837005E-2</v>
      </c>
      <c r="G26" s="836">
        <f t="shared" si="15"/>
        <v>4.2003231017770596E-3</v>
      </c>
      <c r="H26" s="836" t="str">
        <f>IFERROR(H25/H$37,"-")</f>
        <v>-</v>
      </c>
      <c r="I26" s="836">
        <f t="shared" si="15"/>
        <v>2.0429009193054137E-3</v>
      </c>
      <c r="J26" s="836">
        <f t="shared" si="15"/>
        <v>8.7561164048416181E-3</v>
      </c>
      <c r="M26" s="657">
        <v>2</v>
      </c>
      <c r="N26" s="658">
        <v>17</v>
      </c>
      <c r="O26" s="658">
        <v>14</v>
      </c>
      <c r="P26" s="658">
        <v>15</v>
      </c>
      <c r="Q26" s="658">
        <v>23</v>
      </c>
      <c r="R26" s="658">
        <v>13</v>
      </c>
      <c r="S26" s="658">
        <v>15</v>
      </c>
      <c r="T26" s="658">
        <v>21</v>
      </c>
      <c r="U26" s="658"/>
      <c r="V26" s="658">
        <v>8</v>
      </c>
      <c r="W26" s="658">
        <v>48</v>
      </c>
      <c r="X26" s="658">
        <v>15</v>
      </c>
      <c r="Y26" s="658">
        <v>1</v>
      </c>
      <c r="Z26" s="658">
        <v>3</v>
      </c>
      <c r="AA26" s="658">
        <v>41</v>
      </c>
      <c r="AB26" s="658">
        <v>58</v>
      </c>
      <c r="AC26" s="658">
        <v>157</v>
      </c>
      <c r="AD26" s="658">
        <v>16</v>
      </c>
      <c r="AE26" s="658">
        <v>40</v>
      </c>
      <c r="AF26" s="657"/>
      <c r="AG26" s="683"/>
      <c r="AH26" s="459"/>
      <c r="AI26" s="687">
        <v>1</v>
      </c>
      <c r="AJ26" s="688">
        <f>IFERROR(INDEX(状態像区分病院所在地_1年以上[#All],MATCH(1,状態像区分病院所在地_1年以上[[#All],[行ラベル]]),MATCH($AJ$2,状態像区分病院所在地_1年以上[#Headers],0)),0)+IFERROR(INDEX(状態像区分病院所在地_1年以上[#All],MATCH(1,状態像区分病院所在地_1年以上[[#All],[行ラベル]]),MATCH($AK$2,状態像区分病院所在地_1年以上[#Headers],0)),0)+IFERROR(INDEX(状態像区分病院所在地_1年以上[#All],MATCH(1,状態像区分病院所在地_1年以上[[#All],[行ラベル]]),MATCH($AL$2,状態像区分病院所在地_1年以上[#Headers],0)),0)</f>
        <v>9</v>
      </c>
      <c r="AK26" s="689">
        <f>IFERROR(INDEX(状態像区分病院所在地_1年以上[#All],MATCH(1,状態像区分病院所在地_1年以上[[#All],[行ラベル]]),MATCH($AM$2,状態像区分病院所在地_1年以上[#Headers],0)),0)+IFERROR(INDEX(状態像区分病院所在地_1年以上[#All],MATCH(1,状態像区分病院所在地_1年以上[[#All],[行ラベル]]),MATCH($AN$2,状態像区分病院所在地_1年以上[#Headers],0)),0)</f>
        <v>7</v>
      </c>
      <c r="AL26" s="689">
        <f>IFERROR(INDEX(状態像区分病院所在地_1年以上[#All],MATCH(1,状態像区分病院所在地_1年以上[[#All],[行ラベル]]),MATCH($AO$2,状態像区分病院所在地_1年以上[#Headers],0)),0)+IFERROR(INDEX(状態像区分病院所在地_1年以上[#All],MATCH(1,状態像区分病院所在地_1年以上[[#All],[行ラベル]]),MATCH($AP$2,状態像区分病院所在地_1年以上[#Headers],0)),0)+IFERROR(INDEX(状態像区分病院所在地_1年以上[#All],MATCH(1,状態像区分病院所在地_1年以上[[#All],[行ラベル]]),MATCH($AQ$2,状態像区分病院所在地_1年以上[#Headers],0)),0)+IFERROR(INDEX(状態像区分病院所在地_1年以上[#All],MATCH(1,状態像区分病院所在地_1年以上[[#All],[行ラベル]]),MATCH($AR$2,状態像区分病院所在地_1年以上[#Headers],0)),0)</f>
        <v>18</v>
      </c>
      <c r="AM26" s="689">
        <f>IFERROR(INDEX(状態像区分病院所在地_1年以上[#All],MATCH(1,状態像区分病院所在地_1年以上[[#All],[行ラベル]]),MATCH($AS$2,状態像区分病院所在地_1年以上[#Headers],0)),0)+IFERROR(INDEX(状態像区分病院所在地_1年以上[#All],MATCH(1,状態像区分病院所在地_1年以上[[#All],[行ラベル]]),MATCH($AT$2,状態像区分病院所在地_1年以上[#Headers],0)),0)+IFERROR(INDEX(状態像区分病院所在地_1年以上[#All],MATCH(1,状態像区分病院所在地_1年以上[[#All],[行ラベル]]),MATCH($AU$2,状態像区分病院所在地_1年以上[#Headers],0)),0)</f>
        <v>10</v>
      </c>
      <c r="AN26" s="689">
        <f>IFERROR(INDEX(状態像区分病院所在地_1年以上[#All],MATCH(1,状態像区分病院所在地_1年以上[[#All],[行ラベル]]),MATCH($AV$2,状態像区分病院所在地_1年以上[#Headers],0)),0)+IFERROR(INDEX(状態像区分病院所在地_1年以上[#All],MATCH(1,状態像区分病院所在地_1年以上[[#All],[行ラベル]]),MATCH($AW$2,状態像区分病院所在地_1年以上[#Headers],0)),0)</f>
        <v>9</v>
      </c>
      <c r="AO26" s="689">
        <f>IFERROR(INDEX(状態像区分病院所在地_1年以上[#All],MATCH(1,状態像区分病院所在地_1年以上[[#All],[行ラベル]]),MATCH($AX$2,状態像区分病院所在地_1年以上[#Headers],0)),0)+IFERROR(INDEX(状態像区分病院所在地_1年以上[#All],MATCH(1,状態像区分病院所在地_1年以上[[#All],[行ラベル]]),MATCH($AY$2,状態像区分病院所在地_1年以上[#Headers],0)),0)+IFERROR(INDEX(状態像区分病院所在地_1年以上[#All],MATCH(1,状態像区分病院所在地_1年以上[[#All],[行ラベル]]),MATCH($AZ$2,状態像区分病院所在地_1年以上[#Headers],0)),0)</f>
        <v>13</v>
      </c>
      <c r="AP26" s="689">
        <f>IFERROR(INDEX(状態像区分病院所在地_1年以上[#All],MATCH(1,状態像区分病院所在地_1年以上[[#All],[行ラベル]]),MATCH($BA$2,状態像区分病院所在地_1年以上[#Headers],0)),0)</f>
        <v>0</v>
      </c>
      <c r="AQ26" s="690">
        <f>IFERROR(INDEX(状態像区分病院所在地_1年以上[#All],MATCH(1,状態像区分病院所在地_1年以上[[#All],[行ラベル]]),MATCH($BB$2,状態像区分病院所在地_1年以上[#Headers],0)),0)</f>
        <v>2</v>
      </c>
    </row>
    <row r="27" spans="1:43" x14ac:dyDescent="0.2">
      <c r="A27" s="1005" t="s">
        <v>29</v>
      </c>
      <c r="B27" s="835">
        <f>AJ27</f>
        <v>46</v>
      </c>
      <c r="C27" s="835">
        <f t="shared" ref="C27:I27" si="16">AK27</f>
        <v>36</v>
      </c>
      <c r="D27" s="835">
        <f t="shared" si="16"/>
        <v>44</v>
      </c>
      <c r="E27" s="835">
        <f t="shared" si="16"/>
        <v>64</v>
      </c>
      <c r="F27" s="835">
        <f t="shared" si="16"/>
        <v>44</v>
      </c>
      <c r="G27" s="835">
        <f t="shared" si="16"/>
        <v>231</v>
      </c>
      <c r="H27" s="835">
        <f t="shared" si="16"/>
        <v>0</v>
      </c>
      <c r="I27" s="835">
        <f t="shared" si="16"/>
        <v>40</v>
      </c>
      <c r="J27" s="837">
        <f>SUM(B27:I27)</f>
        <v>505</v>
      </c>
      <c r="M27" s="657">
        <v>3</v>
      </c>
      <c r="N27" s="658">
        <v>42</v>
      </c>
      <c r="O27" s="658">
        <v>31</v>
      </c>
      <c r="P27" s="658">
        <v>15</v>
      </c>
      <c r="Q27" s="658">
        <v>60</v>
      </c>
      <c r="R27" s="658">
        <v>49</v>
      </c>
      <c r="S27" s="658">
        <v>58</v>
      </c>
      <c r="T27" s="658">
        <v>24</v>
      </c>
      <c r="U27" s="658">
        <v>6</v>
      </c>
      <c r="V27" s="658">
        <v>16</v>
      </c>
      <c r="W27" s="658">
        <v>100</v>
      </c>
      <c r="X27" s="658">
        <v>20</v>
      </c>
      <c r="Y27" s="658">
        <v>7</v>
      </c>
      <c r="Z27" s="658">
        <v>16</v>
      </c>
      <c r="AA27" s="658">
        <v>54</v>
      </c>
      <c r="AB27" s="658">
        <v>127</v>
      </c>
      <c r="AC27" s="658">
        <v>231</v>
      </c>
      <c r="AD27" s="658">
        <v>139</v>
      </c>
      <c r="AE27" s="658">
        <v>208</v>
      </c>
      <c r="AF27" s="657"/>
      <c r="AG27" s="683"/>
      <c r="AH27" s="459"/>
      <c r="AI27" s="691">
        <v>2</v>
      </c>
      <c r="AJ27" s="688">
        <f>IFERROR(INDEX(状態像区分病院所在地_1年以上[#All],MATCH(2,状態像区分病院所在地_1年以上[[#All],[行ラベル]]),MATCH($AJ$2,状態像区分病院所在地_1年以上[#Headers],0)),0)+IFERROR(INDEX(状態像区分病院所在地_1年以上[#All],MATCH(2,状態像区分病院所在地_1年以上[[#All],[行ラベル]]),MATCH($AK$2,状態像区分病院所在地_1年以上[#Headers],0)),0)+IFERROR(INDEX(状態像区分病院所在地_1年以上[#All],MATCH(2,状態像区分病院所在地_1年以上[[#All],[行ラベル]]),MATCH($AL$2,状態像区分病院所在地_1年以上[#Headers],0)),0)</f>
        <v>46</v>
      </c>
      <c r="AK27" s="689">
        <f>IFERROR(INDEX(状態像区分病院所在地_1年以上[#All],MATCH(2,状態像区分病院所在地_1年以上[[#All],[行ラベル]]),MATCH($AM$2,状態像区分病院所在地_1年以上[#Headers],0)),0)+IFERROR(INDEX(状態像区分病院所在地_1年以上[#All],MATCH(2,状態像区分病院所在地_1年以上[[#All],[行ラベル]]),MATCH($AN$2,状態像区分病院所在地_1年以上[#Headers],0)),0)</f>
        <v>36</v>
      </c>
      <c r="AL27" s="689">
        <f>IFERROR(INDEX(状態像区分病院所在地_1年以上[#All],MATCH(2,状態像区分病院所在地_1年以上[[#All],[行ラベル]]),MATCH($AO$2,状態像区分病院所在地_1年以上[#Headers],0)),0)+IFERROR(INDEX(状態像区分病院所在地_1年以上[#All],MATCH(2,状態像区分病院所在地_1年以上[[#All],[行ラベル]]),MATCH($AP$2,状態像区分病院所在地_1年以上[#Headers],0)),0)+IFERROR(INDEX(状態像区分病院所在地_1年以上[#All],MATCH(2,状態像区分病院所在地_1年以上[[#All],[行ラベル]]),MATCH($AQ$2,状態像区分病院所在地_1年以上[#Headers],0)),0)+IFERROR(INDEX(状態像区分病院所在地_1年以上[#All],MATCH(2,状態像区分病院所在地_1年以上[[#All],[行ラベル]]),MATCH($AR$2,状態像区分病院所在地_1年以上[#Headers],0)),0)</f>
        <v>44</v>
      </c>
      <c r="AM27" s="689">
        <f>IFERROR(INDEX(状態像区分病院所在地_1年以上[#All],MATCH(2,状態像区分病院所在地_1年以上[[#All],[行ラベル]]),MATCH($AS$2,状態像区分病院所在地_1年以上[#Headers],0)),0)+IFERROR(INDEX(状態像区分病院所在地_1年以上[#All],MATCH(2,状態像区分病院所在地_1年以上[[#All],[行ラベル]]),MATCH($AT$2,状態像区分病院所在地_1年以上[#Headers],0)),0)+IFERROR(INDEX(状態像区分病院所在地_1年以上[#All],MATCH(2,状態像区分病院所在地_1年以上[[#All],[行ラベル]]),MATCH($AU$2,状態像区分病院所在地_1年以上[#Headers],0)),0)</f>
        <v>64</v>
      </c>
      <c r="AN27" s="689">
        <f>IFERROR(INDEX(状態像区分病院所在地_1年以上[#All],MATCH(2,状態像区分病院所在地_1年以上[[#All],[行ラベル]]),MATCH($AV$2,状態像区分病院所在地_1年以上[#Headers],0)),0)+IFERROR(INDEX(状態像区分病院所在地_1年以上[#All],MATCH(2,状態像区分病院所在地_1年以上[[#All],[行ラベル]]),MATCH($AW$2,状態像区分病院所在地_1年以上[#Headers],0)),0)</f>
        <v>44</v>
      </c>
      <c r="AO27" s="689">
        <f>IFERROR(INDEX(状態像区分病院所在地_1年以上[#All],MATCH(2,状態像区分病院所在地_1年以上[[#All],[行ラベル]]),MATCH($AX$2,状態像区分病院所在地_1年以上[#Headers],0)),0)+IFERROR(INDEX(状態像区分病院所在地_1年以上[#All],MATCH(2,状態像区分病院所在地_1年以上[[#All],[行ラベル]]),MATCH($AY$2,状態像区分病院所在地_1年以上[#Headers],0)),0)+IFERROR(INDEX(状態像区分病院所在地_1年以上[#All],MATCH(2,状態像区分病院所在地_1年以上[[#All],[行ラベル]]),MATCH($AZ$2,状態像区分病院所在地_1年以上[#Headers],0)),0)</f>
        <v>231</v>
      </c>
      <c r="AP27" s="689">
        <f>IFERROR(INDEX(状態像区分病院所在地_1年以上[#All],MATCH(2,状態像区分病院所在地_1年以上[[#All],[行ラベル]]),MATCH($BA$2,状態像区分病院所在地_1年以上[#Headers],0)),0)</f>
        <v>0</v>
      </c>
      <c r="AQ27" s="690">
        <f>IFERROR(INDEX(状態像区分病院所在地_1年以上[#All],MATCH(2,状態像区分病院所在地_1年以上[[#All],[行ラベル]]),MATCH($BB$2,状態像区分病院所在地_1年以上[#Headers],0)),0)</f>
        <v>40</v>
      </c>
    </row>
    <row r="28" spans="1:43" x14ac:dyDescent="0.2">
      <c r="A28" s="1006"/>
      <c r="B28" s="836">
        <f t="shared" ref="B28:I28" si="17">B27/B$37</f>
        <v>5.2934407364787113E-2</v>
      </c>
      <c r="C28" s="836">
        <f t="shared" si="17"/>
        <v>3.6772216547497447E-2</v>
      </c>
      <c r="D28" s="836">
        <f t="shared" si="17"/>
        <v>7.0063694267515922E-2</v>
      </c>
      <c r="E28" s="836">
        <f t="shared" si="17"/>
        <v>0.11962616822429907</v>
      </c>
      <c r="F28" s="836">
        <f t="shared" si="17"/>
        <v>6.4610866372980913E-2</v>
      </c>
      <c r="G28" s="836">
        <f t="shared" si="17"/>
        <v>7.463651050080776E-2</v>
      </c>
      <c r="H28" s="836" t="str">
        <f>IFERROR(H27/H$37,"-")</f>
        <v>-</v>
      </c>
      <c r="I28" s="836">
        <f t="shared" si="17"/>
        <v>4.0858018386108273E-2</v>
      </c>
      <c r="J28" s="836">
        <f t="shared" si="15"/>
        <v>6.5027040947720841E-2</v>
      </c>
      <c r="M28" s="657">
        <v>4</v>
      </c>
      <c r="N28" s="658">
        <v>192</v>
      </c>
      <c r="O28" s="658">
        <v>157</v>
      </c>
      <c r="P28" s="658">
        <v>80</v>
      </c>
      <c r="Q28" s="658">
        <v>307</v>
      </c>
      <c r="R28" s="658">
        <v>136</v>
      </c>
      <c r="S28" s="658">
        <v>114</v>
      </c>
      <c r="T28" s="658">
        <v>28</v>
      </c>
      <c r="U28" s="658">
        <v>42</v>
      </c>
      <c r="V28" s="658">
        <v>54</v>
      </c>
      <c r="W28" s="658">
        <v>166</v>
      </c>
      <c r="X28" s="658">
        <v>44</v>
      </c>
      <c r="Y28" s="658">
        <v>41</v>
      </c>
      <c r="Z28" s="658">
        <v>84</v>
      </c>
      <c r="AA28" s="658">
        <v>191</v>
      </c>
      <c r="AB28" s="658">
        <v>400</v>
      </c>
      <c r="AC28" s="658">
        <v>653</v>
      </c>
      <c r="AD28" s="658">
        <v>397</v>
      </c>
      <c r="AE28" s="658">
        <v>432</v>
      </c>
      <c r="AF28" s="657"/>
      <c r="AG28" s="683"/>
      <c r="AH28" s="459"/>
      <c r="AI28" s="691">
        <v>3</v>
      </c>
      <c r="AJ28" s="688">
        <f>IFERROR(INDEX(状態像区分病院所在地_1年以上[#All],MATCH(3,状態像区分病院所在地_1年以上[[#All],[行ラベル]]),MATCH($AJ$2,状態像区分病院所在地_1年以上[#Headers],0)),0)+IFERROR(INDEX(状態像区分病院所在地_1年以上[#All],MATCH(3,状態像区分病院所在地_1年以上[[#All],[行ラベル]]),MATCH($AK$2,状態像区分病院所在地_1年以上[#Headers],0)),0)+IFERROR(INDEX(状態像区分病院所在地_1年以上[#All],MATCH(3,状態像区分病院所在地_1年以上[[#All],[行ラベル]]),MATCH($AL$2,状態像区分病院所在地_1年以上[#Headers],0)),0)</f>
        <v>88</v>
      </c>
      <c r="AK28" s="689">
        <f>IFERROR(INDEX(状態像区分病院所在地_1年以上[#All],MATCH(3,状態像区分病院所在地_1年以上[[#All],[行ラベル]]),MATCH($AM$2,状態像区分病院所在地_1年以上[#Headers],0)),0)+IFERROR(INDEX(状態像区分病院所在地_1年以上[#All],MATCH(3,状態像区分病院所在地_1年以上[[#All],[行ラベル]]),MATCH($AN$2,状態像区分病院所在地_1年以上[#Headers],0)),0)</f>
        <v>109</v>
      </c>
      <c r="AL28" s="689">
        <f>IFERROR(INDEX(状態像区分病院所在地_1年以上[#All],MATCH(3,状態像区分病院所在地_1年以上[[#All],[行ラベル]]),MATCH($AO$2,状態像区分病院所在地_1年以上[#Headers],0)),0)+IFERROR(INDEX(状態像区分病院所在地_1年以上[#All],MATCH(3,状態像区分病院所在地_1年以上[[#All],[行ラベル]]),MATCH($AP$2,状態像区分病院所在地_1年以上[#Headers],0)),0)+IFERROR(INDEX(状態像区分病院所在地_1年以上[#All],MATCH(3,状態像区分病院所在地_1年以上[[#All],[行ラベル]]),MATCH($AQ$2,状態像区分病院所在地_1年以上[#Headers],0)),0)+IFERROR(INDEX(状態像区分病院所在地_1年以上[#All],MATCH(3,状態像区分病院所在地_1年以上[[#All],[行ラベル]]),MATCH($AR$2,状態像区分病院所在地_1年以上[#Headers],0)),0)</f>
        <v>104</v>
      </c>
      <c r="AM28" s="689">
        <f>IFERROR(INDEX(状態像区分病院所在地_1年以上[#All],MATCH(3,状態像区分病院所在地_1年以上[[#All],[行ラベル]]),MATCH($AS$2,状態像区分病院所在地_1年以上[#Headers],0)),0)+IFERROR(INDEX(状態像区分病院所在地_1年以上[#All],MATCH(3,状態像区分病院所在地_1年以上[[#All],[行ラベル]]),MATCH($AT$2,状態像区分病院所在地_1年以上[#Headers],0)),0)+IFERROR(INDEX(状態像区分病院所在地_1年以上[#All],MATCH(3,状態像区分病院所在地_1年以上[[#All],[行ラベル]]),MATCH($AU$2,状態像区分病院所在地_1年以上[#Headers],0)),0)</f>
        <v>127</v>
      </c>
      <c r="AN28" s="689">
        <f>IFERROR(INDEX(状態像区分病院所在地_1年以上[#All],MATCH(3,状態像区分病院所在地_1年以上[[#All],[行ラベル]]),MATCH($AV$2,状態像区分病院所在地_1年以上[#Headers],0)),0)+IFERROR(INDEX(状態像区分病院所在地_1年以上[#All],MATCH(3,状態像区分病院所在地_1年以上[[#All],[行ラベル]]),MATCH($AW$2,状態像区分病院所在地_1年以上[#Headers],0)),0)</f>
        <v>70</v>
      </c>
      <c r="AO28" s="689">
        <f>IFERROR(INDEX(状態像区分病院所在地_1年以上[#All],MATCH(3,状態像区分病院所在地_1年以上[[#All],[行ラベル]]),MATCH($AX$2,状態像区分病院所在地_1年以上[#Headers],0)),0)+IFERROR(INDEX(状態像区分病院所在地_1年以上[#All],MATCH(3,状態像区分病院所在地_1年以上[[#All],[行ラベル]]),MATCH($AY$2,状態像区分病院所在地_1年以上[#Headers],0)),0)+IFERROR(INDEX(状態像区分病院所在地_1年以上[#All],MATCH(3,状態像区分病院所在地_1年以上[[#All],[行ラベル]]),MATCH($AZ$2,状態像区分病院所在地_1年以上[#Headers],0)),0)</f>
        <v>497</v>
      </c>
      <c r="AP28" s="689">
        <f>IFERROR(INDEX(状態像区分病院所在地_1年以上[#All],MATCH(3,状態像区分病院所在地_1年以上[[#All],[行ラベル]]),MATCH($BA$2,状態像区分病院所在地_1年以上[#Headers],0)),0)</f>
        <v>0</v>
      </c>
      <c r="AQ28" s="690">
        <f>IFERROR(INDEX(状態像区分病院所在地_1年以上[#All],MATCH(3,状態像区分病院所在地_1年以上[[#All],[行ラベル]]),MATCH($BB$2,状態像区分病院所在地_1年以上[#Headers],0)),0)</f>
        <v>208</v>
      </c>
    </row>
    <row r="29" spans="1:43" x14ac:dyDescent="0.2">
      <c r="A29" s="1005" t="s">
        <v>30</v>
      </c>
      <c r="B29" s="835">
        <f>AJ28</f>
        <v>88</v>
      </c>
      <c r="C29" s="835">
        <f t="shared" ref="C29:I29" si="18">AK28</f>
        <v>109</v>
      </c>
      <c r="D29" s="835">
        <f t="shared" si="18"/>
        <v>104</v>
      </c>
      <c r="E29" s="835">
        <f t="shared" si="18"/>
        <v>127</v>
      </c>
      <c r="F29" s="835">
        <f t="shared" si="18"/>
        <v>70</v>
      </c>
      <c r="G29" s="835">
        <f t="shared" si="18"/>
        <v>497</v>
      </c>
      <c r="H29" s="835">
        <f t="shared" si="18"/>
        <v>0</v>
      </c>
      <c r="I29" s="835">
        <f t="shared" si="18"/>
        <v>208</v>
      </c>
      <c r="J29" s="837">
        <f>SUM(B29:I29)</f>
        <v>1203</v>
      </c>
      <c r="M29" s="657">
        <v>5</v>
      </c>
      <c r="N29" s="658">
        <v>74</v>
      </c>
      <c r="O29" s="658">
        <v>108</v>
      </c>
      <c r="P29" s="658">
        <v>53</v>
      </c>
      <c r="Q29" s="658">
        <v>229</v>
      </c>
      <c r="R29" s="658">
        <v>40</v>
      </c>
      <c r="S29" s="658">
        <v>98</v>
      </c>
      <c r="T29" s="658">
        <v>23</v>
      </c>
      <c r="U29" s="658">
        <v>29</v>
      </c>
      <c r="V29" s="658">
        <v>22</v>
      </c>
      <c r="W29" s="658">
        <v>18</v>
      </c>
      <c r="X29" s="658">
        <v>20</v>
      </c>
      <c r="Y29" s="658">
        <v>29</v>
      </c>
      <c r="Z29" s="658">
        <v>148</v>
      </c>
      <c r="AA29" s="658">
        <v>109</v>
      </c>
      <c r="AB29" s="658">
        <v>242</v>
      </c>
      <c r="AC29" s="658">
        <v>338</v>
      </c>
      <c r="AD29" s="658">
        <v>186</v>
      </c>
      <c r="AE29" s="658">
        <v>263</v>
      </c>
      <c r="AF29" s="657"/>
      <c r="AG29" s="683"/>
      <c r="AH29" s="459"/>
      <c r="AI29" s="691">
        <v>4</v>
      </c>
      <c r="AJ29" s="688">
        <f>IFERROR(INDEX(状態像区分病院所在地_1年以上[#All],MATCH(4,状態像区分病院所在地_1年以上[[#All],[行ラベル]]),MATCH($AJ$2,状態像区分病院所在地_1年以上[#Headers],0)),0)+IFERROR(INDEX(状態像区分病院所在地_1年以上[#All],MATCH(4,状態像区分病院所在地_1年以上[[#All],[行ラベル]]),MATCH($AK$2,状態像区分病院所在地_1年以上[#Headers],0)),0)+IFERROR(INDEX(状態像区分病院所在地_1年以上[#All],MATCH(4,状態像区分病院所在地_1年以上[[#All],[行ラベル]]),MATCH($AL$2,状態像区分病院所在地_1年以上[#Headers],0)),0)</f>
        <v>429</v>
      </c>
      <c r="AK29" s="689">
        <f>IFERROR(INDEX(状態像区分病院所在地_1年以上[#All],MATCH(4,状態像区分病院所在地_1年以上[[#All],[行ラベル]]),MATCH($AM$2,状態像区分病院所在地_1年以上[#Headers],0)),0)+IFERROR(INDEX(状態像区分病院所在地_1年以上[#All],MATCH(4,状態像区分病院所在地_1年以上[[#All],[行ラベル]]),MATCH($AN$2,状態像区分病院所在地_1年以上[#Headers],0)),0)</f>
        <v>443</v>
      </c>
      <c r="AL29" s="689">
        <f>IFERROR(INDEX(状態像区分病院所在地_1年以上[#All],MATCH(4,状態像区分病院所在地_1年以上[[#All],[行ラベル]]),MATCH($AO$2,状態像区分病院所在地_1年以上[#Headers],0)),0)+IFERROR(INDEX(状態像区分病院所在地_1年以上[#All],MATCH(4,状態像区分病院所在地_1年以上[[#All],[行ラベル]]),MATCH($AP$2,状態像区分病院所在地_1年以上[#Headers],0)),0)+IFERROR(INDEX(状態像区分病院所在地_1年以上[#All],MATCH(4,状態像区分病院所在地_1年以上[[#All],[行ラベル]]),MATCH($AQ$2,状態像区分病院所在地_1年以上[#Headers],0)),0)+IFERROR(INDEX(状態像区分病院所在地_1年以上[#All],MATCH(4,状態像区分病院所在地_1年以上[[#All],[行ラベル]]),MATCH($AR$2,状態像区分病院所在地_1年以上[#Headers],0)),0)</f>
        <v>238</v>
      </c>
      <c r="AM29" s="689">
        <f>IFERROR(INDEX(状態像区分病院所在地_1年以上[#All],MATCH(4,状態像区分病院所在地_1年以上[[#All],[行ラベル]]),MATCH($AS$2,状態像区分病院所在地_1年以上[#Headers],0)),0)+IFERROR(INDEX(状態像区分病院所在地_1年以上[#All],MATCH(4,状態像区分病院所在地_1年以上[[#All],[行ラベル]]),MATCH($AT$2,状態像区分病院所在地_1年以上[#Headers],0)),0)+IFERROR(INDEX(状態像区分病院所在地_1年以上[#All],MATCH(4,状態像区分病院所在地_1年以上[[#All],[行ラベル]]),MATCH($AU$2,状態像区分病院所在地_1年以上[#Headers],0)),0)</f>
        <v>251</v>
      </c>
      <c r="AN29" s="689">
        <f>IFERROR(INDEX(状態像区分病院所在地_1年以上[#All],MATCH(4,状態像区分病院所在地_1年以上[[#All],[行ラベル]]),MATCH($AV$2,状態像区分病院所在地_1年以上[#Headers],0)),0)+IFERROR(INDEX(状態像区分病院所在地_1年以上[#All],MATCH(4,状態像区分病院所在地_1年以上[[#All],[行ラベル]]),MATCH($AW$2,状態像区分病院所在地_1年以上[#Headers],0)),0)</f>
        <v>275</v>
      </c>
      <c r="AO29" s="689">
        <f>IFERROR(INDEX(状態像区分病院所在地_1年以上[#All],MATCH(4,状態像区分病院所在地_1年以上[[#All],[行ラベル]]),MATCH($AX$2,状態像区分病院所在地_1年以上[#Headers],0)),0)+IFERROR(INDEX(状態像区分病院所在地_1年以上[#All],MATCH(4,状態像区分病院所在地_1年以上[[#All],[行ラベル]]),MATCH($AY$2,状態像区分病院所在地_1年以上[#Headers],0)),0)+IFERROR(INDEX(状態像区分病院所在地_1年以上[#All],MATCH(4,状態像区分病院所在地_1年以上[[#All],[行ラベル]]),MATCH($AZ$2,状態像区分病院所在地_1年以上[#Headers],0)),0)</f>
        <v>1450</v>
      </c>
      <c r="AP29" s="689">
        <f>IFERROR(INDEX(状態像区分病院所在地_1年以上[#All],MATCH(4,状態像区分病院所在地_1年以上[[#All],[行ラベル]]),MATCH($BA$2,状態像区分病院所在地_1年以上[#Headers],0)),0)</f>
        <v>0</v>
      </c>
      <c r="AQ29" s="690">
        <f>IFERROR(INDEX(状態像区分病院所在地_1年以上[#All],MATCH(4,状態像区分病院所在地_1年以上[[#All],[行ラベル]]),MATCH($BB$2,状態像区分病院所在地_1年以上[#Headers],0)),0)</f>
        <v>432</v>
      </c>
    </row>
    <row r="30" spans="1:43" x14ac:dyDescent="0.2">
      <c r="A30" s="1006"/>
      <c r="B30" s="836">
        <f t="shared" ref="B30:I30" si="19">B29/B$37</f>
        <v>0.10126582278481013</v>
      </c>
      <c r="C30" s="836">
        <f t="shared" si="19"/>
        <v>0.11133810010214505</v>
      </c>
      <c r="D30" s="836">
        <f t="shared" si="19"/>
        <v>0.16560509554140126</v>
      </c>
      <c r="E30" s="836">
        <f t="shared" si="19"/>
        <v>0.23738317757009345</v>
      </c>
      <c r="F30" s="836">
        <f t="shared" si="19"/>
        <v>0.10279001468428781</v>
      </c>
      <c r="G30" s="836">
        <f t="shared" si="19"/>
        <v>0.16058158319870761</v>
      </c>
      <c r="H30" s="836" t="str">
        <f>IFERROR(H29/H$37,"-")</f>
        <v>-</v>
      </c>
      <c r="I30" s="836">
        <f t="shared" si="19"/>
        <v>0.21246169560776301</v>
      </c>
      <c r="J30" s="836">
        <f t="shared" si="15"/>
        <v>0.15490600051506567</v>
      </c>
      <c r="M30" s="692">
        <v>6</v>
      </c>
      <c r="N30" s="693">
        <v>14</v>
      </c>
      <c r="O30" s="693">
        <v>24</v>
      </c>
      <c r="P30" s="693">
        <v>24</v>
      </c>
      <c r="Q30" s="693">
        <v>107</v>
      </c>
      <c r="R30" s="693">
        <v>8</v>
      </c>
      <c r="S30" s="693">
        <v>17</v>
      </c>
      <c r="T30" s="693">
        <v>2</v>
      </c>
      <c r="U30" s="693">
        <v>28</v>
      </c>
      <c r="V30" s="693">
        <v>5</v>
      </c>
      <c r="W30" s="693">
        <v>2</v>
      </c>
      <c r="X30" s="693">
        <v>2</v>
      </c>
      <c r="Y30" s="693">
        <v>12</v>
      </c>
      <c r="Z30" s="693">
        <v>11</v>
      </c>
      <c r="AA30" s="693">
        <v>15</v>
      </c>
      <c r="AB30" s="693">
        <v>38</v>
      </c>
      <c r="AC30" s="693">
        <v>85</v>
      </c>
      <c r="AD30" s="693">
        <v>15</v>
      </c>
      <c r="AE30" s="693">
        <v>34</v>
      </c>
      <c r="AF30" s="692"/>
      <c r="AG30" s="694"/>
      <c r="AH30" s="459"/>
      <c r="AI30" s="691">
        <v>5</v>
      </c>
      <c r="AJ30" s="688">
        <f>IFERROR(INDEX(状態像区分病院所在地_1年以上[#All],MATCH(5,状態像区分病院所在地_1年以上[[#All],[行ラベル]]),MATCH($AJ$2,状態像区分病院所在地_1年以上[#Headers],0)),0)+IFERROR(INDEX(状態像区分病院所在地_1年以上[#All],MATCH(5,状態像区分病院所在地_1年以上[[#All],[行ラベル]]),MATCH($AK$2,状態像区分病院所在地_1年以上[#Headers],0)),0)+IFERROR(INDEX(状態像区分病院所在地_1年以上[#All],MATCH(5,状態像区分病院所在地_1年以上[[#All],[行ラベル]]),MATCH($AL$2,状態像区分病院所在地_1年以上[#Headers],0)),0)</f>
        <v>235</v>
      </c>
      <c r="AK30" s="689">
        <f>IFERROR(INDEX(状態像区分病院所在地_1年以上[#All],MATCH(5,状態像区分病院所在地_1年以上[[#All],[行ラベル]]),MATCH($AM$2,状態像区分病院所在地_1年以上[#Headers],0)),0)+IFERROR(INDEX(状態像区分病院所在地_1年以上[#All],MATCH(5,状態像区分病院所在地_1年以上[[#All],[行ラベル]]),MATCH($AN$2,状態像区分病院所在地_1年以上[#Headers],0)),0)</f>
        <v>269</v>
      </c>
      <c r="AL30" s="689">
        <f>IFERROR(INDEX(状態像区分病院所在地_1年以上[#All],MATCH(5,状態像区分病院所在地_1年以上[[#All],[行ラベル]]),MATCH($AO$2,状態像区分病院所在地_1年以上[#Headers],0)),0)+IFERROR(INDEX(状態像区分病院所在地_1年以上[#All],MATCH(5,状態像区分病院所在地_1年以上[[#All],[行ラベル]]),MATCH($AP$2,状態像区分病院所在地_1年以上[#Headers],0)),0)+IFERROR(INDEX(状態像区分病院所在地_1年以上[#All],MATCH(5,状態像区分病院所在地_1年以上[[#All],[行ラベル]]),MATCH($AQ$2,状態像区分病院所在地_1年以上[#Headers],0)),0)+IFERROR(INDEX(状態像区分病院所在地_1年以上[#All],MATCH(5,状態像区分病院所在地_1年以上[[#All],[行ラベル]]),MATCH($AR$2,状態像区分病院所在地_1年以上[#Headers],0)),0)</f>
        <v>172</v>
      </c>
      <c r="AM30" s="689">
        <f>IFERROR(INDEX(状態像区分病院所在地_1年以上[#All],MATCH(5,状態像区分病院所在地_1年以上[[#All],[行ラベル]]),MATCH($AS$2,状態像区分病院所在地_1年以上[#Headers],0)),0)+IFERROR(INDEX(状態像区分病院所在地_1年以上[#All],MATCH(5,状態像区分病院所在地_1年以上[[#All],[行ラベル]]),MATCH($AT$2,状態像区分病院所在地_1年以上[#Headers],0)),0)+IFERROR(INDEX(状態像区分病院所在地_1年以上[#All],MATCH(5,状態像区分病院所在地_1年以上[[#All],[行ラベル]]),MATCH($AU$2,状態像区分病院所在地_1年以上[#Headers],0)),0)</f>
        <v>67</v>
      </c>
      <c r="AN30" s="689">
        <f>IFERROR(INDEX(状態像区分病院所在地_1年以上[#All],MATCH(5,状態像区分病院所在地_1年以上[[#All],[行ラベル]]),MATCH($AV$2,状態像区分病院所在地_1年以上[#Headers],0)),0)+IFERROR(INDEX(状態像区分病院所在地_1年以上[#All],MATCH(5,状態像区分病院所在地_1年以上[[#All],[行ラベル]]),MATCH($AW$2,状態像区分病院所在地_1年以上[#Headers],0)),0)</f>
        <v>257</v>
      </c>
      <c r="AO30" s="689">
        <f>IFERROR(INDEX(状態像区分病院所在地_1年以上[#All],MATCH(5,状態像区分病院所在地_1年以上[[#All],[行ラベル]]),MATCH($AX$2,状態像区分病院所在地_1年以上[#Headers],0)),0)+IFERROR(INDEX(状態像区分病院所在地_1年以上[#All],MATCH(5,状態像区分病院所在地_1年以上[[#All],[行ラベル]]),MATCH($AY$2,状態像区分病院所在地_1年以上[#Headers],0)),0)+IFERROR(INDEX(状態像区分病院所在地_1年以上[#All],MATCH(5,状態像区分病院所在地_1年以上[[#All],[行ラベル]]),MATCH($AZ$2,状態像区分病院所在地_1年以上[#Headers],0)),0)</f>
        <v>766</v>
      </c>
      <c r="AP30" s="689">
        <f>IFERROR(INDEX(状態像区分病院所在地_1年以上[#All],MATCH(5,状態像区分病院所在地_1年以上[[#All],[行ラベル]]),MATCH($BA$2,状態像区分病院所在地_1年以上[#Headers],0)),0)</f>
        <v>0</v>
      </c>
      <c r="AQ30" s="690">
        <f>IFERROR(INDEX(状態像区分病院所在地_1年以上[#All],MATCH(5,状態像区分病院所在地_1年以上[[#All],[行ラベル]]),MATCH($BB$2,状態像区分病院所在地_1年以上[#Headers],0)),0)</f>
        <v>263</v>
      </c>
    </row>
    <row r="31" spans="1:43" ht="18" thickBot="1" x14ac:dyDescent="0.25">
      <c r="A31" s="1005" t="s">
        <v>31</v>
      </c>
      <c r="B31" s="835">
        <f>AJ29</f>
        <v>429</v>
      </c>
      <c r="C31" s="835">
        <f t="shared" ref="C31:I31" si="20">AK29</f>
        <v>443</v>
      </c>
      <c r="D31" s="835">
        <f t="shared" si="20"/>
        <v>238</v>
      </c>
      <c r="E31" s="835">
        <f t="shared" si="20"/>
        <v>251</v>
      </c>
      <c r="F31" s="835">
        <f t="shared" si="20"/>
        <v>275</v>
      </c>
      <c r="G31" s="835">
        <f t="shared" si="20"/>
        <v>1450</v>
      </c>
      <c r="H31" s="835">
        <f t="shared" si="20"/>
        <v>0</v>
      </c>
      <c r="I31" s="835">
        <f t="shared" si="20"/>
        <v>432</v>
      </c>
      <c r="J31" s="837">
        <f>SUM(B31:I31)</f>
        <v>3518</v>
      </c>
      <c r="M31" s="657" t="s">
        <v>384</v>
      </c>
      <c r="N31" s="658"/>
      <c r="O31" s="658"/>
      <c r="P31" s="658"/>
      <c r="Q31" s="658"/>
      <c r="R31" s="658"/>
      <c r="S31" s="658"/>
      <c r="T31" s="658"/>
      <c r="U31" s="658"/>
      <c r="V31" s="658"/>
      <c r="W31" s="658"/>
      <c r="X31" s="658"/>
      <c r="Y31" s="658"/>
      <c r="Z31" s="658"/>
      <c r="AA31" s="658"/>
      <c r="AB31" s="658"/>
      <c r="AC31" s="658"/>
      <c r="AD31" s="658"/>
      <c r="AE31" s="658"/>
      <c r="AF31" s="657"/>
      <c r="AG31" s="683"/>
      <c r="AI31" s="695">
        <v>6</v>
      </c>
      <c r="AJ31" s="688">
        <f>IFERROR(INDEX(状態像区分病院所在地_1年以上[#All],MATCH(6,状態像区分病院所在地_1年以上[[#All],[行ラベル]]),MATCH($AJ$2,状態像区分病院所在地_1年以上[#Headers],0)),0)+IFERROR(INDEX(状態像区分病院所在地_1年以上[#All],MATCH(6,状態像区分病院所在地_1年以上[[#All],[行ラベル]]),MATCH($AK$2,状態像区分病院所在地_1年以上[#Headers],0)),0)+IFERROR(INDEX(状態像区分病院所在地_1年以上[#All],MATCH(6,状態像区分病院所在地_1年以上[[#All],[行ラベル]]),MATCH($AL$2,状態像区分病院所在地_1年以上[#Headers],0)),0)</f>
        <v>62</v>
      </c>
      <c r="AK31" s="689">
        <f>IFERROR(INDEX(状態像区分病院所在地_1年以上[#All],MATCH(6,状態像区分病院所在地_1年以上[[#All],[行ラベル]]),MATCH($AM$2,状態像区分病院所在地_1年以上[#Headers],0)),0)+IFERROR(INDEX(状態像区分病院所在地_1年以上[#All],MATCH(6,状態像区分病院所在地_1年以上[[#All],[行ラベル]]),MATCH($AN$2,状態像区分病院所在地_1年以上[#Headers],0)),0)</f>
        <v>115</v>
      </c>
      <c r="AL31" s="689">
        <f>IFERROR(INDEX(状態像区分病院所在地_1年以上[#All],MATCH(6,状態像区分病院所在地_1年以上[[#All],[行ラベル]]),MATCH($AO$2,状態像区分病院所在地_1年以上[#Headers],0)),0)+IFERROR(INDEX(状態像区分病院所在地_1年以上[#All],MATCH(6,状態像区分病院所在地_1年以上[[#All],[行ラベル]]),MATCH($AP$2,状態像区分病院所在地_1年以上[#Headers],0)),0)+IFERROR(INDEX(状態像区分病院所在地_1年以上[#All],MATCH(6,状態像区分病院所在地_1年以上[[#All],[行ラベル]]),MATCH($AQ$2,状態像区分病院所在地_1年以上[#Headers],0)),0)+IFERROR(INDEX(状態像区分病院所在地_1年以上[#All],MATCH(6,状態像区分病院所在地_1年以上[[#All],[行ラベル]]),MATCH($AR$2,状態像区分病院所在地_1年以上[#Headers],0)),0)</f>
        <v>52</v>
      </c>
      <c r="AM31" s="689">
        <f>IFERROR(INDEX(状態像区分病院所在地_1年以上[#All],MATCH(6,状態像区分病院所在地_1年以上[[#All],[行ラベル]]),MATCH($AS$2,状態像区分病院所在地_1年以上[#Headers],0)),0)+IFERROR(INDEX(状態像区分病院所在地_1年以上[#All],MATCH(6,状態像区分病院所在地_1年以上[[#All],[行ラベル]]),MATCH($AT$2,状態像区分病院所在地_1年以上[#Headers],0)),0)+IFERROR(INDEX(状態像区分病院所在地_1年以上[#All],MATCH(6,状態像区分病院所在地_1年以上[[#All],[行ラベル]]),MATCH($AU$2,状態像区分病院所在地_1年以上[#Headers],0)),0)</f>
        <v>16</v>
      </c>
      <c r="AN31" s="689">
        <f>IFERROR(INDEX(状態像区分病院所在地_1年以上[#All],MATCH(6,状態像区分病院所在地_1年以上[[#All],[行ラベル]]),MATCH($AV$2,状態像区分病院所在地_1年以上[#Headers],0)),0)+IFERROR(INDEX(状態像区分病院所在地_1年以上[#All],MATCH(6,状態像区分病院所在地_1年以上[[#All],[行ラベル]]),MATCH($AW$2,状態像区分病院所在地_1年以上[#Headers],0)),0)</f>
        <v>26</v>
      </c>
      <c r="AO31" s="689">
        <f>IFERROR(INDEX(状態像区分病院所在地_1年以上[#All],MATCH(6,状態像区分病院所在地_1年以上[[#All],[行ラベル]]),MATCH($AX$2,状態像区分病院所在地_1年以上[#Headers],0)),0)+IFERROR(INDEX(状態像区分病院所在地_1年以上[#All],MATCH(6,状態像区分病院所在地_1年以上[[#All],[行ラベル]]),MATCH($AY$2,状態像区分病院所在地_1年以上[#Headers],0)),0)+IFERROR(INDEX(状態像区分病院所在地_1年以上[#All],MATCH(6,状態像区分病院所在地_1年以上[[#All],[行ラベル]]),MATCH($AZ$2,状態像区分病院所在地_1年以上[#Headers],0)),0)</f>
        <v>138</v>
      </c>
      <c r="AP31" s="689">
        <f>IFERROR(INDEX(状態像区分病院所在地_1年以上[#All],MATCH(6,状態像区分病院所在地_1年以上[[#All],[行ラベル]]),MATCH($BA$2,状態像区分病院所在地_1年以上[#Headers],0)),0)</f>
        <v>0</v>
      </c>
      <c r="AQ31" s="690">
        <f>IFERROR(INDEX(状態像区分病院所在地_1年以上[#All],MATCH(6,状態像区分病院所在地_1年以上[[#All],[行ラベル]]),MATCH($BB$2,状態像区分病院所在地_1年以上[#Headers],0)),0)</f>
        <v>34</v>
      </c>
    </row>
    <row r="32" spans="1:43" x14ac:dyDescent="0.2">
      <c r="A32" s="1006"/>
      <c r="B32" s="836">
        <f t="shared" ref="B32:I32" si="21">B31/B$37</f>
        <v>0.49367088607594939</v>
      </c>
      <c r="C32" s="836">
        <f t="shared" si="21"/>
        <v>0.45250255362614911</v>
      </c>
      <c r="D32" s="836">
        <f t="shared" si="21"/>
        <v>0.37898089171974525</v>
      </c>
      <c r="E32" s="836">
        <f t="shared" si="21"/>
        <v>0.46915887850467292</v>
      </c>
      <c r="F32" s="836">
        <f t="shared" si="21"/>
        <v>0.40381791483113066</v>
      </c>
      <c r="G32" s="836">
        <f t="shared" si="21"/>
        <v>0.46849757673667203</v>
      </c>
      <c r="H32" s="836" t="str">
        <f>IFERROR(H31/H$37,"-")</f>
        <v>-</v>
      </c>
      <c r="I32" s="836">
        <f t="shared" si="21"/>
        <v>0.44126659856996936</v>
      </c>
      <c r="J32" s="836">
        <f t="shared" si="15"/>
        <v>0.45300025753283546</v>
      </c>
    </row>
    <row r="33" spans="1:10" x14ac:dyDescent="0.2">
      <c r="A33" s="1005" t="s">
        <v>32</v>
      </c>
      <c r="B33" s="835">
        <f>AJ30</f>
        <v>235</v>
      </c>
      <c r="C33" s="835">
        <f t="shared" ref="C33:I33" si="22">AK30</f>
        <v>269</v>
      </c>
      <c r="D33" s="835">
        <f t="shared" si="22"/>
        <v>172</v>
      </c>
      <c r="E33" s="835">
        <f t="shared" si="22"/>
        <v>67</v>
      </c>
      <c r="F33" s="835">
        <f t="shared" si="22"/>
        <v>257</v>
      </c>
      <c r="G33" s="835">
        <f t="shared" si="22"/>
        <v>766</v>
      </c>
      <c r="H33" s="835">
        <f t="shared" si="22"/>
        <v>0</v>
      </c>
      <c r="I33" s="835">
        <f t="shared" si="22"/>
        <v>263</v>
      </c>
      <c r="J33" s="837">
        <f>SUM(B33:I33)</f>
        <v>2029</v>
      </c>
    </row>
    <row r="34" spans="1:10" x14ac:dyDescent="0.2">
      <c r="A34" s="1006"/>
      <c r="B34" s="836">
        <f t="shared" ref="B34:I34" si="23">B33/B$37</f>
        <v>0.27042577675489066</v>
      </c>
      <c r="C34" s="836">
        <f t="shared" si="23"/>
        <v>0.27477017364657813</v>
      </c>
      <c r="D34" s="836">
        <f t="shared" si="23"/>
        <v>0.27388535031847133</v>
      </c>
      <c r="E34" s="836">
        <f t="shared" si="23"/>
        <v>0.12523364485981309</v>
      </c>
      <c r="F34" s="836">
        <f t="shared" si="23"/>
        <v>0.37738619676945667</v>
      </c>
      <c r="G34" s="836">
        <f t="shared" si="23"/>
        <v>0.24749596122778675</v>
      </c>
      <c r="H34" s="836" t="str">
        <f>IFERROR(H33/H$37,"-")</f>
        <v>-</v>
      </c>
      <c r="I34" s="836">
        <f t="shared" si="23"/>
        <v>0.26864147088866192</v>
      </c>
      <c r="J34" s="836">
        <f t="shared" si="15"/>
        <v>0.26126706155034768</v>
      </c>
    </row>
    <row r="35" spans="1:10" x14ac:dyDescent="0.2">
      <c r="A35" s="1005" t="s">
        <v>33</v>
      </c>
      <c r="B35" s="835">
        <f>AJ31</f>
        <v>62</v>
      </c>
      <c r="C35" s="835">
        <f t="shared" ref="C35:I35" si="24">AK31</f>
        <v>115</v>
      </c>
      <c r="D35" s="835">
        <f t="shared" si="24"/>
        <v>52</v>
      </c>
      <c r="E35" s="835">
        <f t="shared" si="24"/>
        <v>16</v>
      </c>
      <c r="F35" s="835">
        <f t="shared" si="24"/>
        <v>26</v>
      </c>
      <c r="G35" s="835">
        <f t="shared" si="24"/>
        <v>138</v>
      </c>
      <c r="H35" s="835">
        <f t="shared" si="24"/>
        <v>0</v>
      </c>
      <c r="I35" s="835">
        <f t="shared" si="24"/>
        <v>34</v>
      </c>
      <c r="J35" s="837">
        <f>SUM(B35:I35)</f>
        <v>443</v>
      </c>
    </row>
    <row r="36" spans="1:10" x14ac:dyDescent="0.2">
      <c r="A36" s="1006"/>
      <c r="B36" s="836">
        <f t="shared" ref="B36:I36" si="25">B35/B$37</f>
        <v>7.1346375143843496E-2</v>
      </c>
      <c r="C36" s="836">
        <f t="shared" si="25"/>
        <v>0.11746680286006128</v>
      </c>
      <c r="D36" s="836">
        <f t="shared" si="25"/>
        <v>8.2802547770700632E-2</v>
      </c>
      <c r="E36" s="836">
        <f t="shared" si="25"/>
        <v>2.9906542056074768E-2</v>
      </c>
      <c r="F36" s="836">
        <f t="shared" si="25"/>
        <v>3.81791483113069E-2</v>
      </c>
      <c r="G36" s="836">
        <f t="shared" si="25"/>
        <v>4.4588045234248787E-2</v>
      </c>
      <c r="H36" s="836" t="str">
        <f>IFERROR(H35/H$37,"-")</f>
        <v>-</v>
      </c>
      <c r="I36" s="836">
        <f t="shared" si="25"/>
        <v>3.472931562819203E-2</v>
      </c>
      <c r="J36" s="836">
        <f t="shared" si="15"/>
        <v>5.704352304918877E-2</v>
      </c>
    </row>
    <row r="37" spans="1:10" x14ac:dyDescent="0.2">
      <c r="A37" s="1017" t="s">
        <v>161</v>
      </c>
      <c r="B37" s="661">
        <f>SUM(B25,B27,B29,B31,B33,B35)</f>
        <v>869</v>
      </c>
      <c r="C37" s="661">
        <f t="shared" ref="C37:J37" si="26">SUM(C25,C27,C29,C31,C33,C35)</f>
        <v>979</v>
      </c>
      <c r="D37" s="661">
        <f t="shared" si="26"/>
        <v>628</v>
      </c>
      <c r="E37" s="661">
        <f t="shared" si="26"/>
        <v>535</v>
      </c>
      <c r="F37" s="661">
        <f t="shared" si="26"/>
        <v>681</v>
      </c>
      <c r="G37" s="661">
        <f t="shared" si="26"/>
        <v>3095</v>
      </c>
      <c r="H37" s="661">
        <f t="shared" si="26"/>
        <v>0</v>
      </c>
      <c r="I37" s="661">
        <f t="shared" si="26"/>
        <v>979</v>
      </c>
      <c r="J37" s="662">
        <f t="shared" si="26"/>
        <v>7766</v>
      </c>
    </row>
    <row r="38" spans="1:10" x14ac:dyDescent="0.2">
      <c r="A38" s="1018"/>
      <c r="B38" s="663">
        <f t="shared" ref="B38:J38" si="27">SUM(B26,B28,B30,B32,B34,B36)</f>
        <v>0.99999999999999989</v>
      </c>
      <c r="C38" s="663">
        <f t="shared" si="27"/>
        <v>0.99999999999999989</v>
      </c>
      <c r="D38" s="663">
        <f t="shared" si="27"/>
        <v>1</v>
      </c>
      <c r="E38" s="663">
        <f t="shared" si="27"/>
        <v>0.99999999999999989</v>
      </c>
      <c r="F38" s="663">
        <f t="shared" si="27"/>
        <v>0.99999999999999989</v>
      </c>
      <c r="G38" s="663">
        <f t="shared" si="27"/>
        <v>0.99999999999999989</v>
      </c>
      <c r="H38" s="663">
        <f t="shared" si="27"/>
        <v>0</v>
      </c>
      <c r="I38" s="663">
        <f t="shared" si="27"/>
        <v>1</v>
      </c>
      <c r="J38" s="663">
        <f t="shared" si="27"/>
        <v>1</v>
      </c>
    </row>
  </sheetData>
  <mergeCells count="14">
    <mergeCell ref="A35:A36"/>
    <mergeCell ref="A37:A38"/>
    <mergeCell ref="A16:A17"/>
    <mergeCell ref="A25:A26"/>
    <mergeCell ref="A27:A28"/>
    <mergeCell ref="A29:A30"/>
    <mergeCell ref="A31:A32"/>
    <mergeCell ref="A33:A34"/>
    <mergeCell ref="A14:A15"/>
    <mergeCell ref="A4:A5"/>
    <mergeCell ref="A6:A7"/>
    <mergeCell ref="A8:A9"/>
    <mergeCell ref="A10:A11"/>
    <mergeCell ref="A12:A1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mc:AlternateContent xmlns:mc="http://schemas.openxmlformats.org/markup-compatibility/2006">
    <mc:Choice Requires="v">
      <legacyDrawing r:id="rId3"/>
    </mc:Choice>
  </mc:AlternateContent>
  <controls>
    <control shapeId="78849" r:id="rId4" name="Button 1">
      <controlPr defaultSize="0" print="0" autoFill="0" autoPict="0" macro="[0]!データ削除_状態像区分病院所在地">
        <anchor moveWithCells="1" sizeWithCells="1">
          <from>
            <xdr:col>11</xdr:col>
            <xdr:colOff>198120</xdr:colOff>
            <xdr:row>32</xdr:row>
            <xdr:rowOff>99060</xdr:rowOff>
          </from>
          <to>
            <xdr:col>14</xdr:col>
            <xdr:colOff>502920</xdr:colOff>
            <xdr:row>34</xdr:row>
            <xdr:rowOff>190500</xdr:rowOff>
          </to>
        </anchor>
      </controlPr>
    </control>
  </controls>
  <tableParts count="2">
    <tablePart r:id="rId5"/>
    <tablePart r:id="rId6"/>
  </tableParts>
</worksheet>
</file>

<file path=xl/worksheets/sheet3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7">
    <tabColor theme="9" tint="-0.499984740745262"/>
    <pageSetUpPr fitToPage="1"/>
  </sheetPr>
  <dimension ref="A1:AJ89"/>
  <sheetViews>
    <sheetView showGridLines="0" view="pageBreakPreview" zoomScale="60" zoomScaleNormal="80" workbookViewId="0"/>
  </sheetViews>
  <sheetFormatPr defaultColWidth="7.109375" defaultRowHeight="17.399999999999999" x14ac:dyDescent="0.2"/>
  <cols>
    <col min="1" max="1" width="33.109375" style="396" customWidth="1"/>
    <col min="2" max="10" width="8.77734375" style="396" customWidth="1"/>
    <col min="11" max="11" width="7.21875" style="396" customWidth="1"/>
    <col min="12" max="12" width="7.21875" style="396" hidden="1" customWidth="1"/>
    <col min="13" max="13" width="16.33203125" style="396" hidden="1" customWidth="1"/>
    <col min="14" max="32" width="8.44140625" style="396" hidden="1" customWidth="1"/>
    <col min="33" max="36" width="7.109375" style="396" hidden="1" customWidth="1"/>
    <col min="37" max="37" width="7.109375" style="396" customWidth="1"/>
    <col min="38" max="16384" width="7.109375" style="396"/>
  </cols>
  <sheetData>
    <row r="1" spans="1:32" s="3" customFormat="1" ht="19.2" x14ac:dyDescent="0.2">
      <c r="A1" s="2" t="s">
        <v>448</v>
      </c>
    </row>
    <row r="2" spans="1:32" ht="18" thickBot="1" x14ac:dyDescent="0.25">
      <c r="A2" s="4"/>
    </row>
    <row r="3" spans="1:32" ht="18.75" customHeight="1" thickTop="1" thickBot="1" x14ac:dyDescent="0.25">
      <c r="A3" s="403" t="s">
        <v>240</v>
      </c>
      <c r="B3" s="834" t="s">
        <v>386</v>
      </c>
      <c r="C3" s="834" t="s">
        <v>387</v>
      </c>
      <c r="D3" s="834" t="s">
        <v>388</v>
      </c>
      <c r="E3" s="834" t="s">
        <v>389</v>
      </c>
      <c r="F3" s="834" t="s">
        <v>390</v>
      </c>
      <c r="G3" s="834" t="s">
        <v>391</v>
      </c>
      <c r="H3" s="834" t="s">
        <v>392</v>
      </c>
      <c r="I3" s="834" t="s">
        <v>393</v>
      </c>
      <c r="J3" s="834" t="s">
        <v>62</v>
      </c>
      <c r="M3" s="558" t="s">
        <v>372</v>
      </c>
      <c r="N3" s="462" t="s">
        <v>394</v>
      </c>
      <c r="O3" s="462" t="s">
        <v>395</v>
      </c>
      <c r="P3" s="462" t="s">
        <v>396</v>
      </c>
      <c r="Q3" s="462" t="s">
        <v>397</v>
      </c>
      <c r="R3" s="462" t="s">
        <v>398</v>
      </c>
      <c r="S3" s="462" t="s">
        <v>399</v>
      </c>
      <c r="T3" s="462" t="s">
        <v>400</v>
      </c>
      <c r="U3" s="462" t="s">
        <v>401</v>
      </c>
      <c r="V3" s="462" t="s">
        <v>402</v>
      </c>
      <c r="W3" s="462" t="s">
        <v>403</v>
      </c>
      <c r="X3" s="462" t="s">
        <v>564</v>
      </c>
      <c r="Y3" s="462" t="s">
        <v>565</v>
      </c>
      <c r="Z3" s="462" t="s">
        <v>566</v>
      </c>
      <c r="AA3" s="462" t="s">
        <v>567</v>
      </c>
      <c r="AB3" s="462" t="s">
        <v>568</v>
      </c>
      <c r="AC3" s="462" t="s">
        <v>569</v>
      </c>
      <c r="AD3" s="462" t="s">
        <v>570</v>
      </c>
      <c r="AE3" s="462" t="s">
        <v>571</v>
      </c>
      <c r="AF3" s="462" t="s">
        <v>572</v>
      </c>
    </row>
    <row r="4" spans="1:32" s="21" customFormat="1" ht="18.75" customHeight="1" thickTop="1" x14ac:dyDescent="0.2">
      <c r="A4" s="1026" t="s">
        <v>449</v>
      </c>
      <c r="B4" s="837">
        <f>SUM(N4:P4)</f>
        <v>276</v>
      </c>
      <c r="C4" s="837">
        <f>SUM(Q4:R4)</f>
        <v>226</v>
      </c>
      <c r="D4" s="837">
        <f>SUM(S4:V4)</f>
        <v>292</v>
      </c>
      <c r="E4" s="837">
        <f>SUM(W4:Y4)</f>
        <v>237</v>
      </c>
      <c r="F4" s="837">
        <f>SUM(Z4:AA4)</f>
        <v>228</v>
      </c>
      <c r="G4" s="837">
        <f>SUM(AB4:AD4)</f>
        <v>486</v>
      </c>
      <c r="H4" s="837">
        <f>AE4</f>
        <v>19</v>
      </c>
      <c r="I4" s="837">
        <f>AF4</f>
        <v>218</v>
      </c>
      <c r="J4" s="837">
        <f>SUM(B4:I4)</f>
        <v>1982</v>
      </c>
      <c r="M4" s="463">
        <v>97</v>
      </c>
      <c r="N4" s="103">
        <v>88</v>
      </c>
      <c r="O4" s="103">
        <v>125</v>
      </c>
      <c r="P4" s="103">
        <v>63</v>
      </c>
      <c r="Q4" s="103">
        <v>96</v>
      </c>
      <c r="R4" s="103">
        <v>130</v>
      </c>
      <c r="S4" s="103">
        <v>159</v>
      </c>
      <c r="T4" s="103">
        <v>80</v>
      </c>
      <c r="U4" s="103">
        <v>18</v>
      </c>
      <c r="V4" s="103">
        <v>35</v>
      </c>
      <c r="W4" s="103">
        <v>146</v>
      </c>
      <c r="X4" s="103">
        <v>81</v>
      </c>
      <c r="Y4" s="103">
        <v>10</v>
      </c>
      <c r="Z4" s="103">
        <v>89</v>
      </c>
      <c r="AA4" s="103">
        <v>139</v>
      </c>
      <c r="AB4" s="103">
        <v>256</v>
      </c>
      <c r="AC4" s="103">
        <v>112</v>
      </c>
      <c r="AD4" s="103">
        <v>118</v>
      </c>
      <c r="AE4" s="103">
        <v>19</v>
      </c>
      <c r="AF4" s="103">
        <v>218</v>
      </c>
    </row>
    <row r="5" spans="1:32" s="21" customFormat="1" ht="18.75" customHeight="1" x14ac:dyDescent="0.2">
      <c r="A5" s="1027"/>
      <c r="B5" s="838">
        <f t="shared" ref="B5:J5" si="0">B4/B$10</f>
        <v>0.16922133660331085</v>
      </c>
      <c r="C5" s="838">
        <f t="shared" si="0"/>
        <v>0.12196438208310847</v>
      </c>
      <c r="D5" s="838">
        <f t="shared" si="0"/>
        <v>0.22635658914728682</v>
      </c>
      <c r="E5" s="838">
        <f t="shared" si="0"/>
        <v>0.18990384615384615</v>
      </c>
      <c r="F5" s="838">
        <f t="shared" si="0"/>
        <v>0.18597063621533441</v>
      </c>
      <c r="G5" s="838">
        <f t="shared" si="0"/>
        <v>0.10150375939849623</v>
      </c>
      <c r="H5" s="838">
        <f t="shared" si="0"/>
        <v>0.11515151515151516</v>
      </c>
      <c r="I5" s="838">
        <f t="shared" si="0"/>
        <v>0.11128126595201633</v>
      </c>
      <c r="J5" s="836">
        <f t="shared" si="0"/>
        <v>0.13997175141242937</v>
      </c>
      <c r="M5" s="463">
        <v>98</v>
      </c>
      <c r="N5" s="103">
        <v>390</v>
      </c>
      <c r="O5" s="103">
        <v>636</v>
      </c>
      <c r="P5" s="103">
        <v>178</v>
      </c>
      <c r="Q5" s="103">
        <v>1014</v>
      </c>
      <c r="R5" s="103">
        <v>368</v>
      </c>
      <c r="S5" s="103">
        <v>460</v>
      </c>
      <c r="T5" s="103">
        <v>106</v>
      </c>
      <c r="U5" s="103">
        <v>138</v>
      </c>
      <c r="V5" s="103">
        <v>121</v>
      </c>
      <c r="W5" s="103">
        <v>452</v>
      </c>
      <c r="X5" s="103">
        <v>145</v>
      </c>
      <c r="Y5" s="103">
        <v>123</v>
      </c>
      <c r="Z5" s="103">
        <v>244</v>
      </c>
      <c r="AA5" s="103">
        <v>579</v>
      </c>
      <c r="AB5" s="103">
        <v>1164</v>
      </c>
      <c r="AC5" s="103">
        <v>1856</v>
      </c>
      <c r="AD5" s="103">
        <v>974</v>
      </c>
      <c r="AE5" s="103">
        <v>122</v>
      </c>
      <c r="AF5" s="103">
        <v>1452</v>
      </c>
    </row>
    <row r="6" spans="1:32" s="21" customFormat="1" ht="18.75" customHeight="1" x14ac:dyDescent="0.2">
      <c r="A6" s="1026" t="s">
        <v>343</v>
      </c>
      <c r="B6" s="837">
        <f>SUM(N5:P5)</f>
        <v>1204</v>
      </c>
      <c r="C6" s="837">
        <f>SUM(Q5:R5)</f>
        <v>1382</v>
      </c>
      <c r="D6" s="837">
        <f>SUM(S5:V5)</f>
        <v>825</v>
      </c>
      <c r="E6" s="837">
        <f>SUM(W5:Y5)</f>
        <v>720</v>
      </c>
      <c r="F6" s="837">
        <f>SUM(Z5:AA5)</f>
        <v>823</v>
      </c>
      <c r="G6" s="837">
        <f>SUM(AB5:AD5)</f>
        <v>3994</v>
      </c>
      <c r="H6" s="837">
        <f>AE5</f>
        <v>122</v>
      </c>
      <c r="I6" s="837">
        <f>AF5</f>
        <v>1452</v>
      </c>
      <c r="J6" s="837">
        <f>SUM(B6:I6)</f>
        <v>10522</v>
      </c>
      <c r="M6" s="463">
        <v>99</v>
      </c>
      <c r="N6" s="103">
        <v>30</v>
      </c>
      <c r="O6" s="103">
        <v>90</v>
      </c>
      <c r="P6" s="103">
        <v>31</v>
      </c>
      <c r="Q6" s="103">
        <v>97</v>
      </c>
      <c r="R6" s="103">
        <v>148</v>
      </c>
      <c r="S6" s="103">
        <v>77</v>
      </c>
      <c r="T6" s="103">
        <v>34</v>
      </c>
      <c r="U6" s="103">
        <v>53</v>
      </c>
      <c r="V6" s="103">
        <v>9</v>
      </c>
      <c r="W6" s="103">
        <v>136</v>
      </c>
      <c r="X6" s="103">
        <v>107</v>
      </c>
      <c r="Y6" s="103">
        <v>48</v>
      </c>
      <c r="Z6" s="103">
        <v>96</v>
      </c>
      <c r="AA6" s="103">
        <v>79</v>
      </c>
      <c r="AB6" s="103">
        <v>163</v>
      </c>
      <c r="AC6" s="103">
        <v>102</v>
      </c>
      <c r="AD6" s="103">
        <v>43</v>
      </c>
      <c r="AE6" s="103">
        <v>24</v>
      </c>
      <c r="AF6" s="103">
        <v>289</v>
      </c>
    </row>
    <row r="7" spans="1:32" s="21" customFormat="1" ht="18.75" customHeight="1" x14ac:dyDescent="0.2">
      <c r="A7" s="1027"/>
      <c r="B7" s="838">
        <f t="shared" ref="B7:J7" si="1">B6/B$10</f>
        <v>0.7381974248927039</v>
      </c>
      <c r="C7" s="838">
        <f t="shared" si="1"/>
        <v>0.74581759309228279</v>
      </c>
      <c r="D7" s="838">
        <f t="shared" si="1"/>
        <v>0.63953488372093026</v>
      </c>
      <c r="E7" s="838">
        <f t="shared" si="1"/>
        <v>0.57692307692307687</v>
      </c>
      <c r="F7" s="838">
        <f t="shared" si="1"/>
        <v>0.67128874388254489</v>
      </c>
      <c r="G7" s="838">
        <f t="shared" si="1"/>
        <v>0.83416875522138678</v>
      </c>
      <c r="H7" s="838">
        <f t="shared" si="1"/>
        <v>0.73939393939393938</v>
      </c>
      <c r="I7" s="838">
        <f t="shared" si="1"/>
        <v>0.74119448698315471</v>
      </c>
      <c r="J7" s="838">
        <f t="shared" si="1"/>
        <v>0.74307909604519773</v>
      </c>
      <c r="M7" s="463" t="s">
        <v>384</v>
      </c>
      <c r="N7" s="57"/>
      <c r="O7" s="57"/>
      <c r="P7" s="57"/>
      <c r="Q7" s="57"/>
      <c r="R7" s="57"/>
      <c r="S7" s="57"/>
      <c r="T7" s="57"/>
      <c r="U7" s="57"/>
      <c r="V7" s="57"/>
      <c r="W7" s="57"/>
      <c r="X7" s="57"/>
      <c r="Y7" s="57"/>
      <c r="Z7" s="57"/>
      <c r="AA7" s="57"/>
      <c r="AB7" s="57"/>
      <c r="AC7" s="57"/>
      <c r="AD7" s="57"/>
      <c r="AE7" s="57"/>
      <c r="AF7" s="57"/>
    </row>
    <row r="8" spans="1:32" s="21" customFormat="1" ht="18.75" customHeight="1" x14ac:dyDescent="0.2">
      <c r="A8" s="1028" t="s">
        <v>36</v>
      </c>
      <c r="B8" s="837">
        <f>SUM(N6:P6)</f>
        <v>151</v>
      </c>
      <c r="C8" s="837">
        <f>SUM(Q6:R6)</f>
        <v>245</v>
      </c>
      <c r="D8" s="837">
        <f>SUM(S6:V6)</f>
        <v>173</v>
      </c>
      <c r="E8" s="837">
        <f>SUM(W6:Y6)</f>
        <v>291</v>
      </c>
      <c r="F8" s="837">
        <f>SUM(Z6:AA6)</f>
        <v>175</v>
      </c>
      <c r="G8" s="837">
        <f>SUM(AB6:AD6)</f>
        <v>308</v>
      </c>
      <c r="H8" s="837">
        <f>AE6</f>
        <v>24</v>
      </c>
      <c r="I8" s="837">
        <f>AF6</f>
        <v>289</v>
      </c>
      <c r="J8" s="837">
        <f>SUM(B8:I8)</f>
        <v>1656</v>
      </c>
    </row>
    <row r="9" spans="1:32" s="21" customFormat="1" ht="18.75" customHeight="1" x14ac:dyDescent="0.2">
      <c r="A9" s="1029"/>
      <c r="B9" s="838">
        <f>B8/B$10</f>
        <v>9.258123850398528E-2</v>
      </c>
      <c r="C9" s="838">
        <f t="shared" ref="C9:J9" si="2">C8/C$10</f>
        <v>0.13221802482460873</v>
      </c>
      <c r="D9" s="838">
        <f t="shared" si="2"/>
        <v>0.13410852713178295</v>
      </c>
      <c r="E9" s="838">
        <f t="shared" si="2"/>
        <v>0.23317307692307693</v>
      </c>
      <c r="F9" s="838">
        <f t="shared" si="2"/>
        <v>0.14274061990212072</v>
      </c>
      <c r="G9" s="838">
        <f t="shared" si="2"/>
        <v>6.4327485380116955E-2</v>
      </c>
      <c r="H9" s="838">
        <f t="shared" si="2"/>
        <v>0.14545454545454545</v>
      </c>
      <c r="I9" s="838">
        <f t="shared" si="2"/>
        <v>0.147524247064829</v>
      </c>
      <c r="J9" s="838">
        <f t="shared" si="2"/>
        <v>0.11694915254237288</v>
      </c>
    </row>
    <row r="10" spans="1:32" s="21" customFormat="1" ht="18.75" customHeight="1" x14ac:dyDescent="0.2">
      <c r="A10" s="1008" t="s">
        <v>161</v>
      </c>
      <c r="B10" s="405">
        <f>SUM(B4,B6,B8)</f>
        <v>1631</v>
      </c>
      <c r="C10" s="405">
        <f t="shared" ref="C10:J11" si="3">SUM(C4,C6,C8)</f>
        <v>1853</v>
      </c>
      <c r="D10" s="405">
        <f t="shared" si="3"/>
        <v>1290</v>
      </c>
      <c r="E10" s="405">
        <f t="shared" si="3"/>
        <v>1248</v>
      </c>
      <c r="F10" s="405">
        <f t="shared" si="3"/>
        <v>1226</v>
      </c>
      <c r="G10" s="405">
        <f t="shared" si="3"/>
        <v>4788</v>
      </c>
      <c r="H10" s="405">
        <f t="shared" si="3"/>
        <v>165</v>
      </c>
      <c r="I10" s="405">
        <f t="shared" si="3"/>
        <v>1959</v>
      </c>
      <c r="J10" s="405">
        <f>SUM(J4,J6,J8)</f>
        <v>14160</v>
      </c>
    </row>
    <row r="11" spans="1:32" s="21" customFormat="1" ht="18.75" customHeight="1" x14ac:dyDescent="0.2">
      <c r="A11" s="1006"/>
      <c r="B11" s="407">
        <f>SUM(B5,B7,B9)</f>
        <v>1</v>
      </c>
      <c r="C11" s="407">
        <f t="shared" si="3"/>
        <v>1</v>
      </c>
      <c r="D11" s="407">
        <f t="shared" si="3"/>
        <v>1</v>
      </c>
      <c r="E11" s="407">
        <f t="shared" si="3"/>
        <v>1</v>
      </c>
      <c r="F11" s="407">
        <f t="shared" si="3"/>
        <v>1</v>
      </c>
      <c r="G11" s="407">
        <f t="shared" si="3"/>
        <v>1</v>
      </c>
      <c r="H11" s="407">
        <f t="shared" si="3"/>
        <v>1</v>
      </c>
      <c r="I11" s="407">
        <f t="shared" si="3"/>
        <v>1</v>
      </c>
      <c r="J11" s="407">
        <f t="shared" si="3"/>
        <v>1</v>
      </c>
    </row>
    <row r="12" spans="1:32" ht="18.75" customHeight="1" thickBot="1" x14ac:dyDescent="0.25">
      <c r="A12" s="4"/>
    </row>
    <row r="13" spans="1:32" ht="18.75" customHeight="1" thickTop="1" thickBot="1" x14ac:dyDescent="0.25">
      <c r="A13" s="403" t="s">
        <v>346</v>
      </c>
      <c r="B13" s="834" t="s">
        <v>386</v>
      </c>
      <c r="C13" s="834" t="s">
        <v>387</v>
      </c>
      <c r="D13" s="834" t="s">
        <v>388</v>
      </c>
      <c r="E13" s="834" t="s">
        <v>389</v>
      </c>
      <c r="F13" s="834" t="s">
        <v>390</v>
      </c>
      <c r="G13" s="834" t="s">
        <v>391</v>
      </c>
      <c r="H13" s="834" t="s">
        <v>392</v>
      </c>
      <c r="I13" s="834" t="s">
        <v>393</v>
      </c>
      <c r="J13" s="834" t="s">
        <v>62</v>
      </c>
      <c r="M13" s="558" t="s">
        <v>372</v>
      </c>
      <c r="N13" s="462" t="s">
        <v>394</v>
      </c>
      <c r="O13" s="462" t="s">
        <v>395</v>
      </c>
      <c r="P13" s="462" t="s">
        <v>396</v>
      </c>
      <c r="Q13" s="462" t="s">
        <v>397</v>
      </c>
      <c r="R13" s="462" t="s">
        <v>398</v>
      </c>
      <c r="S13" s="462" t="s">
        <v>399</v>
      </c>
      <c r="T13" s="462" t="s">
        <v>400</v>
      </c>
      <c r="U13" s="462" t="s">
        <v>401</v>
      </c>
      <c r="V13" s="462" t="s">
        <v>402</v>
      </c>
      <c r="W13" s="462" t="s">
        <v>403</v>
      </c>
      <c r="X13" s="462" t="s">
        <v>564</v>
      </c>
      <c r="Y13" s="462" t="s">
        <v>565</v>
      </c>
      <c r="Z13" s="462" t="s">
        <v>566</v>
      </c>
      <c r="AA13" s="462" t="s">
        <v>567</v>
      </c>
      <c r="AB13" s="462" t="s">
        <v>568</v>
      </c>
      <c r="AC13" s="462" t="s">
        <v>569</v>
      </c>
      <c r="AD13" s="462" t="s">
        <v>570</v>
      </c>
      <c r="AE13" s="462" t="s">
        <v>571</v>
      </c>
      <c r="AF13" s="462" t="s">
        <v>572</v>
      </c>
    </row>
    <row r="14" spans="1:32" s="21" customFormat="1" ht="18.75" customHeight="1" thickTop="1" x14ac:dyDescent="0.2">
      <c r="A14" s="1024" t="s">
        <v>34</v>
      </c>
      <c r="B14" s="837">
        <f>SUM(N14:P14)</f>
        <v>238</v>
      </c>
      <c r="C14" s="837">
        <f>SUM(Q14:R14)</f>
        <v>202</v>
      </c>
      <c r="D14" s="837">
        <f>SUM(S14:V14)</f>
        <v>270</v>
      </c>
      <c r="E14" s="837">
        <f>SUM(W14:Y14)</f>
        <v>211</v>
      </c>
      <c r="F14" s="837">
        <f>SUM(Z14:AA14)</f>
        <v>207</v>
      </c>
      <c r="G14" s="837">
        <f>SUM(AB14:AD14)</f>
        <v>439</v>
      </c>
      <c r="H14" s="837">
        <f>AE14</f>
        <v>4</v>
      </c>
      <c r="I14" s="837">
        <f>AF14</f>
        <v>180</v>
      </c>
      <c r="J14" s="837">
        <f>SUM(B14:I14)</f>
        <v>1751</v>
      </c>
      <c r="M14" s="463">
        <v>91</v>
      </c>
      <c r="N14" s="103">
        <v>85</v>
      </c>
      <c r="O14" s="103">
        <v>98</v>
      </c>
      <c r="P14" s="103">
        <v>55</v>
      </c>
      <c r="Q14" s="103">
        <v>89</v>
      </c>
      <c r="R14" s="103">
        <v>113</v>
      </c>
      <c r="S14" s="103">
        <v>149</v>
      </c>
      <c r="T14" s="103">
        <v>72</v>
      </c>
      <c r="U14" s="103">
        <v>17</v>
      </c>
      <c r="V14" s="103">
        <v>32</v>
      </c>
      <c r="W14" s="103">
        <v>123</v>
      </c>
      <c r="X14" s="103">
        <v>78</v>
      </c>
      <c r="Y14" s="103">
        <v>10</v>
      </c>
      <c r="Z14" s="103">
        <v>88</v>
      </c>
      <c r="AA14" s="103">
        <v>119</v>
      </c>
      <c r="AB14" s="103">
        <v>244</v>
      </c>
      <c r="AC14" s="103">
        <v>97</v>
      </c>
      <c r="AD14" s="103">
        <v>98</v>
      </c>
      <c r="AE14" s="103">
        <v>4</v>
      </c>
      <c r="AF14" s="103">
        <v>180</v>
      </c>
    </row>
    <row r="15" spans="1:32" s="21" customFormat="1" ht="18.75" customHeight="1" x14ac:dyDescent="0.2">
      <c r="A15" s="1025"/>
      <c r="B15" s="838">
        <f>B14/B$18</f>
        <v>0.8623188405797102</v>
      </c>
      <c r="C15" s="838">
        <f t="shared" ref="C15:J15" si="4">C14/C$18</f>
        <v>0.89380530973451322</v>
      </c>
      <c r="D15" s="838">
        <f t="shared" si="4"/>
        <v>0.92465753424657537</v>
      </c>
      <c r="E15" s="838">
        <f t="shared" si="4"/>
        <v>0.89029535864978904</v>
      </c>
      <c r="F15" s="838">
        <f t="shared" si="4"/>
        <v>0.90789473684210531</v>
      </c>
      <c r="G15" s="838">
        <f t="shared" si="4"/>
        <v>0.9032921810699589</v>
      </c>
      <c r="H15" s="838">
        <f t="shared" si="4"/>
        <v>0.21052631578947367</v>
      </c>
      <c r="I15" s="838">
        <f t="shared" si="4"/>
        <v>0.82568807339449546</v>
      </c>
      <c r="J15" s="838">
        <f t="shared" si="4"/>
        <v>0.88345105953582237</v>
      </c>
      <c r="M15" s="463">
        <v>90</v>
      </c>
      <c r="N15" s="103">
        <v>3</v>
      </c>
      <c r="O15" s="103">
        <v>27</v>
      </c>
      <c r="P15" s="103">
        <v>8</v>
      </c>
      <c r="Q15" s="103">
        <v>7</v>
      </c>
      <c r="R15" s="103">
        <v>17</v>
      </c>
      <c r="S15" s="103">
        <v>10</v>
      </c>
      <c r="T15" s="103">
        <v>8</v>
      </c>
      <c r="U15" s="103">
        <v>1</v>
      </c>
      <c r="V15" s="103">
        <v>3</v>
      </c>
      <c r="W15" s="103">
        <v>23</v>
      </c>
      <c r="X15" s="103">
        <v>3</v>
      </c>
      <c r="Y15" s="103"/>
      <c r="Z15" s="103">
        <v>1</v>
      </c>
      <c r="AA15" s="103">
        <v>20</v>
      </c>
      <c r="AB15" s="103">
        <v>12</v>
      </c>
      <c r="AC15" s="103">
        <v>15</v>
      </c>
      <c r="AD15" s="103">
        <v>20</v>
      </c>
      <c r="AE15" s="103">
        <v>15</v>
      </c>
      <c r="AF15" s="103">
        <v>38</v>
      </c>
    </row>
    <row r="16" spans="1:32" s="21" customFormat="1" ht="18.75" customHeight="1" x14ac:dyDescent="0.2">
      <c r="A16" s="1024" t="s">
        <v>450</v>
      </c>
      <c r="B16" s="837">
        <f>SUM(N15:P15)</f>
        <v>38</v>
      </c>
      <c r="C16" s="837">
        <f>SUM(Q15:R15)</f>
        <v>24</v>
      </c>
      <c r="D16" s="837">
        <f>SUM(S15:V15)</f>
        <v>22</v>
      </c>
      <c r="E16" s="837">
        <f>SUM(W15:Y15)</f>
        <v>26</v>
      </c>
      <c r="F16" s="837">
        <f>SUM(Z15:AA15)</f>
        <v>21</v>
      </c>
      <c r="G16" s="837">
        <f>SUM(AB15:AD15)</f>
        <v>47</v>
      </c>
      <c r="H16" s="837">
        <f>AE15</f>
        <v>15</v>
      </c>
      <c r="I16" s="837">
        <f>AF15</f>
        <v>38</v>
      </c>
      <c r="J16" s="837">
        <f>SUM(B16:I16)</f>
        <v>231</v>
      </c>
      <c r="M16" s="463" t="s">
        <v>384</v>
      </c>
      <c r="N16" s="103">
        <v>420</v>
      </c>
      <c r="O16" s="103">
        <v>726</v>
      </c>
      <c r="P16" s="103">
        <v>209</v>
      </c>
      <c r="Q16" s="103">
        <v>1111</v>
      </c>
      <c r="R16" s="103">
        <v>516</v>
      </c>
      <c r="S16" s="103">
        <v>537</v>
      </c>
      <c r="T16" s="103">
        <v>140</v>
      </c>
      <c r="U16" s="103">
        <v>191</v>
      </c>
      <c r="V16" s="103">
        <v>130</v>
      </c>
      <c r="W16" s="103">
        <v>588</v>
      </c>
      <c r="X16" s="103">
        <v>252</v>
      </c>
      <c r="Y16" s="103">
        <v>171</v>
      </c>
      <c r="Z16" s="103">
        <v>340</v>
      </c>
      <c r="AA16" s="103">
        <v>658</v>
      </c>
      <c r="AB16" s="103">
        <v>1327</v>
      </c>
      <c r="AC16" s="103">
        <v>1958</v>
      </c>
      <c r="AD16" s="103">
        <v>1017</v>
      </c>
      <c r="AE16" s="103">
        <v>146</v>
      </c>
      <c r="AF16" s="103">
        <v>1741</v>
      </c>
    </row>
    <row r="17" spans="1:33" s="21" customFormat="1" ht="18.75" customHeight="1" x14ac:dyDescent="0.2">
      <c r="A17" s="1025"/>
      <c r="B17" s="838">
        <f>B16/B$18</f>
        <v>0.13768115942028986</v>
      </c>
      <c r="C17" s="838">
        <f t="shared" ref="C17:J17" si="5">C16/C$18</f>
        <v>0.10619469026548672</v>
      </c>
      <c r="D17" s="838">
        <f t="shared" si="5"/>
        <v>7.5342465753424653E-2</v>
      </c>
      <c r="E17" s="838">
        <f t="shared" si="5"/>
        <v>0.10970464135021098</v>
      </c>
      <c r="F17" s="838">
        <f t="shared" si="5"/>
        <v>9.2105263157894732E-2</v>
      </c>
      <c r="G17" s="838">
        <f t="shared" si="5"/>
        <v>9.6707818930041156E-2</v>
      </c>
      <c r="H17" s="838">
        <f t="shared" si="5"/>
        <v>0.78947368421052633</v>
      </c>
      <c r="I17" s="838">
        <f t="shared" si="5"/>
        <v>0.1743119266055046</v>
      </c>
      <c r="J17" s="838">
        <f t="shared" si="5"/>
        <v>0.1165489404641776</v>
      </c>
      <c r="M17" s="276"/>
    </row>
    <row r="18" spans="1:33" s="21" customFormat="1" ht="18.75" customHeight="1" x14ac:dyDescent="0.2">
      <c r="A18" s="1008" t="s">
        <v>161</v>
      </c>
      <c r="B18" s="405">
        <f>SUM(B14,B16)</f>
        <v>276</v>
      </c>
      <c r="C18" s="405">
        <f t="shared" ref="C18:J19" si="6">SUM(C14,C16)</f>
        <v>226</v>
      </c>
      <c r="D18" s="405">
        <f t="shared" si="6"/>
        <v>292</v>
      </c>
      <c r="E18" s="405">
        <f t="shared" si="6"/>
        <v>237</v>
      </c>
      <c r="F18" s="405">
        <f t="shared" si="6"/>
        <v>228</v>
      </c>
      <c r="G18" s="405">
        <f t="shared" si="6"/>
        <v>486</v>
      </c>
      <c r="H18" s="405">
        <f t="shared" si="6"/>
        <v>19</v>
      </c>
      <c r="I18" s="405">
        <f t="shared" si="6"/>
        <v>218</v>
      </c>
      <c r="J18" s="405">
        <f t="shared" si="6"/>
        <v>1982</v>
      </c>
    </row>
    <row r="19" spans="1:33" s="21" customFormat="1" ht="18.75" customHeight="1" x14ac:dyDescent="0.2">
      <c r="A19" s="1006"/>
      <c r="B19" s="407">
        <f>SUM(B15,B17)</f>
        <v>1</v>
      </c>
      <c r="C19" s="407">
        <f t="shared" si="6"/>
        <v>1</v>
      </c>
      <c r="D19" s="407">
        <f t="shared" si="6"/>
        <v>1</v>
      </c>
      <c r="E19" s="407">
        <f t="shared" si="6"/>
        <v>1</v>
      </c>
      <c r="F19" s="407">
        <f t="shared" si="6"/>
        <v>1</v>
      </c>
      <c r="G19" s="407">
        <f t="shared" si="6"/>
        <v>1</v>
      </c>
      <c r="H19" s="407">
        <f t="shared" si="6"/>
        <v>1</v>
      </c>
      <c r="I19" s="407">
        <f t="shared" si="6"/>
        <v>1</v>
      </c>
      <c r="J19" s="407">
        <f t="shared" si="6"/>
        <v>1</v>
      </c>
    </row>
    <row r="20" spans="1:33" s="57" customFormat="1" ht="18.75" customHeight="1" x14ac:dyDescent="0.2">
      <c r="A20" s="56"/>
      <c r="B20" s="421"/>
      <c r="C20" s="421"/>
      <c r="D20" s="421"/>
      <c r="E20" s="421"/>
      <c r="F20" s="421"/>
      <c r="G20" s="421"/>
      <c r="H20" s="421"/>
      <c r="I20" s="421"/>
      <c r="J20" s="421"/>
    </row>
    <row r="21" spans="1:33" s="3" customFormat="1" ht="18.75" customHeight="1" x14ac:dyDescent="0.2">
      <c r="A21" s="2" t="s">
        <v>451</v>
      </c>
    </row>
    <row r="22" spans="1:33" ht="18.75" customHeight="1" thickBot="1" x14ac:dyDescent="0.25">
      <c r="A22" s="4"/>
    </row>
    <row r="23" spans="1:33" ht="18.75" customHeight="1" thickTop="1" thickBot="1" x14ac:dyDescent="0.25">
      <c r="A23" s="403"/>
      <c r="B23" s="834" t="s">
        <v>386</v>
      </c>
      <c r="C23" s="834" t="s">
        <v>387</v>
      </c>
      <c r="D23" s="834" t="s">
        <v>388</v>
      </c>
      <c r="E23" s="834" t="s">
        <v>389</v>
      </c>
      <c r="F23" s="834" t="s">
        <v>390</v>
      </c>
      <c r="G23" s="834" t="s">
        <v>391</v>
      </c>
      <c r="H23" s="834" t="s">
        <v>392</v>
      </c>
      <c r="I23" s="834" t="s">
        <v>393</v>
      </c>
      <c r="J23" s="834" t="s">
        <v>62</v>
      </c>
      <c r="M23" s="558" t="s">
        <v>651</v>
      </c>
      <c r="N23" s="467" t="s">
        <v>394</v>
      </c>
      <c r="O23" s="467" t="s">
        <v>395</v>
      </c>
      <c r="P23" s="467" t="s">
        <v>396</v>
      </c>
      <c r="Q23" s="467" t="s">
        <v>397</v>
      </c>
      <c r="R23" s="467" t="s">
        <v>398</v>
      </c>
      <c r="S23" s="467" t="s">
        <v>399</v>
      </c>
      <c r="T23" s="467" t="s">
        <v>400</v>
      </c>
      <c r="U23" s="467" t="s">
        <v>401</v>
      </c>
      <c r="V23" s="467" t="s">
        <v>402</v>
      </c>
      <c r="W23" s="467" t="s">
        <v>403</v>
      </c>
      <c r="X23" s="467" t="s">
        <v>564</v>
      </c>
      <c r="Y23" s="467" t="s">
        <v>565</v>
      </c>
      <c r="Z23" s="467" t="s">
        <v>566</v>
      </c>
      <c r="AA23" s="467" t="s">
        <v>567</v>
      </c>
      <c r="AB23" s="467" t="s">
        <v>568</v>
      </c>
      <c r="AC23" s="467" t="s">
        <v>569</v>
      </c>
      <c r="AD23" s="467" t="s">
        <v>570</v>
      </c>
      <c r="AE23" s="467" t="s">
        <v>571</v>
      </c>
      <c r="AF23" s="467" t="s">
        <v>572</v>
      </c>
      <c r="AG23" s="467" t="s">
        <v>606</v>
      </c>
    </row>
    <row r="24" spans="1:33" ht="18.75" customHeight="1" thickTop="1" x14ac:dyDescent="0.2">
      <c r="A24" s="1022" t="s">
        <v>235</v>
      </c>
      <c r="B24" s="835">
        <f>SUM(N24:P24)</f>
        <v>68</v>
      </c>
      <c r="C24" s="835">
        <f>SUM(Q24:R24)</f>
        <v>46</v>
      </c>
      <c r="D24" s="835">
        <f>SUM(S24:V24)</f>
        <v>89</v>
      </c>
      <c r="E24" s="835">
        <f>SUM(W24:Y24)</f>
        <v>75</v>
      </c>
      <c r="F24" s="835">
        <f>SUM(Z24:AA24)</f>
        <v>95</v>
      </c>
      <c r="G24" s="835">
        <f>SUM(AB24:AD24)</f>
        <v>184</v>
      </c>
      <c r="H24" s="835">
        <f>AE24</f>
        <v>0</v>
      </c>
      <c r="I24" s="835">
        <f>AF24</f>
        <v>51</v>
      </c>
      <c r="J24" s="837">
        <f>SUM(B24:I24)</f>
        <v>608</v>
      </c>
      <c r="M24" s="468" t="s">
        <v>309</v>
      </c>
      <c r="N24" s="469">
        <v>37</v>
      </c>
      <c r="O24" s="469">
        <v>15</v>
      </c>
      <c r="P24" s="469">
        <v>16</v>
      </c>
      <c r="Q24" s="469">
        <v>10</v>
      </c>
      <c r="R24" s="469">
        <v>36</v>
      </c>
      <c r="S24" s="469">
        <v>60</v>
      </c>
      <c r="T24" s="469">
        <v>20</v>
      </c>
      <c r="U24" s="469">
        <v>2</v>
      </c>
      <c r="V24" s="469">
        <v>7</v>
      </c>
      <c r="W24" s="469">
        <v>48</v>
      </c>
      <c r="X24" s="469">
        <v>24</v>
      </c>
      <c r="Y24" s="469">
        <v>3</v>
      </c>
      <c r="Z24" s="469">
        <v>34</v>
      </c>
      <c r="AA24" s="469">
        <v>61</v>
      </c>
      <c r="AB24" s="469">
        <v>95</v>
      </c>
      <c r="AC24" s="469">
        <v>46</v>
      </c>
      <c r="AD24" s="469">
        <v>43</v>
      </c>
      <c r="AE24" s="469">
        <v>0</v>
      </c>
      <c r="AF24" s="469">
        <v>51</v>
      </c>
      <c r="AG24" s="469"/>
    </row>
    <row r="25" spans="1:33" ht="18.75" customHeight="1" x14ac:dyDescent="0.2">
      <c r="A25" s="1023"/>
      <c r="B25" s="838">
        <f>B24/B$14</f>
        <v>0.2857142857142857</v>
      </c>
      <c r="C25" s="838">
        <f t="shared" ref="C25:I25" si="7">C24/C$14</f>
        <v>0.22772277227722773</v>
      </c>
      <c r="D25" s="838">
        <f t="shared" si="7"/>
        <v>0.32962962962962961</v>
      </c>
      <c r="E25" s="838">
        <f t="shared" si="7"/>
        <v>0.35545023696682465</v>
      </c>
      <c r="F25" s="838">
        <f t="shared" si="7"/>
        <v>0.45893719806763283</v>
      </c>
      <c r="G25" s="838">
        <f t="shared" si="7"/>
        <v>0.4191343963553531</v>
      </c>
      <c r="H25" s="838">
        <f t="shared" si="7"/>
        <v>0</v>
      </c>
      <c r="I25" s="838">
        <f t="shared" si="7"/>
        <v>0.28333333333333333</v>
      </c>
      <c r="J25" s="838">
        <f>J24/J$14</f>
        <v>0.34723015419760139</v>
      </c>
      <c r="M25" s="468" t="s">
        <v>310</v>
      </c>
      <c r="N25" s="469">
        <v>33</v>
      </c>
      <c r="O25" s="469">
        <v>10</v>
      </c>
      <c r="P25" s="469">
        <v>3</v>
      </c>
      <c r="Q25" s="469">
        <v>2</v>
      </c>
      <c r="R25" s="469">
        <v>62</v>
      </c>
      <c r="S25" s="469">
        <v>45</v>
      </c>
      <c r="T25" s="469">
        <v>5</v>
      </c>
      <c r="U25" s="469">
        <v>3</v>
      </c>
      <c r="V25" s="469">
        <v>7</v>
      </c>
      <c r="W25" s="469">
        <v>26</v>
      </c>
      <c r="X25" s="469">
        <v>7</v>
      </c>
      <c r="Y25" s="469">
        <v>8</v>
      </c>
      <c r="Z25" s="469">
        <v>33</v>
      </c>
      <c r="AA25" s="469">
        <v>41</v>
      </c>
      <c r="AB25" s="469">
        <v>65</v>
      </c>
      <c r="AC25" s="469">
        <v>32</v>
      </c>
      <c r="AD25" s="469">
        <v>25</v>
      </c>
      <c r="AE25" s="469">
        <v>0</v>
      </c>
      <c r="AF25" s="469">
        <v>47</v>
      </c>
      <c r="AG25" s="469"/>
    </row>
    <row r="26" spans="1:33" ht="18.75" customHeight="1" x14ac:dyDescent="0.2">
      <c r="A26" s="1020" t="s">
        <v>66</v>
      </c>
      <c r="B26" s="835">
        <f>SUM(N25:P25)</f>
        <v>46</v>
      </c>
      <c r="C26" s="835">
        <f>SUM(Q25:R25)</f>
        <v>64</v>
      </c>
      <c r="D26" s="835">
        <f>SUM(S25:V25)</f>
        <v>60</v>
      </c>
      <c r="E26" s="835">
        <f>SUM(W25:Y25)</f>
        <v>41</v>
      </c>
      <c r="F26" s="835">
        <f>SUM(Z25:AA25)</f>
        <v>74</v>
      </c>
      <c r="G26" s="835">
        <f>SUM(AB25:AD25)</f>
        <v>122</v>
      </c>
      <c r="H26" s="835">
        <f>AE25</f>
        <v>0</v>
      </c>
      <c r="I26" s="835">
        <f>AF25</f>
        <v>47</v>
      </c>
      <c r="J26" s="837">
        <f t="shared" ref="J26" si="8">SUM(B26:I26)</f>
        <v>454</v>
      </c>
      <c r="M26" s="468" t="s">
        <v>166</v>
      </c>
      <c r="N26" s="469">
        <v>2</v>
      </c>
      <c r="O26" s="469">
        <v>2</v>
      </c>
      <c r="P26" s="469">
        <v>0</v>
      </c>
      <c r="Q26" s="469">
        <v>0</v>
      </c>
      <c r="R26" s="469">
        <v>6</v>
      </c>
      <c r="S26" s="469">
        <v>2</v>
      </c>
      <c r="T26" s="469">
        <v>2</v>
      </c>
      <c r="U26" s="469">
        <v>1</v>
      </c>
      <c r="V26" s="469">
        <v>4</v>
      </c>
      <c r="W26" s="469">
        <v>5</v>
      </c>
      <c r="X26" s="469">
        <v>0</v>
      </c>
      <c r="Y26" s="469">
        <v>3</v>
      </c>
      <c r="Z26" s="469">
        <v>3</v>
      </c>
      <c r="AA26" s="469">
        <v>3</v>
      </c>
      <c r="AB26" s="469">
        <v>12</v>
      </c>
      <c r="AC26" s="469">
        <v>2</v>
      </c>
      <c r="AD26" s="469">
        <v>3</v>
      </c>
      <c r="AE26" s="469">
        <v>0</v>
      </c>
      <c r="AF26" s="469">
        <v>11</v>
      </c>
      <c r="AG26" s="469"/>
    </row>
    <row r="27" spans="1:33" ht="18.75" customHeight="1" x14ac:dyDescent="0.2">
      <c r="A27" s="1021"/>
      <c r="B27" s="838">
        <f>B26/B$14</f>
        <v>0.19327731092436976</v>
      </c>
      <c r="C27" s="838">
        <f t="shared" ref="C27:J27" si="9">C26/C$14</f>
        <v>0.31683168316831684</v>
      </c>
      <c r="D27" s="838">
        <f t="shared" si="9"/>
        <v>0.22222222222222221</v>
      </c>
      <c r="E27" s="838">
        <f t="shared" si="9"/>
        <v>0.19431279620853081</v>
      </c>
      <c r="F27" s="838">
        <f t="shared" si="9"/>
        <v>0.35748792270531399</v>
      </c>
      <c r="G27" s="838">
        <f t="shared" si="9"/>
        <v>0.27790432801822323</v>
      </c>
      <c r="H27" s="838">
        <f t="shared" si="9"/>
        <v>0</v>
      </c>
      <c r="I27" s="838">
        <f t="shared" si="9"/>
        <v>0.26111111111111113</v>
      </c>
      <c r="J27" s="838">
        <f t="shared" si="9"/>
        <v>0.25928041119360368</v>
      </c>
      <c r="M27" s="468" t="s">
        <v>167</v>
      </c>
      <c r="N27" s="469">
        <v>29</v>
      </c>
      <c r="O27" s="469">
        <v>24</v>
      </c>
      <c r="P27" s="469">
        <v>36</v>
      </c>
      <c r="Q27" s="469">
        <v>5</v>
      </c>
      <c r="R27" s="469">
        <v>78</v>
      </c>
      <c r="S27" s="469">
        <v>68</v>
      </c>
      <c r="T27" s="469">
        <v>20</v>
      </c>
      <c r="U27" s="469">
        <v>9</v>
      </c>
      <c r="V27" s="469">
        <v>4</v>
      </c>
      <c r="W27" s="469">
        <v>52</v>
      </c>
      <c r="X27" s="469">
        <v>31</v>
      </c>
      <c r="Y27" s="469">
        <v>4</v>
      </c>
      <c r="Z27" s="469">
        <v>54</v>
      </c>
      <c r="AA27" s="469">
        <v>50</v>
      </c>
      <c r="AB27" s="469">
        <v>88</v>
      </c>
      <c r="AC27" s="469">
        <v>36</v>
      </c>
      <c r="AD27" s="469">
        <v>37</v>
      </c>
      <c r="AE27" s="469">
        <v>1</v>
      </c>
      <c r="AF27" s="469">
        <v>87</v>
      </c>
      <c r="AG27" s="469"/>
    </row>
    <row r="28" spans="1:33" ht="18.75" customHeight="1" x14ac:dyDescent="0.2">
      <c r="A28" s="1020" t="s">
        <v>452</v>
      </c>
      <c r="B28" s="835">
        <f>SUM(N26:P26)</f>
        <v>4</v>
      </c>
      <c r="C28" s="835">
        <f>SUM(Q26:R26)</f>
        <v>6</v>
      </c>
      <c r="D28" s="835">
        <f>SUM(S26:V26)</f>
        <v>9</v>
      </c>
      <c r="E28" s="835">
        <f>SUM(W26:Y26)</f>
        <v>8</v>
      </c>
      <c r="F28" s="835">
        <f>SUM(Z26:AA26)</f>
        <v>6</v>
      </c>
      <c r="G28" s="835">
        <f>SUM(AB26:AD26)</f>
        <v>17</v>
      </c>
      <c r="H28" s="835">
        <f>AE26</f>
        <v>0</v>
      </c>
      <c r="I28" s="835">
        <f>AF26</f>
        <v>11</v>
      </c>
      <c r="J28" s="837">
        <f t="shared" ref="J28" si="10">SUM(B28:I28)</f>
        <v>61</v>
      </c>
      <c r="M28" s="468" t="s">
        <v>168</v>
      </c>
      <c r="N28" s="469">
        <v>44</v>
      </c>
      <c r="O28" s="469">
        <v>15</v>
      </c>
      <c r="P28" s="469">
        <v>23</v>
      </c>
      <c r="Q28" s="469">
        <v>4</v>
      </c>
      <c r="R28" s="469">
        <v>88</v>
      </c>
      <c r="S28" s="469">
        <v>92</v>
      </c>
      <c r="T28" s="469">
        <v>27</v>
      </c>
      <c r="U28" s="469">
        <v>12</v>
      </c>
      <c r="V28" s="469">
        <v>16</v>
      </c>
      <c r="W28" s="469">
        <v>53</v>
      </c>
      <c r="X28" s="469">
        <v>24</v>
      </c>
      <c r="Y28" s="469">
        <v>5</v>
      </c>
      <c r="Z28" s="469">
        <v>70</v>
      </c>
      <c r="AA28" s="469">
        <v>52</v>
      </c>
      <c r="AB28" s="469">
        <v>123</v>
      </c>
      <c r="AC28" s="469">
        <v>37</v>
      </c>
      <c r="AD28" s="469">
        <v>43</v>
      </c>
      <c r="AE28" s="469">
        <v>0</v>
      </c>
      <c r="AF28" s="469">
        <v>87</v>
      </c>
      <c r="AG28" s="469"/>
    </row>
    <row r="29" spans="1:33" ht="18.75" customHeight="1" x14ac:dyDescent="0.2">
      <c r="A29" s="1021"/>
      <c r="B29" s="838">
        <f>B28/B$14</f>
        <v>1.680672268907563E-2</v>
      </c>
      <c r="C29" s="838">
        <f t="shared" ref="C29:J29" si="11">C28/C$14</f>
        <v>2.9702970297029702E-2</v>
      </c>
      <c r="D29" s="838">
        <f t="shared" si="11"/>
        <v>3.3333333333333333E-2</v>
      </c>
      <c r="E29" s="838">
        <f>E28/E$14</f>
        <v>3.7914691943127965E-2</v>
      </c>
      <c r="F29" s="838">
        <f t="shared" si="11"/>
        <v>2.8985507246376812E-2</v>
      </c>
      <c r="G29" s="838">
        <f t="shared" si="11"/>
        <v>3.8724373576309798E-2</v>
      </c>
      <c r="H29" s="838">
        <f t="shared" si="11"/>
        <v>0</v>
      </c>
      <c r="I29" s="838">
        <f t="shared" si="11"/>
        <v>6.1111111111111109E-2</v>
      </c>
      <c r="J29" s="838">
        <f t="shared" si="11"/>
        <v>3.4837235865219876E-2</v>
      </c>
      <c r="M29" s="468" t="s">
        <v>169</v>
      </c>
      <c r="N29" s="469">
        <v>33</v>
      </c>
      <c r="O29" s="469">
        <v>11</v>
      </c>
      <c r="P29" s="469">
        <v>9</v>
      </c>
      <c r="Q29" s="469">
        <v>1</v>
      </c>
      <c r="R29" s="469">
        <v>58</v>
      </c>
      <c r="S29" s="469">
        <v>45</v>
      </c>
      <c r="T29" s="469">
        <v>14</v>
      </c>
      <c r="U29" s="469">
        <v>4</v>
      </c>
      <c r="V29" s="469">
        <v>3</v>
      </c>
      <c r="W29" s="469">
        <v>49</v>
      </c>
      <c r="X29" s="469">
        <v>26</v>
      </c>
      <c r="Y29" s="469">
        <v>1</v>
      </c>
      <c r="Z29" s="469">
        <v>42</v>
      </c>
      <c r="AA29" s="469">
        <v>34</v>
      </c>
      <c r="AB29" s="469">
        <v>84</v>
      </c>
      <c r="AC29" s="469">
        <v>25</v>
      </c>
      <c r="AD29" s="469">
        <v>23</v>
      </c>
      <c r="AE29" s="469">
        <v>0</v>
      </c>
      <c r="AF29" s="469">
        <v>60</v>
      </c>
      <c r="AG29" s="469"/>
    </row>
    <row r="30" spans="1:33" ht="18.75" customHeight="1" x14ac:dyDescent="0.2">
      <c r="A30" s="1020" t="s">
        <v>453</v>
      </c>
      <c r="B30" s="835">
        <f>SUM(N27:P27)</f>
        <v>89</v>
      </c>
      <c r="C30" s="835">
        <f>SUM(Q27:R27)</f>
        <v>83</v>
      </c>
      <c r="D30" s="835">
        <f>SUM(S27:V27)</f>
        <v>101</v>
      </c>
      <c r="E30" s="835">
        <f>SUM(W27:Y27)</f>
        <v>87</v>
      </c>
      <c r="F30" s="835">
        <f>SUM(Z27:AA27)</f>
        <v>104</v>
      </c>
      <c r="G30" s="835">
        <f>SUM(AB27:AD27)</f>
        <v>161</v>
      </c>
      <c r="H30" s="835">
        <f>AE27</f>
        <v>1</v>
      </c>
      <c r="I30" s="835">
        <f>AF27</f>
        <v>87</v>
      </c>
      <c r="J30" s="837">
        <f t="shared" ref="J30" si="12">SUM(B30:I30)</f>
        <v>713</v>
      </c>
      <c r="M30" s="468" t="s">
        <v>170</v>
      </c>
      <c r="N30" s="469">
        <v>5</v>
      </c>
      <c r="O30" s="469">
        <v>3</v>
      </c>
      <c r="P30" s="469">
        <v>2</v>
      </c>
      <c r="Q30" s="469">
        <v>4</v>
      </c>
      <c r="R30" s="469">
        <v>8</v>
      </c>
      <c r="S30" s="469">
        <v>34</v>
      </c>
      <c r="T30" s="469">
        <v>5</v>
      </c>
      <c r="U30" s="469">
        <v>0</v>
      </c>
      <c r="V30" s="469">
        <v>1</v>
      </c>
      <c r="W30" s="469">
        <v>14</v>
      </c>
      <c r="X30" s="469">
        <v>2</v>
      </c>
      <c r="Y30" s="469">
        <v>1</v>
      </c>
      <c r="Z30" s="469">
        <v>9</v>
      </c>
      <c r="AA30" s="469">
        <v>7</v>
      </c>
      <c r="AB30" s="469">
        <v>17</v>
      </c>
      <c r="AC30" s="469">
        <v>4</v>
      </c>
      <c r="AD30" s="469">
        <v>7</v>
      </c>
      <c r="AE30" s="469">
        <v>0</v>
      </c>
      <c r="AF30" s="469">
        <v>12</v>
      </c>
      <c r="AG30" s="469"/>
    </row>
    <row r="31" spans="1:33" ht="18.75" customHeight="1" x14ac:dyDescent="0.2">
      <c r="A31" s="1021"/>
      <c r="B31" s="838">
        <f>B30/B$14</f>
        <v>0.37394957983193278</v>
      </c>
      <c r="C31" s="838">
        <f t="shared" ref="C31:I31" si="13">C30/C$14</f>
        <v>0.41089108910891087</v>
      </c>
      <c r="D31" s="838">
        <f t="shared" si="13"/>
        <v>0.37407407407407406</v>
      </c>
      <c r="E31" s="838">
        <f>E30/E$14</f>
        <v>0.41232227488151657</v>
      </c>
      <c r="F31" s="838">
        <f t="shared" si="13"/>
        <v>0.50241545893719808</v>
      </c>
      <c r="G31" s="838">
        <f t="shared" si="13"/>
        <v>0.36674259681093396</v>
      </c>
      <c r="H31" s="838">
        <f t="shared" si="13"/>
        <v>0.25</v>
      </c>
      <c r="I31" s="838">
        <f t="shared" si="13"/>
        <v>0.48333333333333334</v>
      </c>
      <c r="J31" s="838">
        <f>J30/J$14</f>
        <v>0.40719588806396345</v>
      </c>
      <c r="M31" s="468" t="s">
        <v>171</v>
      </c>
      <c r="N31" s="469">
        <v>20</v>
      </c>
      <c r="O31" s="469">
        <v>8</v>
      </c>
      <c r="P31" s="469">
        <v>19</v>
      </c>
      <c r="Q31" s="469">
        <v>1</v>
      </c>
      <c r="R31" s="469">
        <v>71</v>
      </c>
      <c r="S31" s="469">
        <v>81</v>
      </c>
      <c r="T31" s="469">
        <v>18</v>
      </c>
      <c r="U31" s="469">
        <v>9</v>
      </c>
      <c r="V31" s="469">
        <v>5</v>
      </c>
      <c r="W31" s="469">
        <v>30</v>
      </c>
      <c r="X31" s="469">
        <v>18</v>
      </c>
      <c r="Y31" s="469">
        <v>5</v>
      </c>
      <c r="Z31" s="469">
        <v>53</v>
      </c>
      <c r="AA31" s="469">
        <v>60</v>
      </c>
      <c r="AB31" s="469">
        <v>78</v>
      </c>
      <c r="AC31" s="469">
        <v>31</v>
      </c>
      <c r="AD31" s="469">
        <v>24</v>
      </c>
      <c r="AE31" s="469">
        <v>0</v>
      </c>
      <c r="AF31" s="469">
        <v>44</v>
      </c>
      <c r="AG31" s="469"/>
    </row>
    <row r="32" spans="1:33" ht="18.75" customHeight="1" x14ac:dyDescent="0.2">
      <c r="A32" s="1020" t="s">
        <v>454</v>
      </c>
      <c r="B32" s="835">
        <f>SUM(N28:P28)</f>
        <v>82</v>
      </c>
      <c r="C32" s="835">
        <f>SUM(Q28:R28)</f>
        <v>92</v>
      </c>
      <c r="D32" s="835">
        <f>SUM(S28:V28)</f>
        <v>147</v>
      </c>
      <c r="E32" s="835">
        <f>SUM(W28:Y28)</f>
        <v>82</v>
      </c>
      <c r="F32" s="835">
        <f>SUM(Z28:AA28)</f>
        <v>122</v>
      </c>
      <c r="G32" s="835">
        <f>SUM(AB28:AD28)</f>
        <v>203</v>
      </c>
      <c r="H32" s="835">
        <f>AE28</f>
        <v>0</v>
      </c>
      <c r="I32" s="835">
        <f>AF28</f>
        <v>87</v>
      </c>
      <c r="J32" s="837">
        <f t="shared" ref="J32" si="14">SUM(B32:I32)</f>
        <v>815</v>
      </c>
      <c r="M32" s="468" t="s">
        <v>172</v>
      </c>
      <c r="N32" s="469">
        <v>25</v>
      </c>
      <c r="O32" s="469">
        <v>8</v>
      </c>
      <c r="P32" s="469">
        <v>11</v>
      </c>
      <c r="Q32" s="469">
        <v>11</v>
      </c>
      <c r="R32" s="469">
        <v>29</v>
      </c>
      <c r="S32" s="469">
        <v>50</v>
      </c>
      <c r="T32" s="469">
        <v>14</v>
      </c>
      <c r="U32" s="469">
        <v>5</v>
      </c>
      <c r="V32" s="469">
        <v>11</v>
      </c>
      <c r="W32" s="469">
        <v>26</v>
      </c>
      <c r="X32" s="469">
        <v>12</v>
      </c>
      <c r="Y32" s="469">
        <v>1</v>
      </c>
      <c r="Z32" s="469">
        <v>25</v>
      </c>
      <c r="AA32" s="469">
        <v>17</v>
      </c>
      <c r="AB32" s="469">
        <v>56</v>
      </c>
      <c r="AC32" s="469">
        <v>19</v>
      </c>
      <c r="AD32" s="469">
        <v>25</v>
      </c>
      <c r="AE32" s="469">
        <v>1</v>
      </c>
      <c r="AF32" s="469">
        <v>51</v>
      </c>
      <c r="AG32" s="469"/>
    </row>
    <row r="33" spans="1:33" ht="18.75" customHeight="1" x14ac:dyDescent="0.2">
      <c r="A33" s="1021"/>
      <c r="B33" s="838">
        <f>B32/B$14</f>
        <v>0.34453781512605042</v>
      </c>
      <c r="C33" s="838">
        <f t="shared" ref="C33:I33" si="15">C32/C$14</f>
        <v>0.45544554455445546</v>
      </c>
      <c r="D33" s="838">
        <f t="shared" si="15"/>
        <v>0.5444444444444444</v>
      </c>
      <c r="E33" s="838">
        <f t="shared" si="15"/>
        <v>0.38862559241706163</v>
      </c>
      <c r="F33" s="838">
        <f t="shared" si="15"/>
        <v>0.58937198067632846</v>
      </c>
      <c r="G33" s="838">
        <f t="shared" si="15"/>
        <v>0.4624145785876993</v>
      </c>
      <c r="H33" s="838">
        <f t="shared" si="15"/>
        <v>0</v>
      </c>
      <c r="I33" s="838">
        <f t="shared" si="15"/>
        <v>0.48333333333333334</v>
      </c>
      <c r="J33" s="838">
        <f>J32/J$14</f>
        <v>0.46544831524842945</v>
      </c>
      <c r="M33" s="468" t="s">
        <v>173</v>
      </c>
      <c r="N33" s="469">
        <v>12</v>
      </c>
      <c r="O33" s="469">
        <v>16</v>
      </c>
      <c r="P33" s="469">
        <v>19</v>
      </c>
      <c r="Q33" s="469">
        <v>4</v>
      </c>
      <c r="R33" s="469">
        <v>17</v>
      </c>
      <c r="S33" s="469">
        <v>36</v>
      </c>
      <c r="T33" s="469">
        <v>6</v>
      </c>
      <c r="U33" s="469">
        <v>3</v>
      </c>
      <c r="V33" s="469">
        <v>2</v>
      </c>
      <c r="W33" s="469">
        <v>22</v>
      </c>
      <c r="X33" s="469">
        <v>11</v>
      </c>
      <c r="Y33" s="469">
        <v>1</v>
      </c>
      <c r="Z33" s="469">
        <v>15</v>
      </c>
      <c r="AA33" s="469">
        <v>25</v>
      </c>
      <c r="AB33" s="469">
        <v>40</v>
      </c>
      <c r="AC33" s="469">
        <v>24</v>
      </c>
      <c r="AD33" s="469">
        <v>27</v>
      </c>
      <c r="AE33" s="469">
        <v>0</v>
      </c>
      <c r="AF33" s="469">
        <v>22</v>
      </c>
      <c r="AG33" s="469"/>
    </row>
    <row r="34" spans="1:33" ht="18.75" customHeight="1" x14ac:dyDescent="0.2">
      <c r="A34" s="1020" t="s">
        <v>333</v>
      </c>
      <c r="B34" s="835">
        <f>SUM(N29:P29)</f>
        <v>53</v>
      </c>
      <c r="C34" s="835">
        <f>SUM(Q29:R29)</f>
        <v>59</v>
      </c>
      <c r="D34" s="835">
        <f>SUM(S29:V29)</f>
        <v>66</v>
      </c>
      <c r="E34" s="835">
        <f>SUM(W29:Y29)</f>
        <v>76</v>
      </c>
      <c r="F34" s="835">
        <f>SUM(Z29:AA29)</f>
        <v>76</v>
      </c>
      <c r="G34" s="835">
        <f>SUM(AB29:AD29)</f>
        <v>132</v>
      </c>
      <c r="H34" s="835">
        <f>AE29</f>
        <v>0</v>
      </c>
      <c r="I34" s="835">
        <f>AF29</f>
        <v>60</v>
      </c>
      <c r="J34" s="837">
        <f t="shared" ref="J34" si="16">SUM(B34:I34)</f>
        <v>522</v>
      </c>
      <c r="M34" s="468" t="s">
        <v>174</v>
      </c>
      <c r="N34" s="469">
        <v>21</v>
      </c>
      <c r="O34" s="469">
        <v>43</v>
      </c>
      <c r="P34" s="469">
        <v>17</v>
      </c>
      <c r="Q34" s="469">
        <v>5</v>
      </c>
      <c r="R34" s="469">
        <v>76</v>
      </c>
      <c r="S34" s="469">
        <v>88</v>
      </c>
      <c r="T34" s="469">
        <v>43</v>
      </c>
      <c r="U34" s="469">
        <v>8</v>
      </c>
      <c r="V34" s="469">
        <v>17</v>
      </c>
      <c r="W34" s="469">
        <v>32</v>
      </c>
      <c r="X34" s="469">
        <v>33</v>
      </c>
      <c r="Y34" s="469">
        <v>3</v>
      </c>
      <c r="Z34" s="469">
        <v>5</v>
      </c>
      <c r="AA34" s="469">
        <v>11</v>
      </c>
      <c r="AB34" s="469">
        <v>71</v>
      </c>
      <c r="AC34" s="469">
        <v>22</v>
      </c>
      <c r="AD34" s="469">
        <v>25</v>
      </c>
      <c r="AE34" s="469">
        <v>0</v>
      </c>
      <c r="AF34" s="469">
        <v>59</v>
      </c>
      <c r="AG34" s="469"/>
    </row>
    <row r="35" spans="1:33" ht="18.75" customHeight="1" x14ac:dyDescent="0.2">
      <c r="A35" s="1021"/>
      <c r="B35" s="838">
        <f>B34/B$14</f>
        <v>0.22268907563025211</v>
      </c>
      <c r="C35" s="838">
        <f t="shared" ref="C35:J35" si="17">C34/C$14</f>
        <v>0.29207920792079206</v>
      </c>
      <c r="D35" s="838">
        <f t="shared" si="17"/>
        <v>0.24444444444444444</v>
      </c>
      <c r="E35" s="838">
        <f t="shared" si="17"/>
        <v>0.36018957345971564</v>
      </c>
      <c r="F35" s="838">
        <f t="shared" si="17"/>
        <v>0.3671497584541063</v>
      </c>
      <c r="G35" s="838">
        <f t="shared" si="17"/>
        <v>0.30068337129840544</v>
      </c>
      <c r="H35" s="838">
        <f t="shared" si="17"/>
        <v>0</v>
      </c>
      <c r="I35" s="838">
        <f t="shared" si="17"/>
        <v>0.33333333333333331</v>
      </c>
      <c r="J35" s="838">
        <f t="shared" si="17"/>
        <v>0.29811536264991434</v>
      </c>
      <c r="M35" s="468" t="s">
        <v>175</v>
      </c>
      <c r="N35" s="469">
        <v>1</v>
      </c>
      <c r="O35" s="469">
        <v>3</v>
      </c>
      <c r="P35" s="469">
        <v>1</v>
      </c>
      <c r="Q35" s="469">
        <v>0</v>
      </c>
      <c r="R35" s="469">
        <v>6</v>
      </c>
      <c r="S35" s="469">
        <v>37</v>
      </c>
      <c r="T35" s="469">
        <v>7</v>
      </c>
      <c r="U35" s="469">
        <v>1</v>
      </c>
      <c r="V35" s="469">
        <v>3</v>
      </c>
      <c r="W35" s="469">
        <v>3</v>
      </c>
      <c r="X35" s="469">
        <v>3</v>
      </c>
      <c r="Y35" s="469">
        <v>0</v>
      </c>
      <c r="Z35" s="469">
        <v>3</v>
      </c>
      <c r="AA35" s="469">
        <v>3</v>
      </c>
      <c r="AB35" s="469">
        <v>26</v>
      </c>
      <c r="AC35" s="469">
        <v>7</v>
      </c>
      <c r="AD35" s="469">
        <v>5</v>
      </c>
      <c r="AE35" s="469">
        <v>0</v>
      </c>
      <c r="AF35" s="469">
        <v>7</v>
      </c>
      <c r="AG35" s="469"/>
    </row>
    <row r="36" spans="1:33" ht="18.75" customHeight="1" x14ac:dyDescent="0.2">
      <c r="A36" s="1020" t="s">
        <v>455</v>
      </c>
      <c r="B36" s="835">
        <f>SUM(N30:P30)</f>
        <v>10</v>
      </c>
      <c r="C36" s="835">
        <f>SUM(Q30:R30)</f>
        <v>12</v>
      </c>
      <c r="D36" s="835">
        <f>SUM(S30:V30)</f>
        <v>40</v>
      </c>
      <c r="E36" s="835">
        <f>SUM(W30:Y30)</f>
        <v>17</v>
      </c>
      <c r="F36" s="835">
        <f>SUM(Z30:AA30)</f>
        <v>16</v>
      </c>
      <c r="G36" s="835">
        <f>SUM(AB30:AD30)</f>
        <v>28</v>
      </c>
      <c r="H36" s="835">
        <f>AE30</f>
        <v>0</v>
      </c>
      <c r="I36" s="835">
        <f>AF30</f>
        <v>12</v>
      </c>
      <c r="J36" s="837">
        <f t="shared" ref="J36" si="18">SUM(B36:I36)</f>
        <v>135</v>
      </c>
      <c r="M36" s="468" t="s">
        <v>176</v>
      </c>
      <c r="N36" s="469">
        <v>10</v>
      </c>
      <c r="O36" s="469">
        <v>4</v>
      </c>
      <c r="P36" s="469">
        <v>0</v>
      </c>
      <c r="Q36" s="469">
        <v>0</v>
      </c>
      <c r="R36" s="469">
        <v>2</v>
      </c>
      <c r="S36" s="469">
        <v>19</v>
      </c>
      <c r="T36" s="469">
        <v>0</v>
      </c>
      <c r="U36" s="469">
        <v>0</v>
      </c>
      <c r="V36" s="469">
        <v>3</v>
      </c>
      <c r="W36" s="469">
        <v>6</v>
      </c>
      <c r="X36" s="469">
        <v>2</v>
      </c>
      <c r="Y36" s="469">
        <v>0</v>
      </c>
      <c r="Z36" s="469">
        <v>1</v>
      </c>
      <c r="AA36" s="469">
        <v>3</v>
      </c>
      <c r="AB36" s="469">
        <v>10</v>
      </c>
      <c r="AC36" s="469">
        <v>3</v>
      </c>
      <c r="AD36" s="469">
        <v>6</v>
      </c>
      <c r="AE36" s="469">
        <v>0</v>
      </c>
      <c r="AF36" s="469">
        <v>4</v>
      </c>
      <c r="AG36" s="469"/>
    </row>
    <row r="37" spans="1:33" ht="18.75" customHeight="1" x14ac:dyDescent="0.2">
      <c r="A37" s="1021"/>
      <c r="B37" s="838">
        <f>B36/B$14</f>
        <v>4.2016806722689079E-2</v>
      </c>
      <c r="C37" s="838">
        <f t="shared" ref="C37:J37" si="19">C36/C$14</f>
        <v>5.9405940594059403E-2</v>
      </c>
      <c r="D37" s="838">
        <f t="shared" si="19"/>
        <v>0.14814814814814814</v>
      </c>
      <c r="E37" s="838">
        <f t="shared" si="19"/>
        <v>8.0568720379146919E-2</v>
      </c>
      <c r="F37" s="838">
        <f t="shared" si="19"/>
        <v>7.7294685990338161E-2</v>
      </c>
      <c r="G37" s="838">
        <f t="shared" si="19"/>
        <v>6.3781321184510256E-2</v>
      </c>
      <c r="H37" s="838">
        <f t="shared" si="19"/>
        <v>0</v>
      </c>
      <c r="I37" s="838">
        <f t="shared" si="19"/>
        <v>6.6666666666666666E-2</v>
      </c>
      <c r="J37" s="838">
        <f t="shared" si="19"/>
        <v>7.7098800685322669E-2</v>
      </c>
      <c r="M37" s="468" t="s">
        <v>177</v>
      </c>
      <c r="N37" s="469">
        <v>0</v>
      </c>
      <c r="O37" s="469">
        <v>0</v>
      </c>
      <c r="P37" s="469">
        <v>0</v>
      </c>
      <c r="Q37" s="469">
        <v>0</v>
      </c>
      <c r="R37" s="469">
        <v>0</v>
      </c>
      <c r="S37" s="469">
        <v>11</v>
      </c>
      <c r="T37" s="469">
        <v>0</v>
      </c>
      <c r="U37" s="469">
        <v>0</v>
      </c>
      <c r="V37" s="469">
        <v>0</v>
      </c>
      <c r="W37" s="469">
        <v>0</v>
      </c>
      <c r="X37" s="469">
        <v>0</v>
      </c>
      <c r="Y37" s="469">
        <v>0</v>
      </c>
      <c r="Z37" s="469">
        <v>0</v>
      </c>
      <c r="AA37" s="469">
        <v>0</v>
      </c>
      <c r="AB37" s="469">
        <v>0</v>
      </c>
      <c r="AC37" s="469">
        <v>1</v>
      </c>
      <c r="AD37" s="469">
        <v>1</v>
      </c>
      <c r="AE37" s="469">
        <v>0</v>
      </c>
      <c r="AF37" s="469">
        <v>0</v>
      </c>
      <c r="AG37" s="469"/>
    </row>
    <row r="38" spans="1:33" ht="18.75" customHeight="1" x14ac:dyDescent="0.2">
      <c r="A38" s="1020" t="s">
        <v>334</v>
      </c>
      <c r="B38" s="835">
        <f>SUM(N31:P31)</f>
        <v>47</v>
      </c>
      <c r="C38" s="835">
        <f>SUM(Q31:R31)</f>
        <v>72</v>
      </c>
      <c r="D38" s="835">
        <f>SUM(S31:V31)</f>
        <v>113</v>
      </c>
      <c r="E38" s="835">
        <f>SUM(W31:Y31)</f>
        <v>53</v>
      </c>
      <c r="F38" s="835">
        <f>SUM(Z31:AA31)</f>
        <v>113</v>
      </c>
      <c r="G38" s="835">
        <f>SUM(AB31:AD31)</f>
        <v>133</v>
      </c>
      <c r="H38" s="835">
        <f>AE31</f>
        <v>0</v>
      </c>
      <c r="I38" s="835">
        <f>AF31</f>
        <v>44</v>
      </c>
      <c r="J38" s="837">
        <f t="shared" ref="J38" si="20">SUM(B38:I38)</f>
        <v>575</v>
      </c>
      <c r="M38" s="468" t="s">
        <v>178</v>
      </c>
      <c r="N38" s="469">
        <v>3</v>
      </c>
      <c r="O38" s="469">
        <v>3</v>
      </c>
      <c r="P38" s="469">
        <v>2</v>
      </c>
      <c r="Q38" s="469">
        <v>1</v>
      </c>
      <c r="R38" s="469">
        <v>1</v>
      </c>
      <c r="S38" s="469">
        <v>32</v>
      </c>
      <c r="T38" s="469">
        <v>17</v>
      </c>
      <c r="U38" s="469">
        <v>7</v>
      </c>
      <c r="V38" s="469">
        <v>0</v>
      </c>
      <c r="W38" s="469">
        <v>13</v>
      </c>
      <c r="X38" s="469">
        <v>1</v>
      </c>
      <c r="Y38" s="469">
        <v>1</v>
      </c>
      <c r="Z38" s="469">
        <v>4</v>
      </c>
      <c r="AA38" s="469">
        <v>7</v>
      </c>
      <c r="AB38" s="469">
        <v>37</v>
      </c>
      <c r="AC38" s="469">
        <v>8</v>
      </c>
      <c r="AD38" s="469">
        <v>7</v>
      </c>
      <c r="AE38" s="469">
        <v>0</v>
      </c>
      <c r="AF38" s="469">
        <v>16</v>
      </c>
      <c r="AG38" s="469"/>
    </row>
    <row r="39" spans="1:33" ht="18.75" customHeight="1" x14ac:dyDescent="0.2">
      <c r="A39" s="1021"/>
      <c r="B39" s="838">
        <f>B38/B$14</f>
        <v>0.19747899159663865</v>
      </c>
      <c r="C39" s="838">
        <f t="shared" ref="C39:J39" si="21">C38/C$14</f>
        <v>0.35643564356435642</v>
      </c>
      <c r="D39" s="838">
        <f t="shared" si="21"/>
        <v>0.41851851851851851</v>
      </c>
      <c r="E39" s="838">
        <f>E38/E$14</f>
        <v>0.25118483412322273</v>
      </c>
      <c r="F39" s="838">
        <f t="shared" si="21"/>
        <v>0.54589371980676327</v>
      </c>
      <c r="G39" s="838">
        <f t="shared" si="21"/>
        <v>0.30296127562642367</v>
      </c>
      <c r="H39" s="838">
        <f t="shared" si="21"/>
        <v>0</v>
      </c>
      <c r="I39" s="838">
        <f t="shared" si="21"/>
        <v>0.24444444444444444</v>
      </c>
      <c r="J39" s="838">
        <f t="shared" si="21"/>
        <v>0.32838378069674473</v>
      </c>
      <c r="M39" s="468" t="s">
        <v>179</v>
      </c>
      <c r="N39" s="469">
        <v>19</v>
      </c>
      <c r="O39" s="469">
        <v>6</v>
      </c>
      <c r="P39" s="469">
        <v>4</v>
      </c>
      <c r="Q39" s="469">
        <v>1</v>
      </c>
      <c r="R39" s="469">
        <v>2</v>
      </c>
      <c r="S39" s="469">
        <v>30</v>
      </c>
      <c r="T39" s="469">
        <v>15</v>
      </c>
      <c r="U39" s="469">
        <v>5</v>
      </c>
      <c r="V39" s="469">
        <v>0</v>
      </c>
      <c r="W39" s="469">
        <v>14</v>
      </c>
      <c r="X39" s="469">
        <v>0</v>
      </c>
      <c r="Y39" s="469">
        <v>0</v>
      </c>
      <c r="Z39" s="469">
        <v>1</v>
      </c>
      <c r="AA39" s="469">
        <v>2</v>
      </c>
      <c r="AB39" s="469">
        <v>20</v>
      </c>
      <c r="AC39" s="469">
        <v>19</v>
      </c>
      <c r="AD39" s="469">
        <v>3</v>
      </c>
      <c r="AE39" s="469">
        <v>0</v>
      </c>
      <c r="AF39" s="469">
        <v>20</v>
      </c>
      <c r="AG39" s="469"/>
    </row>
    <row r="40" spans="1:33" ht="18.75" customHeight="1" x14ac:dyDescent="0.2">
      <c r="A40" s="1020" t="s">
        <v>335</v>
      </c>
      <c r="B40" s="835">
        <f>SUM(N32:P32)</f>
        <v>44</v>
      </c>
      <c r="C40" s="835">
        <f>SUM(Q32:R32)</f>
        <v>40</v>
      </c>
      <c r="D40" s="835">
        <f>SUM(S32:V32)</f>
        <v>80</v>
      </c>
      <c r="E40" s="835">
        <f>SUM(W32:Y32)</f>
        <v>39</v>
      </c>
      <c r="F40" s="835">
        <f>SUM(Z32:AA32)</f>
        <v>42</v>
      </c>
      <c r="G40" s="835">
        <f>SUM(AB32:AD32)</f>
        <v>100</v>
      </c>
      <c r="H40" s="835">
        <f>AE32</f>
        <v>1</v>
      </c>
      <c r="I40" s="835">
        <f>AF32</f>
        <v>51</v>
      </c>
      <c r="J40" s="837">
        <f t="shared" ref="J40" si="22">SUM(B40:I40)</f>
        <v>397</v>
      </c>
      <c r="M40" s="468" t="s">
        <v>180</v>
      </c>
      <c r="N40" s="469">
        <v>1</v>
      </c>
      <c r="O40" s="469">
        <v>0</v>
      </c>
      <c r="P40" s="469">
        <v>2</v>
      </c>
      <c r="Q40" s="469">
        <v>0</v>
      </c>
      <c r="R40" s="469">
        <v>0</v>
      </c>
      <c r="S40" s="469">
        <v>5</v>
      </c>
      <c r="T40" s="469">
        <v>2</v>
      </c>
      <c r="U40" s="469">
        <v>0</v>
      </c>
      <c r="V40" s="469">
        <v>0</v>
      </c>
      <c r="W40" s="469">
        <v>0</v>
      </c>
      <c r="X40" s="469">
        <v>0</v>
      </c>
      <c r="Y40" s="469">
        <v>0</v>
      </c>
      <c r="Z40" s="469">
        <v>0</v>
      </c>
      <c r="AA40" s="469">
        <v>4</v>
      </c>
      <c r="AB40" s="469">
        <v>15</v>
      </c>
      <c r="AC40" s="469">
        <v>2</v>
      </c>
      <c r="AD40" s="469">
        <v>3</v>
      </c>
      <c r="AE40" s="469">
        <v>0</v>
      </c>
      <c r="AF40" s="469">
        <v>0</v>
      </c>
      <c r="AG40" s="469"/>
    </row>
    <row r="41" spans="1:33" ht="18.75" customHeight="1" x14ac:dyDescent="0.2">
      <c r="A41" s="1021"/>
      <c r="B41" s="838">
        <f>B40/B$14</f>
        <v>0.18487394957983194</v>
      </c>
      <c r="C41" s="838">
        <f t="shared" ref="C41:J41" si="23">C40/C$14</f>
        <v>0.19801980198019803</v>
      </c>
      <c r="D41" s="838">
        <f t="shared" si="23"/>
        <v>0.29629629629629628</v>
      </c>
      <c r="E41" s="838">
        <f t="shared" si="23"/>
        <v>0.18483412322274881</v>
      </c>
      <c r="F41" s="838">
        <f t="shared" si="23"/>
        <v>0.20289855072463769</v>
      </c>
      <c r="G41" s="838">
        <f t="shared" si="23"/>
        <v>0.22779043280182232</v>
      </c>
      <c r="H41" s="838">
        <f t="shared" si="23"/>
        <v>0.25</v>
      </c>
      <c r="I41" s="838">
        <f t="shared" si="23"/>
        <v>0.28333333333333333</v>
      </c>
      <c r="J41" s="838">
        <f t="shared" si="23"/>
        <v>0.22672758423757852</v>
      </c>
      <c r="M41" s="468" t="s">
        <v>382</v>
      </c>
      <c r="N41" s="469">
        <v>19</v>
      </c>
      <c r="O41" s="469">
        <v>12</v>
      </c>
      <c r="P41" s="469">
        <v>5</v>
      </c>
      <c r="Q41" s="469">
        <v>3</v>
      </c>
      <c r="R41" s="469">
        <v>12</v>
      </c>
      <c r="S41" s="469">
        <v>27</v>
      </c>
      <c r="T41" s="469">
        <v>4</v>
      </c>
      <c r="U41" s="469">
        <v>4</v>
      </c>
      <c r="V41" s="469">
        <v>3</v>
      </c>
      <c r="W41" s="469">
        <v>15</v>
      </c>
      <c r="X41" s="469">
        <v>5</v>
      </c>
      <c r="Y41" s="469">
        <v>2</v>
      </c>
      <c r="Z41" s="469">
        <v>11</v>
      </c>
      <c r="AA41" s="469">
        <v>15</v>
      </c>
      <c r="AB41" s="469">
        <v>49</v>
      </c>
      <c r="AC41" s="469">
        <v>5</v>
      </c>
      <c r="AD41" s="469">
        <v>10</v>
      </c>
      <c r="AE41" s="469">
        <v>2</v>
      </c>
      <c r="AF41" s="469">
        <v>39</v>
      </c>
      <c r="AG41" s="469"/>
    </row>
    <row r="42" spans="1:33" ht="18.75" customHeight="1" x14ac:dyDescent="0.2">
      <c r="A42" s="1020" t="s">
        <v>246</v>
      </c>
      <c r="B42" s="835">
        <f>SUM(N33:P33)</f>
        <v>47</v>
      </c>
      <c r="C42" s="835">
        <f>SUM(Q33:R33)</f>
        <v>21</v>
      </c>
      <c r="D42" s="835">
        <f>SUM(S33:V33)</f>
        <v>47</v>
      </c>
      <c r="E42" s="835">
        <f>SUM(W33:Y33)</f>
        <v>34</v>
      </c>
      <c r="F42" s="835">
        <f>SUM(Z33:AA33)</f>
        <v>40</v>
      </c>
      <c r="G42" s="835">
        <f>SUM(AB33:AD33)</f>
        <v>91</v>
      </c>
      <c r="H42" s="835">
        <f>AE33</f>
        <v>0</v>
      </c>
      <c r="I42" s="835">
        <f>AF33</f>
        <v>22</v>
      </c>
      <c r="J42" s="837">
        <f t="shared" ref="J42" si="24">SUM(B42:I42)</f>
        <v>302</v>
      </c>
      <c r="M42" s="468" t="s">
        <v>383</v>
      </c>
      <c r="N42" s="468">
        <v>8</v>
      </c>
      <c r="O42" s="468">
        <v>6</v>
      </c>
      <c r="P42" s="468">
        <v>3</v>
      </c>
      <c r="Q42" s="468">
        <v>4</v>
      </c>
      <c r="R42" s="468">
        <v>5</v>
      </c>
      <c r="S42" s="468">
        <v>13</v>
      </c>
      <c r="T42" s="468">
        <v>2</v>
      </c>
      <c r="U42" s="468">
        <v>0</v>
      </c>
      <c r="V42" s="468">
        <v>2</v>
      </c>
      <c r="W42" s="468">
        <v>4</v>
      </c>
      <c r="X42" s="468">
        <v>0</v>
      </c>
      <c r="Y42" s="468">
        <v>0</v>
      </c>
      <c r="Z42" s="468">
        <v>7</v>
      </c>
      <c r="AA42" s="468">
        <v>6</v>
      </c>
      <c r="AB42" s="468">
        <v>28</v>
      </c>
      <c r="AC42" s="468">
        <v>2</v>
      </c>
      <c r="AD42" s="468">
        <v>11</v>
      </c>
      <c r="AE42" s="468">
        <v>0</v>
      </c>
      <c r="AF42" s="468">
        <v>25</v>
      </c>
      <c r="AG42" s="469"/>
    </row>
    <row r="43" spans="1:33" ht="18.75" customHeight="1" x14ac:dyDescent="0.2">
      <c r="A43" s="1021"/>
      <c r="B43" s="838">
        <f>B42/B$14</f>
        <v>0.19747899159663865</v>
      </c>
      <c r="C43" s="838">
        <f t="shared" ref="C43:J43" si="25">C42/C$14</f>
        <v>0.10396039603960396</v>
      </c>
      <c r="D43" s="838">
        <f t="shared" si="25"/>
        <v>0.17407407407407408</v>
      </c>
      <c r="E43" s="838">
        <f>E42/E$14</f>
        <v>0.16113744075829384</v>
      </c>
      <c r="F43" s="838">
        <f t="shared" si="25"/>
        <v>0.19323671497584541</v>
      </c>
      <c r="G43" s="838">
        <f t="shared" si="25"/>
        <v>0.2072892938496583</v>
      </c>
      <c r="H43" s="838">
        <f t="shared" si="25"/>
        <v>0</v>
      </c>
      <c r="I43" s="838">
        <f t="shared" si="25"/>
        <v>0.12222222222222222</v>
      </c>
      <c r="J43" s="838">
        <f t="shared" si="25"/>
        <v>0.1724728726442033</v>
      </c>
      <c r="M43" s="468" t="s">
        <v>181</v>
      </c>
      <c r="N43" s="468">
        <v>2</v>
      </c>
      <c r="O43" s="468">
        <v>8</v>
      </c>
      <c r="P43" s="468">
        <v>1</v>
      </c>
      <c r="Q43" s="468">
        <v>0</v>
      </c>
      <c r="R43" s="468">
        <v>4</v>
      </c>
      <c r="S43" s="468">
        <v>3</v>
      </c>
      <c r="T43" s="468">
        <v>5</v>
      </c>
      <c r="U43" s="468">
        <v>0</v>
      </c>
      <c r="V43" s="468">
        <v>0</v>
      </c>
      <c r="W43" s="468">
        <v>3</v>
      </c>
      <c r="X43" s="468">
        <v>3</v>
      </c>
      <c r="Y43" s="468">
        <v>2</v>
      </c>
      <c r="Z43" s="468">
        <v>1</v>
      </c>
      <c r="AA43" s="468">
        <v>2</v>
      </c>
      <c r="AB43" s="468">
        <v>5</v>
      </c>
      <c r="AC43" s="468">
        <v>1</v>
      </c>
      <c r="AD43" s="468">
        <v>8</v>
      </c>
      <c r="AE43" s="468">
        <v>1</v>
      </c>
      <c r="AF43" s="468">
        <v>2</v>
      </c>
      <c r="AG43" s="469"/>
    </row>
    <row r="44" spans="1:33" ht="18.75" customHeight="1" x14ac:dyDescent="0.2">
      <c r="A44" s="1020" t="s">
        <v>456</v>
      </c>
      <c r="B44" s="835">
        <f>SUM(N34:P34)</f>
        <v>81</v>
      </c>
      <c r="C44" s="835">
        <f>SUM(Q34:R34)</f>
        <v>81</v>
      </c>
      <c r="D44" s="835">
        <f>SUM(S34:V34)</f>
        <v>156</v>
      </c>
      <c r="E44" s="835">
        <f>SUM(W34:Y34)</f>
        <v>68</v>
      </c>
      <c r="F44" s="835">
        <f>SUM(Z34:AA34)</f>
        <v>16</v>
      </c>
      <c r="G44" s="835">
        <f>SUM(AB34:AD34)</f>
        <v>118</v>
      </c>
      <c r="H44" s="835">
        <f>AE34</f>
        <v>0</v>
      </c>
      <c r="I44" s="835">
        <f>AF34</f>
        <v>59</v>
      </c>
      <c r="J44" s="837">
        <f t="shared" ref="J44" si="26">SUM(B44:I44)</f>
        <v>579</v>
      </c>
    </row>
    <row r="45" spans="1:33" ht="18.75" customHeight="1" x14ac:dyDescent="0.2">
      <c r="A45" s="1021"/>
      <c r="B45" s="838">
        <f>B44/B$14</f>
        <v>0.34033613445378152</v>
      </c>
      <c r="C45" s="838">
        <f t="shared" ref="C45:J45" si="27">C44/C$14</f>
        <v>0.40099009900990101</v>
      </c>
      <c r="D45" s="838">
        <f t="shared" si="27"/>
        <v>0.57777777777777772</v>
      </c>
      <c r="E45" s="838">
        <f t="shared" si="27"/>
        <v>0.32227488151658767</v>
      </c>
      <c r="F45" s="838">
        <f t="shared" si="27"/>
        <v>7.7294685990338161E-2</v>
      </c>
      <c r="G45" s="838">
        <f t="shared" si="27"/>
        <v>0.26879271070615035</v>
      </c>
      <c r="H45" s="838">
        <f t="shared" si="27"/>
        <v>0</v>
      </c>
      <c r="I45" s="838">
        <f t="shared" si="27"/>
        <v>0.32777777777777778</v>
      </c>
      <c r="J45" s="838">
        <f t="shared" si="27"/>
        <v>0.33066818960593947</v>
      </c>
    </row>
    <row r="46" spans="1:33" ht="18.75" customHeight="1" x14ac:dyDescent="0.2">
      <c r="A46" s="1020" t="s">
        <v>457</v>
      </c>
      <c r="B46" s="835">
        <f>SUM(N35:P35)</f>
        <v>5</v>
      </c>
      <c r="C46" s="835">
        <f>SUM(Q35:R35)</f>
        <v>6</v>
      </c>
      <c r="D46" s="835">
        <f>SUM(S35:V35)</f>
        <v>48</v>
      </c>
      <c r="E46" s="835">
        <f>SUM(W35:Y35)</f>
        <v>6</v>
      </c>
      <c r="F46" s="835">
        <f>SUM(Z35:AA35)</f>
        <v>6</v>
      </c>
      <c r="G46" s="835">
        <f>SUM(AB35:AD35)</f>
        <v>38</v>
      </c>
      <c r="H46" s="835">
        <f>AE35</f>
        <v>0</v>
      </c>
      <c r="I46" s="835">
        <f>AF35</f>
        <v>7</v>
      </c>
      <c r="J46" s="837">
        <f t="shared" ref="J46" si="28">SUM(B46:I46)</f>
        <v>116</v>
      </c>
    </row>
    <row r="47" spans="1:33" ht="18.75" customHeight="1" x14ac:dyDescent="0.2">
      <c r="A47" s="1021"/>
      <c r="B47" s="838">
        <f>B46/B$14</f>
        <v>2.100840336134454E-2</v>
      </c>
      <c r="C47" s="838">
        <f t="shared" ref="C47:J47" si="29">C46/C$14</f>
        <v>2.9702970297029702E-2</v>
      </c>
      <c r="D47" s="838">
        <f t="shared" si="29"/>
        <v>0.17777777777777778</v>
      </c>
      <c r="E47" s="838">
        <f t="shared" si="29"/>
        <v>2.843601895734597E-2</v>
      </c>
      <c r="F47" s="838">
        <f t="shared" si="29"/>
        <v>2.8985507246376812E-2</v>
      </c>
      <c r="G47" s="838">
        <f t="shared" si="29"/>
        <v>8.656036446469248E-2</v>
      </c>
      <c r="H47" s="838">
        <f t="shared" si="29"/>
        <v>0</v>
      </c>
      <c r="I47" s="838">
        <f t="shared" si="29"/>
        <v>3.888888888888889E-2</v>
      </c>
      <c r="J47" s="838">
        <f t="shared" si="29"/>
        <v>6.6247858366647636E-2</v>
      </c>
    </row>
    <row r="48" spans="1:33" ht="18.75" customHeight="1" x14ac:dyDescent="0.2">
      <c r="A48" s="1020" t="s">
        <v>458</v>
      </c>
      <c r="B48" s="835">
        <f>SUM(N36:P36)</f>
        <v>14</v>
      </c>
      <c r="C48" s="835">
        <f>SUM(Q36:R36)</f>
        <v>2</v>
      </c>
      <c r="D48" s="835">
        <f>SUM(S36:V36)</f>
        <v>22</v>
      </c>
      <c r="E48" s="835">
        <f>SUM(W36:Y36)</f>
        <v>8</v>
      </c>
      <c r="F48" s="835">
        <f>SUM(Z36:AA36)</f>
        <v>4</v>
      </c>
      <c r="G48" s="835">
        <f>SUM(AB36:AD36)</f>
        <v>19</v>
      </c>
      <c r="H48" s="835">
        <f>AE36</f>
        <v>0</v>
      </c>
      <c r="I48" s="835">
        <f>AF36</f>
        <v>4</v>
      </c>
      <c r="J48" s="837">
        <f t="shared" ref="J48" si="30">SUM(B48:I48)</f>
        <v>73</v>
      </c>
    </row>
    <row r="49" spans="1:10" ht="18.75" customHeight="1" x14ac:dyDescent="0.2">
      <c r="A49" s="1021"/>
      <c r="B49" s="838">
        <f>B48/B$14</f>
        <v>5.8823529411764705E-2</v>
      </c>
      <c r="C49" s="838">
        <f t="shared" ref="C49:J49" si="31">C48/C$14</f>
        <v>9.9009900990099011E-3</v>
      </c>
      <c r="D49" s="838">
        <f t="shared" si="31"/>
        <v>8.1481481481481488E-2</v>
      </c>
      <c r="E49" s="838">
        <f t="shared" si="31"/>
        <v>3.7914691943127965E-2</v>
      </c>
      <c r="F49" s="838">
        <f t="shared" si="31"/>
        <v>1.932367149758454E-2</v>
      </c>
      <c r="G49" s="838">
        <f t="shared" si="31"/>
        <v>4.328018223234624E-2</v>
      </c>
      <c r="H49" s="838">
        <f t="shared" si="31"/>
        <v>0</v>
      </c>
      <c r="I49" s="838">
        <f t="shared" si="31"/>
        <v>2.2222222222222223E-2</v>
      </c>
      <c r="J49" s="838">
        <f t="shared" si="31"/>
        <v>4.1690462592804109E-2</v>
      </c>
    </row>
    <row r="50" spans="1:10" ht="18.75" customHeight="1" x14ac:dyDescent="0.2">
      <c r="A50" s="1020" t="s">
        <v>459</v>
      </c>
      <c r="B50" s="835">
        <f>SUM(N37:P37)</f>
        <v>0</v>
      </c>
      <c r="C50" s="835">
        <f>SUM(Q37:R37)</f>
        <v>0</v>
      </c>
      <c r="D50" s="835">
        <f>SUM(S37:V37)</f>
        <v>11</v>
      </c>
      <c r="E50" s="835">
        <f>SUM(W37:Y37)</f>
        <v>0</v>
      </c>
      <c r="F50" s="835">
        <f>SUM(Z37:AA37)</f>
        <v>0</v>
      </c>
      <c r="G50" s="835">
        <f>SUM(AB37:AD37)</f>
        <v>2</v>
      </c>
      <c r="H50" s="835">
        <f>AE37</f>
        <v>0</v>
      </c>
      <c r="I50" s="835">
        <f>AF37</f>
        <v>0</v>
      </c>
      <c r="J50" s="837">
        <f t="shared" ref="J50" si="32">SUM(B50:I50)</f>
        <v>13</v>
      </c>
    </row>
    <row r="51" spans="1:10" ht="18.75" customHeight="1" x14ac:dyDescent="0.2">
      <c r="A51" s="1021"/>
      <c r="B51" s="838">
        <f>B50/B$14</f>
        <v>0</v>
      </c>
      <c r="C51" s="838">
        <f t="shared" ref="C51:J51" si="33">C50/C$14</f>
        <v>0</v>
      </c>
      <c r="D51" s="838">
        <f t="shared" si="33"/>
        <v>4.0740740740740744E-2</v>
      </c>
      <c r="E51" s="838">
        <f t="shared" si="33"/>
        <v>0</v>
      </c>
      <c r="F51" s="838">
        <f t="shared" si="33"/>
        <v>0</v>
      </c>
      <c r="G51" s="838">
        <f t="shared" si="33"/>
        <v>4.5558086560364463E-3</v>
      </c>
      <c r="H51" s="838">
        <f t="shared" si="33"/>
        <v>0</v>
      </c>
      <c r="I51" s="838">
        <f t="shared" si="33"/>
        <v>0</v>
      </c>
      <c r="J51" s="838">
        <f t="shared" si="33"/>
        <v>7.4243289548829245E-3</v>
      </c>
    </row>
    <row r="52" spans="1:10" ht="18.75" customHeight="1" x14ac:dyDescent="0.2">
      <c r="A52" s="1020" t="s">
        <v>460</v>
      </c>
      <c r="B52" s="835">
        <f>SUM(N38:P38)</f>
        <v>8</v>
      </c>
      <c r="C52" s="835">
        <f>SUM(Q38:R38)</f>
        <v>2</v>
      </c>
      <c r="D52" s="835">
        <f>SUM(S38:V38)</f>
        <v>56</v>
      </c>
      <c r="E52" s="835">
        <f>SUM(W38:Y38)</f>
        <v>15</v>
      </c>
      <c r="F52" s="835">
        <f>SUM(Z38:AA38)</f>
        <v>11</v>
      </c>
      <c r="G52" s="835">
        <f>SUM(AB38:AD38)</f>
        <v>52</v>
      </c>
      <c r="H52" s="835">
        <f>AE38</f>
        <v>0</v>
      </c>
      <c r="I52" s="835">
        <f>AF38</f>
        <v>16</v>
      </c>
      <c r="J52" s="837">
        <f t="shared" ref="J52" si="34">SUM(B52:I52)</f>
        <v>160</v>
      </c>
    </row>
    <row r="53" spans="1:10" ht="18.75" customHeight="1" x14ac:dyDescent="0.2">
      <c r="A53" s="1021"/>
      <c r="B53" s="838">
        <f>B52/B$14</f>
        <v>3.3613445378151259E-2</v>
      </c>
      <c r="C53" s="838">
        <f t="shared" ref="C53:J53" si="35">C52/C$14</f>
        <v>9.9009900990099011E-3</v>
      </c>
      <c r="D53" s="838">
        <f t="shared" si="35"/>
        <v>0.2074074074074074</v>
      </c>
      <c r="E53" s="838">
        <f t="shared" si="35"/>
        <v>7.1090047393364927E-2</v>
      </c>
      <c r="F53" s="838">
        <f t="shared" si="35"/>
        <v>5.3140096618357488E-2</v>
      </c>
      <c r="G53" s="838">
        <f t="shared" si="35"/>
        <v>0.11845102505694761</v>
      </c>
      <c r="H53" s="838">
        <f t="shared" si="35"/>
        <v>0</v>
      </c>
      <c r="I53" s="838">
        <f t="shared" si="35"/>
        <v>8.8888888888888892E-2</v>
      </c>
      <c r="J53" s="838">
        <f t="shared" si="35"/>
        <v>9.1376356367789832E-2</v>
      </c>
    </row>
    <row r="54" spans="1:10" ht="18.75" customHeight="1" x14ac:dyDescent="0.2">
      <c r="A54" s="1020" t="s">
        <v>461</v>
      </c>
      <c r="B54" s="835">
        <f>SUM(N39:P39)</f>
        <v>29</v>
      </c>
      <c r="C54" s="835">
        <f>SUM(Q39:R39)</f>
        <v>3</v>
      </c>
      <c r="D54" s="835">
        <f>SUM(S39:V39)</f>
        <v>50</v>
      </c>
      <c r="E54" s="835">
        <f>SUM(W39:Y39)</f>
        <v>14</v>
      </c>
      <c r="F54" s="835">
        <f>SUM(Z39:AA39)</f>
        <v>3</v>
      </c>
      <c r="G54" s="835">
        <f>SUM(AB39:AD39)</f>
        <v>42</v>
      </c>
      <c r="H54" s="835">
        <f>AE39</f>
        <v>0</v>
      </c>
      <c r="I54" s="835">
        <f>AF39</f>
        <v>20</v>
      </c>
      <c r="J54" s="837">
        <f t="shared" ref="J54" si="36">SUM(B54:I54)</f>
        <v>161</v>
      </c>
    </row>
    <row r="55" spans="1:10" ht="18.75" customHeight="1" x14ac:dyDescent="0.2">
      <c r="A55" s="1021"/>
      <c r="B55" s="838">
        <f>B54/B$14</f>
        <v>0.12184873949579832</v>
      </c>
      <c r="C55" s="838">
        <f t="shared" ref="C55:J55" si="37">C54/C$14</f>
        <v>1.4851485148514851E-2</v>
      </c>
      <c r="D55" s="838">
        <f t="shared" si="37"/>
        <v>0.18518518518518517</v>
      </c>
      <c r="E55" s="838">
        <f t="shared" si="37"/>
        <v>6.6350710900473939E-2</v>
      </c>
      <c r="F55" s="838">
        <f t="shared" si="37"/>
        <v>1.4492753623188406E-2</v>
      </c>
      <c r="G55" s="838">
        <f t="shared" si="37"/>
        <v>9.5671981776765377E-2</v>
      </c>
      <c r="H55" s="838">
        <f t="shared" si="37"/>
        <v>0</v>
      </c>
      <c r="I55" s="838">
        <f t="shared" si="37"/>
        <v>0.1111111111111111</v>
      </c>
      <c r="J55" s="838">
        <f t="shared" si="37"/>
        <v>9.1947458595088516E-2</v>
      </c>
    </row>
    <row r="56" spans="1:10" ht="18.75" customHeight="1" x14ac:dyDescent="0.2">
      <c r="A56" s="1020" t="s">
        <v>247</v>
      </c>
      <c r="B56" s="835">
        <f>SUM(N40:P40)</f>
        <v>3</v>
      </c>
      <c r="C56" s="835">
        <f>SUM(Q40:R40)</f>
        <v>0</v>
      </c>
      <c r="D56" s="835">
        <f>SUM(S40:V40)</f>
        <v>7</v>
      </c>
      <c r="E56" s="835">
        <f>SUM(W40:Y40)</f>
        <v>0</v>
      </c>
      <c r="F56" s="835">
        <f>SUM(Z40:AA40)</f>
        <v>4</v>
      </c>
      <c r="G56" s="835">
        <f>SUM(AB40:AD40)</f>
        <v>20</v>
      </c>
      <c r="H56" s="835">
        <f>AE40</f>
        <v>0</v>
      </c>
      <c r="I56" s="835">
        <f>AF40</f>
        <v>0</v>
      </c>
      <c r="J56" s="837">
        <f t="shared" ref="J56" si="38">SUM(B56:I56)</f>
        <v>34</v>
      </c>
    </row>
    <row r="57" spans="1:10" ht="18.75" customHeight="1" x14ac:dyDescent="0.2">
      <c r="A57" s="1021"/>
      <c r="B57" s="838">
        <f>B56/B$14</f>
        <v>1.2605042016806723E-2</v>
      </c>
      <c r="C57" s="838">
        <f t="shared" ref="C57:J57" si="39">C56/C$14</f>
        <v>0</v>
      </c>
      <c r="D57" s="838">
        <f t="shared" si="39"/>
        <v>2.5925925925925925E-2</v>
      </c>
      <c r="E57" s="838">
        <f t="shared" si="39"/>
        <v>0</v>
      </c>
      <c r="F57" s="838">
        <f t="shared" si="39"/>
        <v>1.932367149758454E-2</v>
      </c>
      <c r="G57" s="838">
        <f t="shared" si="39"/>
        <v>4.5558086560364468E-2</v>
      </c>
      <c r="H57" s="838">
        <f t="shared" si="39"/>
        <v>0</v>
      </c>
      <c r="I57" s="838">
        <f t="shared" si="39"/>
        <v>0</v>
      </c>
      <c r="J57" s="838">
        <f t="shared" si="39"/>
        <v>1.9417475728155338E-2</v>
      </c>
    </row>
    <row r="58" spans="1:10" ht="18.75" customHeight="1" x14ac:dyDescent="0.2">
      <c r="A58" s="1020" t="s">
        <v>377</v>
      </c>
      <c r="B58" s="835">
        <f>SUM(N41:P41)</f>
        <v>36</v>
      </c>
      <c r="C58" s="835">
        <f>SUM(Q41:R41)</f>
        <v>15</v>
      </c>
      <c r="D58" s="835">
        <f>SUM(S41:V41)</f>
        <v>38</v>
      </c>
      <c r="E58" s="835">
        <f>SUM(W41:Y41)</f>
        <v>22</v>
      </c>
      <c r="F58" s="835">
        <f>SUM(Z41:AA41)</f>
        <v>26</v>
      </c>
      <c r="G58" s="835">
        <f>SUM(AB41:AD41)</f>
        <v>64</v>
      </c>
      <c r="H58" s="835">
        <f>SUM(AE41)</f>
        <v>2</v>
      </c>
      <c r="I58" s="835">
        <f>SUM(AF41)</f>
        <v>39</v>
      </c>
      <c r="J58" s="837">
        <f>SUM(B58:I58)</f>
        <v>242</v>
      </c>
    </row>
    <row r="59" spans="1:10" ht="18.75" customHeight="1" x14ac:dyDescent="0.2">
      <c r="A59" s="1021"/>
      <c r="B59" s="838">
        <f>B58/B$14</f>
        <v>0.15126050420168066</v>
      </c>
      <c r="C59" s="838">
        <f t="shared" ref="C59:J59" si="40">C58/C$14</f>
        <v>7.4257425742574254E-2</v>
      </c>
      <c r="D59" s="838">
        <f t="shared" si="40"/>
        <v>0.14074074074074075</v>
      </c>
      <c r="E59" s="838">
        <f t="shared" si="40"/>
        <v>0.10426540284360189</v>
      </c>
      <c r="F59" s="838">
        <f t="shared" si="40"/>
        <v>0.12560386473429952</v>
      </c>
      <c r="G59" s="838">
        <f t="shared" si="40"/>
        <v>0.14578587699316628</v>
      </c>
      <c r="H59" s="838">
        <f t="shared" si="40"/>
        <v>0.5</v>
      </c>
      <c r="I59" s="838">
        <f t="shared" si="40"/>
        <v>0.21666666666666667</v>
      </c>
      <c r="J59" s="838">
        <f t="shared" si="40"/>
        <v>0.13820673900628214</v>
      </c>
    </row>
    <row r="60" spans="1:10" ht="18.75" customHeight="1" x14ac:dyDescent="0.2">
      <c r="A60" s="1010" t="s">
        <v>378</v>
      </c>
      <c r="B60" s="835">
        <f>SUM(N42:P42)</f>
        <v>17</v>
      </c>
      <c r="C60" s="835">
        <f>SUM(Q42:R42)</f>
        <v>9</v>
      </c>
      <c r="D60" s="835">
        <f>SUM(S42:V42)</f>
        <v>17</v>
      </c>
      <c r="E60" s="835">
        <f>SUM(W42:Y42)</f>
        <v>4</v>
      </c>
      <c r="F60" s="835">
        <f>SUM(Z42:AA42)</f>
        <v>13</v>
      </c>
      <c r="G60" s="835">
        <f>SUM(AB42:AD42)</f>
        <v>41</v>
      </c>
      <c r="H60" s="835">
        <f>SUM(AE42)</f>
        <v>0</v>
      </c>
      <c r="I60" s="835">
        <f>SUM(AF42)</f>
        <v>25</v>
      </c>
      <c r="J60" s="837">
        <f t="shared" ref="J60" si="41">SUM(B60:I60)</f>
        <v>126</v>
      </c>
    </row>
    <row r="61" spans="1:10" ht="18.75" customHeight="1" x14ac:dyDescent="0.2">
      <c r="A61" s="1011"/>
      <c r="B61" s="838">
        <f>B60/B$14</f>
        <v>7.1428571428571425E-2</v>
      </c>
      <c r="C61" s="838">
        <f t="shared" ref="C61:J61" si="42">C60/C$14</f>
        <v>4.4554455445544552E-2</v>
      </c>
      <c r="D61" s="838">
        <f t="shared" si="42"/>
        <v>6.2962962962962957E-2</v>
      </c>
      <c r="E61" s="838">
        <f t="shared" si="42"/>
        <v>1.8957345971563982E-2</v>
      </c>
      <c r="F61" s="838">
        <f t="shared" si="42"/>
        <v>6.280193236714976E-2</v>
      </c>
      <c r="G61" s="838">
        <f t="shared" si="42"/>
        <v>9.3394077448747156E-2</v>
      </c>
      <c r="H61" s="838">
        <f t="shared" si="42"/>
        <v>0</v>
      </c>
      <c r="I61" s="838">
        <f t="shared" si="42"/>
        <v>0.1388888888888889</v>
      </c>
      <c r="J61" s="838">
        <f t="shared" si="42"/>
        <v>7.1958880639634501E-2</v>
      </c>
    </row>
    <row r="62" spans="1:10" ht="18.75" customHeight="1" x14ac:dyDescent="0.2">
      <c r="A62" s="1020" t="s">
        <v>462</v>
      </c>
      <c r="B62" s="835">
        <f>SUM(N43:P43)</f>
        <v>11</v>
      </c>
      <c r="C62" s="835">
        <f>SUM(Q43:R43)</f>
        <v>4</v>
      </c>
      <c r="D62" s="835">
        <f>SUM(S43:V43)</f>
        <v>8</v>
      </c>
      <c r="E62" s="835">
        <f>SUM(W43:Y43)</f>
        <v>8</v>
      </c>
      <c r="F62" s="835">
        <f>SUM(Z43:AA43)</f>
        <v>3</v>
      </c>
      <c r="G62" s="835">
        <f>SUM(AB43:AD43)</f>
        <v>14</v>
      </c>
      <c r="H62" s="835">
        <f>SUM(AE43)</f>
        <v>1</v>
      </c>
      <c r="I62" s="835">
        <f>SUM(AF43)</f>
        <v>2</v>
      </c>
      <c r="J62" s="837">
        <f>SUM(B62:I62)</f>
        <v>51</v>
      </c>
    </row>
    <row r="63" spans="1:10" ht="18.75" customHeight="1" x14ac:dyDescent="0.2">
      <c r="A63" s="1021"/>
      <c r="B63" s="838">
        <f>B62/B$14</f>
        <v>4.6218487394957986E-2</v>
      </c>
      <c r="C63" s="838">
        <f t="shared" ref="C63:J63" si="43">C62/C$14</f>
        <v>1.9801980198019802E-2</v>
      </c>
      <c r="D63" s="838">
        <f t="shared" si="43"/>
        <v>2.9629629629629631E-2</v>
      </c>
      <c r="E63" s="838">
        <f t="shared" si="43"/>
        <v>3.7914691943127965E-2</v>
      </c>
      <c r="F63" s="838">
        <f t="shared" si="43"/>
        <v>1.4492753623188406E-2</v>
      </c>
      <c r="G63" s="838">
        <f t="shared" si="43"/>
        <v>3.1890660592255128E-2</v>
      </c>
      <c r="H63" s="838">
        <f t="shared" si="43"/>
        <v>0.25</v>
      </c>
      <c r="I63" s="838">
        <f t="shared" si="43"/>
        <v>1.1111111111111112E-2</v>
      </c>
      <c r="J63" s="838">
        <f t="shared" si="43"/>
        <v>2.9126213592233011E-2</v>
      </c>
    </row>
    <row r="65" spans="1:11" x14ac:dyDescent="0.2">
      <c r="A65" s="461"/>
      <c r="B65" s="461"/>
      <c r="C65" s="461"/>
      <c r="D65" s="461"/>
      <c r="E65" s="461"/>
      <c r="F65" s="461"/>
      <c r="G65" s="461"/>
      <c r="H65" s="461"/>
      <c r="I65" s="461"/>
      <c r="J65" s="109"/>
      <c r="K65" s="109"/>
    </row>
    <row r="66" spans="1:11" x14ac:dyDescent="0.2">
      <c r="A66" s="404"/>
      <c r="B66" s="109"/>
      <c r="C66" s="109"/>
      <c r="D66" s="109"/>
      <c r="E66" s="109"/>
      <c r="F66" s="109"/>
      <c r="G66" s="109"/>
      <c r="H66" s="109"/>
      <c r="I66" s="109"/>
      <c r="J66" s="109"/>
      <c r="K66" s="109"/>
    </row>
    <row r="67" spans="1:11" x14ac:dyDescent="0.2">
      <c r="A67" s="109"/>
      <c r="B67" s="109"/>
      <c r="C67" s="109"/>
      <c r="D67" s="109"/>
      <c r="E67" s="109"/>
      <c r="F67" s="109"/>
      <c r="G67" s="109"/>
      <c r="H67" s="109"/>
      <c r="I67" s="109"/>
      <c r="J67" s="109"/>
      <c r="K67" s="109"/>
    </row>
    <row r="68" spans="1:11" x14ac:dyDescent="0.2">
      <c r="A68" s="109"/>
      <c r="B68" s="109"/>
      <c r="C68" s="109"/>
      <c r="D68" s="109"/>
      <c r="E68" s="109"/>
      <c r="F68" s="109"/>
      <c r="G68" s="109"/>
      <c r="H68" s="109"/>
      <c r="I68" s="109"/>
      <c r="J68" s="109"/>
      <c r="K68" s="109"/>
    </row>
    <row r="69" spans="1:11" x14ac:dyDescent="0.2">
      <c r="A69" s="109"/>
      <c r="B69" s="109"/>
      <c r="C69" s="109"/>
      <c r="D69" s="109"/>
      <c r="E69" s="109"/>
      <c r="F69" s="109"/>
      <c r="G69" s="109"/>
      <c r="H69" s="109"/>
      <c r="I69" s="109"/>
      <c r="J69" s="109"/>
      <c r="K69" s="109"/>
    </row>
    <row r="70" spans="1:11" x14ac:dyDescent="0.2">
      <c r="A70" s="109"/>
      <c r="B70" s="109"/>
      <c r="C70" s="109"/>
      <c r="D70" s="109"/>
      <c r="E70" s="109"/>
      <c r="F70" s="109"/>
      <c r="G70" s="109"/>
      <c r="H70" s="109"/>
      <c r="I70" s="109"/>
      <c r="J70" s="109"/>
      <c r="K70" s="109"/>
    </row>
    <row r="71" spans="1:11" x14ac:dyDescent="0.2">
      <c r="A71" s="109"/>
      <c r="B71" s="109"/>
      <c r="C71" s="109"/>
      <c r="D71" s="109"/>
      <c r="E71" s="109"/>
      <c r="F71" s="109"/>
      <c r="G71" s="109"/>
      <c r="H71" s="109"/>
      <c r="I71" s="109"/>
      <c r="J71" s="109"/>
      <c r="K71" s="109"/>
    </row>
    <row r="72" spans="1:11" x14ac:dyDescent="0.2">
      <c r="A72" s="109"/>
      <c r="B72" s="109"/>
      <c r="C72" s="109"/>
      <c r="D72" s="109"/>
      <c r="E72" s="109"/>
      <c r="F72" s="109"/>
      <c r="G72" s="109"/>
      <c r="H72" s="109"/>
      <c r="I72" s="109"/>
      <c r="J72" s="109"/>
      <c r="K72" s="109"/>
    </row>
    <row r="73" spans="1:11" x14ac:dyDescent="0.2">
      <c r="A73" s="109"/>
      <c r="B73" s="109"/>
      <c r="C73" s="109"/>
      <c r="D73" s="109"/>
      <c r="E73" s="109"/>
      <c r="F73" s="109"/>
      <c r="G73" s="109"/>
      <c r="H73" s="109"/>
      <c r="I73" s="109"/>
      <c r="J73" s="109"/>
      <c r="K73" s="109"/>
    </row>
    <row r="74" spans="1:11" x14ac:dyDescent="0.2">
      <c r="A74" s="109"/>
      <c r="B74" s="109"/>
      <c r="C74" s="109"/>
      <c r="D74" s="109"/>
      <c r="E74" s="109"/>
      <c r="F74" s="109"/>
      <c r="G74" s="109"/>
      <c r="H74" s="109"/>
      <c r="I74" s="109"/>
      <c r="J74" s="109"/>
      <c r="K74" s="109"/>
    </row>
    <row r="75" spans="1:11" x14ac:dyDescent="0.2">
      <c r="A75" s="109"/>
      <c r="B75" s="109"/>
      <c r="C75" s="109"/>
      <c r="D75" s="109"/>
      <c r="E75" s="109"/>
      <c r="F75" s="109"/>
      <c r="G75" s="109"/>
      <c r="H75" s="109"/>
      <c r="I75" s="109"/>
      <c r="J75" s="109"/>
      <c r="K75" s="109"/>
    </row>
    <row r="76" spans="1:11" x14ac:dyDescent="0.2">
      <c r="A76" s="109"/>
      <c r="B76" s="109"/>
      <c r="C76" s="109"/>
      <c r="D76" s="109"/>
      <c r="E76" s="109"/>
      <c r="F76" s="109"/>
      <c r="G76" s="109"/>
      <c r="H76" s="109"/>
      <c r="I76" s="109"/>
      <c r="J76" s="109"/>
      <c r="K76" s="109"/>
    </row>
    <row r="77" spans="1:11" x14ac:dyDescent="0.2">
      <c r="A77" s="109"/>
      <c r="B77" s="109"/>
      <c r="C77" s="109"/>
      <c r="D77" s="109"/>
      <c r="E77" s="109"/>
      <c r="F77" s="109"/>
      <c r="G77" s="109"/>
      <c r="H77" s="109"/>
      <c r="I77" s="109"/>
      <c r="J77" s="109"/>
      <c r="K77" s="109"/>
    </row>
    <row r="78" spans="1:11" x14ac:dyDescent="0.2">
      <c r="A78" s="109"/>
      <c r="B78" s="109"/>
      <c r="C78" s="109"/>
      <c r="D78" s="109"/>
      <c r="E78" s="109"/>
      <c r="F78" s="109"/>
      <c r="G78" s="109"/>
      <c r="H78" s="109"/>
      <c r="I78" s="109"/>
      <c r="J78" s="109"/>
      <c r="K78" s="109"/>
    </row>
    <row r="79" spans="1:11" x14ac:dyDescent="0.2">
      <c r="A79" s="109"/>
      <c r="B79" s="109"/>
      <c r="C79" s="109"/>
      <c r="D79" s="109"/>
      <c r="E79" s="109"/>
      <c r="F79" s="109"/>
      <c r="G79" s="109"/>
      <c r="H79" s="109"/>
      <c r="I79" s="109"/>
      <c r="J79" s="109"/>
      <c r="K79" s="109"/>
    </row>
    <row r="80" spans="1:11" x14ac:dyDescent="0.2">
      <c r="A80" s="109"/>
      <c r="B80" s="109"/>
      <c r="C80" s="109"/>
      <c r="D80" s="109"/>
      <c r="E80" s="109"/>
      <c r="F80" s="109"/>
      <c r="G80" s="109"/>
      <c r="H80" s="109"/>
      <c r="I80" s="109"/>
      <c r="J80" s="109"/>
      <c r="K80" s="109"/>
    </row>
    <row r="81" spans="1:11" x14ac:dyDescent="0.2">
      <c r="A81" s="109"/>
      <c r="B81" s="109"/>
      <c r="C81" s="109"/>
      <c r="D81" s="109"/>
      <c r="E81" s="109"/>
      <c r="F81" s="109"/>
      <c r="G81" s="109"/>
      <c r="H81" s="109"/>
      <c r="I81" s="109"/>
      <c r="J81" s="109"/>
      <c r="K81" s="109"/>
    </row>
    <row r="82" spans="1:11" x14ac:dyDescent="0.2">
      <c r="A82" s="109"/>
      <c r="B82" s="109"/>
      <c r="C82" s="109"/>
      <c r="D82" s="109"/>
      <c r="E82" s="109"/>
      <c r="F82" s="109"/>
      <c r="G82" s="109"/>
      <c r="H82" s="109"/>
      <c r="I82" s="109"/>
      <c r="J82" s="109"/>
      <c r="K82" s="109"/>
    </row>
    <row r="83" spans="1:11" x14ac:dyDescent="0.2">
      <c r="A83" s="109"/>
      <c r="B83" s="109"/>
      <c r="C83" s="109"/>
      <c r="D83" s="109"/>
      <c r="E83" s="109"/>
      <c r="F83" s="109"/>
      <c r="G83" s="109"/>
      <c r="H83" s="109"/>
      <c r="I83" s="109"/>
      <c r="J83" s="109"/>
      <c r="K83" s="109"/>
    </row>
    <row r="84" spans="1:11" x14ac:dyDescent="0.2">
      <c r="A84" s="109"/>
      <c r="B84" s="109"/>
      <c r="C84" s="109"/>
      <c r="D84" s="109"/>
      <c r="E84" s="109"/>
      <c r="F84" s="109"/>
      <c r="G84" s="109"/>
      <c r="H84" s="109"/>
      <c r="I84" s="109"/>
      <c r="J84" s="109"/>
      <c r="K84" s="109"/>
    </row>
    <row r="85" spans="1:11" x14ac:dyDescent="0.2">
      <c r="A85" s="109"/>
      <c r="B85" s="109"/>
      <c r="C85" s="109"/>
      <c r="D85" s="109"/>
      <c r="E85" s="109"/>
      <c r="F85" s="109"/>
      <c r="G85" s="109"/>
      <c r="H85" s="109"/>
      <c r="I85" s="109"/>
      <c r="J85" s="109"/>
      <c r="K85" s="109"/>
    </row>
    <row r="86" spans="1:11" x14ac:dyDescent="0.2">
      <c r="A86" s="404"/>
      <c r="B86" s="109"/>
      <c r="C86" s="109"/>
      <c r="D86" s="109"/>
      <c r="E86" s="109"/>
      <c r="F86" s="109"/>
      <c r="G86" s="109"/>
      <c r="H86" s="109"/>
      <c r="I86" s="109"/>
      <c r="J86" s="109"/>
      <c r="K86" s="109"/>
    </row>
    <row r="87" spans="1:11" x14ac:dyDescent="0.2">
      <c r="A87" s="404"/>
      <c r="B87" s="109"/>
      <c r="C87" s="109"/>
      <c r="D87" s="109"/>
      <c r="E87" s="109"/>
      <c r="F87" s="109"/>
      <c r="G87" s="109"/>
      <c r="H87" s="109"/>
      <c r="I87" s="109"/>
      <c r="J87" s="109"/>
      <c r="K87" s="109"/>
    </row>
    <row r="88" spans="1:11" x14ac:dyDescent="0.2">
      <c r="A88" s="109"/>
      <c r="B88" s="109"/>
      <c r="C88" s="109"/>
      <c r="D88" s="109"/>
      <c r="E88" s="109"/>
      <c r="F88" s="109"/>
      <c r="G88" s="109"/>
      <c r="H88" s="109"/>
      <c r="I88" s="109"/>
      <c r="J88" s="109"/>
      <c r="K88" s="109"/>
    </row>
    <row r="89" spans="1:11" x14ac:dyDescent="0.2">
      <c r="A89" s="109"/>
      <c r="B89" s="109"/>
      <c r="C89" s="109"/>
      <c r="D89" s="109"/>
      <c r="E89" s="109"/>
      <c r="F89" s="109"/>
      <c r="G89" s="109"/>
      <c r="H89" s="109"/>
      <c r="I89" s="109"/>
      <c r="J89" s="109"/>
      <c r="K89" s="109"/>
    </row>
  </sheetData>
  <mergeCells count="27">
    <mergeCell ref="A16:A17"/>
    <mergeCell ref="A4:A5"/>
    <mergeCell ref="A6:A7"/>
    <mergeCell ref="A8:A9"/>
    <mergeCell ref="A10:A11"/>
    <mergeCell ref="A14:A15"/>
    <mergeCell ref="A44:A45"/>
    <mergeCell ref="A18:A19"/>
    <mergeCell ref="A24:A25"/>
    <mergeCell ref="A26:A27"/>
    <mergeCell ref="A28:A29"/>
    <mergeCell ref="A30:A31"/>
    <mergeCell ref="A32:A33"/>
    <mergeCell ref="A34:A35"/>
    <mergeCell ref="A36:A37"/>
    <mergeCell ref="A38:A39"/>
    <mergeCell ref="A40:A41"/>
    <mergeCell ref="A42:A43"/>
    <mergeCell ref="A62:A63"/>
    <mergeCell ref="A46:A47"/>
    <mergeCell ref="A48:A49"/>
    <mergeCell ref="A50:A51"/>
    <mergeCell ref="A52:A53"/>
    <mergeCell ref="A54:A55"/>
    <mergeCell ref="A56:A57"/>
    <mergeCell ref="A58:A59"/>
    <mergeCell ref="A60:A61"/>
  </mergeCells>
  <phoneticPr fontId="2"/>
  <pageMargins left="0.70866141732283472" right="0.70866141732283472" top="0.74803149606299213" bottom="0.74803149606299213" header="0.31496062992125984" footer="0.31496062992125984"/>
  <pageSetup paperSize="9" scale="67" orientation="portrait" r:id="rId1"/>
  <rowBreaks count="1" manualBreakCount="1">
    <brk id="20" max="9" man="1"/>
  </rowBreaks>
  <drawing r:id="rId2"/>
  <mc:AlternateContent xmlns:mc="http://schemas.openxmlformats.org/markup-compatibility/2006">
    <mc:Choice Requires="v">
      <legacyDrawing r:id="rId3"/>
    </mc:Choice>
  </mc:AlternateContent>
  <controls>
    <control shapeId="79874" r:id="rId4" name="Button 2">
      <controlPr defaultSize="0" print="0" autoFill="0" autoPict="0" macro="[0]!データ削除_退院阻害病院所在地">
        <anchor moveWithCells="1" sizeWithCells="1">
          <from>
            <xdr:col>11</xdr:col>
            <xdr:colOff>419100</xdr:colOff>
            <xdr:row>47</xdr:row>
            <xdr:rowOff>68580</xdr:rowOff>
          </from>
          <to>
            <xdr:col>14</xdr:col>
            <xdr:colOff>182880</xdr:colOff>
            <xdr:row>49</xdr:row>
            <xdr:rowOff>121920</xdr:rowOff>
          </to>
        </anchor>
      </controlPr>
    </control>
  </controls>
  <tableParts count="3">
    <tablePart r:id="rId5"/>
    <tablePart r:id="rId6"/>
    <tablePart r:id="rId7"/>
  </tableParts>
</worksheet>
</file>

<file path=xl/worksheets/sheet3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8">
    <tabColor theme="5" tint="0.39997558519241921"/>
    <pageSetUpPr fitToPage="1"/>
  </sheetPr>
  <dimension ref="A1:AK31"/>
  <sheetViews>
    <sheetView showGridLines="0" view="pageBreakPreview" zoomScale="80" zoomScaleNormal="70" zoomScaleSheetLayoutView="80" workbookViewId="0"/>
  </sheetViews>
  <sheetFormatPr defaultColWidth="13.77734375" defaultRowHeight="17.399999999999999" x14ac:dyDescent="0.2"/>
  <cols>
    <col min="1" max="1" width="15.6640625" style="396" customWidth="1"/>
    <col min="2" max="11" width="10.5546875" style="396" bestFit="1" customWidth="1"/>
    <col min="12" max="13" width="8" style="396" hidden="1" customWidth="1"/>
    <col min="14" max="14" width="10.33203125" style="396" hidden="1" customWidth="1"/>
    <col min="15" max="15" width="14.77734375" style="396" hidden="1" customWidth="1"/>
    <col min="16" max="17" width="11.77734375" style="396" hidden="1" customWidth="1"/>
    <col min="18" max="18" width="9.21875" style="396" hidden="1" customWidth="1"/>
    <col min="19" max="19" width="11.77734375" style="396" hidden="1" customWidth="1"/>
    <col min="20" max="20" width="13.44140625" style="396" hidden="1" customWidth="1"/>
    <col min="21" max="21" width="15.109375" style="396" hidden="1" customWidth="1"/>
    <col min="22" max="23" width="11.77734375" style="396" hidden="1" customWidth="1"/>
    <col min="24" max="24" width="15.109375" style="396" hidden="1" customWidth="1"/>
    <col min="25" max="25" width="13.44140625" style="396" hidden="1" customWidth="1"/>
    <col min="26" max="28" width="11.77734375" style="396" hidden="1" customWidth="1"/>
    <col min="29" max="32" width="10.109375" style="396" hidden="1" customWidth="1"/>
    <col min="33" max="33" width="9.21875" style="396" hidden="1" customWidth="1"/>
    <col min="34" max="34" width="12" style="396" hidden="1" customWidth="1"/>
    <col min="35" max="35" width="16.109375" style="396" hidden="1" customWidth="1"/>
    <col min="36" max="36" width="9.21875" style="396" hidden="1" customWidth="1"/>
    <col min="37" max="37" width="13.77734375" style="396" hidden="1" customWidth="1"/>
    <col min="38" max="16384" width="13.77734375" style="396"/>
  </cols>
  <sheetData>
    <row r="1" spans="1:36" s="3" customFormat="1" ht="19.2" x14ac:dyDescent="0.2">
      <c r="A1" s="2" t="s">
        <v>463</v>
      </c>
    </row>
    <row r="2" spans="1:36" ht="18" thickBot="1" x14ac:dyDescent="0.25">
      <c r="A2" s="4"/>
    </row>
    <row r="3" spans="1:36" ht="36" thickTop="1" thickBot="1" x14ac:dyDescent="0.25">
      <c r="A3" s="839"/>
      <c r="B3" s="839" t="s">
        <v>386</v>
      </c>
      <c r="C3" s="839" t="s">
        <v>387</v>
      </c>
      <c r="D3" s="839" t="s">
        <v>388</v>
      </c>
      <c r="E3" s="839" t="s">
        <v>389</v>
      </c>
      <c r="F3" s="839" t="s">
        <v>390</v>
      </c>
      <c r="G3" s="839" t="s">
        <v>391</v>
      </c>
      <c r="H3" s="839" t="s">
        <v>392</v>
      </c>
      <c r="I3" s="839" t="s">
        <v>393</v>
      </c>
      <c r="J3" s="840" t="s">
        <v>464</v>
      </c>
      <c r="K3" s="839" t="s">
        <v>62</v>
      </c>
      <c r="N3" s="396" t="s">
        <v>372</v>
      </c>
      <c r="O3" s="470" t="s">
        <v>394</v>
      </c>
      <c r="P3" s="471" t="s">
        <v>395</v>
      </c>
      <c r="Q3" s="472" t="s">
        <v>396</v>
      </c>
      <c r="R3" s="472" t="s">
        <v>397</v>
      </c>
      <c r="S3" s="472" t="s">
        <v>398</v>
      </c>
      <c r="T3" s="472" t="s">
        <v>399</v>
      </c>
      <c r="U3" s="472" t="s">
        <v>400</v>
      </c>
      <c r="V3" s="472" t="s">
        <v>401</v>
      </c>
      <c r="W3" s="472" t="s">
        <v>402</v>
      </c>
      <c r="X3" s="472" t="s">
        <v>403</v>
      </c>
      <c r="Y3" s="472" t="s">
        <v>564</v>
      </c>
      <c r="Z3" s="472" t="s">
        <v>565</v>
      </c>
      <c r="AA3" s="472" t="s">
        <v>566</v>
      </c>
      <c r="AB3" s="472" t="s">
        <v>567</v>
      </c>
      <c r="AC3" s="472" t="s">
        <v>568</v>
      </c>
      <c r="AD3" s="472" t="s">
        <v>569</v>
      </c>
      <c r="AE3" s="472" t="s">
        <v>570</v>
      </c>
      <c r="AF3" s="472" t="s">
        <v>571</v>
      </c>
      <c r="AG3" s="472" t="s">
        <v>572</v>
      </c>
      <c r="AH3" s="473" t="s">
        <v>652</v>
      </c>
      <c r="AI3" s="473" t="s">
        <v>653</v>
      </c>
      <c r="AJ3" s="473" t="s">
        <v>607</v>
      </c>
    </row>
    <row r="4" spans="1:36" s="21" customFormat="1" ht="18.75" customHeight="1" thickTop="1" thickBot="1" x14ac:dyDescent="0.25">
      <c r="A4" s="1005" t="s">
        <v>2</v>
      </c>
      <c r="B4" s="835">
        <f>SUM('6-Ⅱ①'!$O4:$Q4)</f>
        <v>19</v>
      </c>
      <c r="C4" s="835">
        <f>SUM('6-Ⅱ①'!$R4:$S4)</f>
        <v>17</v>
      </c>
      <c r="D4" s="835">
        <f>SUM('6-Ⅱ①'!$T4:$W4)</f>
        <v>22</v>
      </c>
      <c r="E4" s="835">
        <f>SUM('6-Ⅱ①'!$X4:$Z4)</f>
        <v>19</v>
      </c>
      <c r="F4" s="835">
        <f>SUM('6-Ⅱ①'!$AA4:$AB4)</f>
        <v>10</v>
      </c>
      <c r="G4" s="835">
        <f>SUM('6-Ⅱ①'!$AC4:$AE4)</f>
        <v>15</v>
      </c>
      <c r="H4" s="835">
        <f>SUM('6-Ⅱ①'!$AF4)</f>
        <v>32</v>
      </c>
      <c r="I4" s="835">
        <f>SUM('6-Ⅱ①'!$AG4)</f>
        <v>21</v>
      </c>
      <c r="J4" s="835">
        <f>SUM('6-Ⅱ①'!$AH4:$AI4)</f>
        <v>11</v>
      </c>
      <c r="K4" s="837">
        <f>SUM(B4:J4)</f>
        <v>166</v>
      </c>
      <c r="N4" s="21" t="s">
        <v>2</v>
      </c>
      <c r="O4" s="696">
        <v>4</v>
      </c>
      <c r="P4" s="474">
        <v>6</v>
      </c>
      <c r="Q4" s="475">
        <v>9</v>
      </c>
      <c r="R4" s="475">
        <v>10</v>
      </c>
      <c r="S4" s="475">
        <v>7</v>
      </c>
      <c r="T4" s="475">
        <v>7</v>
      </c>
      <c r="U4" s="475">
        <v>4</v>
      </c>
      <c r="V4" s="475">
        <v>5</v>
      </c>
      <c r="W4" s="475">
        <v>6</v>
      </c>
      <c r="X4" s="475">
        <v>8</v>
      </c>
      <c r="Y4" s="475">
        <v>6</v>
      </c>
      <c r="Z4" s="475">
        <v>5</v>
      </c>
      <c r="AA4" s="475">
        <v>6</v>
      </c>
      <c r="AB4" s="475">
        <v>4</v>
      </c>
      <c r="AC4" s="475">
        <v>6</v>
      </c>
      <c r="AD4" s="475">
        <v>7</v>
      </c>
      <c r="AE4" s="475">
        <v>2</v>
      </c>
      <c r="AF4" s="475">
        <v>32</v>
      </c>
      <c r="AG4" s="476">
        <v>21</v>
      </c>
      <c r="AH4" s="477">
        <v>11</v>
      </c>
      <c r="AI4" s="478">
        <v>0</v>
      </c>
      <c r="AJ4" s="536"/>
    </row>
    <row r="5" spans="1:36" s="21" customFormat="1" ht="18.75" customHeight="1" thickTop="1" x14ac:dyDescent="0.2">
      <c r="A5" s="1007"/>
      <c r="B5" s="836">
        <f t="shared" ref="B5:K5" si="0">B4/B$24</f>
        <v>1.6129032258064516E-2</v>
      </c>
      <c r="C5" s="836">
        <f t="shared" si="0"/>
        <v>1.400329489291598E-2</v>
      </c>
      <c r="D5" s="836">
        <f t="shared" si="0"/>
        <v>1.7857142857142856E-2</v>
      </c>
      <c r="E5" s="836">
        <f t="shared" si="0"/>
        <v>1.7608897126969416E-2</v>
      </c>
      <c r="F5" s="836">
        <f t="shared" si="0"/>
        <v>9.5057034220532317E-3</v>
      </c>
      <c r="G5" s="836">
        <f t="shared" si="0"/>
        <v>5.0100200400801601E-3</v>
      </c>
      <c r="H5" s="836">
        <f t="shared" si="0"/>
        <v>1.1363636363636364E-2</v>
      </c>
      <c r="I5" s="836">
        <f t="shared" si="0"/>
        <v>1.4935988620199146E-2</v>
      </c>
      <c r="J5" s="836">
        <f t="shared" si="0"/>
        <v>9.2514718250630776E-3</v>
      </c>
      <c r="K5" s="836">
        <f t="shared" si="0"/>
        <v>1.172316384180791E-2</v>
      </c>
      <c r="N5" s="21" t="s">
        <v>3</v>
      </c>
      <c r="O5" s="479">
        <v>7</v>
      </c>
      <c r="P5" s="480">
        <v>9</v>
      </c>
      <c r="Q5" s="480">
        <v>5</v>
      </c>
      <c r="R5" s="480">
        <v>12</v>
      </c>
      <c r="S5" s="480">
        <v>13</v>
      </c>
      <c r="T5" s="480">
        <v>14</v>
      </c>
      <c r="U5" s="480">
        <v>8</v>
      </c>
      <c r="V5" s="480">
        <v>3</v>
      </c>
      <c r="W5" s="480">
        <v>8</v>
      </c>
      <c r="X5" s="480">
        <v>25</v>
      </c>
      <c r="Y5" s="480">
        <v>9</v>
      </c>
      <c r="Z5" s="480">
        <v>3</v>
      </c>
      <c r="AA5" s="480">
        <v>11</v>
      </c>
      <c r="AB5" s="480">
        <v>16</v>
      </c>
      <c r="AC5" s="480">
        <v>18</v>
      </c>
      <c r="AD5" s="480">
        <v>14</v>
      </c>
      <c r="AE5" s="480">
        <v>10</v>
      </c>
      <c r="AF5" s="480">
        <v>104</v>
      </c>
      <c r="AG5" s="481">
        <v>23</v>
      </c>
      <c r="AH5" s="482">
        <v>29</v>
      </c>
      <c r="AI5" s="483">
        <v>1</v>
      </c>
      <c r="AJ5" s="537"/>
    </row>
    <row r="6" spans="1:36" s="21" customFormat="1" ht="18.75" customHeight="1" x14ac:dyDescent="0.2">
      <c r="A6" s="1005" t="s">
        <v>3</v>
      </c>
      <c r="B6" s="835">
        <f>SUM('6-Ⅱ①'!$O5:$Q5)</f>
        <v>21</v>
      </c>
      <c r="C6" s="835">
        <f>SUM('6-Ⅱ①'!$R5:$S5)</f>
        <v>25</v>
      </c>
      <c r="D6" s="835">
        <f>SUM('6-Ⅱ①'!$T5:$W5)</f>
        <v>33</v>
      </c>
      <c r="E6" s="835">
        <f>SUM('6-Ⅱ①'!$X5:$Z5)</f>
        <v>37</v>
      </c>
      <c r="F6" s="835">
        <f>SUM('6-Ⅱ①'!$AA5:$AB5)</f>
        <v>27</v>
      </c>
      <c r="G6" s="835">
        <f>SUM('6-Ⅱ①'!$AC5:$AE5)</f>
        <v>42</v>
      </c>
      <c r="H6" s="835">
        <f>SUM('6-Ⅱ①'!$AF5)</f>
        <v>104</v>
      </c>
      <c r="I6" s="835">
        <f>SUM('6-Ⅱ①'!$AG5)</f>
        <v>23</v>
      </c>
      <c r="J6" s="835">
        <f>SUM('6-Ⅱ①'!$AH5:$AI5)</f>
        <v>30</v>
      </c>
      <c r="K6" s="837">
        <f>SUM(B6:J6)</f>
        <v>342</v>
      </c>
      <c r="N6" s="21" t="s">
        <v>4</v>
      </c>
      <c r="O6" s="475">
        <v>10</v>
      </c>
      <c r="P6" s="475">
        <v>20</v>
      </c>
      <c r="Q6" s="475">
        <v>18</v>
      </c>
      <c r="R6" s="475">
        <v>20</v>
      </c>
      <c r="S6" s="475">
        <v>16</v>
      </c>
      <c r="T6" s="475">
        <v>13</v>
      </c>
      <c r="U6" s="475">
        <v>6</v>
      </c>
      <c r="V6" s="475">
        <v>10</v>
      </c>
      <c r="W6" s="475">
        <v>10</v>
      </c>
      <c r="X6" s="475">
        <v>22</v>
      </c>
      <c r="Y6" s="475">
        <v>20</v>
      </c>
      <c r="Z6" s="475">
        <v>3</v>
      </c>
      <c r="AA6" s="475">
        <v>13</v>
      </c>
      <c r="AB6" s="475">
        <v>22</v>
      </c>
      <c r="AC6" s="475">
        <v>18</v>
      </c>
      <c r="AD6" s="475">
        <v>26</v>
      </c>
      <c r="AE6" s="475">
        <v>28</v>
      </c>
      <c r="AF6" s="475">
        <v>139</v>
      </c>
      <c r="AG6" s="476">
        <v>58</v>
      </c>
      <c r="AH6" s="477">
        <v>38</v>
      </c>
      <c r="AI6" s="484">
        <v>2</v>
      </c>
      <c r="AJ6" s="536"/>
    </row>
    <row r="7" spans="1:36" s="21" customFormat="1" ht="18.75" customHeight="1" x14ac:dyDescent="0.2">
      <c r="A7" s="1007"/>
      <c r="B7" s="836">
        <f t="shared" ref="B7:K7" si="1">B6/B$24</f>
        <v>1.7826825127334467E-2</v>
      </c>
      <c r="C7" s="836">
        <f t="shared" si="1"/>
        <v>2.059308072487644E-2</v>
      </c>
      <c r="D7" s="836">
        <f t="shared" si="1"/>
        <v>2.6785714285714284E-2</v>
      </c>
      <c r="E7" s="836">
        <f t="shared" si="1"/>
        <v>3.4291010194624653E-2</v>
      </c>
      <c r="F7" s="836">
        <f t="shared" si="1"/>
        <v>2.5665399239543727E-2</v>
      </c>
      <c r="G7" s="836">
        <f t="shared" si="1"/>
        <v>1.4028056112224449E-2</v>
      </c>
      <c r="H7" s="836">
        <f t="shared" si="1"/>
        <v>3.6931818181818184E-2</v>
      </c>
      <c r="I7" s="836">
        <f t="shared" si="1"/>
        <v>1.6358463726884778E-2</v>
      </c>
      <c r="J7" s="836">
        <f t="shared" si="1"/>
        <v>2.5231286795626577E-2</v>
      </c>
      <c r="K7" s="836">
        <f t="shared" si="1"/>
        <v>2.4152542372881357E-2</v>
      </c>
      <c r="N7" s="21" t="s">
        <v>5</v>
      </c>
      <c r="O7" s="480">
        <v>26</v>
      </c>
      <c r="P7" s="480">
        <v>39</v>
      </c>
      <c r="Q7" s="480">
        <v>32</v>
      </c>
      <c r="R7" s="480">
        <v>48</v>
      </c>
      <c r="S7" s="480">
        <v>35</v>
      </c>
      <c r="T7" s="480">
        <v>41</v>
      </c>
      <c r="U7" s="480">
        <v>30</v>
      </c>
      <c r="V7" s="480">
        <v>28</v>
      </c>
      <c r="W7" s="480">
        <v>19</v>
      </c>
      <c r="X7" s="480">
        <v>47</v>
      </c>
      <c r="Y7" s="480">
        <v>25</v>
      </c>
      <c r="Z7" s="480">
        <v>6</v>
      </c>
      <c r="AA7" s="480">
        <v>31</v>
      </c>
      <c r="AB7" s="480">
        <v>48</v>
      </c>
      <c r="AC7" s="480">
        <v>55</v>
      </c>
      <c r="AD7" s="480">
        <v>50</v>
      </c>
      <c r="AE7" s="480">
        <v>47</v>
      </c>
      <c r="AF7" s="480">
        <v>255</v>
      </c>
      <c r="AG7" s="481">
        <v>102</v>
      </c>
      <c r="AH7" s="482">
        <v>76</v>
      </c>
      <c r="AI7" s="483">
        <v>12</v>
      </c>
      <c r="AJ7" s="537"/>
    </row>
    <row r="8" spans="1:36" s="21" customFormat="1" ht="18.75" customHeight="1" x14ac:dyDescent="0.2">
      <c r="A8" s="1005" t="s">
        <v>4</v>
      </c>
      <c r="B8" s="835">
        <f>SUM('6-Ⅱ①'!$O6:$Q6)</f>
        <v>48</v>
      </c>
      <c r="C8" s="835">
        <f>SUM('6-Ⅱ①'!$R6:$S6)</f>
        <v>36</v>
      </c>
      <c r="D8" s="835">
        <f>SUM('6-Ⅱ①'!$T6:$W6)</f>
        <v>39</v>
      </c>
      <c r="E8" s="835">
        <f>SUM('6-Ⅱ①'!$X6:$Z6)</f>
        <v>45</v>
      </c>
      <c r="F8" s="835">
        <f>SUM('6-Ⅱ①'!$AA6:$AB6)</f>
        <v>35</v>
      </c>
      <c r="G8" s="835">
        <f>SUM('6-Ⅱ①'!$AC6:$AE6)</f>
        <v>72</v>
      </c>
      <c r="H8" s="835">
        <f>SUM('6-Ⅱ①'!$AF6)</f>
        <v>139</v>
      </c>
      <c r="I8" s="835">
        <f>SUM('6-Ⅱ①'!$AG6)</f>
        <v>58</v>
      </c>
      <c r="J8" s="835">
        <f>SUM('6-Ⅱ①'!$AH6:$AI6)</f>
        <v>40</v>
      </c>
      <c r="K8" s="837">
        <f>SUM(B8:J8)</f>
        <v>512</v>
      </c>
      <c r="N8" s="21" t="s">
        <v>6</v>
      </c>
      <c r="O8" s="475">
        <v>45</v>
      </c>
      <c r="P8" s="475">
        <v>80</v>
      </c>
      <c r="Q8" s="475">
        <v>63</v>
      </c>
      <c r="R8" s="475">
        <v>97</v>
      </c>
      <c r="S8" s="475">
        <v>95</v>
      </c>
      <c r="T8" s="475">
        <v>73</v>
      </c>
      <c r="U8" s="475">
        <v>62</v>
      </c>
      <c r="V8" s="475">
        <v>54</v>
      </c>
      <c r="W8" s="475">
        <v>44</v>
      </c>
      <c r="X8" s="475">
        <v>144</v>
      </c>
      <c r="Y8" s="475">
        <v>69</v>
      </c>
      <c r="Z8" s="475">
        <v>11</v>
      </c>
      <c r="AA8" s="475">
        <v>78</v>
      </c>
      <c r="AB8" s="475">
        <v>103</v>
      </c>
      <c r="AC8" s="475">
        <v>122</v>
      </c>
      <c r="AD8" s="475">
        <v>142</v>
      </c>
      <c r="AE8" s="475">
        <v>134</v>
      </c>
      <c r="AF8" s="475">
        <v>527</v>
      </c>
      <c r="AG8" s="476">
        <v>241</v>
      </c>
      <c r="AH8" s="477">
        <v>175</v>
      </c>
      <c r="AI8" s="484">
        <v>19</v>
      </c>
      <c r="AJ8" s="536"/>
    </row>
    <row r="9" spans="1:36" s="21" customFormat="1" ht="18.75" customHeight="1" x14ac:dyDescent="0.2">
      <c r="A9" s="1007"/>
      <c r="B9" s="836">
        <f t="shared" ref="B9:K9" si="2">B8/B$24</f>
        <v>4.074702886247878E-2</v>
      </c>
      <c r="C9" s="836">
        <f t="shared" si="2"/>
        <v>2.9654036243822075E-2</v>
      </c>
      <c r="D9" s="836">
        <f t="shared" si="2"/>
        <v>3.1655844155844153E-2</v>
      </c>
      <c r="E9" s="836">
        <f t="shared" si="2"/>
        <v>4.1705282669138088E-2</v>
      </c>
      <c r="F9" s="836">
        <f t="shared" si="2"/>
        <v>3.3269961977186312E-2</v>
      </c>
      <c r="G9" s="836">
        <f t="shared" si="2"/>
        <v>2.4048096192384769E-2</v>
      </c>
      <c r="H9" s="836">
        <f t="shared" si="2"/>
        <v>4.9360795454545456E-2</v>
      </c>
      <c r="I9" s="836">
        <f t="shared" si="2"/>
        <v>4.1251778093883355E-2</v>
      </c>
      <c r="J9" s="836">
        <f t="shared" si="2"/>
        <v>3.3641715727502103E-2</v>
      </c>
      <c r="K9" s="836">
        <f t="shared" si="2"/>
        <v>3.6158192090395481E-2</v>
      </c>
      <c r="N9" s="21" t="s">
        <v>7</v>
      </c>
      <c r="O9" s="480">
        <v>53</v>
      </c>
      <c r="P9" s="480">
        <v>66</v>
      </c>
      <c r="Q9" s="480">
        <v>60</v>
      </c>
      <c r="R9" s="480">
        <v>103</v>
      </c>
      <c r="S9" s="480">
        <v>67</v>
      </c>
      <c r="T9" s="480">
        <v>67</v>
      </c>
      <c r="U9" s="480">
        <v>35</v>
      </c>
      <c r="V9" s="480">
        <v>47</v>
      </c>
      <c r="W9" s="480">
        <v>37</v>
      </c>
      <c r="X9" s="480">
        <v>142</v>
      </c>
      <c r="Y9" s="480">
        <v>50</v>
      </c>
      <c r="Z9" s="480">
        <v>25</v>
      </c>
      <c r="AA9" s="480">
        <v>63</v>
      </c>
      <c r="AB9" s="480">
        <v>109</v>
      </c>
      <c r="AC9" s="480">
        <v>133</v>
      </c>
      <c r="AD9" s="480">
        <v>200</v>
      </c>
      <c r="AE9" s="480">
        <v>121</v>
      </c>
      <c r="AF9" s="480">
        <v>510</v>
      </c>
      <c r="AG9" s="481">
        <v>233</v>
      </c>
      <c r="AH9" s="482">
        <v>210</v>
      </c>
      <c r="AI9" s="483">
        <v>17</v>
      </c>
      <c r="AJ9" s="537"/>
    </row>
    <row r="10" spans="1:36" s="21" customFormat="1" ht="18.75" customHeight="1" x14ac:dyDescent="0.2">
      <c r="A10" s="1005" t="s">
        <v>5</v>
      </c>
      <c r="B10" s="835">
        <f>SUM('6-Ⅱ①'!$O7:$Q7)</f>
        <v>97</v>
      </c>
      <c r="C10" s="835">
        <f>SUM('6-Ⅱ①'!$R7:$S7)</f>
        <v>83</v>
      </c>
      <c r="D10" s="835">
        <f>SUM('6-Ⅱ①'!$T7:$W7)</f>
        <v>118</v>
      </c>
      <c r="E10" s="835">
        <f>SUM('6-Ⅱ①'!$X7:$Z7)</f>
        <v>78</v>
      </c>
      <c r="F10" s="835">
        <f>SUM('6-Ⅱ①'!$AA7:$AB7)</f>
        <v>79</v>
      </c>
      <c r="G10" s="835">
        <f>SUM('6-Ⅱ①'!$AC7:$AE7)</f>
        <v>152</v>
      </c>
      <c r="H10" s="835">
        <f>SUM('6-Ⅱ①'!$AF7)</f>
        <v>255</v>
      </c>
      <c r="I10" s="835">
        <f>SUM('6-Ⅱ①'!$AG7)</f>
        <v>102</v>
      </c>
      <c r="J10" s="835">
        <f>SUM('6-Ⅱ①'!$AH7:$AI7)</f>
        <v>88</v>
      </c>
      <c r="K10" s="837">
        <f>SUM(B10:J10)</f>
        <v>1052</v>
      </c>
      <c r="N10" s="21" t="s">
        <v>8</v>
      </c>
      <c r="O10" s="475">
        <v>93</v>
      </c>
      <c r="P10" s="475">
        <v>112</v>
      </c>
      <c r="Q10" s="475">
        <v>101</v>
      </c>
      <c r="R10" s="475">
        <v>143</v>
      </c>
      <c r="S10" s="475">
        <v>132</v>
      </c>
      <c r="T10" s="475">
        <v>102</v>
      </c>
      <c r="U10" s="475">
        <v>55</v>
      </c>
      <c r="V10" s="475">
        <v>71</v>
      </c>
      <c r="W10" s="475">
        <v>55</v>
      </c>
      <c r="X10" s="475">
        <v>149</v>
      </c>
      <c r="Y10" s="475">
        <v>63</v>
      </c>
      <c r="Z10" s="475">
        <v>19</v>
      </c>
      <c r="AA10" s="475">
        <v>127</v>
      </c>
      <c r="AB10" s="475">
        <v>123</v>
      </c>
      <c r="AC10" s="475">
        <v>217</v>
      </c>
      <c r="AD10" s="475">
        <v>303</v>
      </c>
      <c r="AE10" s="475">
        <v>210</v>
      </c>
      <c r="AF10" s="475">
        <v>662</v>
      </c>
      <c r="AG10" s="476">
        <v>307</v>
      </c>
      <c r="AH10" s="477">
        <v>293</v>
      </c>
      <c r="AI10" s="484">
        <v>24</v>
      </c>
      <c r="AJ10" s="536"/>
    </row>
    <row r="11" spans="1:36" s="21" customFormat="1" ht="18.75" customHeight="1" x14ac:dyDescent="0.2">
      <c r="A11" s="1007"/>
      <c r="B11" s="836">
        <f t="shared" ref="B11:K11" si="3">B10/B$24</f>
        <v>8.234295415959253E-2</v>
      </c>
      <c r="C11" s="836">
        <f t="shared" si="3"/>
        <v>6.8369028006589783E-2</v>
      </c>
      <c r="D11" s="836">
        <f t="shared" si="3"/>
        <v>9.5779220779220783E-2</v>
      </c>
      <c r="E11" s="836">
        <f t="shared" si="3"/>
        <v>7.2289156626506021E-2</v>
      </c>
      <c r="F11" s="836">
        <f t="shared" si="3"/>
        <v>7.5095057034220536E-2</v>
      </c>
      <c r="G11" s="836">
        <f t="shared" si="3"/>
        <v>5.0768203072812289E-2</v>
      </c>
      <c r="H11" s="836">
        <f t="shared" si="3"/>
        <v>9.0553977272727279E-2</v>
      </c>
      <c r="I11" s="836">
        <f t="shared" si="3"/>
        <v>7.254623044096728E-2</v>
      </c>
      <c r="J11" s="836">
        <f t="shared" si="3"/>
        <v>7.4011774600504621E-2</v>
      </c>
      <c r="K11" s="836">
        <f t="shared" si="3"/>
        <v>7.4293785310734467E-2</v>
      </c>
      <c r="N11" s="21" t="s">
        <v>9</v>
      </c>
      <c r="O11" s="480">
        <v>71</v>
      </c>
      <c r="P11" s="480">
        <v>115</v>
      </c>
      <c r="Q11" s="480">
        <v>78</v>
      </c>
      <c r="R11" s="480">
        <v>173</v>
      </c>
      <c r="S11" s="480">
        <v>173</v>
      </c>
      <c r="T11" s="480">
        <v>96</v>
      </c>
      <c r="U11" s="480">
        <v>31</v>
      </c>
      <c r="V11" s="480">
        <v>66</v>
      </c>
      <c r="W11" s="480">
        <v>63</v>
      </c>
      <c r="X11" s="480">
        <v>122</v>
      </c>
      <c r="Y11" s="480">
        <v>50</v>
      </c>
      <c r="Z11" s="480">
        <v>18</v>
      </c>
      <c r="AA11" s="480">
        <v>128</v>
      </c>
      <c r="AB11" s="480">
        <v>121</v>
      </c>
      <c r="AC11" s="480">
        <v>215</v>
      </c>
      <c r="AD11" s="480">
        <v>343</v>
      </c>
      <c r="AE11" s="480">
        <v>294</v>
      </c>
      <c r="AF11" s="480">
        <v>508</v>
      </c>
      <c r="AG11" s="481">
        <v>336</v>
      </c>
      <c r="AH11" s="482">
        <v>216</v>
      </c>
      <c r="AI11" s="483">
        <v>13</v>
      </c>
      <c r="AJ11" s="537"/>
    </row>
    <row r="12" spans="1:36" s="21" customFormat="1" ht="18.75" customHeight="1" x14ac:dyDescent="0.2">
      <c r="A12" s="1005" t="s">
        <v>6</v>
      </c>
      <c r="B12" s="835">
        <f>SUM('6-Ⅱ①'!$O8:$Q8)</f>
        <v>188</v>
      </c>
      <c r="C12" s="835">
        <f>SUM('6-Ⅱ①'!$R8:$S8)</f>
        <v>192</v>
      </c>
      <c r="D12" s="835">
        <f>SUM('6-Ⅱ①'!$T8:$W8)</f>
        <v>233</v>
      </c>
      <c r="E12" s="835">
        <f>SUM('6-Ⅱ①'!$X8:$Z8)</f>
        <v>224</v>
      </c>
      <c r="F12" s="835">
        <f>SUM('6-Ⅱ①'!$AA8:$AB8)</f>
        <v>181</v>
      </c>
      <c r="G12" s="835">
        <f>SUM('6-Ⅱ①'!$AC8:$AE8)</f>
        <v>398</v>
      </c>
      <c r="H12" s="835">
        <f>SUM('6-Ⅱ①'!$AF8)</f>
        <v>527</v>
      </c>
      <c r="I12" s="835">
        <f>SUM('6-Ⅱ①'!$AG8)</f>
        <v>241</v>
      </c>
      <c r="J12" s="835">
        <f>SUM('6-Ⅱ①'!$AH8:$AI8)</f>
        <v>194</v>
      </c>
      <c r="K12" s="837">
        <f>SUM(B12:J12)</f>
        <v>2378</v>
      </c>
      <c r="N12" s="21" t="s">
        <v>10</v>
      </c>
      <c r="O12" s="475">
        <v>19</v>
      </c>
      <c r="P12" s="475">
        <v>23</v>
      </c>
      <c r="Q12" s="475">
        <v>14</v>
      </c>
      <c r="R12" s="475">
        <v>30</v>
      </c>
      <c r="S12" s="475">
        <v>40</v>
      </c>
      <c r="T12" s="475">
        <v>22</v>
      </c>
      <c r="U12" s="475">
        <v>15</v>
      </c>
      <c r="V12" s="475">
        <v>9</v>
      </c>
      <c r="W12" s="475">
        <v>16</v>
      </c>
      <c r="X12" s="475">
        <v>19</v>
      </c>
      <c r="Y12" s="475">
        <v>17</v>
      </c>
      <c r="Z12" s="475">
        <v>2</v>
      </c>
      <c r="AA12" s="475">
        <v>22</v>
      </c>
      <c r="AB12" s="475">
        <v>27</v>
      </c>
      <c r="AC12" s="475">
        <v>72</v>
      </c>
      <c r="AD12" s="475">
        <v>122</v>
      </c>
      <c r="AE12" s="475">
        <v>85</v>
      </c>
      <c r="AF12" s="475">
        <v>79</v>
      </c>
      <c r="AG12" s="476">
        <v>85</v>
      </c>
      <c r="AH12" s="477">
        <v>50</v>
      </c>
      <c r="AI12" s="484">
        <v>2</v>
      </c>
      <c r="AJ12" s="536"/>
    </row>
    <row r="13" spans="1:36" s="21" customFormat="1" ht="18.75" customHeight="1" x14ac:dyDescent="0.2">
      <c r="A13" s="1007"/>
      <c r="B13" s="836">
        <f t="shared" ref="B13:K13" si="4">B12/B$24</f>
        <v>0.15959252971137522</v>
      </c>
      <c r="C13" s="836">
        <f t="shared" si="4"/>
        <v>0.15815485996705106</v>
      </c>
      <c r="D13" s="836">
        <f t="shared" si="4"/>
        <v>0.18912337662337661</v>
      </c>
      <c r="E13" s="836">
        <f t="shared" si="4"/>
        <v>0.20759962928637626</v>
      </c>
      <c r="F13" s="836">
        <f t="shared" si="4"/>
        <v>0.1720532319391635</v>
      </c>
      <c r="G13" s="836">
        <f t="shared" si="4"/>
        <v>0.13293253173012692</v>
      </c>
      <c r="H13" s="836">
        <f t="shared" si="4"/>
        <v>0.18714488636363635</v>
      </c>
      <c r="I13" s="836">
        <f t="shared" si="4"/>
        <v>0.17140825035561877</v>
      </c>
      <c r="J13" s="836">
        <f t="shared" si="4"/>
        <v>0.1631623212783852</v>
      </c>
      <c r="K13" s="836">
        <f t="shared" si="4"/>
        <v>0.16793785310734463</v>
      </c>
      <c r="N13" s="21" t="s">
        <v>62</v>
      </c>
      <c r="O13" s="480"/>
      <c r="P13" s="480"/>
      <c r="Q13" s="480"/>
      <c r="R13" s="480"/>
      <c r="S13" s="480"/>
      <c r="T13" s="480"/>
      <c r="U13" s="480"/>
      <c r="V13" s="480"/>
      <c r="W13" s="480"/>
      <c r="X13" s="480"/>
      <c r="Y13" s="480"/>
      <c r="Z13" s="480"/>
      <c r="AA13" s="480"/>
      <c r="AB13" s="480"/>
      <c r="AC13" s="480"/>
      <c r="AD13" s="480"/>
      <c r="AE13" s="480"/>
      <c r="AF13" s="480"/>
      <c r="AG13" s="481"/>
      <c r="AH13" s="485"/>
      <c r="AI13" s="483"/>
      <c r="AJ13" s="537"/>
    </row>
    <row r="14" spans="1:36" s="21" customFormat="1" ht="18.75" customHeight="1" thickBot="1" x14ac:dyDescent="0.25">
      <c r="A14" s="1005" t="s">
        <v>7</v>
      </c>
      <c r="B14" s="835">
        <f>SUM('6-Ⅱ①'!$O9:$Q9)</f>
        <v>179</v>
      </c>
      <c r="C14" s="835">
        <f>SUM('6-Ⅱ①'!$R9:$S9)</f>
        <v>170</v>
      </c>
      <c r="D14" s="835">
        <f>SUM('6-Ⅱ①'!$T9:$W9)</f>
        <v>186</v>
      </c>
      <c r="E14" s="835">
        <f>SUM('6-Ⅱ①'!$X9:$Z9)</f>
        <v>217</v>
      </c>
      <c r="F14" s="835">
        <f>SUM('6-Ⅱ①'!$AA9:$AB9)</f>
        <v>172</v>
      </c>
      <c r="G14" s="835">
        <f>SUM('6-Ⅱ①'!$AC9:$AE9)</f>
        <v>454</v>
      </c>
      <c r="H14" s="835">
        <f>SUM('6-Ⅱ①'!$AF9)</f>
        <v>510</v>
      </c>
      <c r="I14" s="835">
        <f>SUM('6-Ⅱ①'!$AG9)</f>
        <v>233</v>
      </c>
      <c r="J14" s="835">
        <f>SUM('6-Ⅱ①'!$AH9:$AI9)</f>
        <v>227</v>
      </c>
      <c r="K14" s="837">
        <f>SUM(B14:J14)</f>
        <v>2348</v>
      </c>
      <c r="N14" s="697"/>
      <c r="O14" s="698" t="s">
        <v>308</v>
      </c>
      <c r="P14" s="698" t="s">
        <v>587</v>
      </c>
      <c r="Q14" s="698" t="s">
        <v>588</v>
      </c>
      <c r="R14" s="698" t="s">
        <v>589</v>
      </c>
      <c r="S14" s="698" t="s">
        <v>590</v>
      </c>
      <c r="T14" s="698" t="s">
        <v>591</v>
      </c>
      <c r="U14" s="698" t="s">
        <v>592</v>
      </c>
      <c r="V14" s="698" t="s">
        <v>593</v>
      </c>
      <c r="W14" s="698" t="s">
        <v>594</v>
      </c>
      <c r="X14" s="698" t="s">
        <v>595</v>
      </c>
      <c r="Y14" s="698" t="s">
        <v>596</v>
      </c>
      <c r="Z14" s="698" t="s">
        <v>597</v>
      </c>
      <c r="AA14" s="698" t="s">
        <v>598</v>
      </c>
      <c r="AB14" s="698" t="s">
        <v>599</v>
      </c>
      <c r="AC14" s="698" t="s">
        <v>600</v>
      </c>
      <c r="AD14" s="698" t="s">
        <v>601</v>
      </c>
      <c r="AE14" s="698" t="s">
        <v>602</v>
      </c>
      <c r="AF14" s="698" t="s">
        <v>603</v>
      </c>
      <c r="AG14" s="698" t="s">
        <v>604</v>
      </c>
      <c r="AH14" s="699" t="s">
        <v>605</v>
      </c>
      <c r="AI14" s="700" t="s">
        <v>606</v>
      </c>
      <c r="AJ14" s="703" t="s">
        <v>607</v>
      </c>
    </row>
    <row r="15" spans="1:36" s="21" customFormat="1" ht="18.75" customHeight="1" thickTop="1" thickBot="1" x14ac:dyDescent="0.25">
      <c r="A15" s="1007"/>
      <c r="B15" s="836">
        <f t="shared" ref="B15:K15" si="5">B14/B$24</f>
        <v>0.15195246179966043</v>
      </c>
      <c r="C15" s="836">
        <f t="shared" si="5"/>
        <v>0.1400329489291598</v>
      </c>
      <c r="D15" s="836">
        <f t="shared" si="5"/>
        <v>0.15097402597402598</v>
      </c>
      <c r="E15" s="836">
        <f t="shared" si="5"/>
        <v>0.20111214087117701</v>
      </c>
      <c r="F15" s="836">
        <f t="shared" si="5"/>
        <v>0.1634980988593156</v>
      </c>
      <c r="G15" s="836">
        <f t="shared" si="5"/>
        <v>0.15163660654642619</v>
      </c>
      <c r="H15" s="836">
        <f t="shared" si="5"/>
        <v>0.18110795454545456</v>
      </c>
      <c r="I15" s="836">
        <f t="shared" si="5"/>
        <v>0.16571834992887624</v>
      </c>
      <c r="J15" s="836">
        <f t="shared" si="5"/>
        <v>0.19091673675357443</v>
      </c>
      <c r="K15" s="836">
        <f t="shared" si="5"/>
        <v>0.16581920903954803</v>
      </c>
      <c r="N15" s="21" t="s">
        <v>156</v>
      </c>
      <c r="O15" s="701">
        <v>121</v>
      </c>
      <c r="P15" s="702">
        <v>185</v>
      </c>
      <c r="Q15" s="476">
        <v>166</v>
      </c>
      <c r="R15" s="476">
        <v>240</v>
      </c>
      <c r="S15" s="476">
        <v>200</v>
      </c>
      <c r="T15" s="476">
        <v>186</v>
      </c>
      <c r="U15" s="476">
        <v>131</v>
      </c>
      <c r="V15" s="476">
        <v>123</v>
      </c>
      <c r="W15" s="476">
        <v>104</v>
      </c>
      <c r="X15" s="476">
        <v>321</v>
      </c>
      <c r="Y15" s="476">
        <v>151</v>
      </c>
      <c r="Z15" s="476">
        <v>40</v>
      </c>
      <c r="AA15" s="476">
        <v>174</v>
      </c>
      <c r="AB15" s="476">
        <v>251</v>
      </c>
      <c r="AC15" s="476">
        <v>280</v>
      </c>
      <c r="AD15" s="476">
        <v>343</v>
      </c>
      <c r="AE15" s="476">
        <v>273</v>
      </c>
      <c r="AF15" s="476">
        <v>1336</v>
      </c>
      <c r="AG15" s="476">
        <v>563</v>
      </c>
      <c r="AH15" s="477">
        <v>435</v>
      </c>
      <c r="AI15" s="484">
        <v>43</v>
      </c>
      <c r="AJ15" s="536"/>
    </row>
    <row r="16" spans="1:36" s="21" customFormat="1" ht="18.75" customHeight="1" thickTop="1" x14ac:dyDescent="0.2">
      <c r="A16" s="1005" t="s">
        <v>8</v>
      </c>
      <c r="B16" s="835">
        <f>SUM('6-Ⅱ①'!$O10:$Q10)</f>
        <v>306</v>
      </c>
      <c r="C16" s="835">
        <f>SUM('6-Ⅱ①'!$R10:$S10)</f>
        <v>275</v>
      </c>
      <c r="D16" s="835">
        <f>SUM('6-Ⅱ①'!$T10:$W10)</f>
        <v>283</v>
      </c>
      <c r="E16" s="835">
        <f>SUM('6-Ⅱ①'!$X10:$Z10)</f>
        <v>231</v>
      </c>
      <c r="F16" s="835">
        <f>SUM('6-Ⅱ①'!$AA10:$AB10)</f>
        <v>250</v>
      </c>
      <c r="G16" s="835">
        <f>SUM('6-Ⅱ①'!$AC10:$AE10)</f>
        <v>730</v>
      </c>
      <c r="H16" s="835">
        <f>SUM('6-Ⅱ①'!$AF10)</f>
        <v>662</v>
      </c>
      <c r="I16" s="835">
        <f>SUM('6-Ⅱ①'!$AG10)</f>
        <v>307</v>
      </c>
      <c r="J16" s="835">
        <f>SUM('6-Ⅱ①'!$AH10:$AI10)</f>
        <v>317</v>
      </c>
      <c r="K16" s="837">
        <f>SUM(B16:J16)</f>
        <v>3361</v>
      </c>
      <c r="N16" s="21" t="s">
        <v>265</v>
      </c>
      <c r="O16" s="486">
        <v>207</v>
      </c>
      <c r="P16" s="476">
        <v>285</v>
      </c>
      <c r="Q16" s="476">
        <v>214</v>
      </c>
      <c r="R16" s="476">
        <v>396</v>
      </c>
      <c r="S16" s="476">
        <v>378</v>
      </c>
      <c r="T16" s="476">
        <v>249</v>
      </c>
      <c r="U16" s="476">
        <v>115</v>
      </c>
      <c r="V16" s="476">
        <v>170</v>
      </c>
      <c r="W16" s="476">
        <v>154</v>
      </c>
      <c r="X16" s="476">
        <v>357</v>
      </c>
      <c r="Y16" s="476">
        <v>158</v>
      </c>
      <c r="Z16" s="476">
        <v>52</v>
      </c>
      <c r="AA16" s="476">
        <v>305</v>
      </c>
      <c r="AB16" s="476">
        <v>322</v>
      </c>
      <c r="AC16" s="476">
        <v>576</v>
      </c>
      <c r="AD16" s="476">
        <v>864</v>
      </c>
      <c r="AE16" s="476">
        <v>658</v>
      </c>
      <c r="AF16" s="476">
        <v>1480</v>
      </c>
      <c r="AG16" s="476">
        <v>843</v>
      </c>
      <c r="AH16" s="477">
        <v>663</v>
      </c>
      <c r="AI16" s="484">
        <v>47</v>
      </c>
      <c r="AJ16" s="536"/>
    </row>
    <row r="17" spans="1:36" s="21" customFormat="1" ht="18.75" customHeight="1" x14ac:dyDescent="0.2">
      <c r="A17" s="1007"/>
      <c r="B17" s="836">
        <f t="shared" ref="B17:K17" si="6">B16/B$24</f>
        <v>0.25976230899830222</v>
      </c>
      <c r="C17" s="836">
        <f t="shared" si="6"/>
        <v>0.22652388797364087</v>
      </c>
      <c r="D17" s="836">
        <f t="shared" si="6"/>
        <v>0.22970779220779219</v>
      </c>
      <c r="E17" s="836">
        <f t="shared" si="6"/>
        <v>0.21408711770157554</v>
      </c>
      <c r="F17" s="836">
        <f t="shared" si="6"/>
        <v>0.2376425855513308</v>
      </c>
      <c r="G17" s="836">
        <f t="shared" si="6"/>
        <v>0.24382097528390115</v>
      </c>
      <c r="H17" s="836">
        <f t="shared" si="6"/>
        <v>0.23508522727272727</v>
      </c>
      <c r="I17" s="836">
        <f t="shared" si="6"/>
        <v>0.21834992887624466</v>
      </c>
      <c r="J17" s="836">
        <f t="shared" si="6"/>
        <v>0.26661059714045415</v>
      </c>
      <c r="K17" s="836">
        <f t="shared" si="6"/>
        <v>0.2373587570621469</v>
      </c>
      <c r="AJ17" s="450"/>
    </row>
    <row r="18" spans="1:36" s="21" customFormat="1" ht="18.75" customHeight="1" x14ac:dyDescent="0.2">
      <c r="A18" s="1005" t="s">
        <v>9</v>
      </c>
      <c r="B18" s="835">
        <f>SUM('6-Ⅱ①'!$O11:$Q11)</f>
        <v>264</v>
      </c>
      <c r="C18" s="835">
        <f>SUM('6-Ⅱ①'!$R11:$S11)</f>
        <v>346</v>
      </c>
      <c r="D18" s="835">
        <f>SUM('6-Ⅱ①'!$T11:$W11)</f>
        <v>256</v>
      </c>
      <c r="E18" s="835">
        <f>SUM('6-Ⅱ①'!$X11:$Z11)</f>
        <v>190</v>
      </c>
      <c r="F18" s="835">
        <f>SUM('6-Ⅱ①'!$AA11:$AB11)</f>
        <v>249</v>
      </c>
      <c r="G18" s="835">
        <f>SUM('6-Ⅱ①'!$AC11:$AE11)</f>
        <v>852</v>
      </c>
      <c r="H18" s="835">
        <f>SUM('6-Ⅱ①'!$AF11)</f>
        <v>508</v>
      </c>
      <c r="I18" s="835">
        <f>SUM('6-Ⅱ①'!$AG11)</f>
        <v>336</v>
      </c>
      <c r="J18" s="835">
        <f>SUM('6-Ⅱ①'!$AH11:$AI11)</f>
        <v>229</v>
      </c>
      <c r="K18" s="837">
        <f>SUM(B18:J18)</f>
        <v>3230</v>
      </c>
      <c r="AJ18" s="450"/>
    </row>
    <row r="19" spans="1:36" s="21" customFormat="1" ht="18.75" customHeight="1" x14ac:dyDescent="0.2">
      <c r="A19" s="1007"/>
      <c r="B19" s="836">
        <f t="shared" ref="B19:K19" si="7">B18/B$24</f>
        <v>0.22410865874363328</v>
      </c>
      <c r="C19" s="836">
        <f t="shared" si="7"/>
        <v>0.28500823723228996</v>
      </c>
      <c r="D19" s="836">
        <f t="shared" si="7"/>
        <v>0.20779220779220781</v>
      </c>
      <c r="E19" s="836">
        <f t="shared" si="7"/>
        <v>0.17608897126969417</v>
      </c>
      <c r="F19" s="836">
        <f t="shared" si="7"/>
        <v>0.23669201520912547</v>
      </c>
      <c r="G19" s="836">
        <f t="shared" si="7"/>
        <v>0.28456913827655311</v>
      </c>
      <c r="H19" s="836">
        <f t="shared" si="7"/>
        <v>0.18039772727272727</v>
      </c>
      <c r="I19" s="836">
        <f t="shared" si="7"/>
        <v>0.23897581792318634</v>
      </c>
      <c r="J19" s="836">
        <f t="shared" si="7"/>
        <v>0.19259882253994953</v>
      </c>
      <c r="K19" s="836">
        <f t="shared" si="7"/>
        <v>0.22810734463276836</v>
      </c>
      <c r="AJ19" s="450"/>
    </row>
    <row r="20" spans="1:36" s="21" customFormat="1" ht="18.75" customHeight="1" x14ac:dyDescent="0.2">
      <c r="A20" s="1005" t="s">
        <v>10</v>
      </c>
      <c r="B20" s="835">
        <f>SUM('6-Ⅱ①'!$O12:$Q12)</f>
        <v>56</v>
      </c>
      <c r="C20" s="835">
        <f>SUM('6-Ⅱ①'!$R12:$S12)</f>
        <v>70</v>
      </c>
      <c r="D20" s="835">
        <f>SUM('6-Ⅱ①'!$T12:$W12)</f>
        <v>62</v>
      </c>
      <c r="E20" s="835">
        <f>SUM('6-Ⅱ①'!$X12:$Z12)</f>
        <v>38</v>
      </c>
      <c r="F20" s="835">
        <f>SUM('6-Ⅱ①'!$AA12:$AB12)</f>
        <v>49</v>
      </c>
      <c r="G20" s="835">
        <f>SUM('6-Ⅱ①'!$AC12:$AE12)</f>
        <v>279</v>
      </c>
      <c r="H20" s="835">
        <f>SUM('6-Ⅱ①'!$AF12)</f>
        <v>79</v>
      </c>
      <c r="I20" s="835">
        <f>SUM('6-Ⅱ①'!$AG12)</f>
        <v>85</v>
      </c>
      <c r="J20" s="835">
        <f>SUM('6-Ⅱ①'!$AH12:$AI12)</f>
        <v>52</v>
      </c>
      <c r="K20" s="837">
        <f>SUM(B20:J20)</f>
        <v>770</v>
      </c>
      <c r="AJ20" s="450"/>
    </row>
    <row r="21" spans="1:36" s="21" customFormat="1" ht="18.75" customHeight="1" x14ac:dyDescent="0.2">
      <c r="A21" s="1007"/>
      <c r="B21" s="836">
        <f t="shared" ref="B21:K21" si="8">B20/B$24</f>
        <v>4.7538200339558571E-2</v>
      </c>
      <c r="C21" s="836">
        <f t="shared" si="8"/>
        <v>5.7660626029654036E-2</v>
      </c>
      <c r="D21" s="836">
        <f t="shared" si="8"/>
        <v>5.0324675324675328E-2</v>
      </c>
      <c r="E21" s="836">
        <f t="shared" si="8"/>
        <v>3.5217794253938832E-2</v>
      </c>
      <c r="F21" s="836">
        <f t="shared" si="8"/>
        <v>4.6577946768060839E-2</v>
      </c>
      <c r="G21" s="836">
        <f t="shared" si="8"/>
        <v>9.3186372745490978E-2</v>
      </c>
      <c r="H21" s="836">
        <f t="shared" si="8"/>
        <v>2.8053977272727272E-2</v>
      </c>
      <c r="I21" s="836">
        <f t="shared" si="8"/>
        <v>6.0455192034139404E-2</v>
      </c>
      <c r="J21" s="836">
        <f t="shared" si="8"/>
        <v>4.3734230445752732E-2</v>
      </c>
      <c r="K21" s="836">
        <f t="shared" si="8"/>
        <v>5.4378531073446326E-2</v>
      </c>
      <c r="AJ21" s="450"/>
    </row>
    <row r="22" spans="1:36" s="21" customFormat="1" ht="18.75" customHeight="1" x14ac:dyDescent="0.2">
      <c r="A22" s="1005" t="s">
        <v>375</v>
      </c>
      <c r="B22" s="835">
        <v>0</v>
      </c>
      <c r="C22" s="835">
        <v>0</v>
      </c>
      <c r="D22" s="835">
        <v>0</v>
      </c>
      <c r="E22" s="835">
        <v>0</v>
      </c>
      <c r="F22" s="835">
        <v>0</v>
      </c>
      <c r="G22" s="835">
        <v>0</v>
      </c>
      <c r="H22" s="835">
        <v>0</v>
      </c>
      <c r="I22" s="835">
        <v>0</v>
      </c>
      <c r="J22" s="835">
        <v>1</v>
      </c>
      <c r="K22" s="837">
        <f>SUM(B22:J22)</f>
        <v>1</v>
      </c>
    </row>
    <row r="23" spans="1:36" s="21" customFormat="1" ht="18.75" customHeight="1" x14ac:dyDescent="0.2">
      <c r="A23" s="1007"/>
      <c r="B23" s="836">
        <f t="shared" ref="B23:K23" si="9">B22/B$24</f>
        <v>0</v>
      </c>
      <c r="C23" s="836">
        <f t="shared" si="9"/>
        <v>0</v>
      </c>
      <c r="D23" s="836">
        <f t="shared" si="9"/>
        <v>0</v>
      </c>
      <c r="E23" s="836">
        <f t="shared" si="9"/>
        <v>0</v>
      </c>
      <c r="F23" s="836">
        <f t="shared" si="9"/>
        <v>0</v>
      </c>
      <c r="G23" s="836">
        <f t="shared" si="9"/>
        <v>0</v>
      </c>
      <c r="H23" s="836">
        <f t="shared" si="9"/>
        <v>0</v>
      </c>
      <c r="I23" s="836">
        <f t="shared" si="9"/>
        <v>0</v>
      </c>
      <c r="J23" s="836">
        <f t="shared" si="9"/>
        <v>8.4104289318755253E-4</v>
      </c>
      <c r="K23" s="836">
        <f t="shared" si="9"/>
        <v>7.0621468926553675E-5</v>
      </c>
    </row>
    <row r="24" spans="1:36" ht="18.75" customHeight="1" x14ac:dyDescent="0.2">
      <c r="A24" s="841" t="s">
        <v>11</v>
      </c>
      <c r="B24" s="843">
        <f t="shared" ref="B24:I24" si="10">B4+B6+B8+B10+B12+B14+B16+B18+B20</f>
        <v>1178</v>
      </c>
      <c r="C24" s="843">
        <f t="shared" si="10"/>
        <v>1214</v>
      </c>
      <c r="D24" s="843">
        <f t="shared" si="10"/>
        <v>1232</v>
      </c>
      <c r="E24" s="843">
        <f t="shared" si="10"/>
        <v>1079</v>
      </c>
      <c r="F24" s="843">
        <f t="shared" si="10"/>
        <v>1052</v>
      </c>
      <c r="G24" s="843">
        <f t="shared" si="10"/>
        <v>2994</v>
      </c>
      <c r="H24" s="843">
        <f t="shared" si="10"/>
        <v>2816</v>
      </c>
      <c r="I24" s="843">
        <f t="shared" si="10"/>
        <v>1406</v>
      </c>
      <c r="J24" s="843">
        <f>J4+J6+J8+J10+J12+J14+J16+J18+J20+J22</f>
        <v>1189</v>
      </c>
      <c r="K24" s="844">
        <f>SUM(B24:J24)</f>
        <v>14160</v>
      </c>
    </row>
    <row r="25" spans="1:36" ht="18.75" customHeight="1" x14ac:dyDescent="0.2">
      <c r="A25" s="842"/>
      <c r="B25" s="845">
        <f t="shared" ref="B25:K25" si="11">SUM(B5,B7,B9,B11,B13,B15,B17,B19,B21)</f>
        <v>1</v>
      </c>
      <c r="C25" s="845">
        <f t="shared" si="11"/>
        <v>1</v>
      </c>
      <c r="D25" s="845">
        <f t="shared" si="11"/>
        <v>1</v>
      </c>
      <c r="E25" s="845">
        <f t="shared" si="11"/>
        <v>0.99999999999999989</v>
      </c>
      <c r="F25" s="845">
        <f t="shared" si="11"/>
        <v>1.0000000000000002</v>
      </c>
      <c r="G25" s="845">
        <f t="shared" si="11"/>
        <v>1</v>
      </c>
      <c r="H25" s="845">
        <f t="shared" si="11"/>
        <v>1</v>
      </c>
      <c r="I25" s="845">
        <f t="shared" si="11"/>
        <v>0.99999999999999989</v>
      </c>
      <c r="J25" s="845">
        <f t="shared" si="11"/>
        <v>0.99915895710681235</v>
      </c>
      <c r="K25" s="845">
        <f t="shared" si="11"/>
        <v>0.99992937853107355</v>
      </c>
    </row>
    <row r="26" spans="1:36" ht="18.75" customHeight="1" x14ac:dyDescent="0.2">
      <c r="A26" s="1030" t="s">
        <v>90</v>
      </c>
      <c r="B26" s="837">
        <f>SUM('6-Ⅱ①'!$O15:$Q15)</f>
        <v>472</v>
      </c>
      <c r="C26" s="837">
        <f>SUM('6-Ⅱ①'!$R15:$S15)</f>
        <v>440</v>
      </c>
      <c r="D26" s="837">
        <f>SUM('6-Ⅱ①'!$T15:$W15)</f>
        <v>544</v>
      </c>
      <c r="E26" s="837">
        <f>SUM('6-Ⅱ①'!$X15:$Z15)</f>
        <v>512</v>
      </c>
      <c r="F26" s="837">
        <f>SUM('6-Ⅱ①'!$AA15:$AB15)</f>
        <v>425</v>
      </c>
      <c r="G26" s="837">
        <f>SUM('6-Ⅱ①'!$AC15:$AE15)</f>
        <v>896</v>
      </c>
      <c r="H26" s="837">
        <f>SUM('6-Ⅱ①'!$AF15)</f>
        <v>1336</v>
      </c>
      <c r="I26" s="837">
        <f>SUM('6-Ⅱ①'!$AG15)</f>
        <v>563</v>
      </c>
      <c r="J26" s="837">
        <f>SUM('6-Ⅱ①'!$AH15:$AI15)</f>
        <v>478</v>
      </c>
      <c r="K26" s="837">
        <f>SUM(B26:J26)</f>
        <v>5666</v>
      </c>
    </row>
    <row r="27" spans="1:36" ht="18.75" customHeight="1" x14ac:dyDescent="0.2">
      <c r="A27" s="1031"/>
      <c r="B27" s="873">
        <f t="shared" ref="B27:K27" si="12">B26/B$24</f>
        <v>0.40067911714770799</v>
      </c>
      <c r="C27" s="873">
        <f t="shared" si="12"/>
        <v>0.36243822075782539</v>
      </c>
      <c r="D27" s="873">
        <f t="shared" si="12"/>
        <v>0.44155844155844154</v>
      </c>
      <c r="E27" s="873">
        <f t="shared" si="12"/>
        <v>0.47451343836886006</v>
      </c>
      <c r="F27" s="873">
        <f t="shared" si="12"/>
        <v>0.40399239543726234</v>
      </c>
      <c r="G27" s="873">
        <f t="shared" si="12"/>
        <v>0.29926519706078825</v>
      </c>
      <c r="H27" s="873">
        <f t="shared" si="12"/>
        <v>0.47443181818181818</v>
      </c>
      <c r="I27" s="873">
        <f t="shared" si="12"/>
        <v>0.40042674253200566</v>
      </c>
      <c r="J27" s="873">
        <f t="shared" si="12"/>
        <v>0.4020185029436501</v>
      </c>
      <c r="K27" s="873">
        <f t="shared" si="12"/>
        <v>0.40014124293785308</v>
      </c>
    </row>
    <row r="28" spans="1:36" x14ac:dyDescent="0.2">
      <c r="A28" s="1030" t="s">
        <v>91</v>
      </c>
      <c r="B28" s="835">
        <f>SUM('6-Ⅱ①'!$O16:$Q16)</f>
        <v>706</v>
      </c>
      <c r="C28" s="835">
        <f>SUM('6-Ⅱ①'!$R16:$S16)</f>
        <v>774</v>
      </c>
      <c r="D28" s="835">
        <f>SUM('6-Ⅱ①'!$T16:$W16)</f>
        <v>688</v>
      </c>
      <c r="E28" s="835">
        <f>SUM('6-Ⅱ①'!$X16:$Z16)</f>
        <v>567</v>
      </c>
      <c r="F28" s="835">
        <f>SUM('6-Ⅱ①'!$AA16:$AB16)</f>
        <v>627</v>
      </c>
      <c r="G28" s="835">
        <f>SUM('6-Ⅱ①'!$AC16:$AE16)</f>
        <v>2098</v>
      </c>
      <c r="H28" s="835">
        <f>SUM('6-Ⅱ①'!$AF16)</f>
        <v>1480</v>
      </c>
      <c r="I28" s="835">
        <f>SUM('6-Ⅱ①'!$AG16)</f>
        <v>843</v>
      </c>
      <c r="J28" s="835">
        <f>SUM('6-Ⅱ①'!$AH16:$AI16)</f>
        <v>710</v>
      </c>
      <c r="K28" s="837">
        <f>SUM(B28:J28)</f>
        <v>8493</v>
      </c>
    </row>
    <row r="29" spans="1:36" x14ac:dyDescent="0.2">
      <c r="A29" s="1031"/>
      <c r="B29" s="873">
        <f t="shared" ref="B29:K29" si="13">B28/B$24</f>
        <v>0.59932088285229201</v>
      </c>
      <c r="C29" s="873">
        <f t="shared" si="13"/>
        <v>0.63756177924217461</v>
      </c>
      <c r="D29" s="873">
        <f t="shared" si="13"/>
        <v>0.55844155844155841</v>
      </c>
      <c r="E29" s="873">
        <f t="shared" si="13"/>
        <v>0.52548656163113994</v>
      </c>
      <c r="F29" s="873">
        <f t="shared" si="13"/>
        <v>0.5960076045627376</v>
      </c>
      <c r="G29" s="873">
        <f t="shared" si="13"/>
        <v>0.70073480293921175</v>
      </c>
      <c r="H29" s="873">
        <f t="shared" si="13"/>
        <v>0.52556818181818177</v>
      </c>
      <c r="I29" s="873">
        <f t="shared" si="13"/>
        <v>0.59957325746799428</v>
      </c>
      <c r="J29" s="873">
        <f t="shared" si="13"/>
        <v>0.5971404541631623</v>
      </c>
      <c r="K29" s="873">
        <f t="shared" si="13"/>
        <v>0.59978813559322031</v>
      </c>
    </row>
    <row r="30" spans="1:36" x14ac:dyDescent="0.2">
      <c r="A30" s="1005" t="s">
        <v>375</v>
      </c>
      <c r="B30" s="835">
        <v>0</v>
      </c>
      <c r="C30" s="835">
        <v>0</v>
      </c>
      <c r="D30" s="835">
        <v>0</v>
      </c>
      <c r="E30" s="835">
        <v>0</v>
      </c>
      <c r="F30" s="835">
        <v>0</v>
      </c>
      <c r="G30" s="835">
        <v>0</v>
      </c>
      <c r="H30" s="835">
        <v>0</v>
      </c>
      <c r="I30" s="835">
        <v>0</v>
      </c>
      <c r="J30" s="835">
        <v>1</v>
      </c>
      <c r="K30" s="837">
        <f>SUM(B30:J30)</f>
        <v>1</v>
      </c>
    </row>
    <row r="31" spans="1:36" x14ac:dyDescent="0.2">
      <c r="A31" s="1007"/>
      <c r="B31" s="836">
        <f t="shared" ref="B31:K31" si="14">B30/B$24</f>
        <v>0</v>
      </c>
      <c r="C31" s="836">
        <f t="shared" si="14"/>
        <v>0</v>
      </c>
      <c r="D31" s="836">
        <f t="shared" si="14"/>
        <v>0</v>
      </c>
      <c r="E31" s="836">
        <f t="shared" si="14"/>
        <v>0</v>
      </c>
      <c r="F31" s="836">
        <f t="shared" si="14"/>
        <v>0</v>
      </c>
      <c r="G31" s="836">
        <f t="shared" si="14"/>
        <v>0</v>
      </c>
      <c r="H31" s="836">
        <f t="shared" si="14"/>
        <v>0</v>
      </c>
      <c r="I31" s="836">
        <f t="shared" si="14"/>
        <v>0</v>
      </c>
      <c r="J31" s="836">
        <f t="shared" si="14"/>
        <v>8.4104289318755253E-4</v>
      </c>
      <c r="K31" s="836">
        <f t="shared" si="14"/>
        <v>7.0621468926553675E-5</v>
      </c>
    </row>
  </sheetData>
  <mergeCells count="13">
    <mergeCell ref="A14:A15"/>
    <mergeCell ref="A4:A5"/>
    <mergeCell ref="A6:A7"/>
    <mergeCell ref="A8:A9"/>
    <mergeCell ref="A10:A11"/>
    <mergeCell ref="A12:A13"/>
    <mergeCell ref="A30:A31"/>
    <mergeCell ref="A16:A17"/>
    <mergeCell ref="A18:A19"/>
    <mergeCell ref="A20:A21"/>
    <mergeCell ref="A26:A27"/>
    <mergeCell ref="A28:A29"/>
    <mergeCell ref="A22:A23"/>
  </mergeCells>
  <phoneticPr fontId="2"/>
  <printOptions horizontalCentered="1"/>
  <pageMargins left="0.70866141732283472" right="0.70866141732283472" top="0.74803149606299213" bottom="0.74803149606299213" header="0.31496062992125984" footer="0.31496062992125984"/>
  <pageSetup paperSize="9" scale="72" orientation="portrait" r:id="rId1"/>
  <drawing r:id="rId2"/>
  <mc:AlternateContent xmlns:mc="http://schemas.openxmlformats.org/markup-compatibility/2006">
    <mc:Choice Requires="v">
      <legacyDrawing r:id="rId3"/>
    </mc:Choice>
  </mc:AlternateContent>
  <controls>
    <control shapeId="80897" r:id="rId4" name="Button 1">
      <controlPr defaultSize="0" print="0" autoFill="0" autoPict="0" macro="[0]!データ削除_年齢区分入院時住所地">
        <anchor moveWithCells="1" sizeWithCells="1">
          <from>
            <xdr:col>11</xdr:col>
            <xdr:colOff>541020</xdr:colOff>
            <xdr:row>21</xdr:row>
            <xdr:rowOff>114300</xdr:rowOff>
          </from>
          <to>
            <xdr:col>14</xdr:col>
            <xdr:colOff>914400</xdr:colOff>
            <xdr:row>23</xdr:row>
            <xdr:rowOff>137160</xdr:rowOff>
          </to>
        </anchor>
      </controlPr>
    </control>
  </controls>
  <tableParts count="2">
    <tablePart r:id="rId5"/>
    <tablePart r:id="rId6"/>
  </tableParts>
</worksheet>
</file>

<file path=xl/worksheets/sheet3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9">
    <tabColor theme="5" tint="0.39997558519241921"/>
    <pageSetUpPr fitToPage="1"/>
  </sheetPr>
  <dimension ref="A1:AJ28"/>
  <sheetViews>
    <sheetView showGridLines="0" view="pageBreakPreview" zoomScale="90" zoomScaleNormal="80" zoomScaleSheetLayoutView="90" workbookViewId="0"/>
  </sheetViews>
  <sheetFormatPr defaultColWidth="13.77734375" defaultRowHeight="17.399999999999999" x14ac:dyDescent="0.2"/>
  <cols>
    <col min="1" max="1" width="13.77734375" style="396" customWidth="1"/>
    <col min="2" max="11" width="8.6640625" style="396" customWidth="1"/>
    <col min="12" max="12" width="7.6640625" style="396" customWidth="1"/>
    <col min="13" max="13" width="10" style="396" hidden="1" customWidth="1"/>
    <col min="14" max="14" width="10.77734375" style="396" hidden="1" customWidth="1"/>
    <col min="15" max="16" width="12.44140625" style="396" hidden="1" customWidth="1"/>
    <col min="17" max="17" width="8.88671875" style="396" hidden="1" customWidth="1"/>
    <col min="18" max="18" width="12.44140625" style="396" hidden="1" customWidth="1"/>
    <col min="19" max="19" width="14.21875" style="396" hidden="1" customWidth="1"/>
    <col min="20" max="20" width="16.109375" style="396" hidden="1" customWidth="1"/>
    <col min="21" max="22" width="12.44140625" style="396" hidden="1" customWidth="1"/>
    <col min="23" max="23" width="16.109375" style="396" hidden="1" customWidth="1"/>
    <col min="24" max="24" width="14.21875" style="396" hidden="1" customWidth="1"/>
    <col min="25" max="27" width="12.44140625" style="396" hidden="1" customWidth="1"/>
    <col min="28" max="31" width="10.77734375" style="396" hidden="1" customWidth="1"/>
    <col min="32" max="32" width="8.88671875" style="396" hidden="1" customWidth="1"/>
    <col min="33" max="33" width="10.77734375" style="396" hidden="1" customWidth="1"/>
    <col min="34" max="34" width="14.21875" style="396" hidden="1" customWidth="1"/>
    <col min="35" max="35" width="9.44140625" style="396" hidden="1" customWidth="1"/>
    <col min="36" max="36" width="13.77734375" style="396" hidden="1" customWidth="1"/>
    <col min="37" max="16384" width="13.77734375" style="396"/>
  </cols>
  <sheetData>
    <row r="1" spans="1:35" s="3" customFormat="1" ht="19.2" x14ac:dyDescent="0.2">
      <c r="A1" s="2" t="s">
        <v>465</v>
      </c>
    </row>
    <row r="2" spans="1:35" ht="18" thickBot="1" x14ac:dyDescent="0.25">
      <c r="A2" s="4"/>
    </row>
    <row r="3" spans="1:35" ht="36" thickTop="1" thickBot="1" x14ac:dyDescent="0.25">
      <c r="A3" s="839"/>
      <c r="B3" s="839" t="s">
        <v>386</v>
      </c>
      <c r="C3" s="839" t="s">
        <v>387</v>
      </c>
      <c r="D3" s="839" t="s">
        <v>388</v>
      </c>
      <c r="E3" s="839" t="s">
        <v>389</v>
      </c>
      <c r="F3" s="839" t="s">
        <v>390</v>
      </c>
      <c r="G3" s="839" t="s">
        <v>391</v>
      </c>
      <c r="H3" s="839" t="s">
        <v>392</v>
      </c>
      <c r="I3" s="839" t="s">
        <v>393</v>
      </c>
      <c r="J3" s="840" t="s">
        <v>464</v>
      </c>
      <c r="K3" s="839" t="s">
        <v>62</v>
      </c>
      <c r="M3" s="560" t="s">
        <v>372</v>
      </c>
      <c r="N3" s="540" t="s">
        <v>394</v>
      </c>
      <c r="O3" s="540" t="s">
        <v>395</v>
      </c>
      <c r="P3" s="540" t="s">
        <v>396</v>
      </c>
      <c r="Q3" s="540" t="s">
        <v>397</v>
      </c>
      <c r="R3" s="540" t="s">
        <v>398</v>
      </c>
      <c r="S3" s="540" t="s">
        <v>399</v>
      </c>
      <c r="T3" s="540" t="s">
        <v>400</v>
      </c>
      <c r="U3" s="540" t="s">
        <v>401</v>
      </c>
      <c r="V3" s="540" t="s">
        <v>402</v>
      </c>
      <c r="W3" s="540" t="s">
        <v>403</v>
      </c>
      <c r="X3" s="540" t="s">
        <v>564</v>
      </c>
      <c r="Y3" s="540" t="s">
        <v>565</v>
      </c>
      <c r="Z3" s="540" t="s">
        <v>566</v>
      </c>
      <c r="AA3" s="540" t="s">
        <v>567</v>
      </c>
      <c r="AB3" s="540" t="s">
        <v>568</v>
      </c>
      <c r="AC3" s="540" t="s">
        <v>569</v>
      </c>
      <c r="AD3" s="540" t="s">
        <v>570</v>
      </c>
      <c r="AE3" s="540" t="s">
        <v>571</v>
      </c>
      <c r="AF3" s="540" t="s">
        <v>572</v>
      </c>
      <c r="AG3" s="540" t="s">
        <v>652</v>
      </c>
      <c r="AH3" s="541" t="s">
        <v>653</v>
      </c>
      <c r="AI3" s="540" t="s">
        <v>608</v>
      </c>
    </row>
    <row r="4" spans="1:35" s="21" customFormat="1" ht="18.75" customHeight="1" thickTop="1" x14ac:dyDescent="0.2">
      <c r="A4" s="408" t="s">
        <v>405</v>
      </c>
      <c r="B4" s="835">
        <f>SUM(N4:P5)</f>
        <v>6</v>
      </c>
      <c r="C4" s="835">
        <f>SUM(Q4:R5)</f>
        <v>6</v>
      </c>
      <c r="D4" s="835">
        <f>SUM(S4:V5)</f>
        <v>7</v>
      </c>
      <c r="E4" s="835">
        <f>SUM(W4:Y5)</f>
        <v>4</v>
      </c>
      <c r="F4" s="835">
        <f>SUM(Z4:AA5)</f>
        <v>3</v>
      </c>
      <c r="G4" s="835">
        <f>SUM(AB4:AD5)</f>
        <v>3</v>
      </c>
      <c r="H4" s="835">
        <f>SUM(AE4:AE5)</f>
        <v>23</v>
      </c>
      <c r="I4" s="835">
        <f>SUM(AF4:AF5)</f>
        <v>7</v>
      </c>
      <c r="J4" s="835">
        <f>SUM(AG4:AH5)</f>
        <v>3</v>
      </c>
      <c r="K4" s="837">
        <f>SUM(B4:J4)</f>
        <v>62</v>
      </c>
      <c r="M4" s="559" t="s">
        <v>612</v>
      </c>
      <c r="N4" s="492"/>
      <c r="O4" s="492">
        <v>4</v>
      </c>
      <c r="P4" s="492">
        <v>2</v>
      </c>
      <c r="Q4" s="492">
        <v>2</v>
      </c>
      <c r="R4" s="492">
        <v>3</v>
      </c>
      <c r="S4" s="492">
        <v>2</v>
      </c>
      <c r="T4" s="492">
        <v>1</v>
      </c>
      <c r="U4" s="492">
        <v>1</v>
      </c>
      <c r="V4" s="492">
        <v>3</v>
      </c>
      <c r="W4" s="492">
        <v>3</v>
      </c>
      <c r="X4" s="492">
        <v>1</v>
      </c>
      <c r="Y4" s="492"/>
      <c r="Z4" s="492">
        <v>1</v>
      </c>
      <c r="AA4" s="492">
        <v>2</v>
      </c>
      <c r="AB4" s="492"/>
      <c r="AC4" s="492">
        <v>3</v>
      </c>
      <c r="AD4" s="492"/>
      <c r="AE4" s="492">
        <v>23</v>
      </c>
      <c r="AF4" s="492">
        <v>6</v>
      </c>
      <c r="AG4" s="492">
        <v>2</v>
      </c>
      <c r="AH4" s="493">
        <v>1</v>
      </c>
      <c r="AI4" s="492"/>
    </row>
    <row r="5" spans="1:35" s="21" customFormat="1" ht="18.75" customHeight="1" x14ac:dyDescent="0.2">
      <c r="A5" s="410" t="s">
        <v>373</v>
      </c>
      <c r="B5" s="836">
        <f t="shared" ref="B5:I5" si="0">B4/B$14</f>
        <v>5.0933786078098476E-3</v>
      </c>
      <c r="C5" s="836">
        <f t="shared" si="0"/>
        <v>4.9423393739703456E-3</v>
      </c>
      <c r="D5" s="836">
        <f t="shared" si="0"/>
        <v>5.681818181818182E-3</v>
      </c>
      <c r="E5" s="836">
        <f t="shared" si="0"/>
        <v>3.7071362372567192E-3</v>
      </c>
      <c r="F5" s="836">
        <f t="shared" si="0"/>
        <v>2.8517110266159697E-3</v>
      </c>
      <c r="G5" s="836">
        <f t="shared" si="0"/>
        <v>1.002004008016032E-3</v>
      </c>
      <c r="H5" s="836">
        <f t="shared" si="0"/>
        <v>8.167613636363636E-3</v>
      </c>
      <c r="I5" s="836">
        <f t="shared" si="0"/>
        <v>4.9786628733997154E-3</v>
      </c>
      <c r="J5" s="836">
        <f t="shared" ref="J5" si="1">J4/J$14</f>
        <v>2.5231286795626578E-3</v>
      </c>
      <c r="K5" s="836">
        <f>K4/K$14</f>
        <v>4.3785310734463278E-3</v>
      </c>
      <c r="M5" s="539" t="s">
        <v>373</v>
      </c>
      <c r="N5" s="495"/>
      <c r="O5" s="495"/>
      <c r="P5" s="495"/>
      <c r="Q5" s="495"/>
      <c r="R5" s="495">
        <v>1</v>
      </c>
      <c r="S5" s="495"/>
      <c r="T5" s="495"/>
      <c r="U5" s="495"/>
      <c r="V5" s="495"/>
      <c r="W5" s="495"/>
      <c r="X5" s="495"/>
      <c r="Y5" s="495"/>
      <c r="Z5" s="495"/>
      <c r="AA5" s="495"/>
      <c r="AB5" s="495"/>
      <c r="AC5" s="495"/>
      <c r="AD5" s="495"/>
      <c r="AE5" s="495"/>
      <c r="AF5" s="495">
        <v>1</v>
      </c>
      <c r="AG5" s="495"/>
      <c r="AH5" s="496"/>
      <c r="AI5" s="495"/>
    </row>
    <row r="6" spans="1:35" s="21" customFormat="1" ht="18.75" customHeight="1" x14ac:dyDescent="0.2">
      <c r="A6" s="1005" t="s">
        <v>15</v>
      </c>
      <c r="B6" s="835">
        <f>SUM(N6:P6)</f>
        <v>590</v>
      </c>
      <c r="C6" s="835">
        <f>SUM(Q6:R6)</f>
        <v>811</v>
      </c>
      <c r="D6" s="835">
        <f>SUM(S6:V6)</f>
        <v>760</v>
      </c>
      <c r="E6" s="835">
        <f>SUM(W6:Y6)</f>
        <v>550</v>
      </c>
      <c r="F6" s="835">
        <f>SUM(Z6:AA6)</f>
        <v>526</v>
      </c>
      <c r="G6" s="835">
        <f>SUM(AB6:AD6)</f>
        <v>1379</v>
      </c>
      <c r="H6" s="835">
        <f>SUM(AE6)</f>
        <v>1419</v>
      </c>
      <c r="I6" s="835">
        <f>SUM(AF6)</f>
        <v>804</v>
      </c>
      <c r="J6" s="835">
        <f>SUM(AG6:AH6)</f>
        <v>529</v>
      </c>
      <c r="K6" s="837">
        <f>SUM(B6:J6)</f>
        <v>7368</v>
      </c>
      <c r="M6" s="538" t="s">
        <v>15</v>
      </c>
      <c r="N6" s="492">
        <v>169</v>
      </c>
      <c r="O6" s="492">
        <v>221</v>
      </c>
      <c r="P6" s="492">
        <v>200</v>
      </c>
      <c r="Q6" s="492">
        <v>433</v>
      </c>
      <c r="R6" s="492">
        <v>378</v>
      </c>
      <c r="S6" s="492">
        <v>293</v>
      </c>
      <c r="T6" s="492">
        <v>158</v>
      </c>
      <c r="U6" s="492">
        <v>159</v>
      </c>
      <c r="V6" s="492">
        <v>150</v>
      </c>
      <c r="W6" s="492">
        <v>366</v>
      </c>
      <c r="X6" s="492">
        <v>140</v>
      </c>
      <c r="Y6" s="492">
        <v>44</v>
      </c>
      <c r="Z6" s="492">
        <v>239</v>
      </c>
      <c r="AA6" s="492">
        <v>287</v>
      </c>
      <c r="AB6" s="492">
        <v>395</v>
      </c>
      <c r="AC6" s="492">
        <v>476</v>
      </c>
      <c r="AD6" s="492">
        <v>508</v>
      </c>
      <c r="AE6" s="492">
        <v>1419</v>
      </c>
      <c r="AF6" s="492">
        <v>804</v>
      </c>
      <c r="AG6" s="492">
        <v>498</v>
      </c>
      <c r="AH6" s="493">
        <v>31</v>
      </c>
      <c r="AI6" s="492"/>
    </row>
    <row r="7" spans="1:35" s="21" customFormat="1" ht="18.75" customHeight="1" x14ac:dyDescent="0.2">
      <c r="A7" s="1007"/>
      <c r="B7" s="836">
        <f t="shared" ref="B7:I7" si="2">B6/B$14</f>
        <v>0.50084889643463493</v>
      </c>
      <c r="C7" s="836">
        <f t="shared" si="2"/>
        <v>0.66803953871499178</v>
      </c>
      <c r="D7" s="836">
        <f t="shared" si="2"/>
        <v>0.61688311688311692</v>
      </c>
      <c r="E7" s="836">
        <f t="shared" si="2"/>
        <v>0.50973123262279885</v>
      </c>
      <c r="F7" s="836">
        <f t="shared" si="2"/>
        <v>0.5</v>
      </c>
      <c r="G7" s="836">
        <f t="shared" si="2"/>
        <v>0.4605878423513694</v>
      </c>
      <c r="H7" s="836">
        <f t="shared" si="2"/>
        <v>0.50390625</v>
      </c>
      <c r="I7" s="836">
        <f t="shared" si="2"/>
        <v>0.57183499288762452</v>
      </c>
      <c r="J7" s="836">
        <f t="shared" ref="J7" si="3">J6/J$14</f>
        <v>0.44491169049621532</v>
      </c>
      <c r="K7" s="836">
        <f>K6/K$14</f>
        <v>0.52033898305084747</v>
      </c>
      <c r="M7" s="539" t="s">
        <v>16</v>
      </c>
      <c r="N7" s="495">
        <v>157</v>
      </c>
      <c r="O7" s="495">
        <v>245</v>
      </c>
      <c r="P7" s="495">
        <v>178</v>
      </c>
      <c r="Q7" s="495">
        <v>199</v>
      </c>
      <c r="R7" s="495">
        <v>194</v>
      </c>
      <c r="S7" s="495">
        <v>139</v>
      </c>
      <c r="T7" s="495">
        <v>85</v>
      </c>
      <c r="U7" s="495">
        <v>133</v>
      </c>
      <c r="V7" s="495">
        <v>105</v>
      </c>
      <c r="W7" s="495">
        <v>308</v>
      </c>
      <c r="X7" s="495">
        <v>166</v>
      </c>
      <c r="Y7" s="495">
        <v>48</v>
      </c>
      <c r="Z7" s="495">
        <v>238</v>
      </c>
      <c r="AA7" s="495">
        <v>283</v>
      </c>
      <c r="AB7" s="495">
        <v>459</v>
      </c>
      <c r="AC7" s="495">
        <v>728</v>
      </c>
      <c r="AD7" s="495">
        <v>423</v>
      </c>
      <c r="AE7" s="495">
        <v>1364</v>
      </c>
      <c r="AF7" s="495">
        <v>592</v>
      </c>
      <c r="AG7" s="495">
        <v>594</v>
      </c>
      <c r="AH7" s="496">
        <v>54</v>
      </c>
      <c r="AI7" s="495"/>
    </row>
    <row r="8" spans="1:35" s="21" customFormat="1" ht="18.75" customHeight="1" x14ac:dyDescent="0.2">
      <c r="A8" s="1005" t="s">
        <v>16</v>
      </c>
      <c r="B8" s="835">
        <f>SUM(N7:P7)</f>
        <v>580</v>
      </c>
      <c r="C8" s="835">
        <f>SUM(Q7:R7)</f>
        <v>393</v>
      </c>
      <c r="D8" s="835">
        <f>SUM(S7:V7)</f>
        <v>462</v>
      </c>
      <c r="E8" s="835">
        <f>SUM(W7:Y7)</f>
        <v>522</v>
      </c>
      <c r="F8" s="835">
        <f>SUM(Z7:AA7)</f>
        <v>521</v>
      </c>
      <c r="G8" s="835">
        <f>SUM(AB7:AD7)</f>
        <v>1610</v>
      </c>
      <c r="H8" s="835">
        <f>AE7</f>
        <v>1364</v>
      </c>
      <c r="I8" s="835">
        <f>AF7</f>
        <v>592</v>
      </c>
      <c r="J8" s="835">
        <f>SUM(AG7:AH7)</f>
        <v>648</v>
      </c>
      <c r="K8" s="837">
        <f>SUM(B8:J8)</f>
        <v>6692</v>
      </c>
      <c r="M8" s="538" t="s">
        <v>17</v>
      </c>
      <c r="N8" s="492"/>
      <c r="O8" s="492"/>
      <c r="P8" s="492"/>
      <c r="Q8" s="492"/>
      <c r="R8" s="492"/>
      <c r="S8" s="492"/>
      <c r="T8" s="492"/>
      <c r="U8" s="492"/>
      <c r="V8" s="492"/>
      <c r="W8" s="492"/>
      <c r="X8" s="492"/>
      <c r="Y8" s="492"/>
      <c r="Z8" s="492"/>
      <c r="AA8" s="492"/>
      <c r="AB8" s="492"/>
      <c r="AC8" s="492"/>
      <c r="AD8" s="492"/>
      <c r="AE8" s="492"/>
      <c r="AF8" s="492"/>
      <c r="AG8" s="492">
        <v>1</v>
      </c>
      <c r="AH8" s="493"/>
      <c r="AI8" s="492"/>
    </row>
    <row r="9" spans="1:35" s="21" customFormat="1" ht="18.75" customHeight="1" x14ac:dyDescent="0.2">
      <c r="A9" s="1007"/>
      <c r="B9" s="836">
        <f t="shared" ref="B9:I9" si="4">B8/B$14</f>
        <v>0.49235993208828521</v>
      </c>
      <c r="C9" s="836">
        <f t="shared" si="4"/>
        <v>0.32372322899505768</v>
      </c>
      <c r="D9" s="836">
        <f t="shared" si="4"/>
        <v>0.375</v>
      </c>
      <c r="E9" s="836">
        <f t="shared" si="4"/>
        <v>0.48378127896200185</v>
      </c>
      <c r="F9" s="836">
        <f t="shared" si="4"/>
        <v>0.49524714828897337</v>
      </c>
      <c r="G9" s="836">
        <f t="shared" si="4"/>
        <v>0.53774215096860389</v>
      </c>
      <c r="H9" s="836">
        <f t="shared" si="4"/>
        <v>0.484375</v>
      </c>
      <c r="I9" s="836">
        <f t="shared" si="4"/>
        <v>0.42105263157894735</v>
      </c>
      <c r="J9" s="836">
        <f t="shared" ref="J9" si="5">J8/J$14</f>
        <v>0.54499579478553406</v>
      </c>
      <c r="K9" s="836">
        <f>K8/K$14</f>
        <v>0.4725988700564972</v>
      </c>
      <c r="M9" s="539" t="s">
        <v>613</v>
      </c>
      <c r="N9" s="495"/>
      <c r="O9" s="495"/>
      <c r="P9" s="495"/>
      <c r="Q9" s="495">
        <v>1</v>
      </c>
      <c r="R9" s="495"/>
      <c r="S9" s="495">
        <v>1</v>
      </c>
      <c r="T9" s="495"/>
      <c r="U9" s="495"/>
      <c r="V9" s="495"/>
      <c r="W9" s="495"/>
      <c r="X9" s="495"/>
      <c r="Y9" s="495"/>
      <c r="Z9" s="495"/>
      <c r="AA9" s="495"/>
      <c r="AB9" s="495"/>
      <c r="AC9" s="495"/>
      <c r="AD9" s="495"/>
      <c r="AE9" s="495">
        <v>2</v>
      </c>
      <c r="AF9" s="495"/>
      <c r="AG9" s="495"/>
      <c r="AH9" s="496">
        <v>1</v>
      </c>
      <c r="AI9" s="495"/>
    </row>
    <row r="10" spans="1:35" s="21" customFormat="1" ht="18.75" customHeight="1" x14ac:dyDescent="0.2">
      <c r="A10" s="1005" t="s">
        <v>17</v>
      </c>
      <c r="B10" s="835">
        <f>SUM(N8:P8)</f>
        <v>0</v>
      </c>
      <c r="C10" s="835">
        <f>SUM(Q8:R8)</f>
        <v>0</v>
      </c>
      <c r="D10" s="835">
        <f>SUM(S8:V8)</f>
        <v>0</v>
      </c>
      <c r="E10" s="835">
        <f>SUM(W8:Y8)</f>
        <v>0</v>
      </c>
      <c r="F10" s="835">
        <f>SUM(Z8:AA8)</f>
        <v>0</v>
      </c>
      <c r="G10" s="835">
        <f>SUM(AB8:AD8)</f>
        <v>0</v>
      </c>
      <c r="H10" s="835">
        <f>AE8</f>
        <v>0</v>
      </c>
      <c r="I10" s="835">
        <f>AF8</f>
        <v>0</v>
      </c>
      <c r="J10" s="835">
        <f>SUM(AG8:AH8)</f>
        <v>1</v>
      </c>
      <c r="K10" s="837">
        <f>SUM(B10:J10)</f>
        <v>1</v>
      </c>
      <c r="M10" s="538" t="s">
        <v>614</v>
      </c>
      <c r="N10" s="492">
        <v>2</v>
      </c>
      <c r="O10" s="492"/>
      <c r="P10" s="492"/>
      <c r="Q10" s="492">
        <v>1</v>
      </c>
      <c r="R10" s="492">
        <v>2</v>
      </c>
      <c r="S10" s="492"/>
      <c r="T10" s="492">
        <v>2</v>
      </c>
      <c r="U10" s="492"/>
      <c r="V10" s="492"/>
      <c r="W10" s="492">
        <v>1</v>
      </c>
      <c r="X10" s="492">
        <v>2</v>
      </c>
      <c r="Y10" s="492"/>
      <c r="Z10" s="492">
        <v>1</v>
      </c>
      <c r="AA10" s="492">
        <v>1</v>
      </c>
      <c r="AB10" s="492">
        <v>2</v>
      </c>
      <c r="AC10" s="492"/>
      <c r="AD10" s="492"/>
      <c r="AE10" s="492">
        <v>8</v>
      </c>
      <c r="AF10" s="492">
        <v>3</v>
      </c>
      <c r="AG10" s="492">
        <v>3</v>
      </c>
      <c r="AH10" s="493">
        <v>4</v>
      </c>
      <c r="AI10" s="492"/>
    </row>
    <row r="11" spans="1:35" s="21" customFormat="1" ht="18.75" customHeight="1" x14ac:dyDescent="0.2">
      <c r="A11" s="1007"/>
      <c r="B11" s="874">
        <f t="shared" ref="B11:I11" si="6">B10/B$14</f>
        <v>0</v>
      </c>
      <c r="C11" s="874">
        <f t="shared" si="6"/>
        <v>0</v>
      </c>
      <c r="D11" s="874">
        <f t="shared" si="6"/>
        <v>0</v>
      </c>
      <c r="E11" s="874">
        <f t="shared" si="6"/>
        <v>0</v>
      </c>
      <c r="F11" s="874">
        <f t="shared" si="6"/>
        <v>0</v>
      </c>
      <c r="G11" s="874">
        <f t="shared" si="6"/>
        <v>0</v>
      </c>
      <c r="H11" s="874">
        <f t="shared" si="6"/>
        <v>0</v>
      </c>
      <c r="I11" s="874">
        <f t="shared" si="6"/>
        <v>0</v>
      </c>
      <c r="J11" s="874">
        <f t="shared" ref="J11" si="7">J10/J$14</f>
        <v>8.4104289318755253E-4</v>
      </c>
      <c r="K11" s="874">
        <f>K10/K$14</f>
        <v>7.0621468926553675E-5</v>
      </c>
      <c r="M11" s="496" t="s">
        <v>384</v>
      </c>
      <c r="N11" s="496"/>
      <c r="O11" s="496"/>
      <c r="P11" s="496"/>
      <c r="Q11" s="496"/>
      <c r="R11" s="496"/>
      <c r="S11" s="496"/>
      <c r="T11" s="496"/>
      <c r="U11" s="496"/>
      <c r="V11" s="496"/>
      <c r="W11" s="496"/>
      <c r="X11" s="496"/>
      <c r="Y11" s="496"/>
      <c r="Z11" s="496"/>
      <c r="AA11" s="496"/>
      <c r="AB11" s="496"/>
      <c r="AC11" s="496"/>
      <c r="AD11" s="496"/>
      <c r="AE11" s="496"/>
      <c r="AF11" s="496"/>
      <c r="AG11" s="496"/>
      <c r="AH11" s="496"/>
      <c r="AI11" s="495"/>
    </row>
    <row r="12" spans="1:35" s="21" customFormat="1" ht="18.75" customHeight="1" x14ac:dyDescent="0.2">
      <c r="A12" s="1005" t="s">
        <v>18</v>
      </c>
      <c r="B12" s="875">
        <f>SUM(N9:P11)</f>
        <v>2</v>
      </c>
      <c r="C12" s="876">
        <f>SUM(Q9:R11)</f>
        <v>4</v>
      </c>
      <c r="D12" s="876">
        <f>SUM(S9:V11)</f>
        <v>3</v>
      </c>
      <c r="E12" s="876">
        <f>SUM(W9:Y11)</f>
        <v>3</v>
      </c>
      <c r="F12" s="876">
        <f>SUM(Z9:AA11)</f>
        <v>2</v>
      </c>
      <c r="G12" s="876">
        <f>SUM(AB9:AD11)</f>
        <v>2</v>
      </c>
      <c r="H12" s="876">
        <f>SUM(AE9:AE11)</f>
        <v>10</v>
      </c>
      <c r="I12" s="876">
        <f>SUM(AF9:AF11)</f>
        <v>3</v>
      </c>
      <c r="J12" s="876">
        <f>SUM(AG9:AH11)</f>
        <v>8</v>
      </c>
      <c r="K12" s="837">
        <f>SUM(B12:J12)</f>
        <v>37</v>
      </c>
    </row>
    <row r="13" spans="1:35" s="21" customFormat="1" ht="18.75" customHeight="1" x14ac:dyDescent="0.2">
      <c r="A13" s="1007"/>
      <c r="B13" s="836">
        <f t="shared" ref="B13:I13" si="8">B12/B$14</f>
        <v>1.697792869269949E-3</v>
      </c>
      <c r="C13" s="836">
        <f t="shared" si="8"/>
        <v>3.2948929159802307E-3</v>
      </c>
      <c r="D13" s="836">
        <f t="shared" si="8"/>
        <v>2.435064935064935E-3</v>
      </c>
      <c r="E13" s="836">
        <f t="shared" si="8"/>
        <v>2.7803521779425394E-3</v>
      </c>
      <c r="F13" s="836">
        <f t="shared" si="8"/>
        <v>1.9011406844106464E-3</v>
      </c>
      <c r="G13" s="836">
        <f t="shared" si="8"/>
        <v>6.680026720106881E-4</v>
      </c>
      <c r="H13" s="836">
        <f t="shared" si="8"/>
        <v>3.5511363636363635E-3</v>
      </c>
      <c r="I13" s="836">
        <f t="shared" si="8"/>
        <v>2.1337126600284497E-3</v>
      </c>
      <c r="J13" s="836">
        <f t="shared" ref="J13" si="9">J12/J$14</f>
        <v>6.7283431455004202E-3</v>
      </c>
      <c r="K13" s="836">
        <f>K12/K$14</f>
        <v>2.6129943502824857E-3</v>
      </c>
    </row>
    <row r="14" spans="1:35" s="21" customFormat="1" ht="18.75" customHeight="1" x14ac:dyDescent="0.2">
      <c r="A14" s="1032" t="s">
        <v>11</v>
      </c>
      <c r="B14" s="843">
        <f>SUM(B4,B6,B8,B10,B12)</f>
        <v>1178</v>
      </c>
      <c r="C14" s="843">
        <f t="shared" ref="C14:J15" si="10">SUM(C4,C6,C8,C10,C12)</f>
        <v>1214</v>
      </c>
      <c r="D14" s="843">
        <f t="shared" si="10"/>
        <v>1232</v>
      </c>
      <c r="E14" s="843">
        <f t="shared" si="10"/>
        <v>1079</v>
      </c>
      <c r="F14" s="843">
        <f t="shared" si="10"/>
        <v>1052</v>
      </c>
      <c r="G14" s="843">
        <f t="shared" si="10"/>
        <v>2994</v>
      </c>
      <c r="H14" s="843">
        <f t="shared" si="10"/>
        <v>2816</v>
      </c>
      <c r="I14" s="843">
        <f t="shared" si="10"/>
        <v>1406</v>
      </c>
      <c r="J14" s="843">
        <f t="shared" si="10"/>
        <v>1189</v>
      </c>
      <c r="K14" s="844">
        <f>SUM(B14:J14)</f>
        <v>14160</v>
      </c>
    </row>
    <row r="15" spans="1:35" s="21" customFormat="1" ht="18.75" customHeight="1" x14ac:dyDescent="0.2">
      <c r="A15" s="1033"/>
      <c r="B15" s="845">
        <f>SUM(B5,B7,B9,B11,B13)</f>
        <v>1</v>
      </c>
      <c r="C15" s="845">
        <f t="shared" si="10"/>
        <v>1</v>
      </c>
      <c r="D15" s="845">
        <f t="shared" si="10"/>
        <v>1</v>
      </c>
      <c r="E15" s="845">
        <f t="shared" si="10"/>
        <v>1</v>
      </c>
      <c r="F15" s="845">
        <f t="shared" si="10"/>
        <v>0.99999999999999989</v>
      </c>
      <c r="G15" s="845">
        <f t="shared" si="10"/>
        <v>1</v>
      </c>
      <c r="H15" s="845">
        <f t="shared" si="10"/>
        <v>1</v>
      </c>
      <c r="I15" s="845">
        <f t="shared" si="10"/>
        <v>1</v>
      </c>
      <c r="J15" s="845">
        <v>1</v>
      </c>
      <c r="K15" s="845">
        <f>SUM(K5,K7,K9,K11,K13)</f>
        <v>1</v>
      </c>
    </row>
    <row r="17" spans="1:9" x14ac:dyDescent="0.2">
      <c r="A17" s="103"/>
      <c r="B17" s="103"/>
      <c r="C17" s="103"/>
      <c r="D17" s="103"/>
      <c r="E17" s="103"/>
      <c r="F17" s="103"/>
      <c r="G17" s="103"/>
      <c r="H17" s="103"/>
      <c r="I17" s="103"/>
    </row>
    <row r="18" spans="1:9" x14ac:dyDescent="0.2">
      <c r="A18" s="465"/>
      <c r="B18" s="465"/>
      <c r="C18" s="465"/>
      <c r="D18" s="465"/>
      <c r="E18" s="465"/>
      <c r="F18" s="465"/>
      <c r="G18" s="465"/>
      <c r="H18" s="465"/>
      <c r="I18" s="465"/>
    </row>
    <row r="19" spans="1:9" x14ac:dyDescent="0.2">
      <c r="A19" s="103"/>
      <c r="B19" s="103"/>
      <c r="C19" s="103"/>
      <c r="D19" s="103"/>
      <c r="E19" s="103"/>
      <c r="F19" s="103"/>
      <c r="G19" s="103"/>
      <c r="H19" s="103"/>
      <c r="I19" s="103"/>
    </row>
    <row r="20" spans="1:9" x14ac:dyDescent="0.2">
      <c r="A20" s="103"/>
      <c r="B20" s="103"/>
      <c r="C20" s="103"/>
      <c r="D20" s="103"/>
      <c r="E20" s="103"/>
      <c r="F20" s="103"/>
      <c r="G20" s="103"/>
      <c r="H20" s="103"/>
      <c r="I20" s="103"/>
    </row>
    <row r="21" spans="1:9" x14ac:dyDescent="0.2">
      <c r="A21" s="103"/>
      <c r="B21" s="103"/>
      <c r="C21" s="103"/>
      <c r="D21" s="103"/>
      <c r="E21" s="103"/>
      <c r="F21" s="103"/>
      <c r="G21" s="103"/>
      <c r="H21" s="103"/>
      <c r="I21" s="103"/>
    </row>
    <row r="27" spans="1:9" x14ac:dyDescent="0.2">
      <c r="A27" s="422"/>
      <c r="B27" s="423"/>
    </row>
    <row r="28" spans="1:9" x14ac:dyDescent="0.2">
      <c r="A28" s="422"/>
      <c r="B28" s="424"/>
    </row>
  </sheetData>
  <mergeCells count="5">
    <mergeCell ref="A6:A7"/>
    <mergeCell ref="A8:A9"/>
    <mergeCell ref="A10:A11"/>
    <mergeCell ref="A12:A13"/>
    <mergeCell ref="A14:A15"/>
  </mergeCells>
  <phoneticPr fontId="2"/>
  <printOptions horizontalCentered="1"/>
  <pageMargins left="0.70866141732283472" right="0.70866141732283472" top="0.74803149606299213" bottom="0.74803149606299213" header="0.31496062992125984" footer="0.31496062992125984"/>
  <pageSetup paperSize="9" scale="87" orientation="portrait" r:id="rId1"/>
  <drawing r:id="rId2"/>
  <mc:AlternateContent xmlns:mc="http://schemas.openxmlformats.org/markup-compatibility/2006">
    <mc:Choice Requires="v">
      <legacyDrawing r:id="rId3"/>
    </mc:Choice>
  </mc:AlternateContent>
  <controls>
    <control shapeId="81921" r:id="rId4" name="Button 1">
      <controlPr defaultSize="0" print="0" autoFill="0" autoPict="0" macro="[0]!データ削除_入院形態入院時住所地">
        <anchor moveWithCells="1" sizeWithCells="1">
          <from>
            <xdr:col>12</xdr:col>
            <xdr:colOff>182880</xdr:colOff>
            <xdr:row>13</xdr:row>
            <xdr:rowOff>114300</xdr:rowOff>
          </from>
          <to>
            <xdr:col>15</xdr:col>
            <xdr:colOff>449580</xdr:colOff>
            <xdr:row>16</xdr:row>
            <xdr:rowOff>0</xdr:rowOff>
          </to>
        </anchor>
      </controlPr>
    </control>
  </controls>
  <tableParts count="1">
    <tablePart r:id="rId5"/>
  </tableParts>
</worksheet>
</file>

<file path=xl/worksheets/sheet3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0">
    <tabColor theme="5" tint="0.39997558519241921"/>
    <pageSetUpPr fitToPage="1"/>
  </sheetPr>
  <dimension ref="A1:AJ35"/>
  <sheetViews>
    <sheetView showGridLines="0" view="pageBreakPreview" zoomScale="80" zoomScaleNormal="80" zoomScaleSheetLayoutView="80" workbookViewId="0"/>
  </sheetViews>
  <sheetFormatPr defaultColWidth="13.77734375" defaultRowHeight="17.399999999999999" x14ac:dyDescent="0.2"/>
  <cols>
    <col min="1" max="1" width="27.44140625" style="396" customWidth="1"/>
    <col min="2" max="11" width="8.77734375" style="396" customWidth="1"/>
    <col min="12" max="12" width="7.44140625" style="396" customWidth="1"/>
    <col min="13" max="13" width="19.109375" style="396" hidden="1" customWidth="1"/>
    <col min="14" max="14" width="11" style="414" hidden="1" customWidth="1"/>
    <col min="15" max="16" width="12.88671875" style="414" hidden="1" customWidth="1"/>
    <col min="17" max="17" width="9.109375" style="414" hidden="1" customWidth="1"/>
    <col min="18" max="18" width="12.88671875" style="414" hidden="1" customWidth="1"/>
    <col min="19" max="19" width="14.77734375" style="414" hidden="1" customWidth="1"/>
    <col min="20" max="20" width="16.6640625" style="414" hidden="1" customWidth="1"/>
    <col min="21" max="22" width="12.88671875" style="414" hidden="1" customWidth="1"/>
    <col min="23" max="23" width="16.6640625" style="414" hidden="1" customWidth="1"/>
    <col min="24" max="24" width="14.77734375" style="414" hidden="1" customWidth="1"/>
    <col min="25" max="27" width="12.88671875" style="414" hidden="1" customWidth="1"/>
    <col min="28" max="31" width="11" style="414" hidden="1" customWidth="1"/>
    <col min="32" max="32" width="9.109375" style="414" hidden="1" customWidth="1"/>
    <col min="33" max="33" width="11" style="414" hidden="1" customWidth="1"/>
    <col min="34" max="34" width="14.77734375" style="414" hidden="1" customWidth="1"/>
    <col min="35" max="35" width="7.88671875" style="414" hidden="1" customWidth="1"/>
    <col min="36" max="36" width="13.77734375" style="396" hidden="1" customWidth="1"/>
    <col min="37" max="16384" width="13.77734375" style="396"/>
  </cols>
  <sheetData>
    <row r="1" spans="1:35" s="3" customFormat="1" ht="19.2" x14ac:dyDescent="0.2">
      <c r="A1" s="2" t="s">
        <v>466</v>
      </c>
      <c r="N1" s="501"/>
      <c r="O1" s="501"/>
      <c r="P1" s="501"/>
      <c r="Q1" s="501"/>
      <c r="R1" s="501"/>
      <c r="S1" s="501"/>
      <c r="T1" s="501"/>
      <c r="U1" s="501"/>
      <c r="V1" s="501"/>
      <c r="W1" s="501"/>
      <c r="X1" s="501"/>
      <c r="Y1" s="501"/>
      <c r="Z1" s="501"/>
      <c r="AA1" s="501"/>
      <c r="AB1" s="501"/>
      <c r="AC1" s="501"/>
      <c r="AD1" s="501"/>
      <c r="AE1" s="501"/>
      <c r="AF1" s="501"/>
      <c r="AG1" s="501"/>
      <c r="AH1" s="501"/>
      <c r="AI1" s="501"/>
    </row>
    <row r="2" spans="1:35" ht="18" thickBot="1" x14ac:dyDescent="0.25">
      <c r="A2" s="4"/>
    </row>
    <row r="3" spans="1:35" ht="36" thickTop="1" thickBot="1" x14ac:dyDescent="0.25">
      <c r="A3" s="839"/>
      <c r="B3" s="839" t="s">
        <v>386</v>
      </c>
      <c r="C3" s="839" t="s">
        <v>387</v>
      </c>
      <c r="D3" s="839" t="s">
        <v>388</v>
      </c>
      <c r="E3" s="839" t="s">
        <v>389</v>
      </c>
      <c r="F3" s="839" t="s">
        <v>390</v>
      </c>
      <c r="G3" s="839" t="s">
        <v>391</v>
      </c>
      <c r="H3" s="839" t="s">
        <v>392</v>
      </c>
      <c r="I3" s="839" t="s">
        <v>393</v>
      </c>
      <c r="J3" s="840" t="s">
        <v>464</v>
      </c>
      <c r="K3" s="839" t="s">
        <v>62</v>
      </c>
      <c r="M3" s="560" t="s">
        <v>372</v>
      </c>
      <c r="N3" s="540" t="s">
        <v>394</v>
      </c>
      <c r="O3" s="540" t="s">
        <v>395</v>
      </c>
      <c r="P3" s="540" t="s">
        <v>396</v>
      </c>
      <c r="Q3" s="540" t="s">
        <v>397</v>
      </c>
      <c r="R3" s="540" t="s">
        <v>398</v>
      </c>
      <c r="S3" s="540" t="s">
        <v>399</v>
      </c>
      <c r="T3" s="540" t="s">
        <v>400</v>
      </c>
      <c r="U3" s="540" t="s">
        <v>401</v>
      </c>
      <c r="V3" s="540" t="s">
        <v>402</v>
      </c>
      <c r="W3" s="540" t="s">
        <v>403</v>
      </c>
      <c r="X3" s="540" t="s">
        <v>564</v>
      </c>
      <c r="Y3" s="540" t="s">
        <v>565</v>
      </c>
      <c r="Z3" s="540" t="s">
        <v>566</v>
      </c>
      <c r="AA3" s="540" t="s">
        <v>567</v>
      </c>
      <c r="AB3" s="540" t="s">
        <v>568</v>
      </c>
      <c r="AC3" s="540" t="s">
        <v>569</v>
      </c>
      <c r="AD3" s="540" t="s">
        <v>570</v>
      </c>
      <c r="AE3" s="540" t="s">
        <v>571</v>
      </c>
      <c r="AF3" s="540" t="s">
        <v>572</v>
      </c>
      <c r="AG3" s="540" t="s">
        <v>652</v>
      </c>
      <c r="AH3" s="543" t="s">
        <v>653</v>
      </c>
      <c r="AI3" s="543" t="s">
        <v>608</v>
      </c>
    </row>
    <row r="4" spans="1:35" s="21" customFormat="1" ht="18" customHeight="1" thickTop="1" x14ac:dyDescent="0.2">
      <c r="A4" s="1010" t="s">
        <v>407</v>
      </c>
      <c r="B4" s="835">
        <f>B6+B8+B10</f>
        <v>291</v>
      </c>
      <c r="C4" s="835">
        <f t="shared" ref="C4:I4" si="0">C6+C8+C10</f>
        <v>416</v>
      </c>
      <c r="D4" s="835">
        <f t="shared" si="0"/>
        <v>331</v>
      </c>
      <c r="E4" s="835">
        <f t="shared" si="0"/>
        <v>258</v>
      </c>
      <c r="F4" s="835">
        <f t="shared" si="0"/>
        <v>301</v>
      </c>
      <c r="G4" s="835">
        <f t="shared" si="0"/>
        <v>1138</v>
      </c>
      <c r="H4" s="835">
        <f t="shared" si="0"/>
        <v>641</v>
      </c>
      <c r="I4" s="835">
        <f t="shared" si="0"/>
        <v>391</v>
      </c>
      <c r="J4" s="835">
        <f t="shared" ref="J4" si="1">SUM(J6,J8,J10)</f>
        <v>292</v>
      </c>
      <c r="K4" s="837">
        <f>SUM(B4:J4)</f>
        <v>4059</v>
      </c>
      <c r="M4" s="561" t="s">
        <v>295</v>
      </c>
      <c r="N4" s="492">
        <v>44</v>
      </c>
      <c r="O4" s="492">
        <v>48</v>
      </c>
      <c r="P4" s="492">
        <v>48</v>
      </c>
      <c r="Q4" s="492">
        <v>120</v>
      </c>
      <c r="R4" s="492">
        <v>118</v>
      </c>
      <c r="S4" s="492">
        <v>72</v>
      </c>
      <c r="T4" s="492">
        <v>22</v>
      </c>
      <c r="U4" s="492">
        <v>43</v>
      </c>
      <c r="V4" s="492">
        <v>35</v>
      </c>
      <c r="W4" s="492">
        <v>77</v>
      </c>
      <c r="X4" s="492">
        <v>49</v>
      </c>
      <c r="Y4" s="492">
        <v>9</v>
      </c>
      <c r="Z4" s="492">
        <v>85</v>
      </c>
      <c r="AA4" s="492">
        <v>78</v>
      </c>
      <c r="AB4" s="492">
        <v>148</v>
      </c>
      <c r="AC4" s="492">
        <v>248</v>
      </c>
      <c r="AD4" s="492">
        <v>195</v>
      </c>
      <c r="AE4" s="492">
        <v>311</v>
      </c>
      <c r="AF4" s="492">
        <v>197</v>
      </c>
      <c r="AG4" s="492">
        <v>135</v>
      </c>
      <c r="AH4" s="499">
        <v>4</v>
      </c>
      <c r="AI4" s="542"/>
    </row>
    <row r="5" spans="1:35" s="21" customFormat="1" ht="18" customHeight="1" x14ac:dyDescent="0.2">
      <c r="A5" s="1011"/>
      <c r="B5" s="836">
        <f t="shared" ref="B5:I5" si="2">B4/B$34</f>
        <v>0.24702886247877759</v>
      </c>
      <c r="C5" s="836">
        <f t="shared" si="2"/>
        <v>0.34266886326194401</v>
      </c>
      <c r="D5" s="836">
        <f t="shared" si="2"/>
        <v>0.26866883116883117</v>
      </c>
      <c r="E5" s="836">
        <f t="shared" si="2"/>
        <v>0.23911028730305839</v>
      </c>
      <c r="F5" s="836">
        <f t="shared" si="2"/>
        <v>0.28612167300380226</v>
      </c>
      <c r="G5" s="836">
        <f t="shared" si="2"/>
        <v>0.38009352037408151</v>
      </c>
      <c r="H5" s="836">
        <f t="shared" si="2"/>
        <v>0.22762784090909091</v>
      </c>
      <c r="I5" s="836">
        <f t="shared" si="2"/>
        <v>0.27809388335704127</v>
      </c>
      <c r="J5" s="836">
        <f t="shared" ref="J5" si="3">J4/J$34</f>
        <v>0.24558452481076534</v>
      </c>
      <c r="K5" s="836">
        <f>K4/K$34</f>
        <v>0.28665254237288135</v>
      </c>
      <c r="M5" s="496" t="s">
        <v>284</v>
      </c>
      <c r="N5" s="495">
        <v>8</v>
      </c>
      <c r="O5" s="495">
        <v>10</v>
      </c>
      <c r="P5" s="495">
        <v>8</v>
      </c>
      <c r="Q5" s="495">
        <v>10</v>
      </c>
      <c r="R5" s="495">
        <v>22</v>
      </c>
      <c r="S5" s="495">
        <v>13</v>
      </c>
      <c r="T5" s="495">
        <v>3</v>
      </c>
      <c r="U5" s="495">
        <v>3</v>
      </c>
      <c r="V5" s="495">
        <v>5</v>
      </c>
      <c r="W5" s="495">
        <v>7</v>
      </c>
      <c r="X5" s="495">
        <v>6</v>
      </c>
      <c r="Y5" s="495"/>
      <c r="Z5" s="495">
        <v>3</v>
      </c>
      <c r="AA5" s="495">
        <v>6</v>
      </c>
      <c r="AB5" s="495">
        <v>20</v>
      </c>
      <c r="AC5" s="495">
        <v>26</v>
      </c>
      <c r="AD5" s="495">
        <v>44</v>
      </c>
      <c r="AE5" s="495">
        <v>41</v>
      </c>
      <c r="AF5" s="495">
        <v>22</v>
      </c>
      <c r="AG5" s="495">
        <v>27</v>
      </c>
      <c r="AH5" s="500"/>
      <c r="AI5" s="500"/>
    </row>
    <row r="6" spans="1:35" s="21" customFormat="1" ht="18" customHeight="1" x14ac:dyDescent="0.2">
      <c r="A6" s="1012" t="s">
        <v>408</v>
      </c>
      <c r="B6" s="835">
        <f>SUM(N4:P4)</f>
        <v>140</v>
      </c>
      <c r="C6" s="835">
        <f>SUM(Q4:R4)</f>
        <v>238</v>
      </c>
      <c r="D6" s="835">
        <f>SUM(S4:V4)</f>
        <v>172</v>
      </c>
      <c r="E6" s="835">
        <f>SUM(W4:Y4)</f>
        <v>135</v>
      </c>
      <c r="F6" s="835">
        <f>SUM(Z4:AA4)</f>
        <v>163</v>
      </c>
      <c r="G6" s="835">
        <f>SUM(AB4:AD4)</f>
        <v>591</v>
      </c>
      <c r="H6" s="835">
        <f>AE4</f>
        <v>311</v>
      </c>
      <c r="I6" s="835">
        <f>AF4</f>
        <v>197</v>
      </c>
      <c r="J6" s="835">
        <f>SUM(AG4:AH4)</f>
        <v>139</v>
      </c>
      <c r="K6" s="837">
        <f>SUM(B6:J6)</f>
        <v>2086</v>
      </c>
      <c r="M6" s="493" t="s">
        <v>285</v>
      </c>
      <c r="N6" s="492">
        <v>35</v>
      </c>
      <c r="O6" s="492">
        <v>51</v>
      </c>
      <c r="P6" s="492">
        <v>39</v>
      </c>
      <c r="Q6" s="492">
        <v>71</v>
      </c>
      <c r="R6" s="492">
        <v>75</v>
      </c>
      <c r="S6" s="492">
        <v>52</v>
      </c>
      <c r="T6" s="492">
        <v>33</v>
      </c>
      <c r="U6" s="492">
        <v>25</v>
      </c>
      <c r="V6" s="492">
        <v>25</v>
      </c>
      <c r="W6" s="492">
        <v>76</v>
      </c>
      <c r="X6" s="492">
        <v>24</v>
      </c>
      <c r="Y6" s="492">
        <v>10</v>
      </c>
      <c r="Z6" s="492">
        <v>57</v>
      </c>
      <c r="AA6" s="492">
        <v>72</v>
      </c>
      <c r="AB6" s="492">
        <v>136</v>
      </c>
      <c r="AC6" s="492">
        <v>156</v>
      </c>
      <c r="AD6" s="492">
        <v>165</v>
      </c>
      <c r="AE6" s="492">
        <v>289</v>
      </c>
      <c r="AF6" s="492">
        <v>172</v>
      </c>
      <c r="AG6" s="492">
        <v>117</v>
      </c>
      <c r="AH6" s="499">
        <v>9</v>
      </c>
      <c r="AI6" s="499"/>
    </row>
    <row r="7" spans="1:35" s="21" customFormat="1" ht="18" customHeight="1" x14ac:dyDescent="0.2">
      <c r="A7" s="1013"/>
      <c r="B7" s="836">
        <f t="shared" ref="B7:I7" si="4">B6/B$34</f>
        <v>0.11884550084889643</v>
      </c>
      <c r="C7" s="836">
        <f t="shared" si="4"/>
        <v>0.19604612850082373</v>
      </c>
      <c r="D7" s="836">
        <f t="shared" si="4"/>
        <v>0.1396103896103896</v>
      </c>
      <c r="E7" s="836">
        <f t="shared" si="4"/>
        <v>0.12511584800741427</v>
      </c>
      <c r="F7" s="836">
        <f t="shared" si="4"/>
        <v>0.15494296577946767</v>
      </c>
      <c r="G7" s="836">
        <f t="shared" si="4"/>
        <v>0.19739478957915832</v>
      </c>
      <c r="H7" s="836">
        <f t="shared" si="4"/>
        <v>0.11044034090909091</v>
      </c>
      <c r="I7" s="836">
        <f t="shared" si="4"/>
        <v>0.14011379800853485</v>
      </c>
      <c r="J7" s="836">
        <f t="shared" ref="J7" si="5">J6/J$34</f>
        <v>0.11690496215306981</v>
      </c>
      <c r="K7" s="836">
        <f>K6/K$34</f>
        <v>0.14731638418079096</v>
      </c>
      <c r="M7" s="496" t="s">
        <v>286</v>
      </c>
      <c r="N7" s="495">
        <v>6</v>
      </c>
      <c r="O7" s="495">
        <v>16</v>
      </c>
      <c r="P7" s="495">
        <v>12</v>
      </c>
      <c r="Q7" s="495">
        <v>25</v>
      </c>
      <c r="R7" s="495">
        <v>16</v>
      </c>
      <c r="S7" s="495">
        <v>12</v>
      </c>
      <c r="T7" s="495">
        <v>13</v>
      </c>
      <c r="U7" s="495">
        <v>10</v>
      </c>
      <c r="V7" s="495">
        <v>9</v>
      </c>
      <c r="W7" s="495">
        <v>14</v>
      </c>
      <c r="X7" s="495">
        <v>6</v>
      </c>
      <c r="Y7" s="495">
        <v>4</v>
      </c>
      <c r="Z7" s="495">
        <v>25</v>
      </c>
      <c r="AA7" s="495">
        <v>21</v>
      </c>
      <c r="AB7" s="495">
        <v>51</v>
      </c>
      <c r="AC7" s="495">
        <v>54</v>
      </c>
      <c r="AD7" s="495">
        <v>30</v>
      </c>
      <c r="AE7" s="495">
        <v>139</v>
      </c>
      <c r="AF7" s="495">
        <v>85</v>
      </c>
      <c r="AG7" s="495">
        <v>83</v>
      </c>
      <c r="AH7" s="500">
        <v>3</v>
      </c>
      <c r="AI7" s="500"/>
    </row>
    <row r="8" spans="1:35" s="21" customFormat="1" ht="18" customHeight="1" x14ac:dyDescent="0.2">
      <c r="A8" s="1012" t="s">
        <v>409</v>
      </c>
      <c r="B8" s="835">
        <f>SUM(N5:P5)</f>
        <v>26</v>
      </c>
      <c r="C8" s="835">
        <f>SUM(Q5:R5)</f>
        <v>32</v>
      </c>
      <c r="D8" s="835">
        <f>SUM(S5:V5)</f>
        <v>24</v>
      </c>
      <c r="E8" s="835">
        <f>SUM(W5:Y5)</f>
        <v>13</v>
      </c>
      <c r="F8" s="835">
        <f>SUM(Z5:AA5)</f>
        <v>9</v>
      </c>
      <c r="G8" s="835">
        <f>SUM(AB5:AD5)</f>
        <v>90</v>
      </c>
      <c r="H8" s="835">
        <f>AE5</f>
        <v>41</v>
      </c>
      <c r="I8" s="835">
        <f>AF5</f>
        <v>22</v>
      </c>
      <c r="J8" s="835">
        <f>SUM(AG5:AH5)</f>
        <v>27</v>
      </c>
      <c r="K8" s="837">
        <f>SUM(B8:J8)</f>
        <v>284</v>
      </c>
      <c r="M8" s="493" t="s">
        <v>200</v>
      </c>
      <c r="N8" s="492">
        <v>1</v>
      </c>
      <c r="O8" s="492">
        <v>2</v>
      </c>
      <c r="P8" s="492"/>
      <c r="Q8" s="492"/>
      <c r="R8" s="492">
        <v>1</v>
      </c>
      <c r="S8" s="492">
        <v>2</v>
      </c>
      <c r="T8" s="492">
        <v>1</v>
      </c>
      <c r="U8" s="492"/>
      <c r="V8" s="492"/>
      <c r="W8" s="492">
        <v>4</v>
      </c>
      <c r="X8" s="492">
        <v>2</v>
      </c>
      <c r="Y8" s="492"/>
      <c r="Z8" s="492">
        <v>2</v>
      </c>
      <c r="AA8" s="492">
        <v>2</v>
      </c>
      <c r="AB8" s="492">
        <v>2</v>
      </c>
      <c r="AC8" s="492">
        <v>6</v>
      </c>
      <c r="AD8" s="492">
        <v>1</v>
      </c>
      <c r="AE8" s="492">
        <v>17</v>
      </c>
      <c r="AF8" s="492">
        <v>9</v>
      </c>
      <c r="AG8" s="492">
        <v>4</v>
      </c>
      <c r="AH8" s="499">
        <v>1</v>
      </c>
      <c r="AI8" s="499"/>
    </row>
    <row r="9" spans="1:35" s="21" customFormat="1" ht="18" customHeight="1" x14ac:dyDescent="0.2">
      <c r="A9" s="1013"/>
      <c r="B9" s="836">
        <f t="shared" ref="B9:I9" si="6">B8/B$34</f>
        <v>2.2071307300509338E-2</v>
      </c>
      <c r="C9" s="836">
        <f t="shared" si="6"/>
        <v>2.6359143327841845E-2</v>
      </c>
      <c r="D9" s="836">
        <f t="shared" si="6"/>
        <v>1.948051948051948E-2</v>
      </c>
      <c r="E9" s="836">
        <f t="shared" si="6"/>
        <v>1.2048192771084338E-2</v>
      </c>
      <c r="F9" s="836">
        <f t="shared" si="6"/>
        <v>8.555133079847909E-3</v>
      </c>
      <c r="G9" s="836">
        <f t="shared" si="6"/>
        <v>3.0060120240480961E-2</v>
      </c>
      <c r="H9" s="836">
        <f t="shared" si="6"/>
        <v>1.455965909090909E-2</v>
      </c>
      <c r="I9" s="836">
        <f t="shared" si="6"/>
        <v>1.5647226173541962E-2</v>
      </c>
      <c r="J9" s="836">
        <f t="shared" ref="J9" si="7">J8/J$34</f>
        <v>2.2708158116063918E-2</v>
      </c>
      <c r="K9" s="836">
        <f>K8/K$34</f>
        <v>2.0056497175141241E-2</v>
      </c>
      <c r="M9" s="496" t="s">
        <v>201</v>
      </c>
      <c r="N9" s="495"/>
      <c r="O9" s="495">
        <v>4</v>
      </c>
      <c r="P9" s="495"/>
      <c r="Q9" s="495">
        <v>2</v>
      </c>
      <c r="R9" s="495"/>
      <c r="S9" s="495"/>
      <c r="T9" s="495">
        <v>2</v>
      </c>
      <c r="U9" s="495"/>
      <c r="V9" s="495"/>
      <c r="W9" s="495">
        <v>2</v>
      </c>
      <c r="X9" s="495"/>
      <c r="Y9" s="495">
        <v>2</v>
      </c>
      <c r="Z9" s="495"/>
      <c r="AA9" s="495">
        <v>4</v>
      </c>
      <c r="AB9" s="495">
        <v>1</v>
      </c>
      <c r="AC9" s="495">
        <v>4</v>
      </c>
      <c r="AD9" s="495">
        <v>10</v>
      </c>
      <c r="AE9" s="495">
        <v>19</v>
      </c>
      <c r="AF9" s="495">
        <v>7</v>
      </c>
      <c r="AG9" s="495">
        <v>2</v>
      </c>
      <c r="AH9" s="500">
        <v>5</v>
      </c>
      <c r="AI9" s="500"/>
    </row>
    <row r="10" spans="1:35" s="21" customFormat="1" ht="18" customHeight="1" x14ac:dyDescent="0.2">
      <c r="A10" s="1012" t="s">
        <v>410</v>
      </c>
      <c r="B10" s="835">
        <f>SUM(N6:P6)</f>
        <v>125</v>
      </c>
      <c r="C10" s="835">
        <f>SUM(Q6:R6)</f>
        <v>146</v>
      </c>
      <c r="D10" s="835">
        <f>SUM(S6:V6)</f>
        <v>135</v>
      </c>
      <c r="E10" s="835">
        <f>SUM(W6:Y6)</f>
        <v>110</v>
      </c>
      <c r="F10" s="835">
        <f>SUM(Z6:AA6)</f>
        <v>129</v>
      </c>
      <c r="G10" s="835">
        <f>SUM(AB6:AD6)</f>
        <v>457</v>
      </c>
      <c r="H10" s="835">
        <f>AE6</f>
        <v>289</v>
      </c>
      <c r="I10" s="835">
        <f>AF6</f>
        <v>172</v>
      </c>
      <c r="J10" s="835">
        <f>SUM(AG6:AH6)</f>
        <v>126</v>
      </c>
      <c r="K10" s="837">
        <f>SUM(B10:J10)</f>
        <v>1689</v>
      </c>
      <c r="M10" s="493" t="s">
        <v>287</v>
      </c>
      <c r="N10" s="492">
        <v>176</v>
      </c>
      <c r="O10" s="492">
        <v>253</v>
      </c>
      <c r="P10" s="492">
        <v>215</v>
      </c>
      <c r="Q10" s="492">
        <v>306</v>
      </c>
      <c r="R10" s="492">
        <v>263</v>
      </c>
      <c r="S10" s="492">
        <v>199</v>
      </c>
      <c r="T10" s="492">
        <v>126</v>
      </c>
      <c r="U10" s="492">
        <v>154</v>
      </c>
      <c r="V10" s="492">
        <v>133</v>
      </c>
      <c r="W10" s="492">
        <v>356</v>
      </c>
      <c r="X10" s="492">
        <v>160</v>
      </c>
      <c r="Y10" s="492">
        <v>44</v>
      </c>
      <c r="Z10" s="492">
        <v>202</v>
      </c>
      <c r="AA10" s="492">
        <v>267</v>
      </c>
      <c r="AB10" s="492">
        <v>353</v>
      </c>
      <c r="AC10" s="492">
        <v>499</v>
      </c>
      <c r="AD10" s="492">
        <v>334</v>
      </c>
      <c r="AE10" s="492">
        <v>1445</v>
      </c>
      <c r="AF10" s="492">
        <v>648</v>
      </c>
      <c r="AG10" s="492">
        <v>541</v>
      </c>
      <c r="AH10" s="499">
        <v>57</v>
      </c>
      <c r="AI10" s="499"/>
    </row>
    <row r="11" spans="1:35" s="21" customFormat="1" ht="26.25" customHeight="1" x14ac:dyDescent="0.2">
      <c r="A11" s="1013"/>
      <c r="B11" s="836">
        <f t="shared" ref="B11:I11" si="8">B10/B$34</f>
        <v>0.10611205432937182</v>
      </c>
      <c r="C11" s="836">
        <f t="shared" si="8"/>
        <v>0.12026359143327842</v>
      </c>
      <c r="D11" s="836">
        <f t="shared" si="8"/>
        <v>0.10957792207792208</v>
      </c>
      <c r="E11" s="836">
        <f t="shared" si="8"/>
        <v>0.10194624652455977</v>
      </c>
      <c r="F11" s="836">
        <f t="shared" si="8"/>
        <v>0.12262357414448669</v>
      </c>
      <c r="G11" s="836">
        <f t="shared" si="8"/>
        <v>0.15263861055444222</v>
      </c>
      <c r="H11" s="836">
        <f t="shared" si="8"/>
        <v>0.10262784090909091</v>
      </c>
      <c r="I11" s="836">
        <f t="shared" si="8"/>
        <v>0.12233285917496443</v>
      </c>
      <c r="J11" s="836">
        <f t="shared" ref="J11" si="9">J10/J$34</f>
        <v>0.10597140454163162</v>
      </c>
      <c r="K11" s="836">
        <f>K10/K$34</f>
        <v>0.11927966101694916</v>
      </c>
      <c r="M11" s="496" t="s">
        <v>288</v>
      </c>
      <c r="N11" s="495">
        <v>21</v>
      </c>
      <c r="O11" s="495">
        <v>26</v>
      </c>
      <c r="P11" s="495">
        <v>23</v>
      </c>
      <c r="Q11" s="495">
        <v>31</v>
      </c>
      <c r="R11" s="495">
        <v>25</v>
      </c>
      <c r="S11" s="495">
        <v>23</v>
      </c>
      <c r="T11" s="495">
        <v>9</v>
      </c>
      <c r="U11" s="495">
        <v>19</v>
      </c>
      <c r="V11" s="495">
        <v>11</v>
      </c>
      <c r="W11" s="495">
        <v>32</v>
      </c>
      <c r="X11" s="495">
        <v>16</v>
      </c>
      <c r="Y11" s="495">
        <v>3</v>
      </c>
      <c r="Z11" s="495">
        <v>15</v>
      </c>
      <c r="AA11" s="495">
        <v>37</v>
      </c>
      <c r="AB11" s="495">
        <v>43</v>
      </c>
      <c r="AC11" s="495">
        <v>72</v>
      </c>
      <c r="AD11" s="495">
        <v>32</v>
      </c>
      <c r="AE11" s="495">
        <v>121</v>
      </c>
      <c r="AF11" s="495">
        <v>60</v>
      </c>
      <c r="AG11" s="495">
        <v>61</v>
      </c>
      <c r="AH11" s="500">
        <v>2</v>
      </c>
      <c r="AI11" s="500"/>
    </row>
    <row r="12" spans="1:35" s="21" customFormat="1" ht="18" customHeight="1" x14ac:dyDescent="0.2">
      <c r="A12" s="1010" t="s">
        <v>20</v>
      </c>
      <c r="B12" s="835">
        <f>SUM(N7:P9)</f>
        <v>41</v>
      </c>
      <c r="C12" s="835">
        <f>SUM(Q7:R9)</f>
        <v>44</v>
      </c>
      <c r="D12" s="835">
        <f>SUM(S7:V9)</f>
        <v>49</v>
      </c>
      <c r="E12" s="835">
        <f>SUM(W7:Y9)</f>
        <v>34</v>
      </c>
      <c r="F12" s="835">
        <f>SUM(Z7:AA9)</f>
        <v>54</v>
      </c>
      <c r="G12" s="835">
        <f>SUM(AB7:AD9)</f>
        <v>159</v>
      </c>
      <c r="H12" s="835">
        <f>SUM(AE7:AE9)</f>
        <v>175</v>
      </c>
      <c r="I12" s="835">
        <f>SUM(AF7:AF9)</f>
        <v>101</v>
      </c>
      <c r="J12" s="835">
        <f>SUM(AG7:AH9)</f>
        <v>98</v>
      </c>
      <c r="K12" s="837">
        <f>SUM(B12:J12)</f>
        <v>755</v>
      </c>
      <c r="M12" s="493" t="s">
        <v>289</v>
      </c>
      <c r="N12" s="492">
        <v>22</v>
      </c>
      <c r="O12" s="492">
        <v>25</v>
      </c>
      <c r="P12" s="492">
        <v>16</v>
      </c>
      <c r="Q12" s="492">
        <v>32</v>
      </c>
      <c r="R12" s="492">
        <v>25</v>
      </c>
      <c r="S12" s="492">
        <v>23</v>
      </c>
      <c r="T12" s="492">
        <v>20</v>
      </c>
      <c r="U12" s="492">
        <v>22</v>
      </c>
      <c r="V12" s="492">
        <v>18</v>
      </c>
      <c r="W12" s="492">
        <v>45</v>
      </c>
      <c r="X12" s="492">
        <v>22</v>
      </c>
      <c r="Y12" s="492">
        <v>7</v>
      </c>
      <c r="Z12" s="492">
        <v>48</v>
      </c>
      <c r="AA12" s="492">
        <v>49</v>
      </c>
      <c r="AB12" s="492">
        <v>57</v>
      </c>
      <c r="AC12" s="492">
        <v>92</v>
      </c>
      <c r="AD12" s="492">
        <v>71</v>
      </c>
      <c r="AE12" s="492">
        <v>195</v>
      </c>
      <c r="AF12" s="492">
        <v>104</v>
      </c>
      <c r="AG12" s="492">
        <v>56</v>
      </c>
      <c r="AH12" s="499">
        <v>2</v>
      </c>
      <c r="AI12" s="499"/>
    </row>
    <row r="13" spans="1:35" s="21" customFormat="1" ht="18" customHeight="1" x14ac:dyDescent="0.2">
      <c r="A13" s="1011"/>
      <c r="B13" s="836">
        <f t="shared" ref="B13:I13" si="10">B12/B$34</f>
        <v>3.4804753820033958E-2</v>
      </c>
      <c r="C13" s="836">
        <f t="shared" si="10"/>
        <v>3.6243822075782535E-2</v>
      </c>
      <c r="D13" s="836">
        <f t="shared" si="10"/>
        <v>3.9772727272727272E-2</v>
      </c>
      <c r="E13" s="836">
        <f t="shared" si="10"/>
        <v>3.1510658016682111E-2</v>
      </c>
      <c r="F13" s="836">
        <f t="shared" si="10"/>
        <v>5.1330798479087454E-2</v>
      </c>
      <c r="G13" s="836">
        <f t="shared" si="10"/>
        <v>5.3106212424849697E-2</v>
      </c>
      <c r="H13" s="836">
        <f t="shared" si="10"/>
        <v>6.214488636363636E-2</v>
      </c>
      <c r="I13" s="836">
        <f t="shared" si="10"/>
        <v>7.183499288762446E-2</v>
      </c>
      <c r="J13" s="836">
        <f t="shared" ref="J13" si="11">J12/J$34</f>
        <v>8.2422203532380153E-2</v>
      </c>
      <c r="K13" s="836">
        <f>K12/K$34</f>
        <v>5.3319209039548024E-2</v>
      </c>
      <c r="M13" s="496" t="s">
        <v>290</v>
      </c>
      <c r="N13" s="495">
        <v>3</v>
      </c>
      <c r="O13" s="495">
        <v>8</v>
      </c>
      <c r="P13" s="495">
        <v>3</v>
      </c>
      <c r="Q13" s="495">
        <v>12</v>
      </c>
      <c r="R13" s="495">
        <v>12</v>
      </c>
      <c r="S13" s="495">
        <v>12</v>
      </c>
      <c r="T13" s="495">
        <v>5</v>
      </c>
      <c r="U13" s="495">
        <v>8</v>
      </c>
      <c r="V13" s="495">
        <v>2</v>
      </c>
      <c r="W13" s="495">
        <v>17</v>
      </c>
      <c r="X13" s="495">
        <v>10</v>
      </c>
      <c r="Y13" s="495">
        <v>2</v>
      </c>
      <c r="Z13" s="495">
        <v>10</v>
      </c>
      <c r="AA13" s="495">
        <v>7</v>
      </c>
      <c r="AB13" s="495">
        <v>14</v>
      </c>
      <c r="AC13" s="495">
        <v>17</v>
      </c>
      <c r="AD13" s="495">
        <v>9</v>
      </c>
      <c r="AE13" s="495">
        <v>61</v>
      </c>
      <c r="AF13" s="495">
        <v>30</v>
      </c>
      <c r="AG13" s="495">
        <v>17</v>
      </c>
      <c r="AH13" s="500">
        <v>4</v>
      </c>
      <c r="AI13" s="500"/>
    </row>
    <row r="14" spans="1:35" s="21" customFormat="1" ht="18" customHeight="1" x14ac:dyDescent="0.2">
      <c r="A14" s="1010" t="s">
        <v>21</v>
      </c>
      <c r="B14" s="835">
        <f>SUM(N10:P10)</f>
        <v>644</v>
      </c>
      <c r="C14" s="835">
        <f>SUM(Q10:R10)</f>
        <v>569</v>
      </c>
      <c r="D14" s="835">
        <f>SUM(S10:V10)</f>
        <v>612</v>
      </c>
      <c r="E14" s="835">
        <f>SUM(W10:Y10)</f>
        <v>560</v>
      </c>
      <c r="F14" s="835">
        <f>SUM(Z10:AA10)</f>
        <v>469</v>
      </c>
      <c r="G14" s="835">
        <f>SUM(AB10:AD10)</f>
        <v>1186</v>
      </c>
      <c r="H14" s="835">
        <f>AE10</f>
        <v>1445</v>
      </c>
      <c r="I14" s="835">
        <f>AF10</f>
        <v>648</v>
      </c>
      <c r="J14" s="835">
        <f>SUM(AG10:AH10)</f>
        <v>598</v>
      </c>
      <c r="K14" s="837">
        <f>SUM(B14:J14)</f>
        <v>6731</v>
      </c>
      <c r="M14" s="493" t="s">
        <v>291</v>
      </c>
      <c r="N14" s="492">
        <v>1</v>
      </c>
      <c r="O14" s="492">
        <v>3</v>
      </c>
      <c r="P14" s="492">
        <v>2</v>
      </c>
      <c r="Q14" s="492">
        <v>3</v>
      </c>
      <c r="R14" s="492">
        <v>1</v>
      </c>
      <c r="S14" s="492">
        <v>2</v>
      </c>
      <c r="T14" s="492"/>
      <c r="U14" s="492"/>
      <c r="V14" s="492">
        <v>4</v>
      </c>
      <c r="W14" s="492">
        <v>3</v>
      </c>
      <c r="X14" s="492">
        <v>3</v>
      </c>
      <c r="Y14" s="492"/>
      <c r="Z14" s="492">
        <v>2</v>
      </c>
      <c r="AA14" s="492">
        <v>2</v>
      </c>
      <c r="AB14" s="492">
        <v>1</v>
      </c>
      <c r="AC14" s="492">
        <v>1</v>
      </c>
      <c r="AD14" s="492">
        <v>2</v>
      </c>
      <c r="AE14" s="492">
        <v>14</v>
      </c>
      <c r="AF14" s="492">
        <v>4</v>
      </c>
      <c r="AG14" s="492">
        <v>10</v>
      </c>
      <c r="AH14" s="499"/>
      <c r="AI14" s="499"/>
    </row>
    <row r="15" spans="1:35" s="21" customFormat="1" ht="18" customHeight="1" x14ac:dyDescent="0.2">
      <c r="A15" s="1011"/>
      <c r="B15" s="836">
        <f t="shared" ref="B15:I15" si="12">B14/B$34</f>
        <v>0.54668930390492365</v>
      </c>
      <c r="C15" s="836">
        <f t="shared" si="12"/>
        <v>0.46869851729818779</v>
      </c>
      <c r="D15" s="836">
        <f t="shared" si="12"/>
        <v>0.49675324675324678</v>
      </c>
      <c r="E15" s="836">
        <f t="shared" si="12"/>
        <v>0.51899907321594063</v>
      </c>
      <c r="F15" s="836">
        <f t="shared" si="12"/>
        <v>0.44581749049429659</v>
      </c>
      <c r="G15" s="836">
        <f t="shared" si="12"/>
        <v>0.39612558450233804</v>
      </c>
      <c r="H15" s="836">
        <f t="shared" si="12"/>
        <v>0.51313920454545459</v>
      </c>
      <c r="I15" s="836">
        <f t="shared" si="12"/>
        <v>0.46088193456614507</v>
      </c>
      <c r="J15" s="836">
        <f t="shared" ref="J15" si="13">J14/J$34</f>
        <v>0.50294365012615638</v>
      </c>
      <c r="K15" s="836">
        <f>K14/K$34</f>
        <v>0.47535310734463276</v>
      </c>
      <c r="M15" s="496" t="s">
        <v>296</v>
      </c>
      <c r="N15" s="495"/>
      <c r="O15" s="495">
        <v>2</v>
      </c>
      <c r="P15" s="495">
        <v>1</v>
      </c>
      <c r="Q15" s="495"/>
      <c r="R15" s="495"/>
      <c r="S15" s="495">
        <v>1</v>
      </c>
      <c r="T15" s="495">
        <v>1</v>
      </c>
      <c r="U15" s="495"/>
      <c r="V15" s="495"/>
      <c r="W15" s="495">
        <v>2</v>
      </c>
      <c r="X15" s="495"/>
      <c r="Y15" s="495"/>
      <c r="Z15" s="495">
        <v>1</v>
      </c>
      <c r="AA15" s="495">
        <v>3</v>
      </c>
      <c r="AB15" s="495"/>
      <c r="AC15" s="495">
        <v>1</v>
      </c>
      <c r="AD15" s="495">
        <v>4</v>
      </c>
      <c r="AE15" s="495">
        <v>15</v>
      </c>
      <c r="AF15" s="495">
        <v>4</v>
      </c>
      <c r="AG15" s="495">
        <v>2</v>
      </c>
      <c r="AH15" s="500">
        <v>1</v>
      </c>
      <c r="AI15" s="500"/>
    </row>
    <row r="16" spans="1:35" s="21" customFormat="1" ht="18" customHeight="1" x14ac:dyDescent="0.2">
      <c r="A16" s="1010" t="s">
        <v>22</v>
      </c>
      <c r="B16" s="835">
        <f>SUM(N11:P12)</f>
        <v>133</v>
      </c>
      <c r="C16" s="835">
        <f>SUM(Q11:R12)</f>
        <v>113</v>
      </c>
      <c r="D16" s="835">
        <f>SUM(S11:V12)</f>
        <v>145</v>
      </c>
      <c r="E16" s="835">
        <f>SUM(W11:Y12)</f>
        <v>125</v>
      </c>
      <c r="F16" s="835">
        <f>SUM(Z11:AA12)</f>
        <v>149</v>
      </c>
      <c r="G16" s="835">
        <f>SUM(AB11:AD12)</f>
        <v>367</v>
      </c>
      <c r="H16" s="835">
        <f>SUM(AE11:AE12)</f>
        <v>316</v>
      </c>
      <c r="I16" s="835">
        <f>SUM(AF11:AF12)</f>
        <v>164</v>
      </c>
      <c r="J16" s="835">
        <f>SUM(AG11:AH12)</f>
        <v>121</v>
      </c>
      <c r="K16" s="837">
        <f>SUM(B16:J16)</f>
        <v>1633</v>
      </c>
      <c r="M16" s="493" t="s">
        <v>292</v>
      </c>
      <c r="N16" s="492">
        <v>7</v>
      </c>
      <c r="O16" s="492">
        <v>12</v>
      </c>
      <c r="P16" s="492">
        <v>5</v>
      </c>
      <c r="Q16" s="492">
        <v>11</v>
      </c>
      <c r="R16" s="492">
        <v>6</v>
      </c>
      <c r="S16" s="492">
        <v>12</v>
      </c>
      <c r="T16" s="492">
        <v>4</v>
      </c>
      <c r="U16" s="492">
        <v>5</v>
      </c>
      <c r="V16" s="492">
        <v>6</v>
      </c>
      <c r="W16" s="492">
        <v>18</v>
      </c>
      <c r="X16" s="492">
        <v>7</v>
      </c>
      <c r="Y16" s="492">
        <v>1</v>
      </c>
      <c r="Z16" s="492">
        <v>14</v>
      </c>
      <c r="AA16" s="492">
        <v>10</v>
      </c>
      <c r="AB16" s="492">
        <v>17</v>
      </c>
      <c r="AC16" s="492">
        <v>17</v>
      </c>
      <c r="AD16" s="492">
        <v>26</v>
      </c>
      <c r="AE16" s="492">
        <v>82</v>
      </c>
      <c r="AF16" s="492">
        <v>25</v>
      </c>
      <c r="AG16" s="492">
        <v>17</v>
      </c>
      <c r="AH16" s="499">
        <v>3</v>
      </c>
      <c r="AI16" s="499"/>
    </row>
    <row r="17" spans="1:35" s="21" customFormat="1" ht="18" customHeight="1" x14ac:dyDescent="0.2">
      <c r="A17" s="1011"/>
      <c r="B17" s="836">
        <f t="shared" ref="B17:I17" si="14">B16/B$34</f>
        <v>0.11290322580645161</v>
      </c>
      <c r="C17" s="836">
        <f t="shared" si="14"/>
        <v>9.308072487644152E-2</v>
      </c>
      <c r="D17" s="836">
        <f t="shared" si="14"/>
        <v>0.1176948051948052</v>
      </c>
      <c r="E17" s="836">
        <f t="shared" si="14"/>
        <v>0.11584800741427248</v>
      </c>
      <c r="F17" s="836">
        <f t="shared" si="14"/>
        <v>0.14163498098859315</v>
      </c>
      <c r="G17" s="836">
        <f t="shared" si="14"/>
        <v>0.12257849031396126</v>
      </c>
      <c r="H17" s="836">
        <f t="shared" si="14"/>
        <v>0.11221590909090909</v>
      </c>
      <c r="I17" s="836">
        <f t="shared" si="14"/>
        <v>0.11664295874822191</v>
      </c>
      <c r="J17" s="836">
        <f t="shared" ref="J17" si="15">J16/J$34</f>
        <v>0.10176619007569386</v>
      </c>
      <c r="K17" s="836">
        <f>K16/K$34</f>
        <v>0.11532485875706215</v>
      </c>
      <c r="M17" s="496" t="s">
        <v>293</v>
      </c>
      <c r="N17" s="495">
        <v>1</v>
      </c>
      <c r="O17" s="495">
        <v>4</v>
      </c>
      <c r="P17" s="495">
        <v>3</v>
      </c>
      <c r="Q17" s="495">
        <v>8</v>
      </c>
      <c r="R17" s="495">
        <v>10</v>
      </c>
      <c r="S17" s="495">
        <v>7</v>
      </c>
      <c r="T17" s="495">
        <v>4</v>
      </c>
      <c r="U17" s="495">
        <v>3</v>
      </c>
      <c r="V17" s="495">
        <v>7</v>
      </c>
      <c r="W17" s="495">
        <v>17</v>
      </c>
      <c r="X17" s="495">
        <v>2</v>
      </c>
      <c r="Y17" s="495">
        <v>5</v>
      </c>
      <c r="Z17" s="495">
        <v>5</v>
      </c>
      <c r="AA17" s="495">
        <v>4</v>
      </c>
      <c r="AB17" s="495">
        <v>5</v>
      </c>
      <c r="AC17" s="495">
        <v>9</v>
      </c>
      <c r="AD17" s="495">
        <v>4</v>
      </c>
      <c r="AE17" s="495">
        <v>30</v>
      </c>
      <c r="AF17" s="495">
        <v>16</v>
      </c>
      <c r="AG17" s="495">
        <v>9</v>
      </c>
      <c r="AH17" s="500"/>
      <c r="AI17" s="500"/>
    </row>
    <row r="18" spans="1:35" s="21" customFormat="1" ht="18" customHeight="1" x14ac:dyDescent="0.2">
      <c r="A18" s="1010" t="s">
        <v>253</v>
      </c>
      <c r="B18" s="835">
        <f>SUM(N13:P13)</f>
        <v>14</v>
      </c>
      <c r="C18" s="835">
        <f>SUM(Q13:R13)</f>
        <v>24</v>
      </c>
      <c r="D18" s="835">
        <f>SUM(S13:V13)</f>
        <v>27</v>
      </c>
      <c r="E18" s="835">
        <f>SUM(W13:Y13)</f>
        <v>29</v>
      </c>
      <c r="F18" s="835">
        <f>SUM(Z13:AA13)</f>
        <v>17</v>
      </c>
      <c r="G18" s="835">
        <f>SUM(AB13:AD13)</f>
        <v>40</v>
      </c>
      <c r="H18" s="835">
        <f>AE13</f>
        <v>61</v>
      </c>
      <c r="I18" s="835">
        <f>AF13</f>
        <v>30</v>
      </c>
      <c r="J18" s="835">
        <f>SUM(AG13:AH13)</f>
        <v>21</v>
      </c>
      <c r="K18" s="837">
        <f>SUM(B18:J18)</f>
        <v>263</v>
      </c>
      <c r="M18" s="493" t="s">
        <v>297</v>
      </c>
      <c r="N18" s="492">
        <v>1</v>
      </c>
      <c r="O18" s="492">
        <v>1</v>
      </c>
      <c r="P18" s="492">
        <v>3</v>
      </c>
      <c r="Q18" s="492">
        <v>2</v>
      </c>
      <c r="R18" s="492">
        <v>1</v>
      </c>
      <c r="S18" s="492">
        <v>2</v>
      </c>
      <c r="T18" s="492">
        <v>1</v>
      </c>
      <c r="U18" s="492">
        <v>1</v>
      </c>
      <c r="V18" s="492">
        <v>3</v>
      </c>
      <c r="W18" s="492">
        <v>2</v>
      </c>
      <c r="X18" s="492"/>
      <c r="Y18" s="492">
        <v>2</v>
      </c>
      <c r="Z18" s="492">
        <v>1</v>
      </c>
      <c r="AA18" s="492">
        <v>3</v>
      </c>
      <c r="AB18" s="492"/>
      <c r="AC18" s="492">
        <v>1</v>
      </c>
      <c r="AD18" s="492"/>
      <c r="AE18" s="492">
        <v>7</v>
      </c>
      <c r="AF18" s="492">
        <v>7</v>
      </c>
      <c r="AG18" s="492">
        <v>5</v>
      </c>
      <c r="AH18" s="499"/>
      <c r="AI18" s="499"/>
    </row>
    <row r="19" spans="1:35" s="21" customFormat="1" ht="18" customHeight="1" x14ac:dyDescent="0.2">
      <c r="A19" s="1011"/>
      <c r="B19" s="836">
        <f t="shared" ref="B19:I19" si="16">B18/B$34</f>
        <v>1.1884550084889643E-2</v>
      </c>
      <c r="C19" s="836">
        <f t="shared" si="16"/>
        <v>1.9769357495881382E-2</v>
      </c>
      <c r="D19" s="836">
        <f t="shared" si="16"/>
        <v>2.1915584415584416E-2</v>
      </c>
      <c r="E19" s="836">
        <f t="shared" si="16"/>
        <v>2.6876737720111215E-2</v>
      </c>
      <c r="F19" s="836">
        <f t="shared" si="16"/>
        <v>1.6159695817490494E-2</v>
      </c>
      <c r="G19" s="836">
        <f t="shared" si="16"/>
        <v>1.3360053440213761E-2</v>
      </c>
      <c r="H19" s="836">
        <f t="shared" si="16"/>
        <v>2.166193181818182E-2</v>
      </c>
      <c r="I19" s="836">
        <f t="shared" si="16"/>
        <v>2.1337126600284494E-2</v>
      </c>
      <c r="J19" s="836">
        <f t="shared" ref="J19" si="17">J18/J$34</f>
        <v>1.7661900756938603E-2</v>
      </c>
      <c r="K19" s="836">
        <f>K18/K$34</f>
        <v>1.8573446327683617E-2</v>
      </c>
      <c r="M19" s="496" t="s">
        <v>294</v>
      </c>
      <c r="N19" s="495"/>
      <c r="O19" s="495">
        <v>2</v>
      </c>
      <c r="P19" s="495">
        <v>1</v>
      </c>
      <c r="Q19" s="495">
        <v>1</v>
      </c>
      <c r="R19" s="495">
        <v>2</v>
      </c>
      <c r="S19" s="495">
        <v>3</v>
      </c>
      <c r="T19" s="495">
        <v>1</v>
      </c>
      <c r="U19" s="495"/>
      <c r="V19" s="495"/>
      <c r="W19" s="495"/>
      <c r="X19" s="495">
        <v>1</v>
      </c>
      <c r="Y19" s="495">
        <v>1</v>
      </c>
      <c r="Z19" s="495">
        <v>2</v>
      </c>
      <c r="AA19" s="495">
        <v>3</v>
      </c>
      <c r="AB19" s="495"/>
      <c r="AC19" s="495">
        <v>2</v>
      </c>
      <c r="AD19" s="495"/>
      <c r="AE19" s="495">
        <v>16</v>
      </c>
      <c r="AF19" s="495">
        <v>2</v>
      </c>
      <c r="AG19" s="495">
        <v>3</v>
      </c>
      <c r="AH19" s="500"/>
      <c r="AI19" s="500"/>
    </row>
    <row r="20" spans="1:35" s="21" customFormat="1" ht="18" customHeight="1" x14ac:dyDescent="0.2">
      <c r="A20" s="1010" t="s">
        <v>254</v>
      </c>
      <c r="B20" s="835">
        <f>SUM(N14:P14)</f>
        <v>6</v>
      </c>
      <c r="C20" s="835">
        <f>SUM(Q14:R14)</f>
        <v>4</v>
      </c>
      <c r="D20" s="835">
        <f>SUM(S14:V14)</f>
        <v>6</v>
      </c>
      <c r="E20" s="835">
        <f>SUM(W14:Y14)</f>
        <v>6</v>
      </c>
      <c r="F20" s="835">
        <f>SUM(Z14:AA14)</f>
        <v>4</v>
      </c>
      <c r="G20" s="835">
        <f>SUM(AB14:AD14)</f>
        <v>4</v>
      </c>
      <c r="H20" s="835">
        <f>AE14</f>
        <v>14</v>
      </c>
      <c r="I20" s="835">
        <f>AF14</f>
        <v>4</v>
      </c>
      <c r="J20" s="835">
        <f>SUM(AG14:AH14)</f>
        <v>10</v>
      </c>
      <c r="K20" s="837">
        <f>SUM(B20:J20)</f>
        <v>58</v>
      </c>
      <c r="M20" s="493" t="s">
        <v>18</v>
      </c>
      <c r="N20" s="492">
        <v>2</v>
      </c>
      <c r="O20" s="492">
        <v>3</v>
      </c>
      <c r="P20" s="492">
        <v>1</v>
      </c>
      <c r="Q20" s="492">
        <v>2</v>
      </c>
      <c r="R20" s="492">
        <v>1</v>
      </c>
      <c r="S20" s="492"/>
      <c r="T20" s="492">
        <v>1</v>
      </c>
      <c r="U20" s="492"/>
      <c r="V20" s="492"/>
      <c r="W20" s="492">
        <v>6</v>
      </c>
      <c r="X20" s="492">
        <v>1</v>
      </c>
      <c r="Y20" s="492">
        <v>2</v>
      </c>
      <c r="Z20" s="492">
        <v>7</v>
      </c>
      <c r="AA20" s="492">
        <v>5</v>
      </c>
      <c r="AB20" s="492">
        <v>8</v>
      </c>
      <c r="AC20" s="492">
        <v>2</v>
      </c>
      <c r="AD20" s="492">
        <v>4</v>
      </c>
      <c r="AE20" s="492">
        <v>14</v>
      </c>
      <c r="AF20" s="492">
        <v>14</v>
      </c>
      <c r="AG20" s="492">
        <v>9</v>
      </c>
      <c r="AH20" s="499"/>
      <c r="AI20" s="499"/>
    </row>
    <row r="21" spans="1:35" s="21" customFormat="1" ht="18" customHeight="1" x14ac:dyDescent="0.2">
      <c r="A21" s="1011"/>
      <c r="B21" s="836">
        <f t="shared" ref="B21:I21" si="18">B20/B$34</f>
        <v>5.0933786078098476E-3</v>
      </c>
      <c r="C21" s="836">
        <f t="shared" si="18"/>
        <v>3.2948929159802307E-3</v>
      </c>
      <c r="D21" s="836">
        <f t="shared" si="18"/>
        <v>4.87012987012987E-3</v>
      </c>
      <c r="E21" s="836">
        <f t="shared" si="18"/>
        <v>5.5607043558850789E-3</v>
      </c>
      <c r="F21" s="836">
        <f t="shared" si="18"/>
        <v>3.8022813688212928E-3</v>
      </c>
      <c r="G21" s="836">
        <f t="shared" si="18"/>
        <v>1.3360053440213762E-3</v>
      </c>
      <c r="H21" s="836">
        <f t="shared" si="18"/>
        <v>4.971590909090909E-3</v>
      </c>
      <c r="I21" s="836">
        <f t="shared" si="18"/>
        <v>2.8449502133712661E-3</v>
      </c>
      <c r="J21" s="836">
        <f t="shared" ref="J21" si="19">J20/J$34</f>
        <v>8.4104289318755257E-3</v>
      </c>
      <c r="K21" s="836">
        <f>K20/K$34</f>
        <v>4.0960451977401129E-3</v>
      </c>
      <c r="M21" s="496" t="s">
        <v>384</v>
      </c>
      <c r="N21" s="496"/>
      <c r="O21" s="496"/>
      <c r="P21" s="496"/>
      <c r="Q21" s="496"/>
      <c r="R21" s="496"/>
      <c r="S21" s="496"/>
      <c r="T21" s="496"/>
      <c r="U21" s="496"/>
      <c r="V21" s="496"/>
      <c r="W21" s="496"/>
      <c r="X21" s="496"/>
      <c r="Y21" s="496"/>
      <c r="Z21" s="496"/>
      <c r="AA21" s="496"/>
      <c r="AB21" s="496"/>
      <c r="AC21" s="496"/>
      <c r="AD21" s="496"/>
      <c r="AE21" s="496"/>
      <c r="AF21" s="496"/>
      <c r="AG21" s="496"/>
      <c r="AH21" s="500"/>
      <c r="AI21" s="500"/>
    </row>
    <row r="22" spans="1:35" s="21" customFormat="1" ht="18" customHeight="1" x14ac:dyDescent="0.2">
      <c r="A22" s="1010" t="s">
        <v>411</v>
      </c>
      <c r="B22" s="835">
        <f>SUM(N15:P15)</f>
        <v>3</v>
      </c>
      <c r="C22" s="835">
        <f>SUM(Q15:R15)</f>
        <v>0</v>
      </c>
      <c r="D22" s="835">
        <f>SUM(S15:V15)</f>
        <v>2</v>
      </c>
      <c r="E22" s="835">
        <f>SUM(W15:Y15)</f>
        <v>2</v>
      </c>
      <c r="F22" s="835">
        <f>SUM(Z15:AA15)</f>
        <v>4</v>
      </c>
      <c r="G22" s="835">
        <f>SUM(AB15:AD15)</f>
        <v>5</v>
      </c>
      <c r="H22" s="835">
        <f>AE15</f>
        <v>15</v>
      </c>
      <c r="I22" s="835">
        <f>AF15</f>
        <v>4</v>
      </c>
      <c r="J22" s="835">
        <f>SUM(AG15:AH15)</f>
        <v>3</v>
      </c>
      <c r="K22" s="837">
        <f>SUM(B22:J22)</f>
        <v>38</v>
      </c>
      <c r="M22" s="496" t="s">
        <v>262</v>
      </c>
      <c r="N22" s="453">
        <v>328</v>
      </c>
      <c r="O22" s="453">
        <v>470</v>
      </c>
      <c r="P22" s="453">
        <v>380</v>
      </c>
      <c r="Q22" s="453">
        <v>636</v>
      </c>
      <c r="R22" s="453">
        <v>578</v>
      </c>
      <c r="S22" s="453">
        <v>435</v>
      </c>
      <c r="T22" s="453">
        <v>246</v>
      </c>
      <c r="U22" s="453">
        <v>293</v>
      </c>
      <c r="V22" s="453">
        <v>258</v>
      </c>
      <c r="W22" s="453">
        <v>678</v>
      </c>
      <c r="X22" s="453">
        <v>309</v>
      </c>
      <c r="Y22" s="453">
        <v>92</v>
      </c>
      <c r="Z22" s="453">
        <v>479</v>
      </c>
      <c r="AA22" s="453">
        <v>573</v>
      </c>
      <c r="AB22" s="453">
        <v>856</v>
      </c>
      <c r="AC22" s="453">
        <v>1207</v>
      </c>
      <c r="AD22" s="453">
        <v>931</v>
      </c>
      <c r="AE22" s="453">
        <v>2816</v>
      </c>
      <c r="AF22" s="453">
        <v>1406</v>
      </c>
      <c r="AG22" s="453">
        <v>1098</v>
      </c>
      <c r="AH22" s="500">
        <v>91</v>
      </c>
      <c r="AI22" s="500"/>
    </row>
    <row r="23" spans="1:35" s="21" customFormat="1" ht="18" customHeight="1" x14ac:dyDescent="0.2">
      <c r="A23" s="1011"/>
      <c r="B23" s="836">
        <f t="shared" ref="B23:I23" si="20">B22/B$34</f>
        <v>2.5466893039049238E-3</v>
      </c>
      <c r="C23" s="836">
        <f t="shared" si="20"/>
        <v>0</v>
      </c>
      <c r="D23" s="836">
        <f t="shared" si="20"/>
        <v>1.6233766233766235E-3</v>
      </c>
      <c r="E23" s="836">
        <f t="shared" si="20"/>
        <v>1.8535681186283596E-3</v>
      </c>
      <c r="F23" s="836">
        <f t="shared" si="20"/>
        <v>3.8022813688212928E-3</v>
      </c>
      <c r="G23" s="836">
        <f t="shared" si="20"/>
        <v>1.6700066800267202E-3</v>
      </c>
      <c r="H23" s="836">
        <f t="shared" si="20"/>
        <v>5.3267045454545451E-3</v>
      </c>
      <c r="I23" s="836">
        <f t="shared" si="20"/>
        <v>2.8449502133712661E-3</v>
      </c>
      <c r="J23" s="836">
        <f t="shared" ref="J23" si="21">J22/J$34</f>
        <v>2.5231286795626578E-3</v>
      </c>
      <c r="K23" s="836">
        <f>K22/K$34</f>
        <v>2.6836158192090395E-3</v>
      </c>
      <c r="N23" s="453"/>
      <c r="O23" s="453"/>
      <c r="P23" s="453"/>
      <c r="Q23" s="453"/>
      <c r="R23" s="453"/>
      <c r="S23" s="453"/>
      <c r="T23" s="453"/>
      <c r="U23" s="453"/>
      <c r="V23" s="453"/>
      <c r="W23" s="453"/>
      <c r="X23" s="453"/>
      <c r="Y23" s="453"/>
      <c r="Z23" s="453"/>
      <c r="AA23" s="453"/>
      <c r="AB23" s="453"/>
      <c r="AC23" s="453"/>
      <c r="AD23" s="453"/>
      <c r="AE23" s="453"/>
      <c r="AF23" s="453"/>
      <c r="AG23" s="453"/>
      <c r="AH23" s="453"/>
      <c r="AI23" s="453"/>
    </row>
    <row r="24" spans="1:35" s="21" customFormat="1" ht="18" customHeight="1" x14ac:dyDescent="0.2">
      <c r="A24" s="1010" t="s">
        <v>412</v>
      </c>
      <c r="B24" s="835">
        <f>SUM(N16:P16)</f>
        <v>24</v>
      </c>
      <c r="C24" s="835">
        <f>SUM(Q16:R16)</f>
        <v>17</v>
      </c>
      <c r="D24" s="835">
        <f>SUM(S16:V16)</f>
        <v>27</v>
      </c>
      <c r="E24" s="835">
        <f>SUM(W16:Y16)</f>
        <v>26</v>
      </c>
      <c r="F24" s="835">
        <f>SUM(Z16:AA16)</f>
        <v>24</v>
      </c>
      <c r="G24" s="835">
        <f>SUM(AB16:AD16)</f>
        <v>60</v>
      </c>
      <c r="H24" s="835">
        <f>AE16</f>
        <v>82</v>
      </c>
      <c r="I24" s="835">
        <f>AF16</f>
        <v>25</v>
      </c>
      <c r="J24" s="835">
        <f>SUM(AG16:AH16)</f>
        <v>20</v>
      </c>
      <c r="K24" s="837">
        <f>SUM(B24:J24)</f>
        <v>305</v>
      </c>
      <c r="N24" s="453"/>
      <c r="O24" s="453"/>
      <c r="P24" s="453"/>
      <c r="Q24" s="453"/>
      <c r="R24" s="453"/>
      <c r="S24" s="453"/>
      <c r="T24" s="453"/>
      <c r="U24" s="453"/>
      <c r="V24" s="453"/>
      <c r="W24" s="453"/>
      <c r="X24" s="453"/>
      <c r="Y24" s="453"/>
      <c r="Z24" s="453"/>
      <c r="AA24" s="453"/>
      <c r="AB24" s="453"/>
      <c r="AC24" s="453"/>
      <c r="AD24" s="453"/>
      <c r="AE24" s="453"/>
      <c r="AF24" s="453"/>
      <c r="AG24" s="453"/>
      <c r="AH24" s="453"/>
      <c r="AI24" s="453"/>
    </row>
    <row r="25" spans="1:35" s="21" customFormat="1" ht="18" customHeight="1" x14ac:dyDescent="0.2">
      <c r="A25" s="1011"/>
      <c r="B25" s="836">
        <f t="shared" ref="B25:I25" si="22">B24/B$34</f>
        <v>2.037351443123939E-2</v>
      </c>
      <c r="C25" s="836">
        <f t="shared" si="22"/>
        <v>1.400329489291598E-2</v>
      </c>
      <c r="D25" s="836">
        <f t="shared" si="22"/>
        <v>2.1915584415584416E-2</v>
      </c>
      <c r="E25" s="836">
        <f t="shared" si="22"/>
        <v>2.4096385542168676E-2</v>
      </c>
      <c r="F25" s="836">
        <f t="shared" si="22"/>
        <v>2.2813688212927757E-2</v>
      </c>
      <c r="G25" s="836">
        <f t="shared" si="22"/>
        <v>2.004008016032064E-2</v>
      </c>
      <c r="H25" s="836">
        <f t="shared" si="22"/>
        <v>2.911931818181818E-2</v>
      </c>
      <c r="I25" s="836">
        <f t="shared" si="22"/>
        <v>1.7780938833570414E-2</v>
      </c>
      <c r="J25" s="836">
        <f t="shared" ref="J25" si="23">J24/J$34</f>
        <v>1.6820857863751051E-2</v>
      </c>
      <c r="K25" s="836">
        <f>K24/K$34</f>
        <v>2.1539548022598869E-2</v>
      </c>
      <c r="N25" s="453"/>
      <c r="O25" s="453"/>
      <c r="P25" s="453"/>
      <c r="Q25" s="453"/>
      <c r="R25" s="453"/>
      <c r="S25" s="453"/>
      <c r="T25" s="453"/>
      <c r="U25" s="453"/>
      <c r="V25" s="453"/>
      <c r="W25" s="453"/>
      <c r="X25" s="453"/>
      <c r="Y25" s="453"/>
      <c r="Z25" s="453"/>
      <c r="AA25" s="453"/>
      <c r="AB25" s="453"/>
      <c r="AC25" s="453"/>
      <c r="AD25" s="453"/>
      <c r="AE25" s="453"/>
      <c r="AF25" s="453"/>
      <c r="AG25" s="453"/>
      <c r="AH25" s="453"/>
      <c r="AI25" s="453"/>
    </row>
    <row r="26" spans="1:35" s="21" customFormat="1" ht="18" customHeight="1" x14ac:dyDescent="0.2">
      <c r="A26" s="1010" t="s">
        <v>83</v>
      </c>
      <c r="B26" s="835">
        <f>SUM(N17:P17)</f>
        <v>8</v>
      </c>
      <c r="C26" s="835">
        <f>SUM(Q17:R17)</f>
        <v>18</v>
      </c>
      <c r="D26" s="835">
        <f>SUM(S17:V17)</f>
        <v>21</v>
      </c>
      <c r="E26" s="835">
        <f>SUM(W17:Y17)</f>
        <v>24</v>
      </c>
      <c r="F26" s="835">
        <f>SUM(Z17:AA17)</f>
        <v>9</v>
      </c>
      <c r="G26" s="835">
        <f>SUM(AB17:AD17)</f>
        <v>18</v>
      </c>
      <c r="H26" s="835">
        <f>AE17</f>
        <v>30</v>
      </c>
      <c r="I26" s="835">
        <f>AF17</f>
        <v>16</v>
      </c>
      <c r="J26" s="835">
        <f>SUM(AG17:AH17)</f>
        <v>9</v>
      </c>
      <c r="K26" s="837">
        <f>SUM(B26:J26)</f>
        <v>153</v>
      </c>
      <c r="N26" s="453"/>
      <c r="O26" s="453"/>
      <c r="P26" s="453"/>
      <c r="Q26" s="453"/>
      <c r="R26" s="453"/>
      <c r="S26" s="453"/>
      <c r="T26" s="453"/>
      <c r="U26" s="453"/>
      <c r="V26" s="453"/>
      <c r="W26" s="453"/>
      <c r="X26" s="453"/>
      <c r="Y26" s="453"/>
      <c r="Z26" s="453"/>
      <c r="AA26" s="453"/>
      <c r="AB26" s="453"/>
      <c r="AC26" s="453"/>
      <c r="AD26" s="453"/>
      <c r="AE26" s="453"/>
      <c r="AF26" s="453"/>
      <c r="AG26" s="453"/>
      <c r="AH26" s="453"/>
      <c r="AI26" s="453"/>
    </row>
    <row r="27" spans="1:35" s="21" customFormat="1" ht="18" customHeight="1" x14ac:dyDescent="0.2">
      <c r="A27" s="1011"/>
      <c r="B27" s="836">
        <f t="shared" ref="B27:I27" si="24">B26/B$34</f>
        <v>6.7911714770797962E-3</v>
      </c>
      <c r="C27" s="836">
        <f t="shared" si="24"/>
        <v>1.4827018121911038E-2</v>
      </c>
      <c r="D27" s="836">
        <f t="shared" si="24"/>
        <v>1.7045454545454544E-2</v>
      </c>
      <c r="E27" s="836">
        <f t="shared" si="24"/>
        <v>2.2242817423540315E-2</v>
      </c>
      <c r="F27" s="836">
        <f t="shared" si="24"/>
        <v>8.555133079847909E-3</v>
      </c>
      <c r="G27" s="836">
        <f t="shared" si="24"/>
        <v>6.0120240480961923E-3</v>
      </c>
      <c r="H27" s="836">
        <f t="shared" si="24"/>
        <v>1.065340909090909E-2</v>
      </c>
      <c r="I27" s="836">
        <f t="shared" si="24"/>
        <v>1.1379800853485065E-2</v>
      </c>
      <c r="J27" s="836">
        <f t="shared" ref="J27" si="25">J26/J$34</f>
        <v>7.569386038687973E-3</v>
      </c>
      <c r="K27" s="836">
        <f>K26/K$34</f>
        <v>1.0805084745762712E-2</v>
      </c>
      <c r="N27" s="453"/>
      <c r="O27" s="453"/>
      <c r="P27" s="453"/>
      <c r="Q27" s="453"/>
      <c r="R27" s="453"/>
      <c r="S27" s="453"/>
      <c r="T27" s="453"/>
      <c r="U27" s="453"/>
      <c r="V27" s="453"/>
      <c r="W27" s="453"/>
      <c r="X27" s="453"/>
      <c r="Y27" s="453"/>
      <c r="Z27" s="453"/>
      <c r="AA27" s="453"/>
      <c r="AB27" s="453"/>
      <c r="AC27" s="453"/>
      <c r="AD27" s="453"/>
      <c r="AE27" s="453"/>
      <c r="AF27" s="453"/>
      <c r="AG27" s="453"/>
      <c r="AH27" s="453"/>
      <c r="AI27" s="453"/>
    </row>
    <row r="28" spans="1:35" s="21" customFormat="1" ht="18" customHeight="1" x14ac:dyDescent="0.2">
      <c r="A28" s="1010" t="s">
        <v>413</v>
      </c>
      <c r="B28" s="835">
        <f>SUM(N18:P18)</f>
        <v>5</v>
      </c>
      <c r="C28" s="835">
        <f>SUM(Q18:R18)</f>
        <v>3</v>
      </c>
      <c r="D28" s="835">
        <f>SUM(S18:V18)</f>
        <v>7</v>
      </c>
      <c r="E28" s="835">
        <f>SUM(W18:Y18)</f>
        <v>4</v>
      </c>
      <c r="F28" s="835">
        <f>SUM(Z18:AA18)</f>
        <v>4</v>
      </c>
      <c r="G28" s="835">
        <f>SUM(AB18:AD18)</f>
        <v>1</v>
      </c>
      <c r="H28" s="835">
        <f>AE18</f>
        <v>7</v>
      </c>
      <c r="I28" s="835">
        <f>AF18</f>
        <v>7</v>
      </c>
      <c r="J28" s="835">
        <f>SUM(AG18:AH18)</f>
        <v>5</v>
      </c>
      <c r="K28" s="837">
        <f>SUM(B28:J28)</f>
        <v>43</v>
      </c>
      <c r="N28" s="453"/>
      <c r="O28" s="453"/>
      <c r="P28" s="453"/>
      <c r="Q28" s="453"/>
      <c r="R28" s="453"/>
      <c r="S28" s="453"/>
      <c r="T28" s="453"/>
      <c r="U28" s="453"/>
      <c r="V28" s="453"/>
      <c r="W28" s="453"/>
      <c r="X28" s="453"/>
      <c r="Y28" s="453"/>
      <c r="Z28" s="453"/>
      <c r="AA28" s="453"/>
      <c r="AB28" s="453"/>
      <c r="AC28" s="453"/>
      <c r="AD28" s="453"/>
      <c r="AE28" s="453"/>
      <c r="AF28" s="453"/>
      <c r="AG28" s="453"/>
      <c r="AH28" s="453"/>
      <c r="AI28" s="453"/>
    </row>
    <row r="29" spans="1:35" s="21" customFormat="1" ht="26.25" customHeight="1" x14ac:dyDescent="0.2">
      <c r="A29" s="1011"/>
      <c r="B29" s="836">
        <f t="shared" ref="B29:I29" si="26">B28/B$34</f>
        <v>4.2444821731748728E-3</v>
      </c>
      <c r="C29" s="836">
        <f t="shared" si="26"/>
        <v>2.4711696869851728E-3</v>
      </c>
      <c r="D29" s="836">
        <f t="shared" si="26"/>
        <v>5.681818181818182E-3</v>
      </c>
      <c r="E29" s="836">
        <f t="shared" si="26"/>
        <v>3.7071362372567192E-3</v>
      </c>
      <c r="F29" s="836">
        <f t="shared" si="26"/>
        <v>3.8022813688212928E-3</v>
      </c>
      <c r="G29" s="836">
        <f t="shared" si="26"/>
        <v>3.3400133600534405E-4</v>
      </c>
      <c r="H29" s="836">
        <f t="shared" si="26"/>
        <v>2.4857954545454545E-3</v>
      </c>
      <c r="I29" s="836">
        <f t="shared" si="26"/>
        <v>4.9786628733997154E-3</v>
      </c>
      <c r="J29" s="836">
        <f t="shared" ref="J29" si="27">J28/J$34</f>
        <v>4.2052144659377629E-3</v>
      </c>
      <c r="K29" s="836">
        <f>K28/K$34</f>
        <v>3.036723163841808E-3</v>
      </c>
      <c r="N29" s="453"/>
      <c r="O29" s="453"/>
      <c r="P29" s="453"/>
      <c r="Q29" s="453"/>
      <c r="R29" s="453"/>
      <c r="S29" s="453"/>
      <c r="T29" s="453"/>
      <c r="U29" s="453"/>
      <c r="V29" s="453"/>
      <c r="W29" s="453"/>
      <c r="X29" s="453"/>
      <c r="Y29" s="453"/>
      <c r="Z29" s="453"/>
      <c r="AA29" s="453"/>
      <c r="AB29" s="453"/>
      <c r="AC29" s="453"/>
      <c r="AD29" s="453"/>
      <c r="AE29" s="453"/>
      <c r="AF29" s="453"/>
      <c r="AG29" s="453"/>
      <c r="AH29" s="453"/>
      <c r="AI29" s="453"/>
    </row>
    <row r="30" spans="1:35" s="21" customFormat="1" ht="18" customHeight="1" x14ac:dyDescent="0.2">
      <c r="A30" s="1010" t="s">
        <v>123</v>
      </c>
      <c r="B30" s="835">
        <f>SUM(N19:P19)</f>
        <v>3</v>
      </c>
      <c r="C30" s="835">
        <f>SUM(Q19:R19)</f>
        <v>3</v>
      </c>
      <c r="D30" s="835">
        <f>SUM(S19:V19)</f>
        <v>4</v>
      </c>
      <c r="E30" s="835">
        <f>SUM(W19:Y19)</f>
        <v>2</v>
      </c>
      <c r="F30" s="835">
        <f>SUM(Z19:AA19)</f>
        <v>5</v>
      </c>
      <c r="G30" s="835">
        <f>SUM(AB19:AD19)</f>
        <v>2</v>
      </c>
      <c r="H30" s="835">
        <f>AE19</f>
        <v>16</v>
      </c>
      <c r="I30" s="835">
        <f>AF19</f>
        <v>2</v>
      </c>
      <c r="J30" s="835">
        <f>SUM(AG19:AH19)</f>
        <v>3</v>
      </c>
      <c r="K30" s="837">
        <f>SUM(B30:J30)</f>
        <v>40</v>
      </c>
      <c r="N30" s="453"/>
      <c r="O30" s="453"/>
      <c r="P30" s="453"/>
      <c r="Q30" s="453"/>
      <c r="R30" s="453"/>
      <c r="S30" s="453"/>
      <c r="T30" s="453"/>
      <c r="U30" s="453"/>
      <c r="V30" s="453"/>
      <c r="W30" s="453"/>
      <c r="X30" s="453"/>
      <c r="Y30" s="453"/>
      <c r="Z30" s="453"/>
      <c r="AA30" s="453"/>
      <c r="AB30" s="453"/>
      <c r="AC30" s="453"/>
      <c r="AD30" s="453"/>
      <c r="AE30" s="453"/>
      <c r="AF30" s="453"/>
      <c r="AG30" s="453"/>
      <c r="AH30" s="453"/>
      <c r="AI30" s="453"/>
    </row>
    <row r="31" spans="1:35" s="21" customFormat="1" ht="18" customHeight="1" x14ac:dyDescent="0.2">
      <c r="A31" s="1011"/>
      <c r="B31" s="836">
        <f t="shared" ref="B31:I31" si="28">B30/B$34</f>
        <v>2.5466893039049238E-3</v>
      </c>
      <c r="C31" s="836">
        <f t="shared" si="28"/>
        <v>2.4711696869851728E-3</v>
      </c>
      <c r="D31" s="836">
        <f t="shared" si="28"/>
        <v>3.246753246753247E-3</v>
      </c>
      <c r="E31" s="836">
        <f t="shared" si="28"/>
        <v>1.8535681186283596E-3</v>
      </c>
      <c r="F31" s="836">
        <f t="shared" si="28"/>
        <v>4.7528517110266158E-3</v>
      </c>
      <c r="G31" s="836">
        <f t="shared" si="28"/>
        <v>6.680026720106881E-4</v>
      </c>
      <c r="H31" s="836">
        <f t="shared" si="28"/>
        <v>5.681818181818182E-3</v>
      </c>
      <c r="I31" s="836">
        <f t="shared" si="28"/>
        <v>1.4224751066856331E-3</v>
      </c>
      <c r="J31" s="836">
        <f t="shared" ref="J31" si="29">J30/J$34</f>
        <v>2.5231286795626578E-3</v>
      </c>
      <c r="K31" s="836">
        <f>K30/K$34</f>
        <v>2.8248587570621469E-3</v>
      </c>
      <c r="N31" s="453"/>
      <c r="O31" s="453"/>
      <c r="P31" s="453"/>
      <c r="Q31" s="453"/>
      <c r="R31" s="453"/>
      <c r="S31" s="453"/>
      <c r="T31" s="453"/>
      <c r="U31" s="453"/>
      <c r="V31" s="453"/>
      <c r="W31" s="453"/>
      <c r="X31" s="453"/>
      <c r="Y31" s="453"/>
      <c r="Z31" s="453"/>
      <c r="AA31" s="453"/>
      <c r="AB31" s="453"/>
      <c r="AC31" s="453"/>
      <c r="AD31" s="453"/>
      <c r="AE31" s="453"/>
      <c r="AF31" s="453"/>
      <c r="AG31" s="453"/>
      <c r="AH31" s="453"/>
      <c r="AI31" s="453"/>
    </row>
    <row r="32" spans="1:35" s="21" customFormat="1" ht="18" customHeight="1" x14ac:dyDescent="0.2">
      <c r="A32" s="1010" t="s">
        <v>583</v>
      </c>
      <c r="B32" s="835">
        <f>SUM(N20:P21)</f>
        <v>6</v>
      </c>
      <c r="C32" s="835">
        <f>SUM(Q20:R21)</f>
        <v>3</v>
      </c>
      <c r="D32" s="835">
        <f>SUM(S20:V21)</f>
        <v>1</v>
      </c>
      <c r="E32" s="835">
        <f>SUM(W20:Y21)</f>
        <v>9</v>
      </c>
      <c r="F32" s="835">
        <f>SUM(Z20:AA21)</f>
        <v>12</v>
      </c>
      <c r="G32" s="835">
        <f>SUM(AB20:AD21)</f>
        <v>14</v>
      </c>
      <c r="H32" s="835">
        <f>SUM(AE20:AE21)</f>
        <v>14</v>
      </c>
      <c r="I32" s="835">
        <f>SUM(AF20:AF21)</f>
        <v>14</v>
      </c>
      <c r="J32" s="835">
        <f>SUM(AG20:AH21)</f>
        <v>9</v>
      </c>
      <c r="K32" s="837">
        <f>SUM(B32:J32)</f>
        <v>82</v>
      </c>
      <c r="N32" s="453"/>
      <c r="O32" s="453"/>
      <c r="P32" s="453"/>
      <c r="Q32" s="453"/>
      <c r="R32" s="453"/>
      <c r="S32" s="453"/>
      <c r="T32" s="453"/>
      <c r="U32" s="453"/>
      <c r="V32" s="453"/>
      <c r="W32" s="453"/>
      <c r="X32" s="453"/>
      <c r="Y32" s="453"/>
      <c r="Z32" s="453"/>
      <c r="AA32" s="453"/>
      <c r="AB32" s="453"/>
      <c r="AC32" s="453"/>
      <c r="AD32" s="453"/>
      <c r="AE32" s="453"/>
      <c r="AF32" s="453"/>
      <c r="AG32" s="453"/>
      <c r="AH32" s="453"/>
      <c r="AI32" s="453"/>
    </row>
    <row r="33" spans="1:35" s="21" customFormat="1" ht="18" customHeight="1" x14ac:dyDescent="0.2">
      <c r="A33" s="1011"/>
      <c r="B33" s="836">
        <f t="shared" ref="B33:I33" si="30">B32/B$34</f>
        <v>5.0933786078098476E-3</v>
      </c>
      <c r="C33" s="836">
        <f t="shared" si="30"/>
        <v>2.4711696869851728E-3</v>
      </c>
      <c r="D33" s="836">
        <f t="shared" si="30"/>
        <v>8.1168831168831174E-4</v>
      </c>
      <c r="E33" s="836">
        <f t="shared" si="30"/>
        <v>8.3410565338276187E-3</v>
      </c>
      <c r="F33" s="836">
        <f t="shared" si="30"/>
        <v>1.1406844106463879E-2</v>
      </c>
      <c r="G33" s="836">
        <f t="shared" si="30"/>
        <v>4.6760187040748163E-3</v>
      </c>
      <c r="H33" s="836">
        <f t="shared" si="30"/>
        <v>4.971590909090909E-3</v>
      </c>
      <c r="I33" s="836">
        <f t="shared" si="30"/>
        <v>9.9573257467994308E-3</v>
      </c>
      <c r="J33" s="836">
        <f t="shared" ref="J33" si="31">J32/J$34</f>
        <v>7.569386038687973E-3</v>
      </c>
      <c r="K33" s="836">
        <f>K32/K$34</f>
        <v>5.7909604519774012E-3</v>
      </c>
      <c r="N33" s="453"/>
      <c r="O33" s="453"/>
      <c r="P33" s="453"/>
      <c r="Q33" s="453"/>
      <c r="R33" s="453"/>
      <c r="S33" s="453"/>
      <c r="T33" s="453"/>
      <c r="U33" s="453"/>
      <c r="V33" s="453"/>
      <c r="W33" s="453"/>
      <c r="X33" s="453"/>
      <c r="Y33" s="453"/>
      <c r="Z33" s="453"/>
      <c r="AA33" s="453"/>
      <c r="AB33" s="453"/>
      <c r="AC33" s="453"/>
      <c r="AD33" s="453"/>
      <c r="AE33" s="453"/>
      <c r="AF33" s="453"/>
      <c r="AG33" s="453"/>
      <c r="AH33" s="453"/>
      <c r="AI33" s="453"/>
    </row>
    <row r="34" spans="1:35" s="21" customFormat="1" ht="18" customHeight="1" x14ac:dyDescent="0.2">
      <c r="A34" s="1034" t="s">
        <v>161</v>
      </c>
      <c r="B34" s="843">
        <f>SUM(B6,B8,B10,B12,B14,B16,B18,B20,B22,B24,B26,B28,B30,B32)</f>
        <v>1178</v>
      </c>
      <c r="C34" s="843">
        <f>SUM(C6,C8,C10,C12,C14,C16,C18,C20,C22,C24,C26,C28,C30,C32)</f>
        <v>1214</v>
      </c>
      <c r="D34" s="843">
        <f>SUM(D6,D8,D10,D12,D14,D16,D18,D20,D22,D24,D26,D28,D30,D32)</f>
        <v>1232</v>
      </c>
      <c r="E34" s="843">
        <f t="shared" ref="C34:J35" si="32">SUM(E6,E8,E10,E12,E14,E16,E18,E20,E22,E24,E26,E28,E30,E32)</f>
        <v>1079</v>
      </c>
      <c r="F34" s="843">
        <f>SUM(F6,F8,F10,F12,F14,F16,F18,F20,F22,F24,F26,F28,F30,F32)</f>
        <v>1052</v>
      </c>
      <c r="G34" s="843">
        <f>SUM(G6,G8,G10,G12,G14,G16,G18,G20,G22,G24,G26,G28,G30,G32)</f>
        <v>2994</v>
      </c>
      <c r="H34" s="843">
        <f t="shared" si="32"/>
        <v>2816</v>
      </c>
      <c r="I34" s="843">
        <f t="shared" si="32"/>
        <v>1406</v>
      </c>
      <c r="J34" s="843">
        <f t="shared" si="32"/>
        <v>1189</v>
      </c>
      <c r="K34" s="844">
        <f>SUM(B34:J34)</f>
        <v>14160</v>
      </c>
      <c r="N34" s="453"/>
      <c r="O34" s="453"/>
      <c r="P34" s="453"/>
      <c r="Q34" s="453"/>
      <c r="R34" s="453"/>
      <c r="S34" s="453"/>
      <c r="T34" s="453"/>
      <c r="U34" s="453"/>
      <c r="V34" s="453"/>
      <c r="W34" s="453"/>
      <c r="X34" s="453"/>
      <c r="Y34" s="453"/>
      <c r="Z34" s="453"/>
      <c r="AA34" s="453"/>
      <c r="AB34" s="453"/>
      <c r="AC34" s="453"/>
      <c r="AD34" s="453"/>
      <c r="AE34" s="453"/>
      <c r="AF34" s="453"/>
      <c r="AG34" s="453"/>
      <c r="AH34" s="453"/>
      <c r="AI34" s="453"/>
    </row>
    <row r="35" spans="1:35" s="21" customFormat="1" ht="18" customHeight="1" x14ac:dyDescent="0.2">
      <c r="A35" s="1035"/>
      <c r="B35" s="845">
        <f>SUM(B7,B9,B11,B13,B15,B17,B19,B21,B23,B25,B27,B29,B31,B33)</f>
        <v>1</v>
      </c>
      <c r="C35" s="845">
        <f t="shared" si="32"/>
        <v>0.99999999999999989</v>
      </c>
      <c r="D35" s="845">
        <f t="shared" si="32"/>
        <v>1.0000000000000002</v>
      </c>
      <c r="E35" s="845">
        <f t="shared" si="32"/>
        <v>1</v>
      </c>
      <c r="F35" s="845">
        <f t="shared" si="32"/>
        <v>1</v>
      </c>
      <c r="G35" s="845">
        <f t="shared" si="32"/>
        <v>1</v>
      </c>
      <c r="H35" s="845">
        <f t="shared" si="32"/>
        <v>1</v>
      </c>
      <c r="I35" s="845">
        <f t="shared" si="32"/>
        <v>1.0000000000000002</v>
      </c>
      <c r="J35" s="845">
        <f t="shared" si="32"/>
        <v>0.99999999999999989</v>
      </c>
      <c r="K35" s="845">
        <f>SUM(K7,K9,K11,K13,K15,K17,K19,K21,K23,K25,K27,K29,K31,K33)</f>
        <v>0.99999999999999989</v>
      </c>
      <c r="N35" s="453"/>
      <c r="O35" s="453"/>
      <c r="P35" s="453"/>
      <c r="Q35" s="453"/>
      <c r="R35" s="453"/>
      <c r="S35" s="453"/>
      <c r="T35" s="453"/>
      <c r="U35" s="453"/>
      <c r="V35" s="453"/>
      <c r="W35" s="453"/>
      <c r="X35" s="453"/>
      <c r="Y35" s="453"/>
      <c r="Z35" s="453"/>
      <c r="AA35" s="453"/>
      <c r="AB35" s="453"/>
      <c r="AC35" s="453"/>
      <c r="AD35" s="453"/>
      <c r="AE35" s="453"/>
      <c r="AF35" s="453"/>
      <c r="AG35" s="453"/>
      <c r="AH35" s="453"/>
      <c r="AI35" s="453"/>
    </row>
  </sheetData>
  <mergeCells count="16">
    <mergeCell ref="A14:A15"/>
    <mergeCell ref="A4:A5"/>
    <mergeCell ref="A6:A7"/>
    <mergeCell ref="A8:A9"/>
    <mergeCell ref="A10:A11"/>
    <mergeCell ref="A12:A13"/>
    <mergeCell ref="A28:A29"/>
    <mergeCell ref="A30:A31"/>
    <mergeCell ref="A32:A33"/>
    <mergeCell ref="A34:A35"/>
    <mergeCell ref="A16:A17"/>
    <mergeCell ref="A18:A19"/>
    <mergeCell ref="A20:A21"/>
    <mergeCell ref="A22:A23"/>
    <mergeCell ref="A24:A25"/>
    <mergeCell ref="A26:A27"/>
  </mergeCells>
  <phoneticPr fontId="2"/>
  <printOptions horizontalCentered="1"/>
  <pageMargins left="0.70866141732283472" right="0.70866141732283472" top="0.74803149606299213" bottom="0.74803149606299213" header="0.31496062992125984" footer="0.31496062992125984"/>
  <pageSetup paperSize="9" scale="76" orientation="portrait" r:id="rId1"/>
  <drawing r:id="rId2"/>
  <mc:AlternateContent xmlns:mc="http://schemas.openxmlformats.org/markup-compatibility/2006">
    <mc:Choice Requires="v">
      <legacyDrawing r:id="rId3"/>
    </mc:Choice>
  </mc:AlternateContent>
  <controls>
    <control shapeId="82945" r:id="rId4" name="Button 1">
      <controlPr defaultSize="0" print="0" autoFill="0" autoPict="0" macro="[0]!データ削除_疾患名区分入院時住所地">
        <anchor moveWithCells="1" sizeWithCells="1">
          <from>
            <xdr:col>12</xdr:col>
            <xdr:colOff>30480</xdr:colOff>
            <xdr:row>24</xdr:row>
            <xdr:rowOff>30480</xdr:rowOff>
          </from>
          <to>
            <xdr:col>15</xdr:col>
            <xdr:colOff>236220</xdr:colOff>
            <xdr:row>26</xdr:row>
            <xdr:rowOff>190500</xdr:rowOff>
          </to>
        </anchor>
      </controlPr>
    </control>
  </controls>
  <tableParts count="1">
    <tablePart r:id="rId5"/>
  </tableParts>
</worksheet>
</file>

<file path=xl/worksheets/sheet3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1">
    <tabColor theme="5" tint="0.39997558519241921"/>
    <pageSetUpPr fitToPage="1"/>
  </sheetPr>
  <dimension ref="A1:AJ47"/>
  <sheetViews>
    <sheetView showGridLines="0" view="pageBreakPreview" zoomScale="80" zoomScaleNormal="80" zoomScaleSheetLayoutView="80" workbookViewId="0"/>
  </sheetViews>
  <sheetFormatPr defaultColWidth="13.77734375" defaultRowHeight="17.399999999999999" x14ac:dyDescent="0.2"/>
  <cols>
    <col min="1" max="1" width="15.6640625" style="396" customWidth="1"/>
    <col min="2" max="11" width="8.77734375" style="396" customWidth="1"/>
    <col min="12" max="12" width="7.21875" style="396" hidden="1" customWidth="1"/>
    <col min="13" max="13" width="10.33203125" style="396" hidden="1" customWidth="1"/>
    <col min="14" max="14" width="11" style="396" hidden="1" customWidth="1"/>
    <col min="15" max="16" width="12.88671875" style="396" hidden="1" customWidth="1"/>
    <col min="17" max="17" width="9.6640625" style="396" hidden="1" customWidth="1"/>
    <col min="18" max="18" width="12.88671875" style="396" hidden="1" customWidth="1"/>
    <col min="19" max="19" width="14.77734375" style="396" hidden="1" customWidth="1"/>
    <col min="20" max="20" width="16.6640625" style="396" hidden="1" customWidth="1"/>
    <col min="21" max="22" width="12.88671875" style="396" hidden="1" customWidth="1"/>
    <col min="23" max="23" width="16.6640625" style="396" hidden="1" customWidth="1"/>
    <col min="24" max="24" width="14.77734375" style="396" hidden="1" customWidth="1"/>
    <col min="25" max="27" width="12.88671875" style="396" hidden="1" customWidth="1"/>
    <col min="28" max="31" width="11" style="396" hidden="1" customWidth="1"/>
    <col min="32" max="32" width="9.6640625" style="396" hidden="1" customWidth="1"/>
    <col min="33" max="33" width="11" style="396" hidden="1" customWidth="1"/>
    <col min="34" max="34" width="14.77734375" style="396" hidden="1" customWidth="1"/>
    <col min="35" max="36" width="13.77734375" style="396" hidden="1" customWidth="1"/>
    <col min="37" max="37" width="13.77734375" style="396" customWidth="1"/>
    <col min="38" max="16384" width="13.77734375" style="396"/>
  </cols>
  <sheetData>
    <row r="1" spans="1:35" s="3" customFormat="1" ht="19.2" x14ac:dyDescent="0.2">
      <c r="A1" s="2" t="s">
        <v>467</v>
      </c>
    </row>
    <row r="2" spans="1:35" ht="18" thickBot="1" x14ac:dyDescent="0.25">
      <c r="A2" s="4"/>
    </row>
    <row r="3" spans="1:35" ht="18.600000000000001" thickTop="1" thickBot="1" x14ac:dyDescent="0.25">
      <c r="A3" s="839"/>
      <c r="B3" s="850" t="s">
        <v>386</v>
      </c>
      <c r="C3" s="850" t="s">
        <v>387</v>
      </c>
      <c r="D3" s="850" t="s">
        <v>388</v>
      </c>
      <c r="E3" s="850" t="s">
        <v>389</v>
      </c>
      <c r="F3" s="850" t="s">
        <v>390</v>
      </c>
      <c r="G3" s="850" t="s">
        <v>391</v>
      </c>
      <c r="H3" s="850" t="s">
        <v>392</v>
      </c>
      <c r="I3" s="850" t="s">
        <v>393</v>
      </c>
      <c r="J3" s="850" t="s">
        <v>464</v>
      </c>
      <c r="K3" s="850" t="s">
        <v>62</v>
      </c>
      <c r="M3" s="563" t="s">
        <v>372</v>
      </c>
      <c r="N3" s="473" t="s">
        <v>394</v>
      </c>
      <c r="O3" s="473" t="s">
        <v>395</v>
      </c>
      <c r="P3" s="473" t="s">
        <v>396</v>
      </c>
      <c r="Q3" s="473" t="s">
        <v>397</v>
      </c>
      <c r="R3" s="473" t="s">
        <v>398</v>
      </c>
      <c r="S3" s="473" t="s">
        <v>399</v>
      </c>
      <c r="T3" s="473" t="s">
        <v>400</v>
      </c>
      <c r="U3" s="473" t="s">
        <v>401</v>
      </c>
      <c r="V3" s="473" t="s">
        <v>402</v>
      </c>
      <c r="W3" s="473" t="s">
        <v>403</v>
      </c>
      <c r="X3" s="473" t="s">
        <v>564</v>
      </c>
      <c r="Y3" s="473" t="s">
        <v>565</v>
      </c>
      <c r="Z3" s="473" t="s">
        <v>566</v>
      </c>
      <c r="AA3" s="473" t="s">
        <v>567</v>
      </c>
      <c r="AB3" s="473" t="s">
        <v>568</v>
      </c>
      <c r="AC3" s="473" t="s">
        <v>569</v>
      </c>
      <c r="AD3" s="473" t="s">
        <v>570</v>
      </c>
      <c r="AE3" s="473" t="s">
        <v>571</v>
      </c>
      <c r="AF3" s="473" t="s">
        <v>572</v>
      </c>
      <c r="AG3" s="473" t="s">
        <v>652</v>
      </c>
      <c r="AH3" s="502" t="s">
        <v>653</v>
      </c>
      <c r="AI3" s="396" t="s">
        <v>608</v>
      </c>
    </row>
    <row r="4" spans="1:35" s="21" customFormat="1" ht="18.75" customHeight="1" thickTop="1" x14ac:dyDescent="0.2">
      <c r="A4" s="1014" t="s">
        <v>60</v>
      </c>
      <c r="B4" s="835">
        <f>SUM(N4:P4)</f>
        <v>150</v>
      </c>
      <c r="C4" s="835">
        <f>SUM(Q4:R4)</f>
        <v>150</v>
      </c>
      <c r="D4" s="835">
        <f>SUM(S4:V4)</f>
        <v>171</v>
      </c>
      <c r="E4" s="835">
        <f>SUM(W4:Y4)</f>
        <v>160</v>
      </c>
      <c r="F4" s="835">
        <f>SUM(Z4:AA4)</f>
        <v>144</v>
      </c>
      <c r="G4" s="835">
        <f>SUM(AB4:AD4)</f>
        <v>236</v>
      </c>
      <c r="H4" s="835">
        <f>AE4</f>
        <v>465</v>
      </c>
      <c r="I4" s="835">
        <f>AF4</f>
        <v>174</v>
      </c>
      <c r="J4" s="835">
        <f>SUM(AG4:AH4)</f>
        <v>121</v>
      </c>
      <c r="K4" s="837">
        <f>SUM(B4:J4)</f>
        <v>1771</v>
      </c>
      <c r="M4" s="562" t="s">
        <v>182</v>
      </c>
      <c r="N4" s="492">
        <v>31</v>
      </c>
      <c r="O4" s="492">
        <v>79</v>
      </c>
      <c r="P4" s="492">
        <v>40</v>
      </c>
      <c r="Q4" s="492">
        <v>67</v>
      </c>
      <c r="R4" s="492">
        <v>83</v>
      </c>
      <c r="S4" s="492">
        <v>63</v>
      </c>
      <c r="T4" s="492">
        <v>34</v>
      </c>
      <c r="U4" s="492">
        <v>37</v>
      </c>
      <c r="V4" s="492">
        <v>37</v>
      </c>
      <c r="W4" s="492">
        <v>94</v>
      </c>
      <c r="X4" s="492">
        <v>51</v>
      </c>
      <c r="Y4" s="492">
        <v>15</v>
      </c>
      <c r="Z4" s="492">
        <v>62</v>
      </c>
      <c r="AA4" s="492">
        <v>82</v>
      </c>
      <c r="AB4" s="492">
        <v>85</v>
      </c>
      <c r="AC4" s="492">
        <v>67</v>
      </c>
      <c r="AD4" s="492">
        <v>84</v>
      </c>
      <c r="AE4" s="492">
        <v>465</v>
      </c>
      <c r="AF4" s="492">
        <v>174</v>
      </c>
      <c r="AG4" s="492">
        <v>115</v>
      </c>
      <c r="AH4" s="503">
        <v>6</v>
      </c>
      <c r="AI4" s="70"/>
    </row>
    <row r="5" spans="1:35" s="21" customFormat="1" ht="18.75" customHeight="1" x14ac:dyDescent="0.2">
      <c r="A5" s="1036"/>
      <c r="B5" s="836">
        <f t="shared" ref="B5:I5" si="0">B4/B$36</f>
        <v>0.12733446519524619</v>
      </c>
      <c r="C5" s="836">
        <f t="shared" si="0"/>
        <v>0.12355848434925865</v>
      </c>
      <c r="D5" s="836">
        <f t="shared" si="0"/>
        <v>0.13879870129870131</v>
      </c>
      <c r="E5" s="836">
        <f t="shared" si="0"/>
        <v>0.14828544949026876</v>
      </c>
      <c r="F5" s="836">
        <f t="shared" si="0"/>
        <v>0.13688212927756654</v>
      </c>
      <c r="G5" s="836">
        <f t="shared" si="0"/>
        <v>7.8824315297261194E-2</v>
      </c>
      <c r="H5" s="836">
        <f t="shared" si="0"/>
        <v>0.16512784090909091</v>
      </c>
      <c r="I5" s="836">
        <f t="shared" si="0"/>
        <v>0.12375533428165007</v>
      </c>
      <c r="J5" s="836">
        <f t="shared" ref="J5" si="1">J4/J$36</f>
        <v>0.10176619007569386</v>
      </c>
      <c r="K5" s="836">
        <f>K4/K$36</f>
        <v>0.12507062146892656</v>
      </c>
      <c r="M5" s="500" t="s">
        <v>183</v>
      </c>
      <c r="N5" s="495">
        <v>58</v>
      </c>
      <c r="O5" s="495">
        <v>81</v>
      </c>
      <c r="P5" s="495">
        <v>58</v>
      </c>
      <c r="Q5" s="495">
        <v>87</v>
      </c>
      <c r="R5" s="495">
        <v>104</v>
      </c>
      <c r="S5" s="495">
        <v>74</v>
      </c>
      <c r="T5" s="495">
        <v>47</v>
      </c>
      <c r="U5" s="495">
        <v>41</v>
      </c>
      <c r="V5" s="495">
        <v>52</v>
      </c>
      <c r="W5" s="495">
        <v>126</v>
      </c>
      <c r="X5" s="495">
        <v>51</v>
      </c>
      <c r="Y5" s="495">
        <v>24</v>
      </c>
      <c r="Z5" s="495">
        <v>74</v>
      </c>
      <c r="AA5" s="495">
        <v>95</v>
      </c>
      <c r="AB5" s="495">
        <v>86</v>
      </c>
      <c r="AC5" s="495">
        <v>85</v>
      </c>
      <c r="AD5" s="495">
        <v>105</v>
      </c>
      <c r="AE5" s="495">
        <v>483</v>
      </c>
      <c r="AF5" s="495">
        <v>230</v>
      </c>
      <c r="AG5" s="495">
        <v>151</v>
      </c>
      <c r="AH5" s="504">
        <v>9</v>
      </c>
      <c r="AI5" s="70"/>
    </row>
    <row r="6" spans="1:35" s="21" customFormat="1" ht="18.75" customHeight="1" x14ac:dyDescent="0.2">
      <c r="A6" s="415" t="s">
        <v>415</v>
      </c>
      <c r="B6" s="835">
        <f>SUM(N5:P5)</f>
        <v>197</v>
      </c>
      <c r="C6" s="835">
        <f>SUM(Q5:R5)</f>
        <v>191</v>
      </c>
      <c r="D6" s="835">
        <f>SUM(S5:V5)</f>
        <v>214</v>
      </c>
      <c r="E6" s="835">
        <f>SUM(W5:Y5)</f>
        <v>201</v>
      </c>
      <c r="F6" s="835">
        <f>SUM(Z5:AA5)</f>
        <v>169</v>
      </c>
      <c r="G6" s="835">
        <f>SUM(AB5:AD5)</f>
        <v>276</v>
      </c>
      <c r="H6" s="835">
        <f>AE5</f>
        <v>483</v>
      </c>
      <c r="I6" s="835">
        <f>AF5</f>
        <v>230</v>
      </c>
      <c r="J6" s="835">
        <f>SUM(AG5:AH5)</f>
        <v>160</v>
      </c>
      <c r="K6" s="837">
        <f>SUM(B6:J6)</f>
        <v>2121</v>
      </c>
      <c r="M6" s="499" t="s">
        <v>184</v>
      </c>
      <c r="N6" s="492">
        <v>25</v>
      </c>
      <c r="O6" s="492">
        <v>50</v>
      </c>
      <c r="P6" s="492">
        <v>34</v>
      </c>
      <c r="Q6" s="492">
        <v>70</v>
      </c>
      <c r="R6" s="492">
        <v>64</v>
      </c>
      <c r="S6" s="492">
        <v>58</v>
      </c>
      <c r="T6" s="492">
        <v>23</v>
      </c>
      <c r="U6" s="492">
        <v>29</v>
      </c>
      <c r="V6" s="492">
        <v>24</v>
      </c>
      <c r="W6" s="492">
        <v>54</v>
      </c>
      <c r="X6" s="492">
        <v>34</v>
      </c>
      <c r="Y6" s="492">
        <v>5</v>
      </c>
      <c r="Z6" s="492">
        <v>25</v>
      </c>
      <c r="AA6" s="492">
        <v>48</v>
      </c>
      <c r="AB6" s="492">
        <v>69</v>
      </c>
      <c r="AC6" s="492">
        <v>84</v>
      </c>
      <c r="AD6" s="492">
        <v>68</v>
      </c>
      <c r="AE6" s="492">
        <v>202</v>
      </c>
      <c r="AF6" s="492">
        <v>111</v>
      </c>
      <c r="AG6" s="492">
        <v>73</v>
      </c>
      <c r="AH6" s="503">
        <v>9</v>
      </c>
      <c r="AI6" s="70"/>
    </row>
    <row r="7" spans="1:35" s="21" customFormat="1" ht="18.75" customHeight="1" x14ac:dyDescent="0.2">
      <c r="A7" s="416" t="s">
        <v>416</v>
      </c>
      <c r="B7" s="836">
        <f t="shared" ref="B7:I7" si="2">B6/B$36</f>
        <v>0.16723259762308998</v>
      </c>
      <c r="C7" s="836">
        <f t="shared" si="2"/>
        <v>0.15733113673805602</v>
      </c>
      <c r="D7" s="836">
        <f t="shared" si="2"/>
        <v>0.17370129870129869</v>
      </c>
      <c r="E7" s="836">
        <f t="shared" si="2"/>
        <v>0.18628359592215013</v>
      </c>
      <c r="F7" s="836">
        <f t="shared" si="2"/>
        <v>0.16064638783269963</v>
      </c>
      <c r="G7" s="836">
        <f t="shared" si="2"/>
        <v>9.2184368737474945E-2</v>
      </c>
      <c r="H7" s="836">
        <f t="shared" si="2"/>
        <v>0.17151988636363635</v>
      </c>
      <c r="I7" s="836">
        <f t="shared" si="2"/>
        <v>0.16358463726884778</v>
      </c>
      <c r="J7" s="836">
        <f t="shared" ref="J7" si="3">J6/J$36</f>
        <v>0.13456686291000841</v>
      </c>
      <c r="K7" s="836">
        <f>K6/K$36</f>
        <v>0.14978813559322035</v>
      </c>
      <c r="M7" s="500" t="s">
        <v>185</v>
      </c>
      <c r="N7" s="495">
        <v>25</v>
      </c>
      <c r="O7" s="495">
        <v>53</v>
      </c>
      <c r="P7" s="495">
        <v>35</v>
      </c>
      <c r="Q7" s="495">
        <v>61</v>
      </c>
      <c r="R7" s="495">
        <v>51</v>
      </c>
      <c r="S7" s="495">
        <v>57</v>
      </c>
      <c r="T7" s="495">
        <v>19</v>
      </c>
      <c r="U7" s="495">
        <v>29</v>
      </c>
      <c r="V7" s="495">
        <v>27</v>
      </c>
      <c r="W7" s="495">
        <v>69</v>
      </c>
      <c r="X7" s="495">
        <v>32</v>
      </c>
      <c r="Y7" s="495">
        <v>6</v>
      </c>
      <c r="Z7" s="495">
        <v>46</v>
      </c>
      <c r="AA7" s="495">
        <v>60</v>
      </c>
      <c r="AB7" s="495">
        <v>93</v>
      </c>
      <c r="AC7" s="495">
        <v>136</v>
      </c>
      <c r="AD7" s="495">
        <v>97</v>
      </c>
      <c r="AE7" s="495">
        <v>240</v>
      </c>
      <c r="AF7" s="495">
        <v>108</v>
      </c>
      <c r="AG7" s="495">
        <v>86</v>
      </c>
      <c r="AH7" s="504">
        <v>13</v>
      </c>
      <c r="AI7" s="70"/>
    </row>
    <row r="8" spans="1:35" s="21" customFormat="1" ht="18.75" customHeight="1" x14ac:dyDescent="0.2">
      <c r="A8" s="415" t="s">
        <v>417</v>
      </c>
      <c r="B8" s="835">
        <f>SUM(N6:P6)</f>
        <v>109</v>
      </c>
      <c r="C8" s="835">
        <f>SUM(Q6:R6)</f>
        <v>134</v>
      </c>
      <c r="D8" s="835">
        <f>SUM(S6:V6)</f>
        <v>134</v>
      </c>
      <c r="E8" s="835">
        <f>SUM(W6:Y6)</f>
        <v>93</v>
      </c>
      <c r="F8" s="835">
        <f>SUM(Z6:AA6)</f>
        <v>73</v>
      </c>
      <c r="G8" s="835">
        <f>SUM(AB6:AD6)</f>
        <v>221</v>
      </c>
      <c r="H8" s="835">
        <f>AE6</f>
        <v>202</v>
      </c>
      <c r="I8" s="835">
        <f>AF6</f>
        <v>111</v>
      </c>
      <c r="J8" s="835">
        <f>SUM(AG6:AH6)</f>
        <v>82</v>
      </c>
      <c r="K8" s="837">
        <f>SUM(B8:J8)</f>
        <v>1159</v>
      </c>
      <c r="M8" s="499" t="s">
        <v>186</v>
      </c>
      <c r="N8" s="492">
        <v>22</v>
      </c>
      <c r="O8" s="492">
        <v>27</v>
      </c>
      <c r="P8" s="492">
        <v>31</v>
      </c>
      <c r="Q8" s="492">
        <v>42</v>
      </c>
      <c r="R8" s="492">
        <v>36</v>
      </c>
      <c r="S8" s="492">
        <v>20</v>
      </c>
      <c r="T8" s="492">
        <v>16</v>
      </c>
      <c r="U8" s="492">
        <v>12</v>
      </c>
      <c r="V8" s="492">
        <v>10</v>
      </c>
      <c r="W8" s="492">
        <v>47</v>
      </c>
      <c r="X8" s="492">
        <v>20</v>
      </c>
      <c r="Y8" s="492">
        <v>8</v>
      </c>
      <c r="Z8" s="492">
        <v>44</v>
      </c>
      <c r="AA8" s="492">
        <v>34</v>
      </c>
      <c r="AB8" s="492">
        <v>61</v>
      </c>
      <c r="AC8" s="492">
        <v>116</v>
      </c>
      <c r="AD8" s="492">
        <v>61</v>
      </c>
      <c r="AE8" s="492">
        <v>176</v>
      </c>
      <c r="AF8" s="492">
        <v>84</v>
      </c>
      <c r="AG8" s="492">
        <v>65</v>
      </c>
      <c r="AH8" s="503">
        <v>4</v>
      </c>
      <c r="AI8" s="70"/>
    </row>
    <row r="9" spans="1:35" s="21" customFormat="1" ht="18.75" customHeight="1" x14ac:dyDescent="0.2">
      <c r="A9" s="416" t="s">
        <v>418</v>
      </c>
      <c r="B9" s="836">
        <f t="shared" ref="B9:I9" si="4">B8/B$36</f>
        <v>9.2529711375212223E-2</v>
      </c>
      <c r="C9" s="836">
        <f t="shared" si="4"/>
        <v>0.11037891268533773</v>
      </c>
      <c r="D9" s="836">
        <f t="shared" si="4"/>
        <v>0.10876623376623376</v>
      </c>
      <c r="E9" s="836">
        <f t="shared" si="4"/>
        <v>8.6190917516218726E-2</v>
      </c>
      <c r="F9" s="836">
        <f t="shared" si="4"/>
        <v>6.939163498098859E-2</v>
      </c>
      <c r="G9" s="836">
        <f t="shared" si="4"/>
        <v>7.3814295257181028E-2</v>
      </c>
      <c r="H9" s="836">
        <f t="shared" si="4"/>
        <v>7.1732954545454544E-2</v>
      </c>
      <c r="I9" s="836">
        <f t="shared" si="4"/>
        <v>7.8947368421052627E-2</v>
      </c>
      <c r="J9" s="836">
        <f t="shared" ref="J9" si="5">J8/J$36</f>
        <v>6.8965517241379309E-2</v>
      </c>
      <c r="K9" s="836">
        <f>K8/K$36</f>
        <v>8.1850282485875711E-2</v>
      </c>
      <c r="M9" s="500" t="s">
        <v>187</v>
      </c>
      <c r="N9" s="495">
        <v>7</v>
      </c>
      <c r="O9" s="495">
        <v>21</v>
      </c>
      <c r="P9" s="495">
        <v>16</v>
      </c>
      <c r="Q9" s="495">
        <v>32</v>
      </c>
      <c r="R9" s="495">
        <v>30</v>
      </c>
      <c r="S9" s="495">
        <v>15</v>
      </c>
      <c r="T9" s="495">
        <v>16</v>
      </c>
      <c r="U9" s="495">
        <v>12</v>
      </c>
      <c r="V9" s="495">
        <v>13</v>
      </c>
      <c r="W9" s="495">
        <v>26</v>
      </c>
      <c r="X9" s="495">
        <v>12</v>
      </c>
      <c r="Y9" s="495">
        <v>4</v>
      </c>
      <c r="Z9" s="495">
        <v>24</v>
      </c>
      <c r="AA9" s="495">
        <v>33</v>
      </c>
      <c r="AB9" s="495">
        <v>30</v>
      </c>
      <c r="AC9" s="495">
        <v>76</v>
      </c>
      <c r="AD9" s="495">
        <v>45</v>
      </c>
      <c r="AE9" s="495">
        <v>120</v>
      </c>
      <c r="AF9" s="495">
        <v>52</v>
      </c>
      <c r="AG9" s="495">
        <v>60</v>
      </c>
      <c r="AH9" s="504">
        <v>4</v>
      </c>
      <c r="AI9" s="70"/>
    </row>
    <row r="10" spans="1:35" s="21" customFormat="1" ht="18.75" customHeight="1" x14ac:dyDescent="0.2">
      <c r="A10" s="415" t="s">
        <v>419</v>
      </c>
      <c r="B10" s="835">
        <f>SUM(N7:P7)</f>
        <v>113</v>
      </c>
      <c r="C10" s="835">
        <f>SUM(Q7:R7)</f>
        <v>112</v>
      </c>
      <c r="D10" s="835">
        <f>SUM(S7:V7)</f>
        <v>132</v>
      </c>
      <c r="E10" s="835">
        <f>SUM(W7:Y7)</f>
        <v>107</v>
      </c>
      <c r="F10" s="835">
        <f>SUM(Z7:AA7)</f>
        <v>106</v>
      </c>
      <c r="G10" s="835">
        <f>SUM(AB7:AD7)</f>
        <v>326</v>
      </c>
      <c r="H10" s="835">
        <f>AE7</f>
        <v>240</v>
      </c>
      <c r="I10" s="835">
        <f>AF7</f>
        <v>108</v>
      </c>
      <c r="J10" s="835">
        <f>SUM(AG7:AH7)</f>
        <v>99</v>
      </c>
      <c r="K10" s="837">
        <f>SUM(B10:J10)</f>
        <v>1343</v>
      </c>
      <c r="M10" s="499" t="s">
        <v>188</v>
      </c>
      <c r="N10" s="492">
        <v>12</v>
      </c>
      <c r="O10" s="492">
        <v>29</v>
      </c>
      <c r="P10" s="492">
        <v>26</v>
      </c>
      <c r="Q10" s="492">
        <v>47</v>
      </c>
      <c r="R10" s="492">
        <v>43</v>
      </c>
      <c r="S10" s="492">
        <v>20</v>
      </c>
      <c r="T10" s="492">
        <v>11</v>
      </c>
      <c r="U10" s="492">
        <v>17</v>
      </c>
      <c r="V10" s="492">
        <v>20</v>
      </c>
      <c r="W10" s="492">
        <v>35</v>
      </c>
      <c r="X10" s="492">
        <v>14</v>
      </c>
      <c r="Y10" s="492">
        <v>2</v>
      </c>
      <c r="Z10" s="492">
        <v>30</v>
      </c>
      <c r="AA10" s="492">
        <v>42</v>
      </c>
      <c r="AB10" s="492">
        <v>70</v>
      </c>
      <c r="AC10" s="492">
        <v>117</v>
      </c>
      <c r="AD10" s="492">
        <v>99</v>
      </c>
      <c r="AE10" s="492">
        <v>174</v>
      </c>
      <c r="AF10" s="492">
        <v>86</v>
      </c>
      <c r="AG10" s="492">
        <v>83</v>
      </c>
      <c r="AH10" s="503">
        <v>3</v>
      </c>
      <c r="AI10" s="70"/>
    </row>
    <row r="11" spans="1:35" s="21" customFormat="1" ht="18.75" customHeight="1" x14ac:dyDescent="0.2">
      <c r="A11" s="416" t="s">
        <v>69</v>
      </c>
      <c r="B11" s="836">
        <f t="shared" ref="B11:I11" si="6">B10/B$36</f>
        <v>9.5925297113752125E-2</v>
      </c>
      <c r="C11" s="836">
        <f t="shared" si="6"/>
        <v>9.2257001647446463E-2</v>
      </c>
      <c r="D11" s="836">
        <f t="shared" si="6"/>
        <v>0.10714285714285714</v>
      </c>
      <c r="E11" s="836">
        <f t="shared" si="6"/>
        <v>9.9165894346617239E-2</v>
      </c>
      <c r="F11" s="836">
        <f t="shared" si="6"/>
        <v>0.10076045627376426</v>
      </c>
      <c r="G11" s="836">
        <f t="shared" si="6"/>
        <v>0.10888443553774214</v>
      </c>
      <c r="H11" s="836">
        <f t="shared" si="6"/>
        <v>8.5227272727272721E-2</v>
      </c>
      <c r="I11" s="836">
        <f t="shared" si="6"/>
        <v>7.6813655761024183E-2</v>
      </c>
      <c r="J11" s="836">
        <f t="shared" ref="J11" si="7">J10/J$36</f>
        <v>8.3263246425567705E-2</v>
      </c>
      <c r="K11" s="836">
        <f>K10/K$36</f>
        <v>9.4844632768361581E-2</v>
      </c>
      <c r="M11" s="500" t="s">
        <v>189</v>
      </c>
      <c r="N11" s="495">
        <v>20</v>
      </c>
      <c r="O11" s="495">
        <v>19</v>
      </c>
      <c r="P11" s="495">
        <v>18</v>
      </c>
      <c r="Q11" s="495">
        <v>39</v>
      </c>
      <c r="R11" s="495">
        <v>33</v>
      </c>
      <c r="S11" s="495">
        <v>15</v>
      </c>
      <c r="T11" s="495">
        <v>7</v>
      </c>
      <c r="U11" s="495">
        <v>13</v>
      </c>
      <c r="V11" s="495">
        <v>13</v>
      </c>
      <c r="W11" s="495">
        <v>33</v>
      </c>
      <c r="X11" s="495">
        <v>13</v>
      </c>
      <c r="Y11" s="495">
        <v>5</v>
      </c>
      <c r="Z11" s="495">
        <v>28</v>
      </c>
      <c r="AA11" s="495">
        <v>24</v>
      </c>
      <c r="AB11" s="495">
        <v>61</v>
      </c>
      <c r="AC11" s="495">
        <v>90</v>
      </c>
      <c r="AD11" s="495">
        <v>55</v>
      </c>
      <c r="AE11" s="495">
        <v>129</v>
      </c>
      <c r="AF11" s="495">
        <v>68</v>
      </c>
      <c r="AG11" s="495">
        <v>56</v>
      </c>
      <c r="AH11" s="504">
        <v>2</v>
      </c>
      <c r="AI11" s="70"/>
    </row>
    <row r="12" spans="1:35" s="21" customFormat="1" ht="18.75" customHeight="1" x14ac:dyDescent="0.2">
      <c r="A12" s="415" t="s">
        <v>420</v>
      </c>
      <c r="B12" s="835">
        <f>SUM(N8:P8)</f>
        <v>80</v>
      </c>
      <c r="C12" s="835">
        <f>SUM(Q8:R8)</f>
        <v>78</v>
      </c>
      <c r="D12" s="835">
        <f>SUM(S8:V8)</f>
        <v>58</v>
      </c>
      <c r="E12" s="835">
        <f>SUM(W8:Y8)</f>
        <v>75</v>
      </c>
      <c r="F12" s="835">
        <f>SUM(Z8:AA8)</f>
        <v>78</v>
      </c>
      <c r="G12" s="835">
        <f>SUM(AB8:AD8)</f>
        <v>238</v>
      </c>
      <c r="H12" s="835">
        <f>AE8</f>
        <v>176</v>
      </c>
      <c r="I12" s="835">
        <f>AF8</f>
        <v>84</v>
      </c>
      <c r="J12" s="835">
        <f>SUM(AG8:AH8)</f>
        <v>69</v>
      </c>
      <c r="K12" s="837">
        <f>SUM(B12:J12)</f>
        <v>936</v>
      </c>
      <c r="M12" s="499" t="s">
        <v>190</v>
      </c>
      <c r="N12" s="492">
        <v>12</v>
      </c>
      <c r="O12" s="492">
        <v>11</v>
      </c>
      <c r="P12" s="492">
        <v>22</v>
      </c>
      <c r="Q12" s="492">
        <v>17</v>
      </c>
      <c r="R12" s="492">
        <v>22</v>
      </c>
      <c r="S12" s="492">
        <v>17</v>
      </c>
      <c r="T12" s="492">
        <v>14</v>
      </c>
      <c r="U12" s="492">
        <v>12</v>
      </c>
      <c r="V12" s="492">
        <v>9</v>
      </c>
      <c r="W12" s="492">
        <v>39</v>
      </c>
      <c r="X12" s="492">
        <v>8</v>
      </c>
      <c r="Y12" s="492">
        <v>3</v>
      </c>
      <c r="Z12" s="492">
        <v>12</v>
      </c>
      <c r="AA12" s="492">
        <v>26</v>
      </c>
      <c r="AB12" s="492">
        <v>51</v>
      </c>
      <c r="AC12" s="492">
        <v>69</v>
      </c>
      <c r="AD12" s="492">
        <v>65</v>
      </c>
      <c r="AE12" s="492">
        <v>133</v>
      </c>
      <c r="AF12" s="492">
        <v>58</v>
      </c>
      <c r="AG12" s="492">
        <v>47</v>
      </c>
      <c r="AH12" s="503">
        <v>3</v>
      </c>
      <c r="AI12" s="70"/>
    </row>
    <row r="13" spans="1:35" s="21" customFormat="1" ht="18.75" customHeight="1" x14ac:dyDescent="0.2">
      <c r="A13" s="416" t="s">
        <v>421</v>
      </c>
      <c r="B13" s="836">
        <f t="shared" ref="B13:I13" si="8">B12/B$36</f>
        <v>6.7911714770797965E-2</v>
      </c>
      <c r="C13" s="836">
        <f t="shared" si="8"/>
        <v>6.4250411861614495E-2</v>
      </c>
      <c r="D13" s="836">
        <f t="shared" si="8"/>
        <v>4.707792207792208E-2</v>
      </c>
      <c r="E13" s="836">
        <f t="shared" si="8"/>
        <v>6.9508804448563485E-2</v>
      </c>
      <c r="F13" s="836">
        <f t="shared" si="8"/>
        <v>7.4144486692015205E-2</v>
      </c>
      <c r="G13" s="836">
        <f t="shared" si="8"/>
        <v>7.9492317969271878E-2</v>
      </c>
      <c r="H13" s="836">
        <f t="shared" si="8"/>
        <v>6.25E-2</v>
      </c>
      <c r="I13" s="836">
        <f t="shared" si="8"/>
        <v>5.9743954480796585E-2</v>
      </c>
      <c r="J13" s="836">
        <f t="shared" ref="J13" si="9">J12/J$36</f>
        <v>5.8031959629941128E-2</v>
      </c>
      <c r="K13" s="836">
        <f>K12/K$36</f>
        <v>6.6101694915254236E-2</v>
      </c>
      <c r="M13" s="500" t="s">
        <v>191</v>
      </c>
      <c r="N13" s="495">
        <v>14</v>
      </c>
      <c r="O13" s="495">
        <v>12</v>
      </c>
      <c r="P13" s="495">
        <v>13</v>
      </c>
      <c r="Q13" s="495">
        <v>24</v>
      </c>
      <c r="R13" s="495">
        <v>17</v>
      </c>
      <c r="S13" s="495">
        <v>12</v>
      </c>
      <c r="T13" s="495">
        <v>8</v>
      </c>
      <c r="U13" s="495">
        <v>14</v>
      </c>
      <c r="V13" s="495">
        <v>10</v>
      </c>
      <c r="W13" s="495">
        <v>32</v>
      </c>
      <c r="X13" s="495">
        <v>14</v>
      </c>
      <c r="Y13" s="495">
        <v>4</v>
      </c>
      <c r="Z13" s="495">
        <v>14</v>
      </c>
      <c r="AA13" s="495">
        <v>14</v>
      </c>
      <c r="AB13" s="495">
        <v>43</v>
      </c>
      <c r="AC13" s="495">
        <v>44</v>
      </c>
      <c r="AD13" s="495">
        <v>42</v>
      </c>
      <c r="AE13" s="495">
        <v>107</v>
      </c>
      <c r="AF13" s="495">
        <v>43</v>
      </c>
      <c r="AG13" s="495">
        <v>35</v>
      </c>
      <c r="AH13" s="504">
        <v>3</v>
      </c>
      <c r="AI13" s="70"/>
    </row>
    <row r="14" spans="1:35" s="21" customFormat="1" ht="18.75" customHeight="1" x14ac:dyDescent="0.2">
      <c r="A14" s="415" t="s">
        <v>422</v>
      </c>
      <c r="B14" s="835">
        <f>SUM(N9:P9)</f>
        <v>44</v>
      </c>
      <c r="C14" s="835">
        <f>SUM(Q9:R9)</f>
        <v>62</v>
      </c>
      <c r="D14" s="835">
        <f>SUM(S9:V9)</f>
        <v>56</v>
      </c>
      <c r="E14" s="835">
        <f>SUM(W9:Y9)</f>
        <v>42</v>
      </c>
      <c r="F14" s="835">
        <f>SUM(Z9:AA9)</f>
        <v>57</v>
      </c>
      <c r="G14" s="835">
        <f>SUM(AB9:AD9)</f>
        <v>151</v>
      </c>
      <c r="H14" s="835">
        <f>AE9</f>
        <v>120</v>
      </c>
      <c r="I14" s="835">
        <f>AF9</f>
        <v>52</v>
      </c>
      <c r="J14" s="835">
        <f>SUM(AG9:AH9)</f>
        <v>64</v>
      </c>
      <c r="K14" s="837">
        <f>SUM(B14:J14)</f>
        <v>648</v>
      </c>
      <c r="M14" s="499" t="s">
        <v>192</v>
      </c>
      <c r="N14" s="492">
        <v>11</v>
      </c>
      <c r="O14" s="492">
        <v>4</v>
      </c>
      <c r="P14" s="492">
        <v>13</v>
      </c>
      <c r="Q14" s="492">
        <v>34</v>
      </c>
      <c r="R14" s="492">
        <v>16</v>
      </c>
      <c r="S14" s="492">
        <v>13</v>
      </c>
      <c r="T14" s="492">
        <v>9</v>
      </c>
      <c r="U14" s="492">
        <v>9</v>
      </c>
      <c r="V14" s="492">
        <v>2</v>
      </c>
      <c r="W14" s="492">
        <v>24</v>
      </c>
      <c r="X14" s="492">
        <v>10</v>
      </c>
      <c r="Y14" s="492"/>
      <c r="Z14" s="492">
        <v>14</v>
      </c>
      <c r="AA14" s="492">
        <v>15</v>
      </c>
      <c r="AB14" s="492">
        <v>27</v>
      </c>
      <c r="AC14" s="492">
        <v>42</v>
      </c>
      <c r="AD14" s="492">
        <v>39</v>
      </c>
      <c r="AE14" s="492">
        <v>66</v>
      </c>
      <c r="AF14" s="492">
        <v>46</v>
      </c>
      <c r="AG14" s="492">
        <v>51</v>
      </c>
      <c r="AH14" s="503">
        <v>2</v>
      </c>
      <c r="AI14" s="70"/>
    </row>
    <row r="15" spans="1:35" s="21" customFormat="1" ht="18.75" customHeight="1" x14ac:dyDescent="0.2">
      <c r="A15" s="416" t="s">
        <v>423</v>
      </c>
      <c r="B15" s="836">
        <f t="shared" ref="B15:I15" si="10">B14/B$36</f>
        <v>3.7351443123938878E-2</v>
      </c>
      <c r="C15" s="836">
        <f t="shared" si="10"/>
        <v>5.1070840197693576E-2</v>
      </c>
      <c r="D15" s="836">
        <f t="shared" si="10"/>
        <v>4.5454545454545456E-2</v>
      </c>
      <c r="E15" s="836">
        <f t="shared" si="10"/>
        <v>3.8924930491195553E-2</v>
      </c>
      <c r="F15" s="836">
        <f t="shared" si="10"/>
        <v>5.418250950570342E-2</v>
      </c>
      <c r="G15" s="836">
        <f t="shared" si="10"/>
        <v>5.0434201736806947E-2</v>
      </c>
      <c r="H15" s="836">
        <f t="shared" si="10"/>
        <v>4.261363636363636E-2</v>
      </c>
      <c r="I15" s="836">
        <f t="shared" si="10"/>
        <v>3.6984352773826459E-2</v>
      </c>
      <c r="J15" s="836">
        <f t="shared" ref="J15" si="11">J14/J$36</f>
        <v>5.3826745164003362E-2</v>
      </c>
      <c r="K15" s="836">
        <f>K14/K$36</f>
        <v>4.576271186440678E-2</v>
      </c>
      <c r="M15" s="500" t="s">
        <v>193</v>
      </c>
      <c r="N15" s="495">
        <v>12</v>
      </c>
      <c r="O15" s="495">
        <v>11</v>
      </c>
      <c r="P15" s="495">
        <v>6</v>
      </c>
      <c r="Q15" s="495">
        <v>13</v>
      </c>
      <c r="R15" s="495">
        <v>14</v>
      </c>
      <c r="S15" s="495">
        <v>8</v>
      </c>
      <c r="T15" s="495">
        <v>3</v>
      </c>
      <c r="U15" s="495">
        <v>11</v>
      </c>
      <c r="V15" s="495">
        <v>8</v>
      </c>
      <c r="W15" s="495">
        <v>12</v>
      </c>
      <c r="X15" s="495">
        <v>4</v>
      </c>
      <c r="Y15" s="495">
        <v>1</v>
      </c>
      <c r="Z15" s="495">
        <v>9</v>
      </c>
      <c r="AA15" s="495">
        <v>10</v>
      </c>
      <c r="AB15" s="495">
        <v>26</v>
      </c>
      <c r="AC15" s="495">
        <v>30</v>
      </c>
      <c r="AD15" s="495">
        <v>29</v>
      </c>
      <c r="AE15" s="495">
        <v>62</v>
      </c>
      <c r="AF15" s="495">
        <v>34</v>
      </c>
      <c r="AG15" s="495">
        <v>24</v>
      </c>
      <c r="AH15" s="504">
        <v>7</v>
      </c>
      <c r="AI15" s="70"/>
    </row>
    <row r="16" spans="1:35" s="21" customFormat="1" ht="18.75" customHeight="1" x14ac:dyDescent="0.2">
      <c r="A16" s="415" t="s">
        <v>424</v>
      </c>
      <c r="B16" s="835">
        <f>SUM(N10:P10)</f>
        <v>67</v>
      </c>
      <c r="C16" s="835">
        <f>SUM(Q10:R10)</f>
        <v>90</v>
      </c>
      <c r="D16" s="835">
        <f>SUM(S10:V10)</f>
        <v>68</v>
      </c>
      <c r="E16" s="835">
        <f>SUM(W10:Y10)</f>
        <v>51</v>
      </c>
      <c r="F16" s="835">
        <f>SUM(Z10:AA10)</f>
        <v>72</v>
      </c>
      <c r="G16" s="835">
        <f>SUM(AB10:AD10)</f>
        <v>286</v>
      </c>
      <c r="H16" s="835">
        <f>AE10</f>
        <v>174</v>
      </c>
      <c r="I16" s="835">
        <f>AF10</f>
        <v>86</v>
      </c>
      <c r="J16" s="835">
        <f>SUM(AG10:AH10)</f>
        <v>86</v>
      </c>
      <c r="K16" s="837">
        <f>SUM(B16:J16)</f>
        <v>980</v>
      </c>
      <c r="M16" s="499" t="s">
        <v>194</v>
      </c>
      <c r="N16" s="492">
        <v>8</v>
      </c>
      <c r="O16" s="492">
        <v>10</v>
      </c>
      <c r="P16" s="492">
        <v>10</v>
      </c>
      <c r="Q16" s="492">
        <v>11</v>
      </c>
      <c r="R16" s="492">
        <v>7</v>
      </c>
      <c r="S16" s="492">
        <v>7</v>
      </c>
      <c r="T16" s="492">
        <v>8</v>
      </c>
      <c r="U16" s="492">
        <v>5</v>
      </c>
      <c r="V16" s="492">
        <v>3</v>
      </c>
      <c r="W16" s="492">
        <v>9</v>
      </c>
      <c r="X16" s="492">
        <v>4</v>
      </c>
      <c r="Y16" s="492">
        <v>1</v>
      </c>
      <c r="Z16" s="492">
        <v>12</v>
      </c>
      <c r="AA16" s="492">
        <v>9</v>
      </c>
      <c r="AB16" s="492">
        <v>13</v>
      </c>
      <c r="AC16" s="492">
        <v>24</v>
      </c>
      <c r="AD16" s="492">
        <v>17</v>
      </c>
      <c r="AE16" s="492">
        <v>41</v>
      </c>
      <c r="AF16" s="492">
        <v>20</v>
      </c>
      <c r="AG16" s="492">
        <v>32</v>
      </c>
      <c r="AH16" s="503">
        <v>1</v>
      </c>
      <c r="AI16" s="70"/>
    </row>
    <row r="17" spans="1:35" s="21" customFormat="1" ht="18.75" customHeight="1" x14ac:dyDescent="0.2">
      <c r="A17" s="416" t="s">
        <v>425</v>
      </c>
      <c r="B17" s="851">
        <f t="shared" ref="B17:I17" si="12">B16/B$36</f>
        <v>5.6876061120543296E-2</v>
      </c>
      <c r="C17" s="851">
        <f t="shared" si="12"/>
        <v>7.4135090609555185E-2</v>
      </c>
      <c r="D17" s="851">
        <f t="shared" si="12"/>
        <v>5.5194805194805192E-2</v>
      </c>
      <c r="E17" s="851">
        <f t="shared" si="12"/>
        <v>4.7265987025023166E-2</v>
      </c>
      <c r="F17" s="851">
        <f t="shared" si="12"/>
        <v>6.8441064638783272E-2</v>
      </c>
      <c r="G17" s="851">
        <f t="shared" si="12"/>
        <v>9.5524382097528393E-2</v>
      </c>
      <c r="H17" s="851">
        <f t="shared" si="12"/>
        <v>6.1789772727272728E-2</v>
      </c>
      <c r="I17" s="851">
        <f t="shared" si="12"/>
        <v>6.1166429587482217E-2</v>
      </c>
      <c r="J17" s="851">
        <f t="shared" ref="J17" si="13">J16/J$36</f>
        <v>7.2329688814129517E-2</v>
      </c>
      <c r="K17" s="851">
        <f>K16/K$36</f>
        <v>6.9209039548022599E-2</v>
      </c>
      <c r="M17" s="500" t="s">
        <v>195</v>
      </c>
      <c r="N17" s="495">
        <v>8</v>
      </c>
      <c r="O17" s="495">
        <v>6</v>
      </c>
      <c r="P17" s="495">
        <v>10</v>
      </c>
      <c r="Q17" s="495">
        <v>11</v>
      </c>
      <c r="R17" s="495">
        <v>3</v>
      </c>
      <c r="S17" s="495">
        <v>5</v>
      </c>
      <c r="T17" s="495">
        <v>5</v>
      </c>
      <c r="U17" s="495">
        <v>10</v>
      </c>
      <c r="V17" s="495">
        <v>3</v>
      </c>
      <c r="W17" s="495">
        <v>14</v>
      </c>
      <c r="X17" s="495">
        <v>3</v>
      </c>
      <c r="Y17" s="495">
        <v>1</v>
      </c>
      <c r="Z17" s="495">
        <v>10</v>
      </c>
      <c r="AA17" s="495">
        <v>13</v>
      </c>
      <c r="AB17" s="495">
        <v>14</v>
      </c>
      <c r="AC17" s="495">
        <v>26</v>
      </c>
      <c r="AD17" s="495">
        <v>16</v>
      </c>
      <c r="AE17" s="495">
        <v>49</v>
      </c>
      <c r="AF17" s="495">
        <v>23</v>
      </c>
      <c r="AG17" s="495">
        <v>22</v>
      </c>
      <c r="AH17" s="504">
        <v>2</v>
      </c>
      <c r="AI17" s="70"/>
    </row>
    <row r="18" spans="1:35" s="21" customFormat="1" ht="18.75" customHeight="1" x14ac:dyDescent="0.2">
      <c r="A18" s="425" t="s">
        <v>426</v>
      </c>
      <c r="B18" s="835">
        <f>SUM(N11:P11)</f>
        <v>57</v>
      </c>
      <c r="C18" s="835">
        <f>SUM(Q11:R11)</f>
        <v>72</v>
      </c>
      <c r="D18" s="835">
        <f>SUM(S11:V11)</f>
        <v>48</v>
      </c>
      <c r="E18" s="835">
        <f>SUM(W11:Y11)</f>
        <v>51</v>
      </c>
      <c r="F18" s="835">
        <f>SUM(Z11:AA11)</f>
        <v>52</v>
      </c>
      <c r="G18" s="835">
        <f>SUM(AB11:AD11)</f>
        <v>206</v>
      </c>
      <c r="H18" s="835">
        <f>AE11</f>
        <v>129</v>
      </c>
      <c r="I18" s="835">
        <f>AF11</f>
        <v>68</v>
      </c>
      <c r="J18" s="835">
        <f>SUM(AG11:AH11)</f>
        <v>58</v>
      </c>
      <c r="K18" s="837">
        <f>SUM(B18:J18)</f>
        <v>741</v>
      </c>
      <c r="M18" s="499" t="s">
        <v>196</v>
      </c>
      <c r="N18" s="492">
        <v>34</v>
      </c>
      <c r="O18" s="492">
        <v>34</v>
      </c>
      <c r="P18" s="492">
        <v>25</v>
      </c>
      <c r="Q18" s="492">
        <v>52</v>
      </c>
      <c r="R18" s="492">
        <v>37</v>
      </c>
      <c r="S18" s="492">
        <v>34</v>
      </c>
      <c r="T18" s="492">
        <v>18</v>
      </c>
      <c r="U18" s="492">
        <v>32</v>
      </c>
      <c r="V18" s="492">
        <v>16</v>
      </c>
      <c r="W18" s="492">
        <v>38</v>
      </c>
      <c r="X18" s="492">
        <v>25</v>
      </c>
      <c r="Y18" s="492">
        <v>8</v>
      </c>
      <c r="Z18" s="492">
        <v>52</v>
      </c>
      <c r="AA18" s="492">
        <v>42</v>
      </c>
      <c r="AB18" s="492">
        <v>87</v>
      </c>
      <c r="AC18" s="492">
        <v>133</v>
      </c>
      <c r="AD18" s="492">
        <v>66</v>
      </c>
      <c r="AE18" s="492">
        <v>220</v>
      </c>
      <c r="AF18" s="492">
        <v>154</v>
      </c>
      <c r="AG18" s="492">
        <v>116</v>
      </c>
      <c r="AH18" s="503">
        <v>17</v>
      </c>
      <c r="AI18" s="70"/>
    </row>
    <row r="19" spans="1:35" s="21" customFormat="1" ht="18.75" customHeight="1" x14ac:dyDescent="0.2">
      <c r="A19" s="426" t="s">
        <v>427</v>
      </c>
      <c r="B19" s="836">
        <f t="shared" ref="B19:I19" si="14">B18/B$36</f>
        <v>4.8387096774193547E-2</v>
      </c>
      <c r="C19" s="836">
        <f t="shared" si="14"/>
        <v>5.9308072487644151E-2</v>
      </c>
      <c r="D19" s="836">
        <f t="shared" si="14"/>
        <v>3.896103896103896E-2</v>
      </c>
      <c r="E19" s="836">
        <f t="shared" si="14"/>
        <v>4.7265987025023166E-2</v>
      </c>
      <c r="F19" s="836">
        <f t="shared" si="14"/>
        <v>4.9429657794676805E-2</v>
      </c>
      <c r="G19" s="836">
        <f t="shared" si="14"/>
        <v>6.8804275217100863E-2</v>
      </c>
      <c r="H19" s="836">
        <f t="shared" si="14"/>
        <v>4.5809659090909088E-2</v>
      </c>
      <c r="I19" s="836">
        <f t="shared" si="14"/>
        <v>4.8364153627311522E-2</v>
      </c>
      <c r="J19" s="836">
        <f t="shared" ref="J19" si="15">J18/J$36</f>
        <v>4.878048780487805E-2</v>
      </c>
      <c r="K19" s="836">
        <f>K18/K$36</f>
        <v>5.2330508474576272E-2</v>
      </c>
      <c r="M19" s="464" t="s">
        <v>197</v>
      </c>
      <c r="N19" s="490">
        <v>29</v>
      </c>
      <c r="O19" s="490">
        <v>23</v>
      </c>
      <c r="P19" s="490">
        <v>23</v>
      </c>
      <c r="Q19" s="490">
        <v>29</v>
      </c>
      <c r="R19" s="490">
        <v>18</v>
      </c>
      <c r="S19" s="490">
        <v>17</v>
      </c>
      <c r="T19" s="490">
        <v>8</v>
      </c>
      <c r="U19" s="490">
        <v>10</v>
      </c>
      <c r="V19" s="490">
        <v>11</v>
      </c>
      <c r="W19" s="490">
        <v>26</v>
      </c>
      <c r="X19" s="490">
        <v>14</v>
      </c>
      <c r="Y19" s="490">
        <v>5</v>
      </c>
      <c r="Z19" s="490">
        <v>23</v>
      </c>
      <c r="AA19" s="490">
        <v>26</v>
      </c>
      <c r="AB19" s="490">
        <v>40</v>
      </c>
      <c r="AC19" s="490">
        <v>68</v>
      </c>
      <c r="AD19" s="490">
        <v>43</v>
      </c>
      <c r="AE19" s="490">
        <v>149</v>
      </c>
      <c r="AF19" s="490">
        <v>115</v>
      </c>
      <c r="AG19" s="490">
        <v>82</v>
      </c>
      <c r="AH19" s="488">
        <v>6</v>
      </c>
      <c r="AI19" s="70"/>
    </row>
    <row r="20" spans="1:35" s="21" customFormat="1" ht="18.75" customHeight="1" x14ac:dyDescent="0.2">
      <c r="A20" s="415" t="s">
        <v>428</v>
      </c>
      <c r="B20" s="835">
        <f>SUM(N12:P12)</f>
        <v>45</v>
      </c>
      <c r="C20" s="835">
        <f>SUM(Q12:R12)</f>
        <v>39</v>
      </c>
      <c r="D20" s="835">
        <f>SUM(S12:V12)</f>
        <v>52</v>
      </c>
      <c r="E20" s="835">
        <f>SUM(W12:Y12)</f>
        <v>50</v>
      </c>
      <c r="F20" s="835">
        <f>SUM(Z12:AA12)</f>
        <v>38</v>
      </c>
      <c r="G20" s="835">
        <f>SUM(AB12:AD12)</f>
        <v>185</v>
      </c>
      <c r="H20" s="835">
        <f>AE12</f>
        <v>133</v>
      </c>
      <c r="I20" s="835">
        <f>AF12</f>
        <v>58</v>
      </c>
      <c r="J20" s="835">
        <f>SUM(AG12:AH12)</f>
        <v>50</v>
      </c>
      <c r="K20" s="837">
        <f>SUM(B20:J20)</f>
        <v>650</v>
      </c>
      <c r="AI20" s="70"/>
    </row>
    <row r="21" spans="1:35" s="21" customFormat="1" ht="18.75" customHeight="1" x14ac:dyDescent="0.2">
      <c r="A21" s="416" t="s">
        <v>429</v>
      </c>
      <c r="B21" s="836">
        <f t="shared" ref="B21:I21" si="16">B20/B$36</f>
        <v>3.8200339558573854E-2</v>
      </c>
      <c r="C21" s="836">
        <f t="shared" si="16"/>
        <v>3.2125205930807248E-2</v>
      </c>
      <c r="D21" s="836">
        <f t="shared" si="16"/>
        <v>4.2207792207792208E-2</v>
      </c>
      <c r="E21" s="836">
        <f t="shared" si="16"/>
        <v>4.6339202965708988E-2</v>
      </c>
      <c r="F21" s="836">
        <f t="shared" si="16"/>
        <v>3.6121673003802278E-2</v>
      </c>
      <c r="G21" s="836">
        <f t="shared" si="16"/>
        <v>6.1790247160988646E-2</v>
      </c>
      <c r="H21" s="836">
        <f t="shared" si="16"/>
        <v>4.723011363636364E-2</v>
      </c>
      <c r="I21" s="836">
        <f t="shared" si="16"/>
        <v>4.1251778093883355E-2</v>
      </c>
      <c r="J21" s="836">
        <f t="shared" ref="J21" si="17">J20/J$36</f>
        <v>4.2052144659377629E-2</v>
      </c>
      <c r="K21" s="836">
        <f>K20/K$36</f>
        <v>4.5903954802259887E-2</v>
      </c>
    </row>
    <row r="22" spans="1:35" s="21" customFormat="1" ht="18.75" customHeight="1" x14ac:dyDescent="0.2">
      <c r="A22" s="415" t="s">
        <v>430</v>
      </c>
      <c r="B22" s="835">
        <f>SUM(N13:P13)</f>
        <v>39</v>
      </c>
      <c r="C22" s="835">
        <f>SUM(Q13:R13)</f>
        <v>41</v>
      </c>
      <c r="D22" s="835">
        <f>SUM(S13:V13)</f>
        <v>44</v>
      </c>
      <c r="E22" s="835">
        <f>SUM(W13:Y13)</f>
        <v>50</v>
      </c>
      <c r="F22" s="835">
        <f>SUM(Z13:AA13)</f>
        <v>28</v>
      </c>
      <c r="G22" s="835">
        <f>SUM(AB13:AD13)</f>
        <v>129</v>
      </c>
      <c r="H22" s="835">
        <f>AE13</f>
        <v>107</v>
      </c>
      <c r="I22" s="835">
        <f>AF13</f>
        <v>43</v>
      </c>
      <c r="J22" s="835">
        <f>SUM(AG13:AH13)</f>
        <v>38</v>
      </c>
      <c r="K22" s="837">
        <f>SUM(B22:J22)</f>
        <v>519</v>
      </c>
    </row>
    <row r="23" spans="1:35" s="21" customFormat="1" ht="18.75" customHeight="1" x14ac:dyDescent="0.2">
      <c r="A23" s="416" t="s">
        <v>431</v>
      </c>
      <c r="B23" s="836">
        <f t="shared" ref="B23:I23" si="18">B22/B$36</f>
        <v>3.3106960950764007E-2</v>
      </c>
      <c r="C23" s="836">
        <f t="shared" si="18"/>
        <v>3.3772652388797363E-2</v>
      </c>
      <c r="D23" s="836">
        <f t="shared" si="18"/>
        <v>3.5714285714285712E-2</v>
      </c>
      <c r="E23" s="836">
        <f t="shared" si="18"/>
        <v>4.6339202965708988E-2</v>
      </c>
      <c r="F23" s="836">
        <f t="shared" si="18"/>
        <v>2.6615969581749048E-2</v>
      </c>
      <c r="G23" s="836">
        <f t="shared" si="18"/>
        <v>4.308617234468938E-2</v>
      </c>
      <c r="H23" s="836">
        <f t="shared" si="18"/>
        <v>3.7997159090909088E-2</v>
      </c>
      <c r="I23" s="836">
        <f t="shared" si="18"/>
        <v>3.0583214793741108E-2</v>
      </c>
      <c r="J23" s="836">
        <f t="shared" ref="J23" si="19">J22/J$36</f>
        <v>3.1959629941126999E-2</v>
      </c>
      <c r="K23" s="836">
        <f>K22/K$36</f>
        <v>3.6652542372881354E-2</v>
      </c>
    </row>
    <row r="24" spans="1:35" s="21" customFormat="1" ht="18.75" customHeight="1" x14ac:dyDescent="0.2">
      <c r="A24" s="415" t="s">
        <v>432</v>
      </c>
      <c r="B24" s="835">
        <f>SUM(N14:P14)</f>
        <v>28</v>
      </c>
      <c r="C24" s="835">
        <f>SUM(Q14:R14)</f>
        <v>50</v>
      </c>
      <c r="D24" s="835">
        <f>SUM(S14:V14)</f>
        <v>33</v>
      </c>
      <c r="E24" s="835">
        <f>SUM(W14:Y14)</f>
        <v>34</v>
      </c>
      <c r="F24" s="835">
        <f>SUM(Z14:AA14)</f>
        <v>29</v>
      </c>
      <c r="G24" s="835">
        <f>SUM(AB14:AD14)</f>
        <v>108</v>
      </c>
      <c r="H24" s="835">
        <f>AE14</f>
        <v>66</v>
      </c>
      <c r="I24" s="835">
        <f>AF14</f>
        <v>46</v>
      </c>
      <c r="J24" s="835">
        <f>SUM(AG14:AH14)</f>
        <v>53</v>
      </c>
      <c r="K24" s="837">
        <f>SUM(B24:J24)</f>
        <v>447</v>
      </c>
    </row>
    <row r="25" spans="1:35" s="21" customFormat="1" ht="18.75" customHeight="1" x14ac:dyDescent="0.2">
      <c r="A25" s="416" t="s">
        <v>433</v>
      </c>
      <c r="B25" s="836">
        <f t="shared" ref="B25:I25" si="20">B24/B$36</f>
        <v>2.3769100169779286E-2</v>
      </c>
      <c r="C25" s="836">
        <f t="shared" si="20"/>
        <v>4.118616144975288E-2</v>
      </c>
      <c r="D25" s="836">
        <f t="shared" si="20"/>
        <v>2.6785714285714284E-2</v>
      </c>
      <c r="E25" s="836">
        <f t="shared" si="20"/>
        <v>3.1510658016682111E-2</v>
      </c>
      <c r="F25" s="836">
        <f t="shared" si="20"/>
        <v>2.7566539923954372E-2</v>
      </c>
      <c r="G25" s="836">
        <f t="shared" si="20"/>
        <v>3.6072144288577156E-2</v>
      </c>
      <c r="H25" s="836">
        <f t="shared" si="20"/>
        <v>2.34375E-2</v>
      </c>
      <c r="I25" s="836">
        <f t="shared" si="20"/>
        <v>3.2716927453769556E-2</v>
      </c>
      <c r="J25" s="836">
        <f t="shared" ref="J25" si="21">J24/J$36</f>
        <v>4.4575273338940284E-2</v>
      </c>
      <c r="K25" s="836">
        <f>K24/K$36</f>
        <v>3.1567796610169493E-2</v>
      </c>
    </row>
    <row r="26" spans="1:35" s="21" customFormat="1" ht="18.75" customHeight="1" x14ac:dyDescent="0.2">
      <c r="A26" s="415" t="s">
        <v>434</v>
      </c>
      <c r="B26" s="835">
        <f>SUM(N15:P15)</f>
        <v>29</v>
      </c>
      <c r="C26" s="835">
        <f>SUM(Q15:R15)</f>
        <v>27</v>
      </c>
      <c r="D26" s="835">
        <f>SUM(S15:V15)</f>
        <v>30</v>
      </c>
      <c r="E26" s="835">
        <f>SUM(W15:Y15)</f>
        <v>17</v>
      </c>
      <c r="F26" s="835">
        <f>SUM(Z15:AA15)</f>
        <v>19</v>
      </c>
      <c r="G26" s="835">
        <f>SUM(AB15:AD15)</f>
        <v>85</v>
      </c>
      <c r="H26" s="835">
        <f>AE15</f>
        <v>62</v>
      </c>
      <c r="I26" s="835">
        <f>AF15</f>
        <v>34</v>
      </c>
      <c r="J26" s="835">
        <f>SUM(AG15:AH15)</f>
        <v>31</v>
      </c>
      <c r="K26" s="837">
        <f>SUM(B26:J26)</f>
        <v>334</v>
      </c>
    </row>
    <row r="27" spans="1:35" s="21" customFormat="1" ht="18.75" customHeight="1" x14ac:dyDescent="0.2">
      <c r="A27" s="416" t="s">
        <v>435</v>
      </c>
      <c r="B27" s="836">
        <f t="shared" ref="B27:I27" si="22">B26/B$36</f>
        <v>2.4617996604414261E-2</v>
      </c>
      <c r="C27" s="836">
        <f t="shared" si="22"/>
        <v>2.2240527182866558E-2</v>
      </c>
      <c r="D27" s="836">
        <f t="shared" si="22"/>
        <v>2.4350649350649352E-2</v>
      </c>
      <c r="E27" s="836">
        <f t="shared" si="22"/>
        <v>1.5755329008341055E-2</v>
      </c>
      <c r="F27" s="836">
        <f t="shared" si="22"/>
        <v>1.8060836501901139E-2</v>
      </c>
      <c r="G27" s="836">
        <f t="shared" si="22"/>
        <v>2.839011356045424E-2</v>
      </c>
      <c r="H27" s="836">
        <f t="shared" si="22"/>
        <v>2.2017045454545456E-2</v>
      </c>
      <c r="I27" s="836">
        <f t="shared" si="22"/>
        <v>2.4182076813655761E-2</v>
      </c>
      <c r="J27" s="836">
        <f t="shared" ref="J27" si="23">J26/J$36</f>
        <v>2.6072329688814129E-2</v>
      </c>
      <c r="K27" s="836">
        <f>K26/K$36</f>
        <v>2.3587570621468927E-2</v>
      </c>
    </row>
    <row r="28" spans="1:35" s="21" customFormat="1" ht="18.75" customHeight="1" x14ac:dyDescent="0.2">
      <c r="A28" s="415" t="s">
        <v>436</v>
      </c>
      <c r="B28" s="835">
        <f>SUM(N16:P16)</f>
        <v>28</v>
      </c>
      <c r="C28" s="835">
        <f>SUM(Q16:R16)</f>
        <v>18</v>
      </c>
      <c r="D28" s="835">
        <f>SUM(S16:V16)</f>
        <v>23</v>
      </c>
      <c r="E28" s="835">
        <f>SUM(W16:Y16)</f>
        <v>14</v>
      </c>
      <c r="F28" s="835">
        <f>SUM(Z16:AA16)</f>
        <v>21</v>
      </c>
      <c r="G28" s="835">
        <f>SUM(AB16:AD16)</f>
        <v>54</v>
      </c>
      <c r="H28" s="835">
        <f>AE16</f>
        <v>41</v>
      </c>
      <c r="I28" s="835">
        <f>AF16</f>
        <v>20</v>
      </c>
      <c r="J28" s="835">
        <f>SUM(AG16:AH16)</f>
        <v>33</v>
      </c>
      <c r="K28" s="837">
        <f>SUM(B28:J28)</f>
        <v>252</v>
      </c>
    </row>
    <row r="29" spans="1:35" s="21" customFormat="1" ht="18.75" customHeight="1" x14ac:dyDescent="0.2">
      <c r="A29" s="416" t="s">
        <v>437</v>
      </c>
      <c r="B29" s="836">
        <f t="shared" ref="B29:I29" si="24">B28/B$36</f>
        <v>2.3769100169779286E-2</v>
      </c>
      <c r="C29" s="836">
        <f t="shared" si="24"/>
        <v>1.4827018121911038E-2</v>
      </c>
      <c r="D29" s="836">
        <f t="shared" si="24"/>
        <v>1.8668831168831168E-2</v>
      </c>
      <c r="E29" s="836">
        <f t="shared" si="24"/>
        <v>1.2974976830398516E-2</v>
      </c>
      <c r="F29" s="836">
        <f t="shared" si="24"/>
        <v>1.9961977186311788E-2</v>
      </c>
      <c r="G29" s="836">
        <f t="shared" si="24"/>
        <v>1.8036072144288578E-2</v>
      </c>
      <c r="H29" s="836">
        <f t="shared" si="24"/>
        <v>1.455965909090909E-2</v>
      </c>
      <c r="I29" s="836">
        <f t="shared" si="24"/>
        <v>1.422475106685633E-2</v>
      </c>
      <c r="J29" s="836">
        <f t="shared" ref="J29" si="25">J28/J$36</f>
        <v>2.7754415475189236E-2</v>
      </c>
      <c r="K29" s="836">
        <f>K28/K$36</f>
        <v>1.7796610169491526E-2</v>
      </c>
    </row>
    <row r="30" spans="1:35" s="21" customFormat="1" ht="18.75" customHeight="1" x14ac:dyDescent="0.2">
      <c r="A30" s="415" t="s">
        <v>438</v>
      </c>
      <c r="B30" s="835">
        <f>SUM(N17:P17)</f>
        <v>24</v>
      </c>
      <c r="C30" s="835">
        <f>SUM(Q17:R17)</f>
        <v>14</v>
      </c>
      <c r="D30" s="835">
        <f>SUM(S17:V17)</f>
        <v>23</v>
      </c>
      <c r="E30" s="835">
        <f>SUM(W17:Y17)</f>
        <v>18</v>
      </c>
      <c r="F30" s="835">
        <f>SUM(Z17:AA17)</f>
        <v>23</v>
      </c>
      <c r="G30" s="835">
        <f>SUM(AB17:AD17)</f>
        <v>56</v>
      </c>
      <c r="H30" s="835">
        <f>AE17</f>
        <v>49</v>
      </c>
      <c r="I30" s="835">
        <f>AF17</f>
        <v>23</v>
      </c>
      <c r="J30" s="835">
        <f>SUM(AG17:AH17)</f>
        <v>24</v>
      </c>
      <c r="K30" s="837">
        <f>SUM(B30:J30)</f>
        <v>254</v>
      </c>
    </row>
    <row r="31" spans="1:35" s="21" customFormat="1" ht="18.75" customHeight="1" x14ac:dyDescent="0.2">
      <c r="A31" s="416" t="s">
        <v>439</v>
      </c>
      <c r="B31" s="836">
        <f t="shared" ref="B31:I31" si="26">B30/B$36</f>
        <v>2.037351443123939E-2</v>
      </c>
      <c r="C31" s="836">
        <f t="shared" si="26"/>
        <v>1.1532125205930808E-2</v>
      </c>
      <c r="D31" s="836">
        <f t="shared" si="26"/>
        <v>1.8668831168831168E-2</v>
      </c>
      <c r="E31" s="836">
        <f t="shared" si="26"/>
        <v>1.6682113067655237E-2</v>
      </c>
      <c r="F31" s="836">
        <f t="shared" si="26"/>
        <v>2.1863117870722433E-2</v>
      </c>
      <c r="G31" s="836">
        <f t="shared" si="26"/>
        <v>1.8704074816299265E-2</v>
      </c>
      <c r="H31" s="836">
        <f t="shared" si="26"/>
        <v>1.740056818181818E-2</v>
      </c>
      <c r="I31" s="836">
        <f t="shared" si="26"/>
        <v>1.6358463726884778E-2</v>
      </c>
      <c r="J31" s="836">
        <f t="shared" ref="J31" si="27">J30/J$36</f>
        <v>2.0185029436501262E-2</v>
      </c>
      <c r="K31" s="836">
        <f>K30/K$36</f>
        <v>1.7937853107344633E-2</v>
      </c>
    </row>
    <row r="32" spans="1:35" s="21" customFormat="1" ht="18.75" customHeight="1" x14ac:dyDescent="0.2">
      <c r="A32" s="415" t="s">
        <v>440</v>
      </c>
      <c r="B32" s="835">
        <f>SUM(N18:P18)</f>
        <v>93</v>
      </c>
      <c r="C32" s="835">
        <f>SUM(Q18:R18)</f>
        <v>89</v>
      </c>
      <c r="D32" s="835">
        <f>SUM(S18:V18)</f>
        <v>100</v>
      </c>
      <c r="E32" s="835">
        <f>SUM(W18:Y18)</f>
        <v>71</v>
      </c>
      <c r="F32" s="835">
        <f>SUM(Z18:AA18)</f>
        <v>94</v>
      </c>
      <c r="G32" s="835">
        <f>SUM(AB18:AD18)</f>
        <v>286</v>
      </c>
      <c r="H32" s="835">
        <f>AE18</f>
        <v>220</v>
      </c>
      <c r="I32" s="835">
        <f>AF18</f>
        <v>154</v>
      </c>
      <c r="J32" s="835">
        <f>SUM(AG18:AH18)</f>
        <v>133</v>
      </c>
      <c r="K32" s="837">
        <f>SUM(B32:J32)</f>
        <v>1240</v>
      </c>
    </row>
    <row r="33" spans="1:11" s="21" customFormat="1" ht="18.75" customHeight="1" x14ac:dyDescent="0.2">
      <c r="A33" s="416" t="s">
        <v>441</v>
      </c>
      <c r="B33" s="836">
        <f t="shared" ref="B33:I33" si="28">B32/B$36</f>
        <v>7.8947368421052627E-2</v>
      </c>
      <c r="C33" s="836">
        <f t="shared" si="28"/>
        <v>7.3311367380560127E-2</v>
      </c>
      <c r="D33" s="836">
        <f t="shared" si="28"/>
        <v>8.1168831168831168E-2</v>
      </c>
      <c r="E33" s="836">
        <f t="shared" si="28"/>
        <v>6.5801668211306771E-2</v>
      </c>
      <c r="F33" s="836">
        <f t="shared" si="28"/>
        <v>8.9353612167300381E-2</v>
      </c>
      <c r="G33" s="836">
        <f t="shared" si="28"/>
        <v>9.5524382097528393E-2</v>
      </c>
      <c r="H33" s="836">
        <f t="shared" si="28"/>
        <v>7.8125E-2</v>
      </c>
      <c r="I33" s="836">
        <f t="shared" si="28"/>
        <v>0.10953058321479374</v>
      </c>
      <c r="J33" s="836">
        <f t="shared" ref="J33" si="29">J32/J$36</f>
        <v>0.1118587047939445</v>
      </c>
      <c r="K33" s="836">
        <f>K32/K$36</f>
        <v>8.7570621468926552E-2</v>
      </c>
    </row>
    <row r="34" spans="1:11" s="21" customFormat="1" ht="18.75" customHeight="1" x14ac:dyDescent="0.2">
      <c r="A34" s="1014" t="s">
        <v>61</v>
      </c>
      <c r="B34" s="835">
        <f>SUM(N19:P19)</f>
        <v>75</v>
      </c>
      <c r="C34" s="835">
        <f>SUM(Q19:R19)</f>
        <v>47</v>
      </c>
      <c r="D34" s="835">
        <f>SUM(S19:V19)</f>
        <v>46</v>
      </c>
      <c r="E34" s="835">
        <f>SUM(W19:Y19)</f>
        <v>45</v>
      </c>
      <c r="F34" s="835">
        <f>SUM(Z19:AA19)</f>
        <v>49</v>
      </c>
      <c r="G34" s="835">
        <f>SUM(AB19:AD19)</f>
        <v>151</v>
      </c>
      <c r="H34" s="835">
        <f>AE19</f>
        <v>149</v>
      </c>
      <c r="I34" s="835">
        <f>AF19</f>
        <v>115</v>
      </c>
      <c r="J34" s="835">
        <f>SUM(AG19:AH19)</f>
        <v>88</v>
      </c>
      <c r="K34" s="837">
        <f>SUM(B34:J34)</f>
        <v>765</v>
      </c>
    </row>
    <row r="35" spans="1:11" s="21" customFormat="1" ht="18.75" customHeight="1" x14ac:dyDescent="0.2">
      <c r="A35" s="1036"/>
      <c r="B35" s="836">
        <f t="shared" ref="B35:I35" si="30">B34/B$36</f>
        <v>6.3667232597623094E-2</v>
      </c>
      <c r="C35" s="836">
        <f t="shared" si="30"/>
        <v>3.8714991762767707E-2</v>
      </c>
      <c r="D35" s="836">
        <f t="shared" si="30"/>
        <v>3.7337662337662336E-2</v>
      </c>
      <c r="E35" s="836">
        <f t="shared" si="30"/>
        <v>4.1705282669138088E-2</v>
      </c>
      <c r="F35" s="836">
        <f t="shared" si="30"/>
        <v>4.6577946768060839E-2</v>
      </c>
      <c r="G35" s="836">
        <f t="shared" si="30"/>
        <v>5.0434201736806947E-2</v>
      </c>
      <c r="H35" s="836">
        <f t="shared" si="30"/>
        <v>5.2911931818181816E-2</v>
      </c>
      <c r="I35" s="836">
        <f t="shared" si="30"/>
        <v>8.1792318634423891E-2</v>
      </c>
      <c r="J35" s="836">
        <f t="shared" ref="J35" si="31">J34/J$36</f>
        <v>7.4011774600504621E-2</v>
      </c>
      <c r="K35" s="836">
        <f>K34/K$36</f>
        <v>5.4025423728813561E-2</v>
      </c>
    </row>
    <row r="36" spans="1:11" s="21" customFormat="1" ht="18.75" customHeight="1" x14ac:dyDescent="0.2">
      <c r="A36" s="1032" t="s">
        <v>11</v>
      </c>
      <c r="B36" s="843">
        <f t="shared" ref="B36:I37" si="32">SUM(B4,B6,B8,B10,B12,B14,B16,B18,B20,B22,B24,B26,B28,B30,B32,B34)</f>
        <v>1178</v>
      </c>
      <c r="C36" s="843">
        <f t="shared" si="32"/>
        <v>1214</v>
      </c>
      <c r="D36" s="843">
        <f t="shared" si="32"/>
        <v>1232</v>
      </c>
      <c r="E36" s="843">
        <f t="shared" si="32"/>
        <v>1079</v>
      </c>
      <c r="F36" s="843">
        <f t="shared" si="32"/>
        <v>1052</v>
      </c>
      <c r="G36" s="843">
        <f t="shared" si="32"/>
        <v>2994</v>
      </c>
      <c r="H36" s="843">
        <f t="shared" si="32"/>
        <v>2816</v>
      </c>
      <c r="I36" s="843">
        <f t="shared" si="32"/>
        <v>1406</v>
      </c>
      <c r="J36" s="843">
        <f t="shared" ref="J36:J37" si="33">SUM(J4,J6,J8,J10,J12,J14,J16,J18,J20,J22,J24,J26,J28,J30,J32,J34)</f>
        <v>1189</v>
      </c>
      <c r="K36" s="844">
        <f>SUM(B36:J36)</f>
        <v>14160</v>
      </c>
    </row>
    <row r="37" spans="1:11" s="21" customFormat="1" ht="18.75" customHeight="1" x14ac:dyDescent="0.2">
      <c r="A37" s="1033"/>
      <c r="B37" s="845">
        <f t="shared" si="32"/>
        <v>1</v>
      </c>
      <c r="C37" s="845">
        <f t="shared" si="32"/>
        <v>0.99999999999999978</v>
      </c>
      <c r="D37" s="845">
        <f t="shared" si="32"/>
        <v>1</v>
      </c>
      <c r="E37" s="845">
        <f t="shared" si="32"/>
        <v>0.99999999999999989</v>
      </c>
      <c r="F37" s="845">
        <f t="shared" si="32"/>
        <v>1.0000000000000002</v>
      </c>
      <c r="G37" s="845">
        <f t="shared" si="32"/>
        <v>1.0000000000000002</v>
      </c>
      <c r="H37" s="845">
        <f t="shared" si="32"/>
        <v>0.99999999999999989</v>
      </c>
      <c r="I37" s="845">
        <f t="shared" si="32"/>
        <v>1</v>
      </c>
      <c r="J37" s="845">
        <f t="shared" si="33"/>
        <v>1</v>
      </c>
      <c r="K37" s="845">
        <f>SUM(K5,K7,K9,K11,K13,K15,K17,K19,K21,K23,K25,K27,K29,K31,K33,K35)</f>
        <v>1</v>
      </c>
    </row>
    <row r="38" spans="1:11" s="6" customFormat="1" ht="18.75" customHeight="1" x14ac:dyDescent="0.2">
      <c r="A38" s="1037" t="s">
        <v>56</v>
      </c>
      <c r="B38" s="835">
        <f t="shared" ref="B38:I38" si="34">SUM(B4,B6,B8,B10)</f>
        <v>569</v>
      </c>
      <c r="C38" s="835">
        <f t="shared" si="34"/>
        <v>587</v>
      </c>
      <c r="D38" s="835">
        <f t="shared" si="34"/>
        <v>651</v>
      </c>
      <c r="E38" s="835">
        <f t="shared" si="34"/>
        <v>561</v>
      </c>
      <c r="F38" s="835">
        <f t="shared" si="34"/>
        <v>492</v>
      </c>
      <c r="G38" s="835">
        <f t="shared" si="34"/>
        <v>1059</v>
      </c>
      <c r="H38" s="835">
        <f t="shared" si="34"/>
        <v>1390</v>
      </c>
      <c r="I38" s="835">
        <f t="shared" si="34"/>
        <v>623</v>
      </c>
      <c r="J38" s="835">
        <f t="shared" ref="J38" si="35">SUM(J4,J6,J8,J10)</f>
        <v>462</v>
      </c>
      <c r="K38" s="837">
        <f>SUM(B38:J38)</f>
        <v>6394</v>
      </c>
    </row>
    <row r="39" spans="1:11" s="6" customFormat="1" ht="18.75" customHeight="1" x14ac:dyDescent="0.2">
      <c r="A39" s="1038"/>
      <c r="B39" s="836">
        <f t="shared" ref="B39:I39" si="36">B38/B$36</f>
        <v>0.48302207130730052</v>
      </c>
      <c r="C39" s="836">
        <f t="shared" si="36"/>
        <v>0.48352553542009885</v>
      </c>
      <c r="D39" s="836">
        <f t="shared" si="36"/>
        <v>0.52840909090909094</v>
      </c>
      <c r="E39" s="836">
        <f t="shared" si="36"/>
        <v>0.51992585727525487</v>
      </c>
      <c r="F39" s="836">
        <f t="shared" si="36"/>
        <v>0.46768060836501901</v>
      </c>
      <c r="G39" s="836">
        <f t="shared" si="36"/>
        <v>0.35370741482965934</v>
      </c>
      <c r="H39" s="836">
        <f t="shared" si="36"/>
        <v>0.49360795454545453</v>
      </c>
      <c r="I39" s="836">
        <f t="shared" si="36"/>
        <v>0.44310099573257467</v>
      </c>
      <c r="J39" s="836">
        <f t="shared" ref="J39:J45" si="37">J38/J$36</f>
        <v>0.38856181665264927</v>
      </c>
      <c r="K39" s="836">
        <f>K38/K$36</f>
        <v>0.45155367231638416</v>
      </c>
    </row>
    <row r="40" spans="1:11" s="21" customFormat="1" ht="18.75" customHeight="1" x14ac:dyDescent="0.2">
      <c r="A40" s="417" t="s">
        <v>442</v>
      </c>
      <c r="B40" s="835">
        <f t="shared" ref="B40:I40" si="38">SUM(B12,B14,B16,B18,B20)</f>
        <v>293</v>
      </c>
      <c r="C40" s="835">
        <f t="shared" si="38"/>
        <v>341</v>
      </c>
      <c r="D40" s="835">
        <f t="shared" si="38"/>
        <v>282</v>
      </c>
      <c r="E40" s="835">
        <f t="shared" si="38"/>
        <v>269</v>
      </c>
      <c r="F40" s="835">
        <f t="shared" si="38"/>
        <v>297</v>
      </c>
      <c r="G40" s="835">
        <f t="shared" si="38"/>
        <v>1066</v>
      </c>
      <c r="H40" s="835">
        <f t="shared" si="38"/>
        <v>732</v>
      </c>
      <c r="I40" s="835">
        <f t="shared" si="38"/>
        <v>348</v>
      </c>
      <c r="J40" s="835">
        <f t="shared" ref="J40" si="39">SUM(J12,J14,J16,J18,J20)</f>
        <v>327</v>
      </c>
      <c r="K40" s="837">
        <f>SUM(B40:J40)</f>
        <v>3955</v>
      </c>
    </row>
    <row r="41" spans="1:11" s="21" customFormat="1" ht="18.75" customHeight="1" x14ac:dyDescent="0.2">
      <c r="A41" s="418" t="s">
        <v>443</v>
      </c>
      <c r="B41" s="836">
        <f t="shared" ref="B41:I41" si="40">B40/B$36</f>
        <v>0.24872665534804753</v>
      </c>
      <c r="C41" s="836">
        <f t="shared" si="40"/>
        <v>0.28088962108731469</v>
      </c>
      <c r="D41" s="836">
        <f t="shared" si="40"/>
        <v>0.2288961038961039</v>
      </c>
      <c r="E41" s="836">
        <f t="shared" si="40"/>
        <v>0.24930491195551435</v>
      </c>
      <c r="F41" s="836">
        <f t="shared" si="40"/>
        <v>0.28231939163498099</v>
      </c>
      <c r="G41" s="836">
        <f t="shared" si="40"/>
        <v>0.35604542418169671</v>
      </c>
      <c r="H41" s="836">
        <f t="shared" si="40"/>
        <v>0.25994318181818182</v>
      </c>
      <c r="I41" s="836">
        <f t="shared" si="40"/>
        <v>0.24751066856330015</v>
      </c>
      <c r="J41" s="836">
        <f t="shared" si="37"/>
        <v>0.2750210260723297</v>
      </c>
      <c r="K41" s="836">
        <f>K40/K$36</f>
        <v>0.27930790960451979</v>
      </c>
    </row>
    <row r="42" spans="1:11" s="6" customFormat="1" ht="18.75" customHeight="1" x14ac:dyDescent="0.2">
      <c r="A42" s="417" t="s">
        <v>444</v>
      </c>
      <c r="B42" s="835">
        <f t="shared" ref="B42:I42" si="41">SUM(B22,B24,B26,B28,B30)</f>
        <v>148</v>
      </c>
      <c r="C42" s="835">
        <f t="shared" si="41"/>
        <v>150</v>
      </c>
      <c r="D42" s="835">
        <f t="shared" si="41"/>
        <v>153</v>
      </c>
      <c r="E42" s="835">
        <f t="shared" si="41"/>
        <v>133</v>
      </c>
      <c r="F42" s="835">
        <f t="shared" si="41"/>
        <v>120</v>
      </c>
      <c r="G42" s="835">
        <f t="shared" si="41"/>
        <v>432</v>
      </c>
      <c r="H42" s="835">
        <f t="shared" si="41"/>
        <v>325</v>
      </c>
      <c r="I42" s="835">
        <f t="shared" si="41"/>
        <v>166</v>
      </c>
      <c r="J42" s="835">
        <f t="shared" ref="J42" si="42">SUM(J22,J24,J26,J28,J30)</f>
        <v>179</v>
      </c>
      <c r="K42" s="837">
        <f>SUM(B42:J42)</f>
        <v>1806</v>
      </c>
    </row>
    <row r="43" spans="1:11" s="6" customFormat="1" ht="18.75" customHeight="1" x14ac:dyDescent="0.2">
      <c r="A43" s="419" t="s">
        <v>445</v>
      </c>
      <c r="B43" s="836">
        <f t="shared" ref="B43:I43" si="43">B42/B$36</f>
        <v>0.12563667232597622</v>
      </c>
      <c r="C43" s="836">
        <f t="shared" si="43"/>
        <v>0.12355848434925865</v>
      </c>
      <c r="D43" s="836">
        <f t="shared" si="43"/>
        <v>0.12418831168831169</v>
      </c>
      <c r="E43" s="836">
        <f t="shared" si="43"/>
        <v>0.12326227988878591</v>
      </c>
      <c r="F43" s="836">
        <f t="shared" si="43"/>
        <v>0.11406844106463879</v>
      </c>
      <c r="G43" s="836">
        <f t="shared" si="43"/>
        <v>0.14428857715430862</v>
      </c>
      <c r="H43" s="836">
        <f t="shared" si="43"/>
        <v>0.11541193181818182</v>
      </c>
      <c r="I43" s="836">
        <f t="shared" si="43"/>
        <v>0.11806543385490754</v>
      </c>
      <c r="J43" s="836">
        <f t="shared" si="37"/>
        <v>0.15054667788057191</v>
      </c>
      <c r="K43" s="836">
        <f>K42/K$36</f>
        <v>0.12754237288135592</v>
      </c>
    </row>
    <row r="44" spans="1:11" s="21" customFormat="1" ht="18.75" customHeight="1" x14ac:dyDescent="0.2">
      <c r="A44" s="1037" t="s">
        <v>446</v>
      </c>
      <c r="B44" s="835">
        <f t="shared" ref="B44:I44" si="44">SUM(B32,B34)</f>
        <v>168</v>
      </c>
      <c r="C44" s="835">
        <f t="shared" si="44"/>
        <v>136</v>
      </c>
      <c r="D44" s="835">
        <f t="shared" si="44"/>
        <v>146</v>
      </c>
      <c r="E44" s="835">
        <f t="shared" si="44"/>
        <v>116</v>
      </c>
      <c r="F44" s="835">
        <f t="shared" si="44"/>
        <v>143</v>
      </c>
      <c r="G44" s="835">
        <f t="shared" si="44"/>
        <v>437</v>
      </c>
      <c r="H44" s="835">
        <f t="shared" si="44"/>
        <v>369</v>
      </c>
      <c r="I44" s="835">
        <f t="shared" si="44"/>
        <v>269</v>
      </c>
      <c r="J44" s="835">
        <f t="shared" ref="J44" si="45">SUM(J32,J34)</f>
        <v>221</v>
      </c>
      <c r="K44" s="837">
        <f>SUM(B44:J44)</f>
        <v>2005</v>
      </c>
    </row>
    <row r="45" spans="1:11" s="21" customFormat="1" ht="18.75" customHeight="1" x14ac:dyDescent="0.2">
      <c r="A45" s="1038"/>
      <c r="B45" s="836">
        <f t="shared" ref="B45:I45" si="46">B44/B$36</f>
        <v>0.14261460101867574</v>
      </c>
      <c r="C45" s="836">
        <f t="shared" si="46"/>
        <v>0.11202635914332784</v>
      </c>
      <c r="D45" s="836">
        <f t="shared" si="46"/>
        <v>0.1185064935064935</v>
      </c>
      <c r="E45" s="836">
        <f t="shared" si="46"/>
        <v>0.10750695088044486</v>
      </c>
      <c r="F45" s="836">
        <f t="shared" si="46"/>
        <v>0.13593155893536121</v>
      </c>
      <c r="G45" s="836">
        <f t="shared" si="46"/>
        <v>0.14595858383433533</v>
      </c>
      <c r="H45" s="836">
        <f t="shared" si="46"/>
        <v>0.13103693181818182</v>
      </c>
      <c r="I45" s="836">
        <f t="shared" si="46"/>
        <v>0.19132290184921763</v>
      </c>
      <c r="J45" s="836">
        <f t="shared" si="37"/>
        <v>0.18587047939444912</v>
      </c>
      <c r="K45" s="836">
        <f>K44/K$36</f>
        <v>0.14159604519774011</v>
      </c>
    </row>
    <row r="46" spans="1:11" hidden="1" x14ac:dyDescent="0.2">
      <c r="B46" s="39">
        <f>SUM(B38,B40,B42,B44)</f>
        <v>1178</v>
      </c>
      <c r="C46" s="39">
        <f t="shared" ref="C46:J46" si="47">SUM(C38,C40,C42,C44)</f>
        <v>1214</v>
      </c>
      <c r="D46" s="39">
        <f t="shared" si="47"/>
        <v>1232</v>
      </c>
      <c r="E46" s="39">
        <f t="shared" si="47"/>
        <v>1079</v>
      </c>
      <c r="F46" s="39">
        <f t="shared" si="47"/>
        <v>1052</v>
      </c>
      <c r="G46" s="39">
        <f t="shared" si="47"/>
        <v>2994</v>
      </c>
      <c r="H46" s="39">
        <f t="shared" si="47"/>
        <v>2816</v>
      </c>
      <c r="I46" s="39">
        <f t="shared" si="47"/>
        <v>1406</v>
      </c>
      <c r="J46" s="39">
        <f t="shared" si="47"/>
        <v>1189</v>
      </c>
    </row>
    <row r="47" spans="1:11" x14ac:dyDescent="0.2">
      <c r="B47" s="39"/>
      <c r="C47" s="39"/>
      <c r="D47" s="39"/>
      <c r="E47" s="39"/>
      <c r="F47" s="39"/>
      <c r="G47" s="39"/>
      <c r="H47" s="39"/>
      <c r="I47" s="39"/>
    </row>
  </sheetData>
  <mergeCells count="5">
    <mergeCell ref="A4:A5"/>
    <mergeCell ref="A34:A35"/>
    <mergeCell ref="A36:A37"/>
    <mergeCell ref="A38:A39"/>
    <mergeCell ref="A44:A45"/>
  </mergeCells>
  <phoneticPr fontId="2"/>
  <printOptions horizontalCentered="1"/>
  <pageMargins left="0.70866141732283472" right="0.70866141732283472" top="0.74803149606299213" bottom="0.74803149606299213" header="0.31496062992125984" footer="0.31496062992125984"/>
  <pageSetup paperSize="9" scale="85" orientation="portrait" r:id="rId1"/>
  <drawing r:id="rId2"/>
  <mc:AlternateContent xmlns:mc="http://schemas.openxmlformats.org/markup-compatibility/2006">
    <mc:Choice Requires="v">
      <legacyDrawing r:id="rId3"/>
    </mc:Choice>
  </mc:AlternateContent>
  <controls>
    <control shapeId="83969" r:id="rId4" name="Button 1">
      <controlPr defaultSize="0" print="0" autoFill="0" autoPict="0" macro="[0]!データ削除_在院期間区分入院時住所地">
        <anchor moveWithCells="1" sizeWithCells="1">
          <from>
            <xdr:col>11</xdr:col>
            <xdr:colOff>495300</xdr:colOff>
            <xdr:row>21</xdr:row>
            <xdr:rowOff>220980</xdr:rowOff>
          </from>
          <to>
            <xdr:col>15</xdr:col>
            <xdr:colOff>60960</xdr:colOff>
            <xdr:row>25</xdr:row>
            <xdr:rowOff>38100</xdr:rowOff>
          </to>
        </anchor>
      </controlPr>
    </control>
  </controls>
  <tableParts count="1">
    <tablePart r:id="rId5"/>
  </tableParts>
</worksheet>
</file>

<file path=xl/worksheets/sheet3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2">
    <tabColor theme="5" tint="0.39997558519241921"/>
    <pageSetUpPr fitToPage="1"/>
  </sheetPr>
  <dimension ref="A1:AI21"/>
  <sheetViews>
    <sheetView showGridLines="0" view="pageBreakPreview" zoomScaleNormal="85" zoomScaleSheetLayoutView="100" workbookViewId="0"/>
  </sheetViews>
  <sheetFormatPr defaultColWidth="13.77734375" defaultRowHeight="17.399999999999999" x14ac:dyDescent="0.2"/>
  <cols>
    <col min="1" max="1" width="10" style="396" customWidth="1"/>
    <col min="2" max="11" width="8.77734375" style="396" customWidth="1"/>
    <col min="12" max="12" width="7.44140625" style="396" hidden="1" customWidth="1"/>
    <col min="13" max="13" width="10.21875" style="396" hidden="1" customWidth="1"/>
    <col min="14" max="14" width="10.88671875" style="396" hidden="1" customWidth="1"/>
    <col min="15" max="16" width="12.77734375" style="396" hidden="1" customWidth="1"/>
    <col min="17" max="17" width="9.77734375" style="396" hidden="1" customWidth="1"/>
    <col min="18" max="18" width="12.77734375" style="396" hidden="1" customWidth="1"/>
    <col min="19" max="19" width="14.6640625" style="396" hidden="1" customWidth="1"/>
    <col min="20" max="20" width="16.44140625" style="396" hidden="1" customWidth="1"/>
    <col min="21" max="22" width="12.77734375" style="396" hidden="1" customWidth="1"/>
    <col min="23" max="23" width="16.44140625" style="396" hidden="1" customWidth="1"/>
    <col min="24" max="24" width="14.6640625" style="396" hidden="1" customWidth="1"/>
    <col min="25" max="27" width="12.77734375" style="396" hidden="1" customWidth="1"/>
    <col min="28" max="31" width="10.88671875" style="396" hidden="1" customWidth="1"/>
    <col min="32" max="32" width="9.77734375" style="396" hidden="1" customWidth="1"/>
    <col min="33" max="33" width="10.88671875" style="396" hidden="1" customWidth="1"/>
    <col min="34" max="34" width="14.6640625" style="396" hidden="1" customWidth="1"/>
    <col min="35" max="35" width="9.77734375" style="396" hidden="1" customWidth="1"/>
    <col min="36" max="36" width="0" style="396" hidden="1" customWidth="1"/>
    <col min="37" max="16384" width="13.77734375" style="396"/>
  </cols>
  <sheetData>
    <row r="1" spans="1:35" s="3" customFormat="1" ht="19.2" x14ac:dyDescent="0.2">
      <c r="A1" s="2" t="s">
        <v>468</v>
      </c>
    </row>
    <row r="2" spans="1:35" ht="18" thickBot="1" x14ac:dyDescent="0.25">
      <c r="A2" s="4"/>
    </row>
    <row r="3" spans="1:35" ht="36" thickTop="1" thickBot="1" x14ac:dyDescent="0.25">
      <c r="A3" s="839"/>
      <c r="B3" s="839" t="s">
        <v>386</v>
      </c>
      <c r="C3" s="839" t="s">
        <v>387</v>
      </c>
      <c r="D3" s="839" t="s">
        <v>388</v>
      </c>
      <c r="E3" s="839" t="s">
        <v>389</v>
      </c>
      <c r="F3" s="839" t="s">
        <v>390</v>
      </c>
      <c r="G3" s="839" t="s">
        <v>391</v>
      </c>
      <c r="H3" s="839" t="s">
        <v>392</v>
      </c>
      <c r="I3" s="839" t="s">
        <v>393</v>
      </c>
      <c r="J3" s="840" t="s">
        <v>464</v>
      </c>
      <c r="K3" s="839" t="s">
        <v>62</v>
      </c>
      <c r="M3" s="563" t="s">
        <v>372</v>
      </c>
      <c r="N3" s="540" t="s">
        <v>394</v>
      </c>
      <c r="O3" s="540" t="s">
        <v>395</v>
      </c>
      <c r="P3" s="540" t="s">
        <v>396</v>
      </c>
      <c r="Q3" s="540" t="s">
        <v>397</v>
      </c>
      <c r="R3" s="540" t="s">
        <v>398</v>
      </c>
      <c r="S3" s="540" t="s">
        <v>399</v>
      </c>
      <c r="T3" s="540" t="s">
        <v>400</v>
      </c>
      <c r="U3" s="540" t="s">
        <v>401</v>
      </c>
      <c r="V3" s="540" t="s">
        <v>402</v>
      </c>
      <c r="W3" s="540" t="s">
        <v>403</v>
      </c>
      <c r="X3" s="540" t="s">
        <v>564</v>
      </c>
      <c r="Y3" s="540" t="s">
        <v>565</v>
      </c>
      <c r="Z3" s="540" t="s">
        <v>566</v>
      </c>
      <c r="AA3" s="540" t="s">
        <v>567</v>
      </c>
      <c r="AB3" s="540" t="s">
        <v>568</v>
      </c>
      <c r="AC3" s="540" t="s">
        <v>569</v>
      </c>
      <c r="AD3" s="540" t="s">
        <v>570</v>
      </c>
      <c r="AE3" s="540" t="s">
        <v>571</v>
      </c>
      <c r="AF3" s="540" t="s">
        <v>572</v>
      </c>
      <c r="AG3" s="540" t="s">
        <v>652</v>
      </c>
      <c r="AH3" s="541" t="s">
        <v>653</v>
      </c>
      <c r="AI3" s="540" t="s">
        <v>608</v>
      </c>
    </row>
    <row r="4" spans="1:35" s="21" customFormat="1" ht="18.75" customHeight="1" thickTop="1" x14ac:dyDescent="0.2">
      <c r="A4" s="1005" t="s">
        <v>28</v>
      </c>
      <c r="B4" s="835">
        <f>SUM(N4:P4)</f>
        <v>34</v>
      </c>
      <c r="C4" s="835">
        <f>SUM(Q4:R4)</f>
        <v>29</v>
      </c>
      <c r="D4" s="835">
        <f>SUM(S4:V4)</f>
        <v>63</v>
      </c>
      <c r="E4" s="835">
        <f>SUM(W4:Y4)</f>
        <v>47</v>
      </c>
      <c r="F4" s="835">
        <f>SUM(Z4:AA4)</f>
        <v>35</v>
      </c>
      <c r="G4" s="835">
        <f>SUM(AB4:AD4)</f>
        <v>23</v>
      </c>
      <c r="H4" s="835">
        <f>AE4</f>
        <v>119</v>
      </c>
      <c r="I4" s="835">
        <f>AF4</f>
        <v>16</v>
      </c>
      <c r="J4" s="835">
        <f>SUM(AG4:AH4)</f>
        <v>32</v>
      </c>
      <c r="K4" s="837">
        <f>SUM(B4:J4)</f>
        <v>398</v>
      </c>
      <c r="M4" s="561">
        <v>1</v>
      </c>
      <c r="N4" s="492">
        <v>10</v>
      </c>
      <c r="O4" s="492">
        <v>12</v>
      </c>
      <c r="P4" s="492">
        <v>12</v>
      </c>
      <c r="Q4" s="492">
        <v>10</v>
      </c>
      <c r="R4" s="492">
        <v>19</v>
      </c>
      <c r="S4" s="492">
        <v>21</v>
      </c>
      <c r="T4" s="492">
        <v>14</v>
      </c>
      <c r="U4" s="492">
        <v>12</v>
      </c>
      <c r="V4" s="492">
        <v>16</v>
      </c>
      <c r="W4" s="492">
        <v>35</v>
      </c>
      <c r="X4" s="492">
        <v>10</v>
      </c>
      <c r="Y4" s="492">
        <v>2</v>
      </c>
      <c r="Z4" s="492">
        <v>18</v>
      </c>
      <c r="AA4" s="492">
        <v>17</v>
      </c>
      <c r="AB4" s="492">
        <v>9</v>
      </c>
      <c r="AC4" s="492">
        <v>10</v>
      </c>
      <c r="AD4" s="492">
        <v>4</v>
      </c>
      <c r="AE4" s="492">
        <v>119</v>
      </c>
      <c r="AF4" s="492">
        <v>16</v>
      </c>
      <c r="AG4" s="492">
        <v>30</v>
      </c>
      <c r="AH4" s="493">
        <v>2</v>
      </c>
      <c r="AI4" s="492"/>
    </row>
    <row r="5" spans="1:35" s="21" customFormat="1" ht="18.75" customHeight="1" x14ac:dyDescent="0.2">
      <c r="A5" s="1007"/>
      <c r="B5" s="836">
        <f t="shared" ref="B5:I5" si="0">B4/B$16</f>
        <v>2.8862478777589132E-2</v>
      </c>
      <c r="C5" s="836">
        <f t="shared" si="0"/>
        <v>2.3887973640856673E-2</v>
      </c>
      <c r="D5" s="836">
        <f t="shared" si="0"/>
        <v>5.113636363636364E-2</v>
      </c>
      <c r="E5" s="836">
        <f t="shared" si="0"/>
        <v>4.3558850787766452E-2</v>
      </c>
      <c r="F5" s="836">
        <f t="shared" si="0"/>
        <v>3.3269961977186312E-2</v>
      </c>
      <c r="G5" s="836">
        <f t="shared" si="0"/>
        <v>7.6820307281229121E-3</v>
      </c>
      <c r="H5" s="836">
        <f t="shared" si="0"/>
        <v>4.2258522727272728E-2</v>
      </c>
      <c r="I5" s="836">
        <f t="shared" si="0"/>
        <v>1.1379800853485065E-2</v>
      </c>
      <c r="J5" s="836">
        <f t="shared" ref="J5" si="1">J4/J$16</f>
        <v>2.6913372582001681E-2</v>
      </c>
      <c r="K5" s="836">
        <f>K4/K$16</f>
        <v>2.8107344632768361E-2</v>
      </c>
      <c r="M5" s="496">
        <v>2</v>
      </c>
      <c r="N5" s="495">
        <v>33</v>
      </c>
      <c r="O5" s="495">
        <v>42</v>
      </c>
      <c r="P5" s="495">
        <v>35</v>
      </c>
      <c r="Q5" s="495">
        <v>55</v>
      </c>
      <c r="R5" s="495">
        <v>57</v>
      </c>
      <c r="S5" s="495">
        <v>41</v>
      </c>
      <c r="T5" s="495">
        <v>43</v>
      </c>
      <c r="U5" s="495">
        <v>24</v>
      </c>
      <c r="V5" s="495">
        <v>26</v>
      </c>
      <c r="W5" s="495">
        <v>99</v>
      </c>
      <c r="X5" s="495">
        <v>44</v>
      </c>
      <c r="Y5" s="495">
        <v>16</v>
      </c>
      <c r="Z5" s="495">
        <v>36</v>
      </c>
      <c r="AA5" s="495">
        <v>67</v>
      </c>
      <c r="AB5" s="495">
        <v>60</v>
      </c>
      <c r="AC5" s="495">
        <v>108</v>
      </c>
      <c r="AD5" s="495">
        <v>45</v>
      </c>
      <c r="AE5" s="495">
        <v>323</v>
      </c>
      <c r="AF5" s="495">
        <v>113</v>
      </c>
      <c r="AG5" s="495">
        <v>122</v>
      </c>
      <c r="AH5" s="496">
        <v>16</v>
      </c>
      <c r="AI5" s="495"/>
    </row>
    <row r="6" spans="1:35" s="21" customFormat="1" ht="18.75" customHeight="1" x14ac:dyDescent="0.2">
      <c r="A6" s="1005" t="s">
        <v>29</v>
      </c>
      <c r="B6" s="835">
        <f>SUM(N5:P5)</f>
        <v>110</v>
      </c>
      <c r="C6" s="835">
        <f>SUM(Q5:R5)</f>
        <v>112</v>
      </c>
      <c r="D6" s="835">
        <f>SUM(S5:V5)</f>
        <v>134</v>
      </c>
      <c r="E6" s="835">
        <f>SUM(W5:Y5)</f>
        <v>159</v>
      </c>
      <c r="F6" s="835">
        <f>SUM(Z5:AA5)</f>
        <v>103</v>
      </c>
      <c r="G6" s="835">
        <f>SUM(AB5:AD5)</f>
        <v>213</v>
      </c>
      <c r="H6" s="835">
        <f>AE5</f>
        <v>323</v>
      </c>
      <c r="I6" s="835">
        <f>AF5</f>
        <v>113</v>
      </c>
      <c r="J6" s="835">
        <f>SUM(AG5:AH5)</f>
        <v>138</v>
      </c>
      <c r="K6" s="837">
        <f>SUM(B6:J6)</f>
        <v>1405</v>
      </c>
      <c r="M6" s="493">
        <v>3</v>
      </c>
      <c r="N6" s="492">
        <v>41</v>
      </c>
      <c r="O6" s="492">
        <v>73</v>
      </c>
      <c r="P6" s="492">
        <v>45</v>
      </c>
      <c r="Q6" s="492">
        <v>82</v>
      </c>
      <c r="R6" s="492">
        <v>92</v>
      </c>
      <c r="S6" s="492">
        <v>85</v>
      </c>
      <c r="T6" s="492">
        <v>46</v>
      </c>
      <c r="U6" s="492">
        <v>44</v>
      </c>
      <c r="V6" s="492">
        <v>46</v>
      </c>
      <c r="W6" s="492">
        <v>193</v>
      </c>
      <c r="X6" s="492">
        <v>96</v>
      </c>
      <c r="Y6" s="492">
        <v>15</v>
      </c>
      <c r="Z6" s="492">
        <v>83</v>
      </c>
      <c r="AA6" s="492">
        <v>100</v>
      </c>
      <c r="AB6" s="492">
        <v>145</v>
      </c>
      <c r="AC6" s="492">
        <v>209</v>
      </c>
      <c r="AD6" s="492">
        <v>212</v>
      </c>
      <c r="AE6" s="492">
        <v>564</v>
      </c>
      <c r="AF6" s="492">
        <v>321</v>
      </c>
      <c r="AG6" s="492">
        <v>175</v>
      </c>
      <c r="AH6" s="493">
        <v>12</v>
      </c>
      <c r="AI6" s="492"/>
    </row>
    <row r="7" spans="1:35" s="21" customFormat="1" ht="18.75" customHeight="1" x14ac:dyDescent="0.2">
      <c r="A7" s="1007"/>
      <c r="B7" s="836">
        <f t="shared" ref="B7:I7" si="2">B6/B$16</f>
        <v>9.3378607809847206E-2</v>
      </c>
      <c r="C7" s="836">
        <f t="shared" si="2"/>
        <v>9.2257001647446463E-2</v>
      </c>
      <c r="D7" s="836">
        <f t="shared" si="2"/>
        <v>0.10876623376623376</v>
      </c>
      <c r="E7" s="836">
        <f t="shared" si="2"/>
        <v>0.14735866543095458</v>
      </c>
      <c r="F7" s="836">
        <f t="shared" si="2"/>
        <v>9.7908745247148293E-2</v>
      </c>
      <c r="G7" s="836">
        <f t="shared" si="2"/>
        <v>7.1142284569138278E-2</v>
      </c>
      <c r="H7" s="836">
        <f t="shared" si="2"/>
        <v>0.11470170454545454</v>
      </c>
      <c r="I7" s="836">
        <f t="shared" si="2"/>
        <v>8.0369843527738266E-2</v>
      </c>
      <c r="J7" s="836">
        <f t="shared" ref="J7" si="3">J6/J$16</f>
        <v>0.11606391925988226</v>
      </c>
      <c r="K7" s="836">
        <f>K6/K$16</f>
        <v>9.9223163841807904E-2</v>
      </c>
      <c r="M7" s="496">
        <v>4</v>
      </c>
      <c r="N7" s="495">
        <v>156</v>
      </c>
      <c r="O7" s="495">
        <v>175</v>
      </c>
      <c r="P7" s="495">
        <v>165</v>
      </c>
      <c r="Q7" s="495">
        <v>230</v>
      </c>
      <c r="R7" s="495">
        <v>210</v>
      </c>
      <c r="S7" s="495">
        <v>172</v>
      </c>
      <c r="T7" s="495">
        <v>81</v>
      </c>
      <c r="U7" s="495">
        <v>110</v>
      </c>
      <c r="V7" s="495">
        <v>104</v>
      </c>
      <c r="W7" s="495">
        <v>257</v>
      </c>
      <c r="X7" s="495">
        <v>106</v>
      </c>
      <c r="Y7" s="495">
        <v>30</v>
      </c>
      <c r="Z7" s="495">
        <v>172</v>
      </c>
      <c r="AA7" s="495">
        <v>238</v>
      </c>
      <c r="AB7" s="495">
        <v>377</v>
      </c>
      <c r="AC7" s="495">
        <v>549</v>
      </c>
      <c r="AD7" s="495">
        <v>431</v>
      </c>
      <c r="AE7" s="495">
        <v>1065</v>
      </c>
      <c r="AF7" s="495">
        <v>604</v>
      </c>
      <c r="AG7" s="495">
        <v>436</v>
      </c>
      <c r="AH7" s="496">
        <v>37</v>
      </c>
      <c r="AI7" s="495"/>
    </row>
    <row r="8" spans="1:35" s="21" customFormat="1" ht="18.75" customHeight="1" x14ac:dyDescent="0.2">
      <c r="A8" s="1005" t="s">
        <v>30</v>
      </c>
      <c r="B8" s="835">
        <f>SUM(N6:P6)</f>
        <v>159</v>
      </c>
      <c r="C8" s="835">
        <f>SUM(Q6:R6)</f>
        <v>174</v>
      </c>
      <c r="D8" s="835">
        <f>SUM(S6:V6)</f>
        <v>221</v>
      </c>
      <c r="E8" s="835">
        <f>SUM(W6:Y6)</f>
        <v>304</v>
      </c>
      <c r="F8" s="835">
        <f>SUM(Z6:AA6)</f>
        <v>183</v>
      </c>
      <c r="G8" s="835">
        <f>SUM(AB6:AD6)</f>
        <v>566</v>
      </c>
      <c r="H8" s="835">
        <f>AE6</f>
        <v>564</v>
      </c>
      <c r="I8" s="835">
        <f>AF6</f>
        <v>321</v>
      </c>
      <c r="J8" s="835">
        <f>SUM(AG6:AH6)</f>
        <v>187</v>
      </c>
      <c r="K8" s="837">
        <f>SUM(B8:J8)</f>
        <v>2679</v>
      </c>
      <c r="M8" s="493">
        <v>5</v>
      </c>
      <c r="N8" s="492">
        <v>72</v>
      </c>
      <c r="O8" s="492">
        <v>125</v>
      </c>
      <c r="P8" s="492">
        <v>100</v>
      </c>
      <c r="Q8" s="492">
        <v>180</v>
      </c>
      <c r="R8" s="492">
        <v>159</v>
      </c>
      <c r="S8" s="492">
        <v>105</v>
      </c>
      <c r="T8" s="492">
        <v>52</v>
      </c>
      <c r="U8" s="492">
        <v>68</v>
      </c>
      <c r="V8" s="492">
        <v>58</v>
      </c>
      <c r="W8" s="492">
        <v>84</v>
      </c>
      <c r="X8" s="492">
        <v>50</v>
      </c>
      <c r="Y8" s="492">
        <v>24</v>
      </c>
      <c r="Z8" s="492">
        <v>155</v>
      </c>
      <c r="AA8" s="492">
        <v>124</v>
      </c>
      <c r="AB8" s="492">
        <v>227</v>
      </c>
      <c r="AC8" s="492">
        <v>270</v>
      </c>
      <c r="AD8" s="492">
        <v>213</v>
      </c>
      <c r="AE8" s="492">
        <v>624</v>
      </c>
      <c r="AF8" s="492">
        <v>319</v>
      </c>
      <c r="AG8" s="492">
        <v>271</v>
      </c>
      <c r="AH8" s="493">
        <v>18</v>
      </c>
      <c r="AI8" s="492"/>
    </row>
    <row r="9" spans="1:35" s="21" customFormat="1" ht="18.75" customHeight="1" x14ac:dyDescent="0.2">
      <c r="A9" s="1007"/>
      <c r="B9" s="836">
        <f t="shared" ref="B9:I9" si="4">B8/B$16</f>
        <v>0.13497453310696095</v>
      </c>
      <c r="C9" s="836">
        <f t="shared" si="4"/>
        <v>0.14332784184514002</v>
      </c>
      <c r="D9" s="836">
        <f t="shared" si="4"/>
        <v>0.17938311688311689</v>
      </c>
      <c r="E9" s="836">
        <f t="shared" si="4"/>
        <v>0.28174235403151066</v>
      </c>
      <c r="F9" s="836">
        <f t="shared" si="4"/>
        <v>0.17395437262357413</v>
      </c>
      <c r="G9" s="836">
        <f t="shared" si="4"/>
        <v>0.18904475617902472</v>
      </c>
      <c r="H9" s="836">
        <f t="shared" si="4"/>
        <v>0.20028409090909091</v>
      </c>
      <c r="I9" s="836">
        <f t="shared" si="4"/>
        <v>0.2283072546230441</v>
      </c>
      <c r="J9" s="836">
        <f t="shared" ref="J9" si="5">J8/J$16</f>
        <v>0.15727502102607233</v>
      </c>
      <c r="K9" s="836">
        <f>K8/K$16</f>
        <v>0.18919491525423729</v>
      </c>
      <c r="M9" s="496">
        <v>6</v>
      </c>
      <c r="N9" s="495">
        <v>16</v>
      </c>
      <c r="O9" s="495">
        <v>43</v>
      </c>
      <c r="P9" s="495">
        <v>23</v>
      </c>
      <c r="Q9" s="495">
        <v>79</v>
      </c>
      <c r="R9" s="495">
        <v>41</v>
      </c>
      <c r="S9" s="495">
        <v>11</v>
      </c>
      <c r="T9" s="495">
        <v>10</v>
      </c>
      <c r="U9" s="495">
        <v>35</v>
      </c>
      <c r="V9" s="495">
        <v>8</v>
      </c>
      <c r="W9" s="495">
        <v>10</v>
      </c>
      <c r="X9" s="495">
        <v>3</v>
      </c>
      <c r="Y9" s="495">
        <v>5</v>
      </c>
      <c r="Z9" s="495">
        <v>15</v>
      </c>
      <c r="AA9" s="495">
        <v>27</v>
      </c>
      <c r="AB9" s="495">
        <v>38</v>
      </c>
      <c r="AC9" s="495">
        <v>61</v>
      </c>
      <c r="AD9" s="495">
        <v>26</v>
      </c>
      <c r="AE9" s="495">
        <v>121</v>
      </c>
      <c r="AF9" s="495">
        <v>33</v>
      </c>
      <c r="AG9" s="495">
        <v>64</v>
      </c>
      <c r="AH9" s="496">
        <v>6</v>
      </c>
      <c r="AI9" s="495"/>
    </row>
    <row r="10" spans="1:35" s="21" customFormat="1" ht="18.75" customHeight="1" x14ac:dyDescent="0.2">
      <c r="A10" s="1005" t="s">
        <v>31</v>
      </c>
      <c r="B10" s="835">
        <f>SUM(N7:P7)</f>
        <v>496</v>
      </c>
      <c r="C10" s="835">
        <f>SUM(Q7:R7)</f>
        <v>440</v>
      </c>
      <c r="D10" s="835">
        <f>SUM(S7:V7)</f>
        <v>467</v>
      </c>
      <c r="E10" s="835">
        <f>SUM(W7:Y7)</f>
        <v>393</v>
      </c>
      <c r="F10" s="835">
        <f>SUM(Z7:AA7)</f>
        <v>410</v>
      </c>
      <c r="G10" s="835">
        <f>SUM(AB7:AD7)</f>
        <v>1357</v>
      </c>
      <c r="H10" s="835">
        <f>AE7</f>
        <v>1065</v>
      </c>
      <c r="I10" s="835">
        <f>AF7</f>
        <v>604</v>
      </c>
      <c r="J10" s="835">
        <f>SUM(AG7:AH7)</f>
        <v>473</v>
      </c>
      <c r="K10" s="837">
        <f>SUM(B10:J10)</f>
        <v>5705</v>
      </c>
    </row>
    <row r="11" spans="1:35" s="21" customFormat="1" ht="18.75" customHeight="1" x14ac:dyDescent="0.2">
      <c r="A11" s="1007"/>
      <c r="B11" s="836">
        <f t="shared" ref="B11:I11" si="6">B10/B$16</f>
        <v>0.42105263157894735</v>
      </c>
      <c r="C11" s="836">
        <f t="shared" si="6"/>
        <v>0.36243822075782539</v>
      </c>
      <c r="D11" s="836">
        <f t="shared" si="6"/>
        <v>0.37905844155844154</v>
      </c>
      <c r="E11" s="836">
        <f t="shared" si="6"/>
        <v>0.36422613531047265</v>
      </c>
      <c r="F11" s="836">
        <f t="shared" si="6"/>
        <v>0.38973384030418251</v>
      </c>
      <c r="G11" s="836">
        <f t="shared" si="6"/>
        <v>0.45323981295925186</v>
      </c>
      <c r="H11" s="836">
        <f t="shared" si="6"/>
        <v>0.37819602272727271</v>
      </c>
      <c r="I11" s="836">
        <f t="shared" si="6"/>
        <v>0.42958748221906118</v>
      </c>
      <c r="J11" s="836">
        <f t="shared" ref="J11" si="7">J10/J$16</f>
        <v>0.39781328847771236</v>
      </c>
      <c r="K11" s="836">
        <f>K10/K$16</f>
        <v>0.4028954802259887</v>
      </c>
    </row>
    <row r="12" spans="1:35" s="21" customFormat="1" ht="18.75" customHeight="1" x14ac:dyDescent="0.2">
      <c r="A12" s="1005" t="s">
        <v>32</v>
      </c>
      <c r="B12" s="835">
        <f>SUM(N8:P8)</f>
        <v>297</v>
      </c>
      <c r="C12" s="835">
        <f>SUM(Q8:R8)</f>
        <v>339</v>
      </c>
      <c r="D12" s="835">
        <f>SUM(S8:V8)</f>
        <v>283</v>
      </c>
      <c r="E12" s="835">
        <f>SUM(W8:Y8)</f>
        <v>158</v>
      </c>
      <c r="F12" s="835">
        <f>SUM(Z8:AA8)</f>
        <v>279</v>
      </c>
      <c r="G12" s="835">
        <f>SUM(AB8:AD8)</f>
        <v>710</v>
      </c>
      <c r="H12" s="835">
        <f>AE8</f>
        <v>624</v>
      </c>
      <c r="I12" s="835">
        <f>AF8</f>
        <v>319</v>
      </c>
      <c r="J12" s="835">
        <f>SUM(AG8:AH8)</f>
        <v>289</v>
      </c>
      <c r="K12" s="837">
        <f>SUM(B12:J12)</f>
        <v>3298</v>
      </c>
    </row>
    <row r="13" spans="1:35" s="21" customFormat="1" ht="18.75" customHeight="1" x14ac:dyDescent="0.2">
      <c r="A13" s="1007"/>
      <c r="B13" s="836">
        <f t="shared" ref="B13:I13" si="8">B12/B$16</f>
        <v>0.25212224108658743</v>
      </c>
      <c r="C13" s="836">
        <f t="shared" si="8"/>
        <v>0.27924217462932455</v>
      </c>
      <c r="D13" s="836">
        <f t="shared" si="8"/>
        <v>0.22970779220779219</v>
      </c>
      <c r="E13" s="836">
        <f t="shared" si="8"/>
        <v>0.1464318813716404</v>
      </c>
      <c r="F13" s="836">
        <f t="shared" si="8"/>
        <v>0.26520912547528519</v>
      </c>
      <c r="G13" s="836">
        <f t="shared" si="8"/>
        <v>0.23714094856379425</v>
      </c>
      <c r="H13" s="836">
        <f t="shared" si="8"/>
        <v>0.22159090909090909</v>
      </c>
      <c r="I13" s="836">
        <f t="shared" si="8"/>
        <v>0.22688477951635846</v>
      </c>
      <c r="J13" s="836">
        <f t="shared" ref="J13" si="9">J12/J$16</f>
        <v>0.2430613961312027</v>
      </c>
      <c r="K13" s="836">
        <f>K12/K$16</f>
        <v>0.23290960451977402</v>
      </c>
    </row>
    <row r="14" spans="1:35" s="21" customFormat="1" ht="18.75" customHeight="1" x14ac:dyDescent="0.2">
      <c r="A14" s="1005" t="s">
        <v>33</v>
      </c>
      <c r="B14" s="835">
        <f>SUM(N9:P9)</f>
        <v>82</v>
      </c>
      <c r="C14" s="835">
        <f>SUM(Q9:R9)</f>
        <v>120</v>
      </c>
      <c r="D14" s="835">
        <f>SUM(S9:V9)</f>
        <v>64</v>
      </c>
      <c r="E14" s="835">
        <f>SUM(W9:Y9)</f>
        <v>18</v>
      </c>
      <c r="F14" s="835">
        <f>SUM(Z9:AA9)</f>
        <v>42</v>
      </c>
      <c r="G14" s="835">
        <f>SUM(AB9:AD9)</f>
        <v>125</v>
      </c>
      <c r="H14" s="835">
        <f>AE9</f>
        <v>121</v>
      </c>
      <c r="I14" s="835">
        <f>AF9</f>
        <v>33</v>
      </c>
      <c r="J14" s="835">
        <f>SUM(AG9:AH9)</f>
        <v>70</v>
      </c>
      <c r="K14" s="837">
        <f>SUM(B14:J14)</f>
        <v>675</v>
      </c>
    </row>
    <row r="15" spans="1:35" s="21" customFormat="1" ht="18.75" customHeight="1" x14ac:dyDescent="0.2">
      <c r="A15" s="1007"/>
      <c r="B15" s="836">
        <f t="shared" ref="B15:I15" si="10">B14/B$16</f>
        <v>6.9609507640067916E-2</v>
      </c>
      <c r="C15" s="836">
        <f t="shared" si="10"/>
        <v>9.8846787479406922E-2</v>
      </c>
      <c r="D15" s="836">
        <f t="shared" si="10"/>
        <v>5.1948051948051951E-2</v>
      </c>
      <c r="E15" s="836">
        <f t="shared" si="10"/>
        <v>1.6682113067655237E-2</v>
      </c>
      <c r="F15" s="836">
        <f t="shared" si="10"/>
        <v>3.9923954372623575E-2</v>
      </c>
      <c r="G15" s="836">
        <f t="shared" si="10"/>
        <v>4.1750167000668005E-2</v>
      </c>
      <c r="H15" s="836">
        <f t="shared" si="10"/>
        <v>4.296875E-2</v>
      </c>
      <c r="I15" s="836">
        <f t="shared" si="10"/>
        <v>2.3470839260312945E-2</v>
      </c>
      <c r="J15" s="836">
        <f t="shared" ref="J15" si="11">J14/J$16</f>
        <v>5.887300252312868E-2</v>
      </c>
      <c r="K15" s="836">
        <f>K14/K$16</f>
        <v>4.7669491525423727E-2</v>
      </c>
    </row>
    <row r="16" spans="1:35" s="21" customFormat="1" ht="18.75" customHeight="1" x14ac:dyDescent="0.2">
      <c r="A16" s="1032" t="s">
        <v>11</v>
      </c>
      <c r="B16" s="843">
        <f>SUM(B4,B6,B8,B10,B12,B14)</f>
        <v>1178</v>
      </c>
      <c r="C16" s="843">
        <f t="shared" ref="C16:J17" si="12">SUM(C4,C6,C8,C10,C12,C14)</f>
        <v>1214</v>
      </c>
      <c r="D16" s="843">
        <f t="shared" si="12"/>
        <v>1232</v>
      </c>
      <c r="E16" s="843">
        <f t="shared" si="12"/>
        <v>1079</v>
      </c>
      <c r="F16" s="843">
        <f t="shared" si="12"/>
        <v>1052</v>
      </c>
      <c r="G16" s="843">
        <f t="shared" si="12"/>
        <v>2994</v>
      </c>
      <c r="H16" s="843">
        <f t="shared" si="12"/>
        <v>2816</v>
      </c>
      <c r="I16" s="843">
        <f t="shared" si="12"/>
        <v>1406</v>
      </c>
      <c r="J16" s="843">
        <f t="shared" si="12"/>
        <v>1189</v>
      </c>
      <c r="K16" s="844">
        <f>SUM(K4,K6,K8,K10,K12,K14)</f>
        <v>14160</v>
      </c>
    </row>
    <row r="17" spans="1:11" s="21" customFormat="1" ht="18.75" customHeight="1" x14ac:dyDescent="0.2">
      <c r="A17" s="1033"/>
      <c r="B17" s="845">
        <f t="shared" ref="B17:I17" si="13">SUM(B5,B7,B9,B11,B13,B15)</f>
        <v>1</v>
      </c>
      <c r="C17" s="845">
        <f t="shared" si="13"/>
        <v>1</v>
      </c>
      <c r="D17" s="845">
        <f t="shared" si="13"/>
        <v>1</v>
      </c>
      <c r="E17" s="845">
        <f t="shared" si="13"/>
        <v>1</v>
      </c>
      <c r="F17" s="845">
        <f t="shared" si="13"/>
        <v>0.99999999999999989</v>
      </c>
      <c r="G17" s="845">
        <f t="shared" si="13"/>
        <v>1</v>
      </c>
      <c r="H17" s="845">
        <f t="shared" si="13"/>
        <v>0.99999999999999989</v>
      </c>
      <c r="I17" s="845">
        <f t="shared" si="13"/>
        <v>1</v>
      </c>
      <c r="J17" s="845">
        <f t="shared" si="12"/>
        <v>1</v>
      </c>
      <c r="K17" s="845">
        <f>SUM(K5,K7,K9,K11,K13,K15)</f>
        <v>1</v>
      </c>
    </row>
    <row r="20" spans="1:11" x14ac:dyDescent="0.2">
      <c r="A20" s="462"/>
      <c r="B20" s="465"/>
      <c r="C20" s="465"/>
      <c r="D20" s="465"/>
      <c r="E20" s="465"/>
      <c r="F20" s="465"/>
      <c r="G20" s="465"/>
      <c r="H20" s="465"/>
      <c r="I20" s="465"/>
    </row>
    <row r="21" spans="1:11" x14ac:dyDescent="0.2">
      <c r="A21" s="103"/>
      <c r="B21" s="103"/>
      <c r="C21" s="103"/>
      <c r="D21" s="103"/>
      <c r="E21" s="103"/>
      <c r="F21" s="103"/>
      <c r="G21" s="103"/>
      <c r="H21" s="103"/>
      <c r="I21" s="103"/>
    </row>
  </sheetData>
  <mergeCells count="7">
    <mergeCell ref="A16:A17"/>
    <mergeCell ref="A4:A5"/>
    <mergeCell ref="A6:A7"/>
    <mergeCell ref="A8:A9"/>
    <mergeCell ref="A10:A11"/>
    <mergeCell ref="A12:A13"/>
    <mergeCell ref="A14:A15"/>
  </mergeCells>
  <phoneticPr fontId="2"/>
  <printOptions horizontalCentered="1"/>
  <pageMargins left="0.70866141732283472" right="0.70866141732283472" top="0.74803149606299213" bottom="0.74803149606299213" header="0.31496062992125984" footer="0.31496062992125984"/>
  <pageSetup paperSize="9" scale="89" orientation="portrait" r:id="rId1"/>
  <drawing r:id="rId2"/>
  <mc:AlternateContent xmlns:mc="http://schemas.openxmlformats.org/markup-compatibility/2006">
    <mc:Choice Requires="v">
      <legacyDrawing r:id="rId3"/>
    </mc:Choice>
  </mc:AlternateContent>
  <controls>
    <control shapeId="84993" r:id="rId4" name="Button 1">
      <controlPr defaultSize="0" print="0" autoFill="0" autoPict="0" macro="[0]!データ削除_状態像区分入院時住所地">
        <anchor moveWithCells="1" sizeWithCells="1">
          <from>
            <xdr:col>11</xdr:col>
            <xdr:colOff>449580</xdr:colOff>
            <xdr:row>11</xdr:row>
            <xdr:rowOff>83820</xdr:rowOff>
          </from>
          <to>
            <xdr:col>15</xdr:col>
            <xdr:colOff>68580</xdr:colOff>
            <xdr:row>13</xdr:row>
            <xdr:rowOff>220980</xdr:rowOff>
          </to>
        </anchor>
      </controlPr>
    </control>
  </controls>
  <tableParts count="1">
    <tablePart r:id="rId5"/>
  </tableParts>
</worksheet>
</file>

<file path=xl/worksheets/sheet3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3">
    <tabColor theme="5" tint="0.39997558519241921"/>
    <pageSetUpPr fitToPage="1"/>
  </sheetPr>
  <dimension ref="A1:AJ69"/>
  <sheetViews>
    <sheetView showGridLines="0" view="pageBreakPreview" zoomScale="80" zoomScaleNormal="70" zoomScaleSheetLayoutView="80" workbookViewId="0"/>
  </sheetViews>
  <sheetFormatPr defaultColWidth="7.109375" defaultRowHeight="17.399999999999999" x14ac:dyDescent="0.2"/>
  <cols>
    <col min="1" max="1" width="31.77734375" style="396" customWidth="1"/>
    <col min="2" max="10" width="8.77734375" style="396" customWidth="1"/>
    <col min="11" max="11" width="11.21875" style="396" bestFit="1" customWidth="1"/>
    <col min="12" max="12" width="7.21875" style="396" hidden="1" customWidth="1"/>
    <col min="13" max="13" width="10.33203125" style="396" hidden="1" customWidth="1"/>
    <col min="14" max="14" width="10.77734375" style="396" hidden="1" customWidth="1"/>
    <col min="15" max="16" width="12.44140625" style="396" hidden="1" customWidth="1"/>
    <col min="17" max="17" width="8.88671875" style="396" hidden="1" customWidth="1"/>
    <col min="18" max="18" width="12.44140625" style="396" hidden="1" customWidth="1"/>
    <col min="19" max="19" width="14.21875" style="396" hidden="1" customWidth="1"/>
    <col min="20" max="20" width="16.109375" style="396" hidden="1" customWidth="1"/>
    <col min="21" max="22" width="12.44140625" style="396" hidden="1" customWidth="1"/>
    <col min="23" max="23" width="16.109375" style="396" hidden="1" customWidth="1"/>
    <col min="24" max="24" width="14.21875" style="396" hidden="1" customWidth="1"/>
    <col min="25" max="27" width="12.44140625" style="396" hidden="1" customWidth="1"/>
    <col min="28" max="31" width="10.77734375" style="396" hidden="1" customWidth="1"/>
    <col min="32" max="32" width="8.88671875" style="396" hidden="1" customWidth="1"/>
    <col min="33" max="33" width="10.77734375" style="396" hidden="1" customWidth="1"/>
    <col min="34" max="34" width="14.21875" style="396" hidden="1" customWidth="1"/>
    <col min="35" max="35" width="8.77734375" style="396" hidden="1" customWidth="1"/>
    <col min="36" max="36" width="7.109375" style="396" hidden="1" customWidth="1"/>
    <col min="37" max="37" width="0" style="396" hidden="1" customWidth="1"/>
    <col min="38" max="16384" width="7.109375" style="396"/>
  </cols>
  <sheetData>
    <row r="1" spans="1:35" s="3" customFormat="1" ht="19.2" x14ac:dyDescent="0.2">
      <c r="A1" s="2" t="s">
        <v>469</v>
      </c>
    </row>
    <row r="2" spans="1:35" ht="18" thickBot="1" x14ac:dyDescent="0.25">
      <c r="A2" s="4"/>
    </row>
    <row r="3" spans="1:35" ht="36" thickTop="1" thickBot="1" x14ac:dyDescent="0.25">
      <c r="A3" s="839" t="s">
        <v>240</v>
      </c>
      <c r="B3" s="839" t="s">
        <v>386</v>
      </c>
      <c r="C3" s="839" t="s">
        <v>387</v>
      </c>
      <c r="D3" s="839" t="s">
        <v>388</v>
      </c>
      <c r="E3" s="839" t="s">
        <v>389</v>
      </c>
      <c r="F3" s="839" t="s">
        <v>390</v>
      </c>
      <c r="G3" s="839" t="s">
        <v>391</v>
      </c>
      <c r="H3" s="839" t="s">
        <v>392</v>
      </c>
      <c r="I3" s="839" t="s">
        <v>393</v>
      </c>
      <c r="J3" s="840" t="s">
        <v>464</v>
      </c>
      <c r="K3" s="839" t="s">
        <v>62</v>
      </c>
      <c r="M3" s="558" t="s">
        <v>372</v>
      </c>
      <c r="N3" s="505" t="s">
        <v>394</v>
      </c>
      <c r="O3" s="505" t="s">
        <v>395</v>
      </c>
      <c r="P3" s="505" t="s">
        <v>396</v>
      </c>
      <c r="Q3" s="505" t="s">
        <v>397</v>
      </c>
      <c r="R3" s="505" t="s">
        <v>398</v>
      </c>
      <c r="S3" s="505" t="s">
        <v>399</v>
      </c>
      <c r="T3" s="505" t="s">
        <v>400</v>
      </c>
      <c r="U3" s="505" t="s">
        <v>401</v>
      </c>
      <c r="V3" s="505" t="s">
        <v>402</v>
      </c>
      <c r="W3" s="505" t="s">
        <v>403</v>
      </c>
      <c r="X3" s="505" t="s">
        <v>564</v>
      </c>
      <c r="Y3" s="505" t="s">
        <v>565</v>
      </c>
      <c r="Z3" s="505" t="s">
        <v>566</v>
      </c>
      <c r="AA3" s="505" t="s">
        <v>567</v>
      </c>
      <c r="AB3" s="505" t="s">
        <v>568</v>
      </c>
      <c r="AC3" s="505" t="s">
        <v>569</v>
      </c>
      <c r="AD3" s="505" t="s">
        <v>570</v>
      </c>
      <c r="AE3" s="505" t="s">
        <v>571</v>
      </c>
      <c r="AF3" s="505" t="s">
        <v>572</v>
      </c>
      <c r="AG3" s="505" t="s">
        <v>652</v>
      </c>
      <c r="AH3" s="468" t="s">
        <v>653</v>
      </c>
      <c r="AI3" s="505" t="s">
        <v>608</v>
      </c>
    </row>
    <row r="4" spans="1:35" s="21" customFormat="1" ht="21" customHeight="1" thickTop="1" x14ac:dyDescent="0.2">
      <c r="A4" s="1040" t="s">
        <v>449</v>
      </c>
      <c r="B4" s="837">
        <f>SUM(N4:P4)</f>
        <v>185</v>
      </c>
      <c r="C4" s="837">
        <f>SUM(Q4:R4)</f>
        <v>141</v>
      </c>
      <c r="D4" s="837">
        <f>SUM(S4:V4)</f>
        <v>252</v>
      </c>
      <c r="E4" s="837">
        <f>SUM(W4:Y4)</f>
        <v>182</v>
      </c>
      <c r="F4" s="837">
        <f>SUM(Z4:AA4)</f>
        <v>164</v>
      </c>
      <c r="G4" s="837">
        <f>SUM(AB4:AD4)</f>
        <v>310</v>
      </c>
      <c r="H4" s="837">
        <f>AE4</f>
        <v>387</v>
      </c>
      <c r="I4" s="837">
        <f>AF4</f>
        <v>180</v>
      </c>
      <c r="J4" s="837">
        <f>SUM(AG4:AH4)</f>
        <v>181</v>
      </c>
      <c r="K4" s="837">
        <f>SUM(B4:J4)</f>
        <v>1982</v>
      </c>
      <c r="M4" s="463">
        <v>97</v>
      </c>
      <c r="N4" s="469">
        <v>56</v>
      </c>
      <c r="O4" s="469">
        <v>75</v>
      </c>
      <c r="P4" s="469">
        <v>54</v>
      </c>
      <c r="Q4" s="469">
        <v>66</v>
      </c>
      <c r="R4" s="469">
        <v>75</v>
      </c>
      <c r="S4" s="469">
        <v>102</v>
      </c>
      <c r="T4" s="469">
        <v>59</v>
      </c>
      <c r="U4" s="469">
        <v>44</v>
      </c>
      <c r="V4" s="469">
        <v>47</v>
      </c>
      <c r="W4" s="469">
        <v>116</v>
      </c>
      <c r="X4" s="469">
        <v>52</v>
      </c>
      <c r="Y4" s="469">
        <v>14</v>
      </c>
      <c r="Z4" s="469">
        <v>74</v>
      </c>
      <c r="AA4" s="469">
        <v>90</v>
      </c>
      <c r="AB4" s="469">
        <v>125</v>
      </c>
      <c r="AC4" s="469">
        <v>95</v>
      </c>
      <c r="AD4" s="469">
        <v>90</v>
      </c>
      <c r="AE4" s="469">
        <v>387</v>
      </c>
      <c r="AF4" s="469">
        <v>180</v>
      </c>
      <c r="AG4" s="469">
        <v>170</v>
      </c>
      <c r="AH4" s="463">
        <v>11</v>
      </c>
      <c r="AI4" s="506"/>
    </row>
    <row r="5" spans="1:35" s="21" customFormat="1" ht="21" customHeight="1" x14ac:dyDescent="0.2">
      <c r="A5" s="1041"/>
      <c r="B5" s="838">
        <f t="shared" ref="B5:K5" si="0">B4/B$10</f>
        <v>0.1570458404074703</v>
      </c>
      <c r="C5" s="838">
        <f t="shared" si="0"/>
        <v>0.11614497528830313</v>
      </c>
      <c r="D5" s="838">
        <f t="shared" si="0"/>
        <v>0.20454545454545456</v>
      </c>
      <c r="E5" s="838">
        <f t="shared" si="0"/>
        <v>0.16867469879518071</v>
      </c>
      <c r="F5" s="838">
        <f t="shared" si="0"/>
        <v>0.155893536121673</v>
      </c>
      <c r="G5" s="838">
        <f t="shared" si="0"/>
        <v>0.10354041416165664</v>
      </c>
      <c r="H5" s="838">
        <f t="shared" si="0"/>
        <v>0.13742897727272727</v>
      </c>
      <c r="I5" s="838">
        <f t="shared" si="0"/>
        <v>0.12802275960170698</v>
      </c>
      <c r="J5" s="838">
        <f t="shared" si="0"/>
        <v>0.15222876366694701</v>
      </c>
      <c r="K5" s="836">
        <f t="shared" si="0"/>
        <v>0.13997175141242937</v>
      </c>
      <c r="M5" s="463">
        <v>98</v>
      </c>
      <c r="N5" s="469">
        <v>232</v>
      </c>
      <c r="O5" s="469">
        <v>354</v>
      </c>
      <c r="P5" s="469">
        <v>283</v>
      </c>
      <c r="Q5" s="469">
        <v>500</v>
      </c>
      <c r="R5" s="469">
        <v>429</v>
      </c>
      <c r="S5" s="469">
        <v>275</v>
      </c>
      <c r="T5" s="469">
        <v>145</v>
      </c>
      <c r="U5" s="469">
        <v>199</v>
      </c>
      <c r="V5" s="469">
        <v>181</v>
      </c>
      <c r="W5" s="469">
        <v>458</v>
      </c>
      <c r="X5" s="469">
        <v>194</v>
      </c>
      <c r="Y5" s="469">
        <v>55</v>
      </c>
      <c r="Z5" s="469">
        <v>328</v>
      </c>
      <c r="AA5" s="469">
        <v>428</v>
      </c>
      <c r="AB5" s="469">
        <v>670</v>
      </c>
      <c r="AC5" s="469">
        <v>1064</v>
      </c>
      <c r="AD5" s="469">
        <v>799</v>
      </c>
      <c r="AE5" s="469">
        <v>1983</v>
      </c>
      <c r="AF5" s="469">
        <v>1056</v>
      </c>
      <c r="AG5" s="469">
        <v>815</v>
      </c>
      <c r="AH5" s="463">
        <v>74</v>
      </c>
      <c r="AI5" s="506"/>
    </row>
    <row r="6" spans="1:35" s="21" customFormat="1" ht="21" customHeight="1" x14ac:dyDescent="0.2">
      <c r="A6" s="1026" t="s">
        <v>339</v>
      </c>
      <c r="B6" s="837">
        <f>SUM(N5:P5)</f>
        <v>869</v>
      </c>
      <c r="C6" s="837">
        <f>SUM(Q5:R5)</f>
        <v>929</v>
      </c>
      <c r="D6" s="837">
        <f>SUM(S5:V5)</f>
        <v>800</v>
      </c>
      <c r="E6" s="837">
        <f>SUM(W5:Y5)</f>
        <v>707</v>
      </c>
      <c r="F6" s="837">
        <f>SUM(Z5:AA5)</f>
        <v>756</v>
      </c>
      <c r="G6" s="837">
        <f>SUM(AB5:AD5)</f>
        <v>2533</v>
      </c>
      <c r="H6" s="837">
        <f>AE5</f>
        <v>1983</v>
      </c>
      <c r="I6" s="837">
        <f>AF5</f>
        <v>1056</v>
      </c>
      <c r="J6" s="837">
        <f>SUM(AG5:AH5)</f>
        <v>889</v>
      </c>
      <c r="K6" s="837">
        <f>SUM(B6:J6)</f>
        <v>10522</v>
      </c>
      <c r="M6" s="463">
        <v>99</v>
      </c>
      <c r="N6" s="469">
        <v>40</v>
      </c>
      <c r="O6" s="469">
        <v>41</v>
      </c>
      <c r="P6" s="469">
        <v>43</v>
      </c>
      <c r="Q6" s="469">
        <v>70</v>
      </c>
      <c r="R6" s="469">
        <v>74</v>
      </c>
      <c r="S6" s="469">
        <v>58</v>
      </c>
      <c r="T6" s="469">
        <v>42</v>
      </c>
      <c r="U6" s="469">
        <v>50</v>
      </c>
      <c r="V6" s="469">
        <v>30</v>
      </c>
      <c r="W6" s="469">
        <v>104</v>
      </c>
      <c r="X6" s="469">
        <v>63</v>
      </c>
      <c r="Y6" s="469">
        <v>23</v>
      </c>
      <c r="Z6" s="469">
        <v>77</v>
      </c>
      <c r="AA6" s="469">
        <v>55</v>
      </c>
      <c r="AB6" s="469">
        <v>61</v>
      </c>
      <c r="AC6" s="469">
        <v>48</v>
      </c>
      <c r="AD6" s="469">
        <v>42</v>
      </c>
      <c r="AE6" s="469">
        <v>446</v>
      </c>
      <c r="AF6" s="469">
        <v>170</v>
      </c>
      <c r="AG6" s="469">
        <v>113</v>
      </c>
      <c r="AH6" s="463">
        <v>6</v>
      </c>
      <c r="AI6" s="506"/>
    </row>
    <row r="7" spans="1:35" s="21" customFormat="1" ht="21" customHeight="1" x14ac:dyDescent="0.2">
      <c r="A7" s="1027"/>
      <c r="B7" s="838">
        <f t="shared" ref="B7:K7" si="1">B6/B$10</f>
        <v>0.73769100169779289</v>
      </c>
      <c r="C7" s="838">
        <f t="shared" si="1"/>
        <v>0.76523887973640858</v>
      </c>
      <c r="D7" s="838">
        <f t="shared" si="1"/>
        <v>0.64935064935064934</v>
      </c>
      <c r="E7" s="838">
        <f t="shared" si="1"/>
        <v>0.65523632993512515</v>
      </c>
      <c r="F7" s="838">
        <f t="shared" si="1"/>
        <v>0.71863117870722437</v>
      </c>
      <c r="G7" s="838">
        <f t="shared" si="1"/>
        <v>0.84602538410153638</v>
      </c>
      <c r="H7" s="838">
        <f t="shared" si="1"/>
        <v>0.70419034090909094</v>
      </c>
      <c r="I7" s="838">
        <f t="shared" si="1"/>
        <v>0.75106685633001424</v>
      </c>
      <c r="J7" s="838">
        <f t="shared" si="1"/>
        <v>0.74768713204373427</v>
      </c>
      <c r="K7" s="838">
        <f t="shared" si="1"/>
        <v>0.74307909604519773</v>
      </c>
      <c r="M7" s="276"/>
    </row>
    <row r="8" spans="1:35" s="21" customFormat="1" x14ac:dyDescent="0.2">
      <c r="A8" s="1028" t="s">
        <v>36</v>
      </c>
      <c r="B8" s="837">
        <f>SUM(N6:P6)</f>
        <v>124</v>
      </c>
      <c r="C8" s="837">
        <f>SUM(Q6:R6)</f>
        <v>144</v>
      </c>
      <c r="D8" s="837">
        <f>SUM(S6:V6)</f>
        <v>180</v>
      </c>
      <c r="E8" s="837">
        <f>SUM(W6:Y6)</f>
        <v>190</v>
      </c>
      <c r="F8" s="837">
        <f>SUM(Z6:AA6)</f>
        <v>132</v>
      </c>
      <c r="G8" s="837">
        <f>SUM(AB6:AD6)</f>
        <v>151</v>
      </c>
      <c r="H8" s="837">
        <f>AE6</f>
        <v>446</v>
      </c>
      <c r="I8" s="837">
        <f>AF6</f>
        <v>170</v>
      </c>
      <c r="J8" s="837">
        <f>SUM(AG6:AH6)</f>
        <v>119</v>
      </c>
      <c r="K8" s="837">
        <f>SUM(B8:J8)</f>
        <v>1656</v>
      </c>
    </row>
    <row r="9" spans="1:35" s="21" customFormat="1" x14ac:dyDescent="0.2">
      <c r="A9" s="1029"/>
      <c r="B9" s="838">
        <f>B8/B$10</f>
        <v>0.10526315789473684</v>
      </c>
      <c r="C9" s="838">
        <f t="shared" ref="C9:J9" si="2">C8/C$10</f>
        <v>0.1186161449752883</v>
      </c>
      <c r="D9" s="838">
        <f t="shared" si="2"/>
        <v>0.1461038961038961</v>
      </c>
      <c r="E9" s="838">
        <f t="shared" si="2"/>
        <v>0.17608897126969417</v>
      </c>
      <c r="F9" s="838">
        <f t="shared" si="2"/>
        <v>0.12547528517110265</v>
      </c>
      <c r="G9" s="838">
        <f t="shared" si="2"/>
        <v>5.0434201736806947E-2</v>
      </c>
      <c r="H9" s="838">
        <f t="shared" si="2"/>
        <v>0.15838068181818182</v>
      </c>
      <c r="I9" s="838">
        <f t="shared" si="2"/>
        <v>0.12091038406827881</v>
      </c>
      <c r="J9" s="838">
        <f t="shared" si="2"/>
        <v>0.10008410428931876</v>
      </c>
      <c r="K9" s="838">
        <f>K8/K$10</f>
        <v>0.11694915254237288</v>
      </c>
    </row>
    <row r="10" spans="1:35" s="21" customFormat="1" x14ac:dyDescent="0.2">
      <c r="A10" s="841" t="s">
        <v>11</v>
      </c>
      <c r="B10" s="843">
        <f>SUM(B4,B6,B8)</f>
        <v>1178</v>
      </c>
      <c r="C10" s="843">
        <f t="shared" ref="C10:K11" si="3">SUM(C4,C6,C8)</f>
        <v>1214</v>
      </c>
      <c r="D10" s="843">
        <f t="shared" si="3"/>
        <v>1232</v>
      </c>
      <c r="E10" s="843">
        <f t="shared" si="3"/>
        <v>1079</v>
      </c>
      <c r="F10" s="843">
        <f t="shared" si="3"/>
        <v>1052</v>
      </c>
      <c r="G10" s="843">
        <f t="shared" si="3"/>
        <v>2994</v>
      </c>
      <c r="H10" s="843">
        <f t="shared" si="3"/>
        <v>2816</v>
      </c>
      <c r="I10" s="843">
        <f t="shared" si="3"/>
        <v>1406</v>
      </c>
      <c r="J10" s="843">
        <f t="shared" si="3"/>
        <v>1189</v>
      </c>
      <c r="K10" s="843">
        <f t="shared" si="3"/>
        <v>14160</v>
      </c>
    </row>
    <row r="11" spans="1:35" s="21" customFormat="1" x14ac:dyDescent="0.2">
      <c r="A11" s="842"/>
      <c r="B11" s="845">
        <f>SUM(B5,B7,B9)</f>
        <v>1</v>
      </c>
      <c r="C11" s="845">
        <f t="shared" si="3"/>
        <v>1</v>
      </c>
      <c r="D11" s="845">
        <f t="shared" si="3"/>
        <v>1</v>
      </c>
      <c r="E11" s="845">
        <f t="shared" si="3"/>
        <v>1</v>
      </c>
      <c r="F11" s="845">
        <f t="shared" si="3"/>
        <v>1</v>
      </c>
      <c r="G11" s="845">
        <f t="shared" si="3"/>
        <v>0.99999999999999989</v>
      </c>
      <c r="H11" s="845">
        <f t="shared" si="3"/>
        <v>1</v>
      </c>
      <c r="I11" s="845">
        <f t="shared" si="3"/>
        <v>1</v>
      </c>
      <c r="J11" s="845">
        <f t="shared" si="3"/>
        <v>1</v>
      </c>
      <c r="K11" s="845">
        <f t="shared" si="3"/>
        <v>1</v>
      </c>
    </row>
    <row r="12" spans="1:35" ht="18" thickBot="1" x14ac:dyDescent="0.25">
      <c r="A12" s="4"/>
    </row>
    <row r="13" spans="1:35" ht="36" thickTop="1" thickBot="1" x14ac:dyDescent="0.25">
      <c r="A13" s="839" t="s">
        <v>346</v>
      </c>
      <c r="B13" s="839" t="s">
        <v>386</v>
      </c>
      <c r="C13" s="839" t="s">
        <v>387</v>
      </c>
      <c r="D13" s="839" t="s">
        <v>388</v>
      </c>
      <c r="E13" s="839" t="s">
        <v>389</v>
      </c>
      <c r="F13" s="839" t="s">
        <v>390</v>
      </c>
      <c r="G13" s="839" t="s">
        <v>391</v>
      </c>
      <c r="H13" s="839" t="s">
        <v>392</v>
      </c>
      <c r="I13" s="839" t="s">
        <v>393</v>
      </c>
      <c r="J13" s="840" t="s">
        <v>464</v>
      </c>
      <c r="K13" s="839" t="s">
        <v>62</v>
      </c>
      <c r="M13" s="564" t="s">
        <v>372</v>
      </c>
      <c r="N13" s="544" t="s">
        <v>394</v>
      </c>
      <c r="O13" s="544" t="s">
        <v>395</v>
      </c>
      <c r="P13" s="544" t="s">
        <v>396</v>
      </c>
      <c r="Q13" s="544" t="s">
        <v>397</v>
      </c>
      <c r="R13" s="544" t="s">
        <v>398</v>
      </c>
      <c r="S13" s="544" t="s">
        <v>399</v>
      </c>
      <c r="T13" s="544" t="s">
        <v>400</v>
      </c>
      <c r="U13" s="544" t="s">
        <v>401</v>
      </c>
      <c r="V13" s="544" t="s">
        <v>402</v>
      </c>
      <c r="W13" s="544" t="s">
        <v>403</v>
      </c>
      <c r="X13" s="544" t="s">
        <v>564</v>
      </c>
      <c r="Y13" s="544" t="s">
        <v>565</v>
      </c>
      <c r="Z13" s="544" t="s">
        <v>566</v>
      </c>
      <c r="AA13" s="544" t="s">
        <v>567</v>
      </c>
      <c r="AB13" s="544" t="s">
        <v>568</v>
      </c>
      <c r="AC13" s="544" t="s">
        <v>569</v>
      </c>
      <c r="AD13" s="544" t="s">
        <v>570</v>
      </c>
      <c r="AE13" s="544" t="s">
        <v>571</v>
      </c>
      <c r="AF13" s="540" t="s">
        <v>572</v>
      </c>
      <c r="AG13" s="540" t="s">
        <v>652</v>
      </c>
      <c r="AH13" s="541" t="s">
        <v>653</v>
      </c>
      <c r="AI13" s="545" t="s">
        <v>608</v>
      </c>
    </row>
    <row r="14" spans="1:35" s="21" customFormat="1" ht="18" thickTop="1" x14ac:dyDescent="0.2">
      <c r="A14" s="1028" t="s">
        <v>34</v>
      </c>
      <c r="B14" s="837">
        <f>SUM(N14:P14)</f>
        <v>156</v>
      </c>
      <c r="C14" s="837">
        <f>SUM(Q14:R14)</f>
        <v>128</v>
      </c>
      <c r="D14" s="837">
        <f>SUM(S14:V14)</f>
        <v>234</v>
      </c>
      <c r="E14" s="837">
        <f>SUM(W14:Y14)</f>
        <v>162</v>
      </c>
      <c r="F14" s="837">
        <f>SUM(Z14:AA14)</f>
        <v>145</v>
      </c>
      <c r="G14" s="837">
        <f>SUM(AB14:AD14)</f>
        <v>282</v>
      </c>
      <c r="H14" s="837">
        <f>AE14</f>
        <v>324</v>
      </c>
      <c r="I14" s="837">
        <f>AF14</f>
        <v>155</v>
      </c>
      <c r="J14" s="837">
        <f>SUM(AG14:AH14)</f>
        <v>165</v>
      </c>
      <c r="K14" s="837">
        <f>SUM(B14:J14)</f>
        <v>1751</v>
      </c>
      <c r="M14" s="562">
        <v>91</v>
      </c>
      <c r="N14" s="492">
        <v>52</v>
      </c>
      <c r="O14" s="492">
        <v>57</v>
      </c>
      <c r="P14" s="492">
        <v>47</v>
      </c>
      <c r="Q14" s="492">
        <v>59</v>
      </c>
      <c r="R14" s="492">
        <v>69</v>
      </c>
      <c r="S14" s="492">
        <v>93</v>
      </c>
      <c r="T14" s="492">
        <v>55</v>
      </c>
      <c r="U14" s="492">
        <v>43</v>
      </c>
      <c r="V14" s="492">
        <v>43</v>
      </c>
      <c r="W14" s="492">
        <v>99</v>
      </c>
      <c r="X14" s="492">
        <v>50</v>
      </c>
      <c r="Y14" s="492">
        <v>13</v>
      </c>
      <c r="Z14" s="492">
        <v>68</v>
      </c>
      <c r="AA14" s="492">
        <v>77</v>
      </c>
      <c r="AB14" s="492">
        <v>122</v>
      </c>
      <c r="AC14" s="492">
        <v>82</v>
      </c>
      <c r="AD14" s="492">
        <v>78</v>
      </c>
      <c r="AE14" s="492">
        <v>324</v>
      </c>
      <c r="AF14" s="492">
        <v>155</v>
      </c>
      <c r="AG14" s="492">
        <v>154</v>
      </c>
      <c r="AH14" s="493">
        <v>11</v>
      </c>
      <c r="AI14" s="494"/>
    </row>
    <row r="15" spans="1:35" s="21" customFormat="1" x14ac:dyDescent="0.2">
      <c r="A15" s="1029"/>
      <c r="B15" s="838">
        <f t="shared" ref="B15:I15" si="4">B14/B$18</f>
        <v>0.84324324324324329</v>
      </c>
      <c r="C15" s="838">
        <f t="shared" si="4"/>
        <v>0.90780141843971629</v>
      </c>
      <c r="D15" s="838">
        <f t="shared" si="4"/>
        <v>0.9285714285714286</v>
      </c>
      <c r="E15" s="838">
        <f t="shared" si="4"/>
        <v>0.89010989010989006</v>
      </c>
      <c r="F15" s="838">
        <f t="shared" si="4"/>
        <v>0.88414634146341464</v>
      </c>
      <c r="G15" s="838">
        <f t="shared" si="4"/>
        <v>0.9096774193548387</v>
      </c>
      <c r="H15" s="838">
        <f t="shared" si="4"/>
        <v>0.83720930232558144</v>
      </c>
      <c r="I15" s="838">
        <f t="shared" si="4"/>
        <v>0.86111111111111116</v>
      </c>
      <c r="J15" s="838">
        <f t="shared" ref="J15:K15" si="5">J14/J18</f>
        <v>0.91160220994475138</v>
      </c>
      <c r="K15" s="838">
        <f t="shared" si="5"/>
        <v>0.88345105953582237</v>
      </c>
      <c r="M15" s="464">
        <v>90</v>
      </c>
      <c r="N15" s="490">
        <v>4</v>
      </c>
      <c r="O15" s="490">
        <v>18</v>
      </c>
      <c r="P15" s="490">
        <v>7</v>
      </c>
      <c r="Q15" s="490">
        <v>7</v>
      </c>
      <c r="R15" s="490">
        <v>6</v>
      </c>
      <c r="S15" s="490">
        <v>9</v>
      </c>
      <c r="T15" s="490">
        <v>4</v>
      </c>
      <c r="U15" s="490">
        <v>1</v>
      </c>
      <c r="V15" s="490">
        <v>4</v>
      </c>
      <c r="W15" s="490">
        <v>17</v>
      </c>
      <c r="X15" s="490">
        <v>2</v>
      </c>
      <c r="Y15" s="490">
        <v>1</v>
      </c>
      <c r="Z15" s="490">
        <v>6</v>
      </c>
      <c r="AA15" s="490">
        <v>13</v>
      </c>
      <c r="AB15" s="490">
        <v>3</v>
      </c>
      <c r="AC15" s="490">
        <v>13</v>
      </c>
      <c r="AD15" s="490">
        <v>12</v>
      </c>
      <c r="AE15" s="490">
        <v>63</v>
      </c>
      <c r="AF15" s="490">
        <v>25</v>
      </c>
      <c r="AG15" s="490">
        <v>16</v>
      </c>
      <c r="AH15" s="454"/>
      <c r="AI15" s="491"/>
    </row>
    <row r="16" spans="1:35" s="21" customFormat="1" x14ac:dyDescent="0.2">
      <c r="A16" s="1028" t="s">
        <v>450</v>
      </c>
      <c r="B16" s="837">
        <f>SUM(N15:P15)</f>
        <v>29</v>
      </c>
      <c r="C16" s="837">
        <f>SUM(Q15:R15)</f>
        <v>13</v>
      </c>
      <c r="D16" s="837">
        <f>SUM(S15:V15)</f>
        <v>18</v>
      </c>
      <c r="E16" s="837">
        <f>SUM(W15:Y15)</f>
        <v>20</v>
      </c>
      <c r="F16" s="837">
        <f>SUM(Z15:AA15)</f>
        <v>19</v>
      </c>
      <c r="G16" s="837">
        <f>SUM(AB15:AD15)</f>
        <v>28</v>
      </c>
      <c r="H16" s="837">
        <f>AE15</f>
        <v>63</v>
      </c>
      <c r="I16" s="837">
        <f>AF15</f>
        <v>25</v>
      </c>
      <c r="J16" s="837">
        <f>SUM(AG15:AH15)</f>
        <v>16</v>
      </c>
      <c r="K16" s="837">
        <f>SUM(B16:J16)</f>
        <v>231</v>
      </c>
    </row>
    <row r="17" spans="1:35" s="21" customFormat="1" x14ac:dyDescent="0.2">
      <c r="A17" s="1029"/>
      <c r="B17" s="838">
        <f t="shared" ref="B17:I17" si="6">B16/B$18</f>
        <v>0.15675675675675677</v>
      </c>
      <c r="C17" s="838">
        <f t="shared" si="6"/>
        <v>9.2198581560283682E-2</v>
      </c>
      <c r="D17" s="838">
        <f t="shared" si="6"/>
        <v>7.1428571428571425E-2</v>
      </c>
      <c r="E17" s="838">
        <f t="shared" si="6"/>
        <v>0.10989010989010989</v>
      </c>
      <c r="F17" s="838">
        <f t="shared" si="6"/>
        <v>0.11585365853658537</v>
      </c>
      <c r="G17" s="838">
        <f t="shared" si="6"/>
        <v>9.0322580645161285E-2</v>
      </c>
      <c r="H17" s="838">
        <f t="shared" si="6"/>
        <v>0.16279069767441862</v>
      </c>
      <c r="I17" s="838">
        <f t="shared" si="6"/>
        <v>0.1388888888888889</v>
      </c>
      <c r="J17" s="838">
        <f t="shared" ref="J17:K17" si="7">J16/J18</f>
        <v>8.8397790055248615E-2</v>
      </c>
      <c r="K17" s="838">
        <f t="shared" si="7"/>
        <v>0.1165489404641776</v>
      </c>
    </row>
    <row r="18" spans="1:35" s="21" customFormat="1" x14ac:dyDescent="0.2">
      <c r="A18" s="841" t="s">
        <v>11</v>
      </c>
      <c r="B18" s="843">
        <f>SUM(B14,B16)</f>
        <v>185</v>
      </c>
      <c r="C18" s="843">
        <f t="shared" ref="C18:K19" si="8">SUM(C14,C16)</f>
        <v>141</v>
      </c>
      <c r="D18" s="843">
        <f t="shared" si="8"/>
        <v>252</v>
      </c>
      <c r="E18" s="843">
        <f t="shared" si="8"/>
        <v>182</v>
      </c>
      <c r="F18" s="843">
        <f t="shared" si="8"/>
        <v>164</v>
      </c>
      <c r="G18" s="843">
        <f t="shared" si="8"/>
        <v>310</v>
      </c>
      <c r="H18" s="843">
        <f t="shared" si="8"/>
        <v>387</v>
      </c>
      <c r="I18" s="843">
        <f t="shared" si="8"/>
        <v>180</v>
      </c>
      <c r="J18" s="843">
        <f t="shared" si="8"/>
        <v>181</v>
      </c>
      <c r="K18" s="843">
        <f t="shared" si="8"/>
        <v>1982</v>
      </c>
    </row>
    <row r="19" spans="1:35" s="21" customFormat="1" x14ac:dyDescent="0.2">
      <c r="A19" s="842"/>
      <c r="B19" s="845">
        <f>SUM(B15,B17)</f>
        <v>1</v>
      </c>
      <c r="C19" s="845">
        <f t="shared" si="8"/>
        <v>1</v>
      </c>
      <c r="D19" s="845">
        <f t="shared" si="8"/>
        <v>1</v>
      </c>
      <c r="E19" s="845">
        <f t="shared" si="8"/>
        <v>1</v>
      </c>
      <c r="F19" s="845">
        <f t="shared" si="8"/>
        <v>1</v>
      </c>
      <c r="G19" s="845">
        <f t="shared" si="8"/>
        <v>1</v>
      </c>
      <c r="H19" s="845">
        <f t="shared" si="8"/>
        <v>1</v>
      </c>
      <c r="I19" s="845">
        <f t="shared" si="8"/>
        <v>1</v>
      </c>
      <c r="J19" s="845">
        <f t="shared" si="8"/>
        <v>1</v>
      </c>
      <c r="K19" s="845">
        <f>SUM(K15,K17)</f>
        <v>1</v>
      </c>
    </row>
    <row r="20" spans="1:35" x14ac:dyDescent="0.2">
      <c r="A20" s="4"/>
    </row>
    <row r="21" spans="1:35" s="3" customFormat="1" ht="19.2" x14ac:dyDescent="0.2">
      <c r="A21" s="2" t="s">
        <v>470</v>
      </c>
    </row>
    <row r="22" spans="1:35" ht="18" thickBot="1" x14ac:dyDescent="0.25">
      <c r="A22" s="4"/>
    </row>
    <row r="23" spans="1:35" ht="36" thickTop="1" thickBot="1" x14ac:dyDescent="0.25">
      <c r="A23" s="839"/>
      <c r="B23" s="839" t="s">
        <v>386</v>
      </c>
      <c r="C23" s="839" t="s">
        <v>387</v>
      </c>
      <c r="D23" s="839" t="s">
        <v>388</v>
      </c>
      <c r="E23" s="839" t="s">
        <v>389</v>
      </c>
      <c r="F23" s="839" t="s">
        <v>390</v>
      </c>
      <c r="G23" s="839" t="s">
        <v>391</v>
      </c>
      <c r="H23" s="839" t="s">
        <v>392</v>
      </c>
      <c r="I23" s="839" t="s">
        <v>393</v>
      </c>
      <c r="J23" s="840" t="s">
        <v>464</v>
      </c>
      <c r="K23" s="839" t="s">
        <v>62</v>
      </c>
      <c r="M23" s="564" t="s">
        <v>651</v>
      </c>
      <c r="N23" s="508" t="s">
        <v>394</v>
      </c>
      <c r="O23" s="508" t="s">
        <v>395</v>
      </c>
      <c r="P23" s="508" t="s">
        <v>396</v>
      </c>
      <c r="Q23" s="508" t="s">
        <v>397</v>
      </c>
      <c r="R23" s="508" t="s">
        <v>398</v>
      </c>
      <c r="S23" s="508" t="s">
        <v>399</v>
      </c>
      <c r="T23" s="508" t="s">
        <v>400</v>
      </c>
      <c r="U23" s="508" t="s">
        <v>401</v>
      </c>
      <c r="V23" s="508" t="s">
        <v>402</v>
      </c>
      <c r="W23" s="508" t="s">
        <v>403</v>
      </c>
      <c r="X23" s="508" t="s">
        <v>564</v>
      </c>
      <c r="Y23" s="508" t="s">
        <v>565</v>
      </c>
      <c r="Z23" s="508" t="s">
        <v>566</v>
      </c>
      <c r="AA23" s="508" t="s">
        <v>567</v>
      </c>
      <c r="AB23" s="508" t="s">
        <v>568</v>
      </c>
      <c r="AC23" s="508" t="s">
        <v>569</v>
      </c>
      <c r="AD23" s="508" t="s">
        <v>570</v>
      </c>
      <c r="AE23" s="508" t="s">
        <v>571</v>
      </c>
      <c r="AF23" s="508" t="s">
        <v>572</v>
      </c>
      <c r="AG23" s="508" t="s">
        <v>652</v>
      </c>
      <c r="AH23" s="508" t="s">
        <v>653</v>
      </c>
      <c r="AI23" s="508" t="s">
        <v>608</v>
      </c>
    </row>
    <row r="24" spans="1:35" ht="18.75" customHeight="1" thickTop="1" x14ac:dyDescent="0.2">
      <c r="A24" s="1044" t="s">
        <v>355</v>
      </c>
      <c r="B24" s="835">
        <f>SUM(N24:P24)</f>
        <v>53</v>
      </c>
      <c r="C24" s="835">
        <f>SUM(Q24:R24)</f>
        <v>27</v>
      </c>
      <c r="D24" s="835">
        <f>SUM(S24:V24)</f>
        <v>75</v>
      </c>
      <c r="E24" s="835">
        <f>SUM(W24:Y24)</f>
        <v>61</v>
      </c>
      <c r="F24" s="835">
        <f>SUM(Z24:AA24)</f>
        <v>53</v>
      </c>
      <c r="G24" s="835">
        <f>SUM(AB24:AD24)</f>
        <v>117</v>
      </c>
      <c r="H24" s="835">
        <f>AE24</f>
        <v>112</v>
      </c>
      <c r="I24" s="835">
        <f>AF24</f>
        <v>56</v>
      </c>
      <c r="J24" s="835">
        <f>SUM(AG24:AH24)</f>
        <v>54</v>
      </c>
      <c r="K24" s="837">
        <f>SUM(B24:J24)</f>
        <v>608</v>
      </c>
      <c r="M24" s="509" t="s">
        <v>309</v>
      </c>
      <c r="N24" s="510">
        <v>20</v>
      </c>
      <c r="O24" s="510">
        <v>15</v>
      </c>
      <c r="P24" s="510">
        <v>18</v>
      </c>
      <c r="Q24" s="510">
        <v>11</v>
      </c>
      <c r="R24" s="510">
        <v>16</v>
      </c>
      <c r="S24" s="510">
        <v>35</v>
      </c>
      <c r="T24" s="510">
        <v>18</v>
      </c>
      <c r="U24" s="510">
        <v>8</v>
      </c>
      <c r="V24" s="510">
        <v>14</v>
      </c>
      <c r="W24" s="510">
        <v>41</v>
      </c>
      <c r="X24" s="510">
        <v>16</v>
      </c>
      <c r="Y24" s="510">
        <v>4</v>
      </c>
      <c r="Z24" s="510">
        <v>23</v>
      </c>
      <c r="AA24" s="510">
        <v>30</v>
      </c>
      <c r="AB24" s="510">
        <v>50</v>
      </c>
      <c r="AC24" s="510">
        <v>32</v>
      </c>
      <c r="AD24" s="510">
        <v>35</v>
      </c>
      <c r="AE24" s="510">
        <v>112</v>
      </c>
      <c r="AF24" s="510">
        <v>56</v>
      </c>
      <c r="AG24" s="510">
        <v>47</v>
      </c>
      <c r="AH24" s="510">
        <v>7</v>
      </c>
      <c r="AI24" s="129"/>
    </row>
    <row r="25" spans="1:35" ht="22.5" customHeight="1" x14ac:dyDescent="0.2">
      <c r="A25" s="1045"/>
      <c r="B25" s="838">
        <f t="shared" ref="B25:I25" si="9">B24/B$14</f>
        <v>0.33974358974358976</v>
      </c>
      <c r="C25" s="838">
        <f t="shared" si="9"/>
        <v>0.2109375</v>
      </c>
      <c r="D25" s="838">
        <f t="shared" si="9"/>
        <v>0.32051282051282054</v>
      </c>
      <c r="E25" s="838">
        <f t="shared" si="9"/>
        <v>0.37654320987654322</v>
      </c>
      <c r="F25" s="838">
        <f t="shared" si="9"/>
        <v>0.36551724137931035</v>
      </c>
      <c r="G25" s="838">
        <f t="shared" si="9"/>
        <v>0.41489361702127658</v>
      </c>
      <c r="H25" s="838">
        <f t="shared" si="9"/>
        <v>0.34567901234567899</v>
      </c>
      <c r="I25" s="838">
        <f t="shared" si="9"/>
        <v>0.36129032258064514</v>
      </c>
      <c r="J25" s="838">
        <f t="shared" ref="J25:K25" si="10">J24/J$14</f>
        <v>0.32727272727272727</v>
      </c>
      <c r="K25" s="838">
        <f t="shared" si="10"/>
        <v>0.34723015419760139</v>
      </c>
      <c r="M25" s="511" t="s">
        <v>310</v>
      </c>
      <c r="N25" s="510">
        <v>18</v>
      </c>
      <c r="O25" s="510">
        <v>10</v>
      </c>
      <c r="P25" s="510">
        <v>8</v>
      </c>
      <c r="Q25" s="510">
        <v>13</v>
      </c>
      <c r="R25" s="510">
        <v>30</v>
      </c>
      <c r="S25" s="510">
        <v>23</v>
      </c>
      <c r="T25" s="510">
        <v>10</v>
      </c>
      <c r="U25" s="510">
        <v>8</v>
      </c>
      <c r="V25" s="510">
        <v>8</v>
      </c>
      <c r="W25" s="510">
        <v>24</v>
      </c>
      <c r="X25" s="510">
        <v>8</v>
      </c>
      <c r="Y25" s="510">
        <v>4</v>
      </c>
      <c r="Z25" s="510">
        <v>20</v>
      </c>
      <c r="AA25" s="510">
        <v>27</v>
      </c>
      <c r="AB25" s="510">
        <v>31</v>
      </c>
      <c r="AC25" s="510">
        <v>28</v>
      </c>
      <c r="AD25" s="510">
        <v>17</v>
      </c>
      <c r="AE25" s="510">
        <v>79</v>
      </c>
      <c r="AF25" s="510">
        <v>42</v>
      </c>
      <c r="AG25" s="510">
        <v>42</v>
      </c>
      <c r="AH25" s="510">
        <v>4</v>
      </c>
      <c r="AI25" s="129"/>
    </row>
    <row r="26" spans="1:35" ht="18.75" customHeight="1" x14ac:dyDescent="0.2">
      <c r="A26" s="1020" t="s">
        <v>224</v>
      </c>
      <c r="B26" s="835">
        <f>SUM(N25:P25)</f>
        <v>36</v>
      </c>
      <c r="C26" s="835">
        <f>SUM(Q25:R25)</f>
        <v>43</v>
      </c>
      <c r="D26" s="835">
        <f>SUM(S25:V25)</f>
        <v>49</v>
      </c>
      <c r="E26" s="835">
        <f>SUM(W25:Y25)</f>
        <v>36</v>
      </c>
      <c r="F26" s="835">
        <f>SUM(Z25:AA25)</f>
        <v>47</v>
      </c>
      <c r="G26" s="835">
        <f>SUM(AB25:AD25)</f>
        <v>76</v>
      </c>
      <c r="H26" s="835">
        <f>AE25</f>
        <v>79</v>
      </c>
      <c r="I26" s="835">
        <f>AF25</f>
        <v>42</v>
      </c>
      <c r="J26" s="835">
        <f>SUM(AG25:AH25)</f>
        <v>46</v>
      </c>
      <c r="K26" s="837">
        <f>SUM(B26:J26)</f>
        <v>454</v>
      </c>
      <c r="M26" s="511" t="s">
        <v>166</v>
      </c>
      <c r="N26" s="510">
        <v>2</v>
      </c>
      <c r="O26" s="510">
        <v>0</v>
      </c>
      <c r="P26" s="510">
        <v>2</v>
      </c>
      <c r="Q26" s="510">
        <v>2</v>
      </c>
      <c r="R26" s="510">
        <v>2</v>
      </c>
      <c r="S26" s="510">
        <v>2</v>
      </c>
      <c r="T26" s="510">
        <v>0</v>
      </c>
      <c r="U26" s="510">
        <v>3</v>
      </c>
      <c r="V26" s="510">
        <v>3</v>
      </c>
      <c r="W26" s="510">
        <v>5</v>
      </c>
      <c r="X26" s="510">
        <v>0</v>
      </c>
      <c r="Y26" s="510">
        <v>1</v>
      </c>
      <c r="Z26" s="510">
        <v>2</v>
      </c>
      <c r="AA26" s="510">
        <v>2</v>
      </c>
      <c r="AB26" s="510">
        <v>5</v>
      </c>
      <c r="AC26" s="510">
        <v>1</v>
      </c>
      <c r="AD26" s="510">
        <v>5</v>
      </c>
      <c r="AE26" s="510">
        <v>13</v>
      </c>
      <c r="AF26" s="510">
        <v>6</v>
      </c>
      <c r="AG26" s="510">
        <v>4</v>
      </c>
      <c r="AH26" s="510">
        <v>1</v>
      </c>
      <c r="AI26" s="129"/>
    </row>
    <row r="27" spans="1:35" ht="18.75" customHeight="1" x14ac:dyDescent="0.2">
      <c r="A27" s="1021"/>
      <c r="B27" s="838">
        <f t="shared" ref="B27:I27" si="11">B26/B$14</f>
        <v>0.23076923076923078</v>
      </c>
      <c r="C27" s="838">
        <f t="shared" si="11"/>
        <v>0.3359375</v>
      </c>
      <c r="D27" s="838">
        <f t="shared" si="11"/>
        <v>0.20940170940170941</v>
      </c>
      <c r="E27" s="838">
        <f t="shared" si="11"/>
        <v>0.22222222222222221</v>
      </c>
      <c r="F27" s="838">
        <f t="shared" si="11"/>
        <v>0.32413793103448274</v>
      </c>
      <c r="G27" s="838">
        <f t="shared" si="11"/>
        <v>0.26950354609929078</v>
      </c>
      <c r="H27" s="838">
        <f t="shared" si="11"/>
        <v>0.24382716049382716</v>
      </c>
      <c r="I27" s="838">
        <f t="shared" si="11"/>
        <v>0.2709677419354839</v>
      </c>
      <c r="J27" s="838">
        <f t="shared" ref="J27:K27" si="12">J26/J$14</f>
        <v>0.27878787878787881</v>
      </c>
      <c r="K27" s="838">
        <f t="shared" si="12"/>
        <v>0.25928041119360368</v>
      </c>
      <c r="M27" s="511" t="s">
        <v>167</v>
      </c>
      <c r="N27" s="510">
        <v>19</v>
      </c>
      <c r="O27" s="510">
        <v>15</v>
      </c>
      <c r="P27" s="510">
        <v>25</v>
      </c>
      <c r="Q27" s="510">
        <v>21</v>
      </c>
      <c r="R27" s="510">
        <v>36</v>
      </c>
      <c r="S27" s="510">
        <v>42</v>
      </c>
      <c r="T27" s="510">
        <v>22</v>
      </c>
      <c r="U27" s="510">
        <v>24</v>
      </c>
      <c r="V27" s="510">
        <v>7</v>
      </c>
      <c r="W27" s="510">
        <v>40</v>
      </c>
      <c r="X27" s="510">
        <v>17</v>
      </c>
      <c r="Y27" s="510">
        <v>6</v>
      </c>
      <c r="Z27" s="510">
        <v>38</v>
      </c>
      <c r="AA27" s="510">
        <v>29</v>
      </c>
      <c r="AB27" s="510">
        <v>48</v>
      </c>
      <c r="AC27" s="510">
        <v>33</v>
      </c>
      <c r="AD27" s="510">
        <v>27</v>
      </c>
      <c r="AE27" s="510">
        <v>128</v>
      </c>
      <c r="AF27" s="510">
        <v>71</v>
      </c>
      <c r="AG27" s="510">
        <v>60</v>
      </c>
      <c r="AH27" s="510">
        <v>5</v>
      </c>
      <c r="AI27" s="129"/>
    </row>
    <row r="28" spans="1:35" ht="18.75" customHeight="1" x14ac:dyDescent="0.2">
      <c r="A28" s="1020" t="s">
        <v>38</v>
      </c>
      <c r="B28" s="835">
        <f>SUM(N26:P26)</f>
        <v>4</v>
      </c>
      <c r="C28" s="835">
        <f>SUM(Q26:R26)</f>
        <v>4</v>
      </c>
      <c r="D28" s="835">
        <f>SUM(S26:V26)</f>
        <v>8</v>
      </c>
      <c r="E28" s="835">
        <f>SUM(W26:Y26)</f>
        <v>6</v>
      </c>
      <c r="F28" s="835">
        <f>SUM(Z26:AA26)</f>
        <v>4</v>
      </c>
      <c r="G28" s="835">
        <f>SUM(AB26:AD26)</f>
        <v>11</v>
      </c>
      <c r="H28" s="835">
        <f>AE26</f>
        <v>13</v>
      </c>
      <c r="I28" s="835">
        <f>AF26</f>
        <v>6</v>
      </c>
      <c r="J28" s="835">
        <f>SUM(AG26:AH26)</f>
        <v>5</v>
      </c>
      <c r="K28" s="837">
        <f>SUM(B28:J28)</f>
        <v>61</v>
      </c>
      <c r="M28" s="511" t="s">
        <v>168</v>
      </c>
      <c r="N28" s="510">
        <v>24</v>
      </c>
      <c r="O28" s="510">
        <v>12</v>
      </c>
      <c r="P28" s="510">
        <v>22</v>
      </c>
      <c r="Q28" s="510">
        <v>20</v>
      </c>
      <c r="R28" s="510">
        <v>40</v>
      </c>
      <c r="S28" s="510">
        <v>53</v>
      </c>
      <c r="T28" s="510">
        <v>29</v>
      </c>
      <c r="U28" s="510">
        <v>28</v>
      </c>
      <c r="V28" s="510">
        <v>20</v>
      </c>
      <c r="W28" s="510">
        <v>43</v>
      </c>
      <c r="X28" s="510">
        <v>22</v>
      </c>
      <c r="Y28" s="510">
        <v>5</v>
      </c>
      <c r="Z28" s="510">
        <v>39</v>
      </c>
      <c r="AA28" s="510">
        <v>35</v>
      </c>
      <c r="AB28" s="510">
        <v>65</v>
      </c>
      <c r="AC28" s="510">
        <v>37</v>
      </c>
      <c r="AD28" s="510">
        <v>32</v>
      </c>
      <c r="AE28" s="510">
        <v>138</v>
      </c>
      <c r="AF28" s="510">
        <v>81</v>
      </c>
      <c r="AG28" s="510">
        <v>64</v>
      </c>
      <c r="AH28" s="510">
        <v>6</v>
      </c>
      <c r="AI28" s="129"/>
    </row>
    <row r="29" spans="1:35" ht="18.75" customHeight="1" x14ac:dyDescent="0.2">
      <c r="A29" s="1021"/>
      <c r="B29" s="838">
        <f t="shared" ref="B29:I29" si="13">B28/B$14</f>
        <v>2.564102564102564E-2</v>
      </c>
      <c r="C29" s="838">
        <f t="shared" si="13"/>
        <v>3.125E-2</v>
      </c>
      <c r="D29" s="838">
        <f t="shared" si="13"/>
        <v>3.4188034188034191E-2</v>
      </c>
      <c r="E29" s="838">
        <f t="shared" si="13"/>
        <v>3.7037037037037035E-2</v>
      </c>
      <c r="F29" s="838">
        <f t="shared" si="13"/>
        <v>2.7586206896551724E-2</v>
      </c>
      <c r="G29" s="838">
        <f t="shared" si="13"/>
        <v>3.9007092198581561E-2</v>
      </c>
      <c r="H29" s="838">
        <f t="shared" si="13"/>
        <v>4.0123456790123455E-2</v>
      </c>
      <c r="I29" s="838">
        <f t="shared" si="13"/>
        <v>3.870967741935484E-2</v>
      </c>
      <c r="J29" s="838">
        <f t="shared" ref="J29:K29" si="14">J28/J$14</f>
        <v>3.0303030303030304E-2</v>
      </c>
      <c r="K29" s="838">
        <f t="shared" si="14"/>
        <v>3.4837235865219876E-2</v>
      </c>
      <c r="M29" s="511" t="s">
        <v>169</v>
      </c>
      <c r="N29" s="510">
        <v>15</v>
      </c>
      <c r="O29" s="510">
        <v>15</v>
      </c>
      <c r="P29" s="510">
        <v>10</v>
      </c>
      <c r="Q29" s="510">
        <v>16</v>
      </c>
      <c r="R29" s="510">
        <v>27</v>
      </c>
      <c r="S29" s="510">
        <v>29</v>
      </c>
      <c r="T29" s="510">
        <v>14</v>
      </c>
      <c r="U29" s="510">
        <v>7</v>
      </c>
      <c r="V29" s="510">
        <v>12</v>
      </c>
      <c r="W29" s="510">
        <v>35</v>
      </c>
      <c r="X29" s="510">
        <v>14</v>
      </c>
      <c r="Y29" s="510">
        <v>4</v>
      </c>
      <c r="Z29" s="510">
        <v>27</v>
      </c>
      <c r="AA29" s="510">
        <v>24</v>
      </c>
      <c r="AB29" s="510">
        <v>49</v>
      </c>
      <c r="AC29" s="510">
        <v>25</v>
      </c>
      <c r="AD29" s="510">
        <v>20</v>
      </c>
      <c r="AE29" s="510">
        <v>86</v>
      </c>
      <c r="AF29" s="510">
        <v>56</v>
      </c>
      <c r="AG29" s="510">
        <v>31</v>
      </c>
      <c r="AH29" s="510">
        <v>6</v>
      </c>
      <c r="AI29" s="129"/>
    </row>
    <row r="30" spans="1:35" ht="18.75" customHeight="1" x14ac:dyDescent="0.2">
      <c r="A30" s="1020" t="s">
        <v>39</v>
      </c>
      <c r="B30" s="835">
        <f>SUM(N27:P27)</f>
        <v>59</v>
      </c>
      <c r="C30" s="835">
        <f>SUM(Q27:R27)</f>
        <v>57</v>
      </c>
      <c r="D30" s="835">
        <f>SUM(S27:V27)</f>
        <v>95</v>
      </c>
      <c r="E30" s="835">
        <f>SUM(W27:Y27)</f>
        <v>63</v>
      </c>
      <c r="F30" s="835">
        <f>SUM(Z27:AA27)</f>
        <v>67</v>
      </c>
      <c r="G30" s="835">
        <f>SUM(AB27:AD27)</f>
        <v>108</v>
      </c>
      <c r="H30" s="835">
        <f>AE27</f>
        <v>128</v>
      </c>
      <c r="I30" s="835">
        <f>AF27</f>
        <v>71</v>
      </c>
      <c r="J30" s="835">
        <f>SUM(AG27:AH27)</f>
        <v>65</v>
      </c>
      <c r="K30" s="837">
        <f>SUM(B30:J30)</f>
        <v>713</v>
      </c>
      <c r="M30" s="511" t="s">
        <v>170</v>
      </c>
      <c r="N30" s="510">
        <v>4</v>
      </c>
      <c r="O30" s="510">
        <v>1</v>
      </c>
      <c r="P30" s="510">
        <v>2</v>
      </c>
      <c r="Q30" s="510">
        <v>4</v>
      </c>
      <c r="R30" s="510">
        <v>4</v>
      </c>
      <c r="S30" s="510">
        <v>20</v>
      </c>
      <c r="T30" s="510">
        <v>8</v>
      </c>
      <c r="U30" s="510">
        <v>3</v>
      </c>
      <c r="V30" s="510">
        <v>5</v>
      </c>
      <c r="W30" s="510">
        <v>11</v>
      </c>
      <c r="X30" s="510">
        <v>2</v>
      </c>
      <c r="Y30" s="510">
        <v>0</v>
      </c>
      <c r="Z30" s="510">
        <v>3</v>
      </c>
      <c r="AA30" s="510">
        <v>5</v>
      </c>
      <c r="AB30" s="510">
        <v>12</v>
      </c>
      <c r="AC30" s="510">
        <v>7</v>
      </c>
      <c r="AD30" s="510">
        <v>3</v>
      </c>
      <c r="AE30" s="510">
        <v>20</v>
      </c>
      <c r="AF30" s="510">
        <v>10</v>
      </c>
      <c r="AG30" s="510">
        <v>8</v>
      </c>
      <c r="AH30" s="510">
        <v>3</v>
      </c>
      <c r="AI30" s="129"/>
    </row>
    <row r="31" spans="1:35" ht="18.75" customHeight="1" x14ac:dyDescent="0.2">
      <c r="A31" s="1021"/>
      <c r="B31" s="838">
        <f t="shared" ref="B31:I31" si="15">B30/B$14</f>
        <v>0.37820512820512819</v>
      </c>
      <c r="C31" s="838">
        <f t="shared" si="15"/>
        <v>0.4453125</v>
      </c>
      <c r="D31" s="838">
        <f t="shared" si="15"/>
        <v>0.40598290598290598</v>
      </c>
      <c r="E31" s="838">
        <f t="shared" si="15"/>
        <v>0.3888888888888889</v>
      </c>
      <c r="F31" s="838">
        <f t="shared" si="15"/>
        <v>0.46206896551724136</v>
      </c>
      <c r="G31" s="838">
        <f t="shared" si="15"/>
        <v>0.38297872340425532</v>
      </c>
      <c r="H31" s="838">
        <f t="shared" si="15"/>
        <v>0.39506172839506171</v>
      </c>
      <c r="I31" s="838">
        <f t="shared" si="15"/>
        <v>0.45806451612903226</v>
      </c>
      <c r="J31" s="838">
        <f t="shared" ref="J31:K31" si="16">J30/J$14</f>
        <v>0.39393939393939392</v>
      </c>
      <c r="K31" s="838">
        <f t="shared" si="16"/>
        <v>0.40719588806396345</v>
      </c>
      <c r="M31" s="511" t="s">
        <v>171</v>
      </c>
      <c r="N31" s="510">
        <v>13</v>
      </c>
      <c r="O31" s="510">
        <v>9</v>
      </c>
      <c r="P31" s="510">
        <v>15</v>
      </c>
      <c r="Q31" s="510">
        <v>17</v>
      </c>
      <c r="R31" s="510">
        <v>29</v>
      </c>
      <c r="S31" s="510">
        <v>44</v>
      </c>
      <c r="T31" s="510">
        <v>19</v>
      </c>
      <c r="U31" s="510">
        <v>18</v>
      </c>
      <c r="V31" s="510">
        <v>14</v>
      </c>
      <c r="W31" s="510">
        <v>28</v>
      </c>
      <c r="X31" s="510">
        <v>17</v>
      </c>
      <c r="Y31" s="510">
        <v>4</v>
      </c>
      <c r="Z31" s="510">
        <v>29</v>
      </c>
      <c r="AA31" s="510">
        <v>42</v>
      </c>
      <c r="AB31" s="510">
        <v>44</v>
      </c>
      <c r="AC31" s="510">
        <v>28</v>
      </c>
      <c r="AD31" s="510">
        <v>20</v>
      </c>
      <c r="AE31" s="510">
        <v>92</v>
      </c>
      <c r="AF31" s="510">
        <v>46</v>
      </c>
      <c r="AG31" s="510">
        <v>43</v>
      </c>
      <c r="AH31" s="510">
        <v>4</v>
      </c>
      <c r="AI31" s="129"/>
    </row>
    <row r="32" spans="1:35" ht="18.75" customHeight="1" x14ac:dyDescent="0.2">
      <c r="A32" s="1020" t="s">
        <v>40</v>
      </c>
      <c r="B32" s="835">
        <f>SUM(N28:P28)</f>
        <v>58</v>
      </c>
      <c r="C32" s="835">
        <f>SUM(Q28:R28)</f>
        <v>60</v>
      </c>
      <c r="D32" s="835">
        <f>SUM(S28:V28)</f>
        <v>130</v>
      </c>
      <c r="E32" s="835">
        <f>SUM(W28:Y28)</f>
        <v>70</v>
      </c>
      <c r="F32" s="835">
        <f>SUM(Z28:AA28)</f>
        <v>74</v>
      </c>
      <c r="G32" s="835">
        <f>SUM(AB28:AD28)</f>
        <v>134</v>
      </c>
      <c r="H32" s="835">
        <f>AE28</f>
        <v>138</v>
      </c>
      <c r="I32" s="835">
        <f>AF28</f>
        <v>81</v>
      </c>
      <c r="J32" s="835">
        <f>SUM(AG28:AH28)</f>
        <v>70</v>
      </c>
      <c r="K32" s="837">
        <f>SUM(B32:J32)</f>
        <v>815</v>
      </c>
      <c r="M32" s="511" t="s">
        <v>172</v>
      </c>
      <c r="N32" s="510">
        <v>13</v>
      </c>
      <c r="O32" s="510">
        <v>11</v>
      </c>
      <c r="P32" s="510">
        <v>9</v>
      </c>
      <c r="Q32" s="510">
        <v>10</v>
      </c>
      <c r="R32" s="510">
        <v>16</v>
      </c>
      <c r="S32" s="510">
        <v>29</v>
      </c>
      <c r="T32" s="510">
        <v>14</v>
      </c>
      <c r="U32" s="510">
        <v>11</v>
      </c>
      <c r="V32" s="510">
        <v>13</v>
      </c>
      <c r="W32" s="510">
        <v>29</v>
      </c>
      <c r="X32" s="510">
        <v>9</v>
      </c>
      <c r="Y32" s="510">
        <v>1</v>
      </c>
      <c r="Z32" s="510">
        <v>15</v>
      </c>
      <c r="AA32" s="510">
        <v>13</v>
      </c>
      <c r="AB32" s="510">
        <v>31</v>
      </c>
      <c r="AC32" s="510">
        <v>13</v>
      </c>
      <c r="AD32" s="510">
        <v>14</v>
      </c>
      <c r="AE32" s="510">
        <v>65</v>
      </c>
      <c r="AF32" s="510">
        <v>42</v>
      </c>
      <c r="AG32" s="510">
        <v>32</v>
      </c>
      <c r="AH32" s="510">
        <v>7</v>
      </c>
      <c r="AI32" s="129"/>
    </row>
    <row r="33" spans="1:35" ht="18.75" customHeight="1" x14ac:dyDescent="0.2">
      <c r="A33" s="1021"/>
      <c r="B33" s="838">
        <f t="shared" ref="B33:I33" si="17">B32/B$14</f>
        <v>0.37179487179487181</v>
      </c>
      <c r="C33" s="838">
        <f t="shared" si="17"/>
        <v>0.46875</v>
      </c>
      <c r="D33" s="838">
        <f t="shared" si="17"/>
        <v>0.55555555555555558</v>
      </c>
      <c r="E33" s="838">
        <f t="shared" si="17"/>
        <v>0.43209876543209874</v>
      </c>
      <c r="F33" s="838">
        <f t="shared" si="17"/>
        <v>0.51034482758620692</v>
      </c>
      <c r="G33" s="838">
        <f t="shared" si="17"/>
        <v>0.47517730496453903</v>
      </c>
      <c r="H33" s="838">
        <f t="shared" si="17"/>
        <v>0.42592592592592593</v>
      </c>
      <c r="I33" s="838">
        <f t="shared" si="17"/>
        <v>0.52258064516129032</v>
      </c>
      <c r="J33" s="838">
        <f t="shared" ref="J33:K33" si="18">J32/J$14</f>
        <v>0.42424242424242425</v>
      </c>
      <c r="K33" s="838">
        <f t="shared" si="18"/>
        <v>0.46544831524842945</v>
      </c>
      <c r="M33" s="511" t="s">
        <v>173</v>
      </c>
      <c r="N33" s="510">
        <v>9</v>
      </c>
      <c r="O33" s="510">
        <v>8</v>
      </c>
      <c r="P33" s="510">
        <v>12</v>
      </c>
      <c r="Q33" s="510">
        <v>8</v>
      </c>
      <c r="R33" s="510">
        <v>5</v>
      </c>
      <c r="S33" s="510">
        <v>21</v>
      </c>
      <c r="T33" s="510">
        <v>7</v>
      </c>
      <c r="U33" s="510">
        <v>11</v>
      </c>
      <c r="V33" s="510">
        <v>4</v>
      </c>
      <c r="W33" s="510">
        <v>16</v>
      </c>
      <c r="X33" s="510">
        <v>11</v>
      </c>
      <c r="Y33" s="510">
        <v>2</v>
      </c>
      <c r="Z33" s="510">
        <v>12</v>
      </c>
      <c r="AA33" s="510">
        <v>20</v>
      </c>
      <c r="AB33" s="510">
        <v>15</v>
      </c>
      <c r="AC33" s="510">
        <v>20</v>
      </c>
      <c r="AD33" s="510">
        <v>20</v>
      </c>
      <c r="AE33" s="510">
        <v>52</v>
      </c>
      <c r="AF33" s="510">
        <v>16</v>
      </c>
      <c r="AG33" s="510">
        <v>32</v>
      </c>
      <c r="AH33" s="510">
        <v>1</v>
      </c>
      <c r="AI33" s="129"/>
    </row>
    <row r="34" spans="1:35" ht="18.75" customHeight="1" x14ac:dyDescent="0.2">
      <c r="A34" s="1020" t="s">
        <v>41</v>
      </c>
      <c r="B34" s="835">
        <f>SUM(N29:P29)</f>
        <v>40</v>
      </c>
      <c r="C34" s="835">
        <f>SUM(Q29:R29)</f>
        <v>43</v>
      </c>
      <c r="D34" s="835">
        <f>SUM(S29:V29)</f>
        <v>62</v>
      </c>
      <c r="E34" s="835">
        <f>SUM(W29:Y29)</f>
        <v>53</v>
      </c>
      <c r="F34" s="835">
        <f>SUM(Z29:AA29)</f>
        <v>51</v>
      </c>
      <c r="G34" s="835">
        <f>SUM(AB29:AD29)</f>
        <v>94</v>
      </c>
      <c r="H34" s="835">
        <f>AE29</f>
        <v>86</v>
      </c>
      <c r="I34" s="835">
        <f>AF29</f>
        <v>56</v>
      </c>
      <c r="J34" s="835">
        <f>SUM(AG29:AH29)</f>
        <v>37</v>
      </c>
      <c r="K34" s="837">
        <f>SUM(B34:J34)</f>
        <v>522</v>
      </c>
      <c r="M34" s="511" t="s">
        <v>174</v>
      </c>
      <c r="N34" s="510">
        <v>12</v>
      </c>
      <c r="O34" s="510">
        <v>18</v>
      </c>
      <c r="P34" s="510">
        <v>17</v>
      </c>
      <c r="Q34" s="510">
        <v>16</v>
      </c>
      <c r="R34" s="510">
        <v>33</v>
      </c>
      <c r="S34" s="510">
        <v>46</v>
      </c>
      <c r="T34" s="510">
        <v>32</v>
      </c>
      <c r="U34" s="510">
        <v>21</v>
      </c>
      <c r="V34" s="510">
        <v>20</v>
      </c>
      <c r="W34" s="510">
        <v>30</v>
      </c>
      <c r="X34" s="510">
        <v>19</v>
      </c>
      <c r="Y34" s="510">
        <v>6</v>
      </c>
      <c r="Z34" s="510">
        <v>12</v>
      </c>
      <c r="AA34" s="510">
        <v>13</v>
      </c>
      <c r="AB34" s="510">
        <v>35</v>
      </c>
      <c r="AC34" s="510">
        <v>23</v>
      </c>
      <c r="AD34" s="510">
        <v>21</v>
      </c>
      <c r="AE34" s="510">
        <v>106</v>
      </c>
      <c r="AF34" s="510">
        <v>38</v>
      </c>
      <c r="AG34" s="510">
        <v>58</v>
      </c>
      <c r="AH34" s="510">
        <v>3</v>
      </c>
      <c r="AI34" s="129"/>
    </row>
    <row r="35" spans="1:35" ht="18.75" customHeight="1" x14ac:dyDescent="0.2">
      <c r="A35" s="1021"/>
      <c r="B35" s="838">
        <f t="shared" ref="B35:I35" si="19">B34/B$14</f>
        <v>0.25641025641025639</v>
      </c>
      <c r="C35" s="838">
        <f t="shared" si="19"/>
        <v>0.3359375</v>
      </c>
      <c r="D35" s="838">
        <f t="shared" si="19"/>
        <v>0.26495726495726496</v>
      </c>
      <c r="E35" s="838">
        <f t="shared" si="19"/>
        <v>0.3271604938271605</v>
      </c>
      <c r="F35" s="838">
        <f t="shared" si="19"/>
        <v>0.35172413793103446</v>
      </c>
      <c r="G35" s="838">
        <f t="shared" si="19"/>
        <v>0.33333333333333331</v>
      </c>
      <c r="H35" s="838">
        <f t="shared" si="19"/>
        <v>0.26543209876543211</v>
      </c>
      <c r="I35" s="838">
        <f t="shared" si="19"/>
        <v>0.36129032258064514</v>
      </c>
      <c r="J35" s="838">
        <f t="shared" ref="J35:K35" si="20">J34/J$14</f>
        <v>0.22424242424242424</v>
      </c>
      <c r="K35" s="838">
        <f t="shared" si="20"/>
        <v>0.29811536264991434</v>
      </c>
      <c r="M35" s="511" t="s">
        <v>175</v>
      </c>
      <c r="N35" s="510">
        <v>2</v>
      </c>
      <c r="O35" s="510">
        <v>2</v>
      </c>
      <c r="P35" s="510">
        <v>1</v>
      </c>
      <c r="Q35" s="510">
        <v>2</v>
      </c>
      <c r="R35" s="510">
        <v>4</v>
      </c>
      <c r="S35" s="510">
        <v>22</v>
      </c>
      <c r="T35" s="510">
        <v>7</v>
      </c>
      <c r="U35" s="510">
        <v>4</v>
      </c>
      <c r="V35" s="510">
        <v>6</v>
      </c>
      <c r="W35" s="510">
        <v>2</v>
      </c>
      <c r="X35" s="510">
        <v>2</v>
      </c>
      <c r="Y35" s="510">
        <v>1</v>
      </c>
      <c r="Z35" s="510">
        <v>1</v>
      </c>
      <c r="AA35" s="510">
        <v>3</v>
      </c>
      <c r="AB35" s="510">
        <v>12</v>
      </c>
      <c r="AC35" s="510">
        <v>6</v>
      </c>
      <c r="AD35" s="510">
        <v>6</v>
      </c>
      <c r="AE35" s="510">
        <v>15</v>
      </c>
      <c r="AF35" s="510">
        <v>5</v>
      </c>
      <c r="AG35" s="510">
        <v>11</v>
      </c>
      <c r="AH35" s="510">
        <v>2</v>
      </c>
      <c r="AI35" s="129"/>
    </row>
    <row r="36" spans="1:35" ht="18.75" customHeight="1" x14ac:dyDescent="0.2">
      <c r="A36" s="1020" t="s">
        <v>42</v>
      </c>
      <c r="B36" s="835">
        <f>SUM(N30:P30)</f>
        <v>7</v>
      </c>
      <c r="C36" s="835">
        <f>SUM(Q30:R30)</f>
        <v>8</v>
      </c>
      <c r="D36" s="835">
        <f>SUM(S30:V30)</f>
        <v>36</v>
      </c>
      <c r="E36" s="835">
        <f>SUM(W30:Y30)</f>
        <v>13</v>
      </c>
      <c r="F36" s="835">
        <f>SUM(Z30:AA30)</f>
        <v>8</v>
      </c>
      <c r="G36" s="835">
        <f>SUM(AB30:AD30)</f>
        <v>22</v>
      </c>
      <c r="H36" s="835">
        <f>AE30</f>
        <v>20</v>
      </c>
      <c r="I36" s="835">
        <f>AF30</f>
        <v>10</v>
      </c>
      <c r="J36" s="835">
        <f>SUM(AG30:AH30)</f>
        <v>11</v>
      </c>
      <c r="K36" s="837">
        <f>SUM(B36:J36)</f>
        <v>135</v>
      </c>
      <c r="M36" s="511" t="s">
        <v>176</v>
      </c>
      <c r="N36" s="510">
        <v>5</v>
      </c>
      <c r="O36" s="510">
        <v>5</v>
      </c>
      <c r="P36" s="510">
        <v>0</v>
      </c>
      <c r="Q36" s="510">
        <v>2</v>
      </c>
      <c r="R36" s="510">
        <v>2</v>
      </c>
      <c r="S36" s="510">
        <v>11</v>
      </c>
      <c r="T36" s="510">
        <v>3</v>
      </c>
      <c r="U36" s="510">
        <v>1</v>
      </c>
      <c r="V36" s="510">
        <v>3</v>
      </c>
      <c r="W36" s="510">
        <v>4</v>
      </c>
      <c r="X36" s="510">
        <v>2</v>
      </c>
      <c r="Y36" s="510">
        <v>0</v>
      </c>
      <c r="Z36" s="510">
        <v>0</v>
      </c>
      <c r="AA36" s="510">
        <v>2</v>
      </c>
      <c r="AB36" s="510">
        <v>4</v>
      </c>
      <c r="AC36" s="510">
        <v>4</v>
      </c>
      <c r="AD36" s="510">
        <v>1</v>
      </c>
      <c r="AE36" s="510">
        <v>10</v>
      </c>
      <c r="AF36" s="510">
        <v>3</v>
      </c>
      <c r="AG36" s="510">
        <v>10</v>
      </c>
      <c r="AH36" s="510">
        <v>1</v>
      </c>
      <c r="AI36" s="129"/>
    </row>
    <row r="37" spans="1:35" ht="18.75" customHeight="1" x14ac:dyDescent="0.2">
      <c r="A37" s="1021"/>
      <c r="B37" s="838">
        <f t="shared" ref="B37:I37" si="21">B36/B$14</f>
        <v>4.4871794871794872E-2</v>
      </c>
      <c r="C37" s="838">
        <f t="shared" si="21"/>
        <v>6.25E-2</v>
      </c>
      <c r="D37" s="838">
        <f t="shared" si="21"/>
        <v>0.15384615384615385</v>
      </c>
      <c r="E37" s="838">
        <f t="shared" si="21"/>
        <v>8.0246913580246909E-2</v>
      </c>
      <c r="F37" s="838">
        <f t="shared" si="21"/>
        <v>5.5172413793103448E-2</v>
      </c>
      <c r="G37" s="838">
        <f t="shared" si="21"/>
        <v>7.8014184397163122E-2</v>
      </c>
      <c r="H37" s="838">
        <f t="shared" si="21"/>
        <v>6.1728395061728392E-2</v>
      </c>
      <c r="I37" s="838">
        <f t="shared" si="21"/>
        <v>6.4516129032258063E-2</v>
      </c>
      <c r="J37" s="838">
        <f t="shared" ref="J37:K37" si="22">J36/J$14</f>
        <v>6.6666666666666666E-2</v>
      </c>
      <c r="K37" s="838">
        <f t="shared" si="22"/>
        <v>7.7098800685322669E-2</v>
      </c>
      <c r="M37" s="511" t="s">
        <v>177</v>
      </c>
      <c r="N37" s="510">
        <v>0</v>
      </c>
      <c r="O37" s="510">
        <v>0</v>
      </c>
      <c r="P37" s="510">
        <v>0</v>
      </c>
      <c r="Q37" s="510">
        <v>1</v>
      </c>
      <c r="R37" s="510">
        <v>0</v>
      </c>
      <c r="S37" s="510">
        <v>6</v>
      </c>
      <c r="T37" s="510">
        <v>2</v>
      </c>
      <c r="U37" s="510">
        <v>0</v>
      </c>
      <c r="V37" s="510">
        <v>2</v>
      </c>
      <c r="W37" s="510">
        <v>0</v>
      </c>
      <c r="X37" s="510">
        <v>0</v>
      </c>
      <c r="Y37" s="510">
        <v>0</v>
      </c>
      <c r="Z37" s="510">
        <v>0</v>
      </c>
      <c r="AA37" s="510">
        <v>1</v>
      </c>
      <c r="AB37" s="510">
        <v>0</v>
      </c>
      <c r="AC37" s="510">
        <v>1</v>
      </c>
      <c r="AD37" s="510">
        <v>0</v>
      </c>
      <c r="AE37" s="510">
        <v>0</v>
      </c>
      <c r="AF37" s="510">
        <v>0</v>
      </c>
      <c r="AG37" s="510">
        <v>0</v>
      </c>
      <c r="AH37" s="510">
        <v>0</v>
      </c>
      <c r="AI37" s="129"/>
    </row>
    <row r="38" spans="1:35" ht="18.75" customHeight="1" x14ac:dyDescent="0.2">
      <c r="A38" s="1040" t="s">
        <v>43</v>
      </c>
      <c r="B38" s="835">
        <f>SUM(N31:P31)</f>
        <v>37</v>
      </c>
      <c r="C38" s="835">
        <f>SUM(Q31:R31)</f>
        <v>46</v>
      </c>
      <c r="D38" s="835">
        <f>SUM(S31:V31)</f>
        <v>95</v>
      </c>
      <c r="E38" s="835">
        <f>SUM(W31:Y31)</f>
        <v>49</v>
      </c>
      <c r="F38" s="835">
        <f>SUM(Z31:AA31)</f>
        <v>71</v>
      </c>
      <c r="G38" s="835">
        <f>SUM(AB31:AD31)</f>
        <v>92</v>
      </c>
      <c r="H38" s="835">
        <f>AE31</f>
        <v>92</v>
      </c>
      <c r="I38" s="835">
        <f>AF31</f>
        <v>46</v>
      </c>
      <c r="J38" s="835">
        <f>SUM(AG31:AH31)</f>
        <v>47</v>
      </c>
      <c r="K38" s="837">
        <f>SUM(B38:J38)</f>
        <v>575</v>
      </c>
      <c r="M38" s="511" t="s">
        <v>178</v>
      </c>
      <c r="N38" s="510">
        <v>3</v>
      </c>
      <c r="O38" s="510">
        <v>1</v>
      </c>
      <c r="P38" s="510">
        <v>1</v>
      </c>
      <c r="Q38" s="510">
        <v>2</v>
      </c>
      <c r="R38" s="510">
        <v>1</v>
      </c>
      <c r="S38" s="510">
        <v>19</v>
      </c>
      <c r="T38" s="510">
        <v>14</v>
      </c>
      <c r="U38" s="510">
        <v>10</v>
      </c>
      <c r="V38" s="510">
        <v>4</v>
      </c>
      <c r="W38" s="510">
        <v>8</v>
      </c>
      <c r="X38" s="510">
        <v>1</v>
      </c>
      <c r="Y38" s="510">
        <v>0</v>
      </c>
      <c r="Z38" s="510">
        <v>3</v>
      </c>
      <c r="AA38" s="510">
        <v>4</v>
      </c>
      <c r="AB38" s="510">
        <v>18</v>
      </c>
      <c r="AC38" s="510">
        <v>13</v>
      </c>
      <c r="AD38" s="510">
        <v>7</v>
      </c>
      <c r="AE38" s="510">
        <v>26</v>
      </c>
      <c r="AF38" s="510">
        <v>13</v>
      </c>
      <c r="AG38" s="510">
        <v>11</v>
      </c>
      <c r="AH38" s="510">
        <v>1</v>
      </c>
      <c r="AI38" s="129"/>
    </row>
    <row r="39" spans="1:35" ht="18.75" customHeight="1" x14ac:dyDescent="0.2">
      <c r="A39" s="1041"/>
      <c r="B39" s="838">
        <f t="shared" ref="B39:I39" si="23">B38/B$14</f>
        <v>0.23717948717948717</v>
      </c>
      <c r="C39" s="838">
        <f t="shared" si="23"/>
        <v>0.359375</v>
      </c>
      <c r="D39" s="838">
        <f t="shared" si="23"/>
        <v>0.40598290598290598</v>
      </c>
      <c r="E39" s="838">
        <f t="shared" si="23"/>
        <v>0.30246913580246915</v>
      </c>
      <c r="F39" s="838">
        <f t="shared" si="23"/>
        <v>0.48965517241379308</v>
      </c>
      <c r="G39" s="838">
        <f t="shared" si="23"/>
        <v>0.32624113475177308</v>
      </c>
      <c r="H39" s="838">
        <f t="shared" si="23"/>
        <v>0.2839506172839506</v>
      </c>
      <c r="I39" s="838">
        <f t="shared" si="23"/>
        <v>0.29677419354838708</v>
      </c>
      <c r="J39" s="838">
        <f t="shared" ref="J39:K39" si="24">J38/J$14</f>
        <v>0.28484848484848485</v>
      </c>
      <c r="K39" s="838">
        <f t="shared" si="24"/>
        <v>0.32838378069674473</v>
      </c>
      <c r="M39" s="511" t="s">
        <v>179</v>
      </c>
      <c r="N39" s="510">
        <v>11</v>
      </c>
      <c r="O39" s="510">
        <v>6</v>
      </c>
      <c r="P39" s="510">
        <v>0</v>
      </c>
      <c r="Q39" s="510">
        <v>3</v>
      </c>
      <c r="R39" s="510">
        <v>3</v>
      </c>
      <c r="S39" s="510">
        <v>18</v>
      </c>
      <c r="T39" s="510">
        <v>13</v>
      </c>
      <c r="U39" s="510">
        <v>8</v>
      </c>
      <c r="V39" s="510">
        <v>3</v>
      </c>
      <c r="W39" s="510">
        <v>11</v>
      </c>
      <c r="X39" s="510">
        <v>0</v>
      </c>
      <c r="Y39" s="510">
        <v>0</v>
      </c>
      <c r="Z39" s="510">
        <v>2</v>
      </c>
      <c r="AA39" s="510">
        <v>1</v>
      </c>
      <c r="AB39" s="510">
        <v>9</v>
      </c>
      <c r="AC39" s="510">
        <v>15</v>
      </c>
      <c r="AD39" s="510">
        <v>5</v>
      </c>
      <c r="AE39" s="510">
        <v>20</v>
      </c>
      <c r="AF39" s="510">
        <v>12</v>
      </c>
      <c r="AG39" s="510">
        <v>19</v>
      </c>
      <c r="AH39" s="510">
        <v>2</v>
      </c>
      <c r="AI39" s="129"/>
    </row>
    <row r="40" spans="1:35" ht="18.75" customHeight="1" x14ac:dyDescent="0.2">
      <c r="A40" s="1040" t="s">
        <v>44</v>
      </c>
      <c r="B40" s="835">
        <f>SUM(N32:P32)</f>
        <v>33</v>
      </c>
      <c r="C40" s="835">
        <f>SUM(Q32:R32)</f>
        <v>26</v>
      </c>
      <c r="D40" s="835">
        <f>SUM(S32:V32)</f>
        <v>67</v>
      </c>
      <c r="E40" s="835">
        <f>SUM(W32:Y32)</f>
        <v>39</v>
      </c>
      <c r="F40" s="835">
        <f>SUM(Z32:AA32)</f>
        <v>28</v>
      </c>
      <c r="G40" s="835">
        <f>SUM(AB32:AD32)</f>
        <v>58</v>
      </c>
      <c r="H40" s="835">
        <f>AE32</f>
        <v>65</v>
      </c>
      <c r="I40" s="835">
        <f>AF32</f>
        <v>42</v>
      </c>
      <c r="J40" s="835">
        <f>SUM(AG32:AH32)</f>
        <v>39</v>
      </c>
      <c r="K40" s="837">
        <f>SUM(B40:J40)</f>
        <v>397</v>
      </c>
      <c r="M40" s="511" t="s">
        <v>180</v>
      </c>
      <c r="N40" s="510">
        <v>0</v>
      </c>
      <c r="O40" s="510">
        <v>1</v>
      </c>
      <c r="P40" s="510">
        <v>0</v>
      </c>
      <c r="Q40" s="510">
        <v>0</v>
      </c>
      <c r="R40" s="510">
        <v>0</v>
      </c>
      <c r="S40" s="510">
        <v>3</v>
      </c>
      <c r="T40" s="510">
        <v>0</v>
      </c>
      <c r="U40" s="510">
        <v>0</v>
      </c>
      <c r="V40" s="510">
        <v>0</v>
      </c>
      <c r="W40" s="510">
        <v>0</v>
      </c>
      <c r="X40" s="510">
        <v>0</v>
      </c>
      <c r="Y40" s="510">
        <v>0</v>
      </c>
      <c r="Z40" s="510">
        <v>1</v>
      </c>
      <c r="AA40" s="510">
        <v>0</v>
      </c>
      <c r="AB40" s="510">
        <v>1</v>
      </c>
      <c r="AC40" s="510">
        <v>1</v>
      </c>
      <c r="AD40" s="510">
        <v>0</v>
      </c>
      <c r="AE40" s="510">
        <v>4</v>
      </c>
      <c r="AF40" s="510">
        <v>1</v>
      </c>
      <c r="AG40" s="510">
        <v>22</v>
      </c>
      <c r="AH40" s="510">
        <v>0</v>
      </c>
      <c r="AI40" s="129"/>
    </row>
    <row r="41" spans="1:35" ht="18.75" customHeight="1" x14ac:dyDescent="0.2">
      <c r="A41" s="1041"/>
      <c r="B41" s="838">
        <f t="shared" ref="B41:I41" si="25">B40/B$14</f>
        <v>0.21153846153846154</v>
      </c>
      <c r="C41" s="838">
        <f t="shared" si="25"/>
        <v>0.203125</v>
      </c>
      <c r="D41" s="838">
        <f t="shared" si="25"/>
        <v>0.28632478632478631</v>
      </c>
      <c r="E41" s="838">
        <f t="shared" si="25"/>
        <v>0.24074074074074073</v>
      </c>
      <c r="F41" s="838">
        <f t="shared" si="25"/>
        <v>0.19310344827586207</v>
      </c>
      <c r="G41" s="838">
        <f t="shared" si="25"/>
        <v>0.20567375886524822</v>
      </c>
      <c r="H41" s="838">
        <f t="shared" si="25"/>
        <v>0.20061728395061729</v>
      </c>
      <c r="I41" s="838">
        <f t="shared" si="25"/>
        <v>0.2709677419354839</v>
      </c>
      <c r="J41" s="838">
        <f t="shared" ref="J41:K41" si="26">J40/J$14</f>
        <v>0.23636363636363636</v>
      </c>
      <c r="K41" s="838">
        <f t="shared" si="26"/>
        <v>0.22672758423757852</v>
      </c>
      <c r="M41" s="511" t="s">
        <v>382</v>
      </c>
      <c r="N41" s="510">
        <v>6</v>
      </c>
      <c r="O41" s="510">
        <v>13</v>
      </c>
      <c r="P41" s="510">
        <v>7</v>
      </c>
      <c r="Q41" s="510">
        <v>2</v>
      </c>
      <c r="R41" s="510">
        <v>9</v>
      </c>
      <c r="S41" s="510">
        <v>15</v>
      </c>
      <c r="T41" s="510">
        <v>10</v>
      </c>
      <c r="U41" s="510">
        <v>5</v>
      </c>
      <c r="V41" s="510">
        <v>4</v>
      </c>
      <c r="W41" s="510">
        <v>15</v>
      </c>
      <c r="X41" s="510">
        <v>3</v>
      </c>
      <c r="Y41" s="510">
        <v>1</v>
      </c>
      <c r="Z41" s="510">
        <v>9</v>
      </c>
      <c r="AA41" s="510">
        <v>9</v>
      </c>
      <c r="AB41" s="510">
        <v>26</v>
      </c>
      <c r="AC41" s="510">
        <v>10</v>
      </c>
      <c r="AD41" s="510">
        <v>12</v>
      </c>
      <c r="AE41" s="510">
        <v>33</v>
      </c>
      <c r="AF41" s="510">
        <v>37</v>
      </c>
      <c r="AG41" s="510">
        <v>16</v>
      </c>
      <c r="AH41" s="510">
        <v>0</v>
      </c>
      <c r="AI41" s="129"/>
    </row>
    <row r="42" spans="1:35" ht="18.75" customHeight="1" x14ac:dyDescent="0.2">
      <c r="A42" s="1020" t="s">
        <v>356</v>
      </c>
      <c r="B42" s="835">
        <f>SUM(N33:P33)</f>
        <v>29</v>
      </c>
      <c r="C42" s="835">
        <f>SUM(Q33:R33)</f>
        <v>13</v>
      </c>
      <c r="D42" s="835">
        <f>SUM(S33:V33)</f>
        <v>43</v>
      </c>
      <c r="E42" s="835">
        <f>SUM(W33:Y33)</f>
        <v>29</v>
      </c>
      <c r="F42" s="835">
        <f>SUM(Z33:AA33)</f>
        <v>32</v>
      </c>
      <c r="G42" s="835">
        <f>SUM(AB33:AD33)</f>
        <v>55</v>
      </c>
      <c r="H42" s="835">
        <f>AE33</f>
        <v>52</v>
      </c>
      <c r="I42" s="835">
        <f>AF33</f>
        <v>16</v>
      </c>
      <c r="J42" s="835">
        <f>SUM(AG33:AH33)</f>
        <v>33</v>
      </c>
      <c r="K42" s="837">
        <f>SUM(B42:J42)</f>
        <v>302</v>
      </c>
      <c r="M42" s="511" t="s">
        <v>383</v>
      </c>
      <c r="N42" s="510">
        <v>3</v>
      </c>
      <c r="O42" s="510">
        <v>7</v>
      </c>
      <c r="P42" s="510">
        <v>2</v>
      </c>
      <c r="Q42" s="510">
        <v>0</v>
      </c>
      <c r="R42" s="510">
        <v>3</v>
      </c>
      <c r="S42" s="510">
        <v>7</v>
      </c>
      <c r="T42" s="510">
        <v>3</v>
      </c>
      <c r="U42" s="510">
        <v>2</v>
      </c>
      <c r="V42" s="510">
        <v>0</v>
      </c>
      <c r="W42" s="510">
        <v>3</v>
      </c>
      <c r="X42" s="510">
        <v>2</v>
      </c>
      <c r="Y42" s="510">
        <v>0</v>
      </c>
      <c r="Z42" s="510">
        <v>6</v>
      </c>
      <c r="AA42" s="510">
        <v>2</v>
      </c>
      <c r="AB42" s="510">
        <v>15</v>
      </c>
      <c r="AC42" s="510">
        <v>7</v>
      </c>
      <c r="AD42" s="510">
        <v>12</v>
      </c>
      <c r="AE42" s="510">
        <v>21</v>
      </c>
      <c r="AF42" s="510">
        <v>21</v>
      </c>
      <c r="AG42" s="510">
        <v>10</v>
      </c>
      <c r="AH42" s="510">
        <v>0</v>
      </c>
      <c r="AI42" s="129"/>
    </row>
    <row r="43" spans="1:35" ht="18.75" customHeight="1" x14ac:dyDescent="0.2">
      <c r="A43" s="1021"/>
      <c r="B43" s="838">
        <f t="shared" ref="B43:I43" si="27">B42/B$14</f>
        <v>0.1858974358974359</v>
      </c>
      <c r="C43" s="838">
        <f t="shared" si="27"/>
        <v>0.1015625</v>
      </c>
      <c r="D43" s="838">
        <f t="shared" si="27"/>
        <v>0.18376068376068377</v>
      </c>
      <c r="E43" s="838">
        <f t="shared" si="27"/>
        <v>0.17901234567901234</v>
      </c>
      <c r="F43" s="838">
        <f t="shared" si="27"/>
        <v>0.22068965517241379</v>
      </c>
      <c r="G43" s="838">
        <f t="shared" si="27"/>
        <v>0.19503546099290781</v>
      </c>
      <c r="H43" s="838">
        <f t="shared" si="27"/>
        <v>0.16049382716049382</v>
      </c>
      <c r="I43" s="838">
        <f t="shared" si="27"/>
        <v>0.1032258064516129</v>
      </c>
      <c r="J43" s="838">
        <f t="shared" ref="J43:K43" si="28">J42/J$14</f>
        <v>0.2</v>
      </c>
      <c r="K43" s="838">
        <f t="shared" si="28"/>
        <v>0.1724728726442033</v>
      </c>
      <c r="M43" s="511" t="s">
        <v>181</v>
      </c>
      <c r="N43" s="510">
        <v>3</v>
      </c>
      <c r="O43" s="510">
        <v>5</v>
      </c>
      <c r="P43" s="510">
        <v>1</v>
      </c>
      <c r="Q43" s="510">
        <v>2</v>
      </c>
      <c r="R43" s="510">
        <v>2</v>
      </c>
      <c r="S43" s="510">
        <v>3</v>
      </c>
      <c r="T43" s="510">
        <v>2</v>
      </c>
      <c r="U43" s="510">
        <v>1</v>
      </c>
      <c r="V43" s="510">
        <v>1</v>
      </c>
      <c r="W43" s="510">
        <v>3</v>
      </c>
      <c r="X43" s="510">
        <v>1</v>
      </c>
      <c r="Y43" s="510">
        <v>0</v>
      </c>
      <c r="Z43" s="510">
        <v>1</v>
      </c>
      <c r="AA43" s="510">
        <v>2</v>
      </c>
      <c r="AB43" s="510">
        <v>2</v>
      </c>
      <c r="AC43" s="510">
        <v>1</v>
      </c>
      <c r="AD43" s="510">
        <v>5</v>
      </c>
      <c r="AE43" s="510">
        <v>9</v>
      </c>
      <c r="AF43" s="510">
        <v>3</v>
      </c>
      <c r="AG43" s="510">
        <v>3</v>
      </c>
      <c r="AH43" s="510">
        <v>1</v>
      </c>
      <c r="AI43" s="129"/>
    </row>
    <row r="44" spans="1:35" ht="18.75" customHeight="1" x14ac:dyDescent="0.2">
      <c r="A44" s="1020" t="s">
        <v>46</v>
      </c>
      <c r="B44" s="835">
        <f>SUM(N34:P34)</f>
        <v>47</v>
      </c>
      <c r="C44" s="835">
        <f>SUM(Q34:R34)</f>
        <v>49</v>
      </c>
      <c r="D44" s="835">
        <f>SUM(S34:V34)</f>
        <v>119</v>
      </c>
      <c r="E44" s="835">
        <f>SUM(W34:Y34)</f>
        <v>55</v>
      </c>
      <c r="F44" s="835">
        <f>SUM(Z34:AA34)</f>
        <v>25</v>
      </c>
      <c r="G44" s="835">
        <f>SUM(AB34:AD34)</f>
        <v>79</v>
      </c>
      <c r="H44" s="835">
        <f>AE34</f>
        <v>106</v>
      </c>
      <c r="I44" s="835">
        <f>AF34</f>
        <v>38</v>
      </c>
      <c r="J44" s="835">
        <f>SUM(AG34:AH34)</f>
        <v>61</v>
      </c>
      <c r="K44" s="837">
        <f>SUM(B44:J44)</f>
        <v>579</v>
      </c>
    </row>
    <row r="45" spans="1:35" ht="18.75" customHeight="1" x14ac:dyDescent="0.2">
      <c r="A45" s="1021"/>
      <c r="B45" s="838">
        <f t="shared" ref="B45:I45" si="29">B44/B$14</f>
        <v>0.30128205128205127</v>
      </c>
      <c r="C45" s="838">
        <f t="shared" si="29"/>
        <v>0.3828125</v>
      </c>
      <c r="D45" s="838">
        <f t="shared" si="29"/>
        <v>0.50854700854700852</v>
      </c>
      <c r="E45" s="838">
        <f t="shared" si="29"/>
        <v>0.33950617283950618</v>
      </c>
      <c r="F45" s="838">
        <f t="shared" si="29"/>
        <v>0.17241379310344829</v>
      </c>
      <c r="G45" s="838">
        <f t="shared" si="29"/>
        <v>0.28014184397163122</v>
      </c>
      <c r="H45" s="838">
        <f t="shared" si="29"/>
        <v>0.3271604938271605</v>
      </c>
      <c r="I45" s="838">
        <f t="shared" si="29"/>
        <v>0.24516129032258063</v>
      </c>
      <c r="J45" s="838">
        <f t="shared" ref="J45:K45" si="30">J44/J$14</f>
        <v>0.36969696969696969</v>
      </c>
      <c r="K45" s="838">
        <f t="shared" si="30"/>
        <v>0.33066818960593947</v>
      </c>
    </row>
    <row r="46" spans="1:35" ht="18.75" customHeight="1" x14ac:dyDescent="0.2">
      <c r="A46" s="1020" t="s">
        <v>47</v>
      </c>
      <c r="B46" s="835">
        <f>SUM(N35:P35)</f>
        <v>5</v>
      </c>
      <c r="C46" s="835">
        <f>SUM(Q35:R35)</f>
        <v>6</v>
      </c>
      <c r="D46" s="835">
        <f>SUM(S35:V35)</f>
        <v>39</v>
      </c>
      <c r="E46" s="835">
        <f>SUM(W35:Y35)</f>
        <v>5</v>
      </c>
      <c r="F46" s="835">
        <f>SUM(Z35:AA35)</f>
        <v>4</v>
      </c>
      <c r="G46" s="835">
        <f>SUM(AB35:AD35)</f>
        <v>24</v>
      </c>
      <c r="H46" s="835">
        <f>AE35</f>
        <v>15</v>
      </c>
      <c r="I46" s="835">
        <f>AF35</f>
        <v>5</v>
      </c>
      <c r="J46" s="835">
        <f>SUM(AG35:AH35)</f>
        <v>13</v>
      </c>
      <c r="K46" s="837">
        <f>SUM(B46:J46)</f>
        <v>116</v>
      </c>
    </row>
    <row r="47" spans="1:35" ht="18.75" customHeight="1" x14ac:dyDescent="0.2">
      <c r="A47" s="1021"/>
      <c r="B47" s="838">
        <f t="shared" ref="B47:I47" si="31">B46/B$14</f>
        <v>3.2051282051282048E-2</v>
      </c>
      <c r="C47" s="838">
        <f t="shared" si="31"/>
        <v>4.6875E-2</v>
      </c>
      <c r="D47" s="838">
        <f t="shared" si="31"/>
        <v>0.16666666666666666</v>
      </c>
      <c r="E47" s="838">
        <f t="shared" si="31"/>
        <v>3.0864197530864196E-2</v>
      </c>
      <c r="F47" s="838">
        <f t="shared" si="31"/>
        <v>2.7586206896551724E-2</v>
      </c>
      <c r="G47" s="838">
        <f t="shared" si="31"/>
        <v>8.5106382978723402E-2</v>
      </c>
      <c r="H47" s="838">
        <f t="shared" si="31"/>
        <v>4.6296296296296294E-2</v>
      </c>
      <c r="I47" s="838">
        <f t="shared" si="31"/>
        <v>3.2258064516129031E-2</v>
      </c>
      <c r="J47" s="838">
        <f t="shared" ref="J47:K47" si="32">J46/J$14</f>
        <v>7.8787878787878782E-2</v>
      </c>
      <c r="K47" s="838">
        <f t="shared" si="32"/>
        <v>6.6247858366647636E-2</v>
      </c>
    </row>
    <row r="48" spans="1:35" ht="18.75" customHeight="1" x14ac:dyDescent="0.2">
      <c r="A48" s="1020" t="s">
        <v>48</v>
      </c>
      <c r="B48" s="835">
        <f>SUM(N36:P36)</f>
        <v>10</v>
      </c>
      <c r="C48" s="835">
        <f>SUM(Q36:R36)</f>
        <v>4</v>
      </c>
      <c r="D48" s="835">
        <f>SUM(S36:V36)</f>
        <v>18</v>
      </c>
      <c r="E48" s="835">
        <f>SUM(W36:Y36)</f>
        <v>6</v>
      </c>
      <c r="F48" s="835">
        <f>SUM(Z36:AA36)</f>
        <v>2</v>
      </c>
      <c r="G48" s="835">
        <f>SUM(AB36:AD36)</f>
        <v>9</v>
      </c>
      <c r="H48" s="835">
        <f>AE36</f>
        <v>10</v>
      </c>
      <c r="I48" s="835">
        <f>AF36</f>
        <v>3</v>
      </c>
      <c r="J48" s="835">
        <f>SUM(AG36:AH36)</f>
        <v>11</v>
      </c>
      <c r="K48" s="837">
        <f>SUM(B48:J48)</f>
        <v>73</v>
      </c>
    </row>
    <row r="49" spans="1:11" ht="18.75" customHeight="1" x14ac:dyDescent="0.2">
      <c r="A49" s="1021"/>
      <c r="B49" s="838">
        <f t="shared" ref="B49:I49" si="33">B48/B$14</f>
        <v>6.4102564102564097E-2</v>
      </c>
      <c r="C49" s="838">
        <f t="shared" si="33"/>
        <v>3.125E-2</v>
      </c>
      <c r="D49" s="838">
        <f t="shared" si="33"/>
        <v>7.6923076923076927E-2</v>
      </c>
      <c r="E49" s="838">
        <f t="shared" si="33"/>
        <v>3.7037037037037035E-2</v>
      </c>
      <c r="F49" s="838">
        <f t="shared" si="33"/>
        <v>1.3793103448275862E-2</v>
      </c>
      <c r="G49" s="838">
        <f t="shared" si="33"/>
        <v>3.1914893617021274E-2</v>
      </c>
      <c r="H49" s="838">
        <f t="shared" si="33"/>
        <v>3.0864197530864196E-2</v>
      </c>
      <c r="I49" s="838">
        <f t="shared" si="33"/>
        <v>1.935483870967742E-2</v>
      </c>
      <c r="J49" s="838">
        <f t="shared" ref="J49:K49" si="34">J48/J$14</f>
        <v>6.6666666666666666E-2</v>
      </c>
      <c r="K49" s="838">
        <f t="shared" si="34"/>
        <v>4.1690462592804109E-2</v>
      </c>
    </row>
    <row r="50" spans="1:11" ht="18.75" customHeight="1" x14ac:dyDescent="0.2">
      <c r="A50" s="1039" t="s">
        <v>49</v>
      </c>
      <c r="B50" s="835">
        <f>SUM(N37:P37)</f>
        <v>0</v>
      </c>
      <c r="C50" s="835">
        <f>SUM(Q37:R37)</f>
        <v>1</v>
      </c>
      <c r="D50" s="835">
        <f>SUM(S37:V37)</f>
        <v>10</v>
      </c>
      <c r="E50" s="835">
        <f>SUM(W37:Y37)</f>
        <v>0</v>
      </c>
      <c r="F50" s="835">
        <f>SUM(Z37:AA37)</f>
        <v>1</v>
      </c>
      <c r="G50" s="835">
        <f>SUM(AB37:AD37)</f>
        <v>1</v>
      </c>
      <c r="H50" s="835">
        <f>AE37</f>
        <v>0</v>
      </c>
      <c r="I50" s="835">
        <f>AF37</f>
        <v>0</v>
      </c>
      <c r="J50" s="835">
        <f>SUM(AG37:AH37)</f>
        <v>0</v>
      </c>
      <c r="K50" s="837">
        <f>SUM(B50:J50)</f>
        <v>13</v>
      </c>
    </row>
    <row r="51" spans="1:11" ht="18.75" customHeight="1" x14ac:dyDescent="0.2">
      <c r="A51" s="1021"/>
      <c r="B51" s="838">
        <f t="shared" ref="B51:I51" si="35">B50/B$14</f>
        <v>0</v>
      </c>
      <c r="C51" s="838">
        <f t="shared" si="35"/>
        <v>7.8125E-3</v>
      </c>
      <c r="D51" s="838">
        <f t="shared" si="35"/>
        <v>4.2735042735042736E-2</v>
      </c>
      <c r="E51" s="838">
        <f t="shared" si="35"/>
        <v>0</v>
      </c>
      <c r="F51" s="838">
        <f t="shared" si="35"/>
        <v>6.8965517241379309E-3</v>
      </c>
      <c r="G51" s="838">
        <f t="shared" si="35"/>
        <v>3.5460992907801418E-3</v>
      </c>
      <c r="H51" s="838">
        <f t="shared" si="35"/>
        <v>0</v>
      </c>
      <c r="I51" s="838">
        <f t="shared" si="35"/>
        <v>0</v>
      </c>
      <c r="J51" s="838">
        <f t="shared" ref="J51:K51" si="36">J50/J$14</f>
        <v>0</v>
      </c>
      <c r="K51" s="838">
        <f t="shared" si="36"/>
        <v>7.4243289548829245E-3</v>
      </c>
    </row>
    <row r="52" spans="1:11" ht="18.75" customHeight="1" x14ac:dyDescent="0.2">
      <c r="A52" s="1040" t="s">
        <v>50</v>
      </c>
      <c r="B52" s="835">
        <f>SUM(N38:P38)</f>
        <v>5</v>
      </c>
      <c r="C52" s="835">
        <f>SUM(Q38:R38)</f>
        <v>3</v>
      </c>
      <c r="D52" s="835">
        <f>SUM(S38:V38)</f>
        <v>47</v>
      </c>
      <c r="E52" s="835">
        <f>SUM(W38:Y38)</f>
        <v>9</v>
      </c>
      <c r="F52" s="835">
        <f>SUM(Z38:AA38)</f>
        <v>7</v>
      </c>
      <c r="G52" s="835">
        <f>SUM(AB38:AD38)</f>
        <v>38</v>
      </c>
      <c r="H52" s="835">
        <f>AE38</f>
        <v>26</v>
      </c>
      <c r="I52" s="835">
        <f>AF38</f>
        <v>13</v>
      </c>
      <c r="J52" s="835">
        <f>SUM(AG38:AH38)</f>
        <v>12</v>
      </c>
      <c r="K52" s="837">
        <f>SUM(B52:J52)</f>
        <v>160</v>
      </c>
    </row>
    <row r="53" spans="1:11" ht="18.75" customHeight="1" x14ac:dyDescent="0.2">
      <c r="A53" s="1041"/>
      <c r="B53" s="838">
        <f t="shared" ref="B53:I53" si="37">B52/B$14</f>
        <v>3.2051282051282048E-2</v>
      </c>
      <c r="C53" s="838">
        <f t="shared" si="37"/>
        <v>2.34375E-2</v>
      </c>
      <c r="D53" s="838">
        <f t="shared" si="37"/>
        <v>0.20085470085470086</v>
      </c>
      <c r="E53" s="838">
        <f t="shared" si="37"/>
        <v>5.5555555555555552E-2</v>
      </c>
      <c r="F53" s="838">
        <f t="shared" si="37"/>
        <v>4.8275862068965517E-2</v>
      </c>
      <c r="G53" s="838">
        <f t="shared" si="37"/>
        <v>0.13475177304964539</v>
      </c>
      <c r="H53" s="838">
        <f t="shared" si="37"/>
        <v>8.0246913580246909E-2</v>
      </c>
      <c r="I53" s="838">
        <f t="shared" si="37"/>
        <v>8.387096774193549E-2</v>
      </c>
      <c r="J53" s="838">
        <f t="shared" ref="J53:K53" si="38">J52/J$14</f>
        <v>7.2727272727272724E-2</v>
      </c>
      <c r="K53" s="838">
        <f t="shared" si="38"/>
        <v>9.1376356367789832E-2</v>
      </c>
    </row>
    <row r="54" spans="1:11" ht="18.75" customHeight="1" x14ac:dyDescent="0.2">
      <c r="A54" s="1040" t="s">
        <v>51</v>
      </c>
      <c r="B54" s="835">
        <f>SUM(N39:P39)</f>
        <v>17</v>
      </c>
      <c r="C54" s="835">
        <f>SUM(Q39:R39)</f>
        <v>6</v>
      </c>
      <c r="D54" s="835">
        <f>SUM(S39:V39)</f>
        <v>42</v>
      </c>
      <c r="E54" s="835">
        <f>SUM(W39:Y39)</f>
        <v>11</v>
      </c>
      <c r="F54" s="835">
        <f>SUM(Z39:AA39)</f>
        <v>3</v>
      </c>
      <c r="G54" s="835">
        <f>SUM(AB39:AD39)</f>
        <v>29</v>
      </c>
      <c r="H54" s="835">
        <f>AE39</f>
        <v>20</v>
      </c>
      <c r="I54" s="835">
        <f>AF39</f>
        <v>12</v>
      </c>
      <c r="J54" s="835">
        <f>SUM(AG39:AH39)</f>
        <v>21</v>
      </c>
      <c r="K54" s="837">
        <f>SUM(B54:J54)</f>
        <v>161</v>
      </c>
    </row>
    <row r="55" spans="1:11" ht="18.75" customHeight="1" x14ac:dyDescent="0.2">
      <c r="A55" s="1041"/>
      <c r="B55" s="838">
        <f t="shared" ref="B55:I55" si="39">B54/B$14</f>
        <v>0.10897435897435898</v>
      </c>
      <c r="C55" s="838">
        <f t="shared" si="39"/>
        <v>4.6875E-2</v>
      </c>
      <c r="D55" s="838">
        <f t="shared" si="39"/>
        <v>0.17948717948717949</v>
      </c>
      <c r="E55" s="838">
        <f t="shared" si="39"/>
        <v>6.7901234567901231E-2</v>
      </c>
      <c r="F55" s="838">
        <f t="shared" si="39"/>
        <v>2.0689655172413793E-2</v>
      </c>
      <c r="G55" s="838">
        <f t="shared" si="39"/>
        <v>0.10283687943262411</v>
      </c>
      <c r="H55" s="838">
        <f t="shared" si="39"/>
        <v>6.1728395061728392E-2</v>
      </c>
      <c r="I55" s="838">
        <f t="shared" si="39"/>
        <v>7.7419354838709681E-2</v>
      </c>
      <c r="J55" s="838">
        <f t="shared" ref="J55:K55" si="40">J54/J$14</f>
        <v>0.12727272727272726</v>
      </c>
      <c r="K55" s="838">
        <f t="shared" si="40"/>
        <v>9.1947458595088516E-2</v>
      </c>
    </row>
    <row r="56" spans="1:11" ht="18.75" customHeight="1" x14ac:dyDescent="0.2">
      <c r="A56" s="1040" t="s">
        <v>337</v>
      </c>
      <c r="B56" s="835">
        <f>SUM(N40:P40)</f>
        <v>1</v>
      </c>
      <c r="C56" s="835">
        <f>SUM(Q40:R40)</f>
        <v>0</v>
      </c>
      <c r="D56" s="835">
        <f>SUM(S40:V40)</f>
        <v>3</v>
      </c>
      <c r="E56" s="835">
        <f>SUM(W40:Y40)</f>
        <v>0</v>
      </c>
      <c r="F56" s="835">
        <f>SUM(Z40:AA40)</f>
        <v>1</v>
      </c>
      <c r="G56" s="835">
        <f>SUM(AB40:AD40)</f>
        <v>2</v>
      </c>
      <c r="H56" s="835">
        <f>AE40</f>
        <v>4</v>
      </c>
      <c r="I56" s="835">
        <f>AF40</f>
        <v>1</v>
      </c>
      <c r="J56" s="835">
        <f>SUM(AG40:AH40)</f>
        <v>22</v>
      </c>
      <c r="K56" s="837">
        <f>SUM(B56:J56)</f>
        <v>34</v>
      </c>
    </row>
    <row r="57" spans="1:11" ht="18.75" customHeight="1" x14ac:dyDescent="0.2">
      <c r="A57" s="1041"/>
      <c r="B57" s="838">
        <f t="shared" ref="B57:I57" si="41">B56/B$14</f>
        <v>6.41025641025641E-3</v>
      </c>
      <c r="C57" s="838">
        <f t="shared" si="41"/>
        <v>0</v>
      </c>
      <c r="D57" s="838">
        <f t="shared" si="41"/>
        <v>1.282051282051282E-2</v>
      </c>
      <c r="E57" s="838">
        <f t="shared" si="41"/>
        <v>0</v>
      </c>
      <c r="F57" s="838">
        <f t="shared" si="41"/>
        <v>6.8965517241379309E-3</v>
      </c>
      <c r="G57" s="838">
        <f t="shared" si="41"/>
        <v>7.0921985815602835E-3</v>
      </c>
      <c r="H57" s="838">
        <f t="shared" si="41"/>
        <v>1.2345679012345678E-2</v>
      </c>
      <c r="I57" s="838">
        <f t="shared" si="41"/>
        <v>6.4516129032258064E-3</v>
      </c>
      <c r="J57" s="838">
        <f t="shared" ref="J57:K57" si="42">J56/J$14</f>
        <v>0.13333333333333333</v>
      </c>
      <c r="K57" s="838">
        <f t="shared" si="42"/>
        <v>1.9417475728155338E-2</v>
      </c>
    </row>
    <row r="58" spans="1:11" ht="18.75" customHeight="1" x14ac:dyDescent="0.2">
      <c r="A58" s="1020" t="s">
        <v>377</v>
      </c>
      <c r="B58" s="835">
        <f>SUM(N41:P41)</f>
        <v>26</v>
      </c>
      <c r="C58" s="835">
        <f>SUM(Q41:R41)</f>
        <v>11</v>
      </c>
      <c r="D58" s="835">
        <f>SUM(S41:V41)</f>
        <v>34</v>
      </c>
      <c r="E58" s="835">
        <f>SUM(W41:Y41)</f>
        <v>19</v>
      </c>
      <c r="F58" s="835">
        <f>SUM(Z41:AA41)</f>
        <v>18</v>
      </c>
      <c r="G58" s="835">
        <f>SUM(AB41:AD41)</f>
        <v>48</v>
      </c>
      <c r="H58" s="835">
        <f>SUM(AE41)</f>
        <v>33</v>
      </c>
      <c r="I58" s="835">
        <f>SUM(AF41)</f>
        <v>37</v>
      </c>
      <c r="J58" s="835">
        <f>SUM(AG41:AH41)</f>
        <v>16</v>
      </c>
      <c r="K58" s="837">
        <f>SUM(B58:J58)</f>
        <v>242</v>
      </c>
    </row>
    <row r="59" spans="1:11" ht="18.75" customHeight="1" x14ac:dyDescent="0.2">
      <c r="A59" s="1021"/>
      <c r="B59" s="838">
        <f t="shared" ref="B59:I59" si="43">B58/B$14</f>
        <v>0.16666666666666666</v>
      </c>
      <c r="C59" s="838">
        <f t="shared" si="43"/>
        <v>8.59375E-2</v>
      </c>
      <c r="D59" s="838">
        <f t="shared" si="43"/>
        <v>0.14529914529914531</v>
      </c>
      <c r="E59" s="838">
        <f t="shared" si="43"/>
        <v>0.11728395061728394</v>
      </c>
      <c r="F59" s="838">
        <f t="shared" si="43"/>
        <v>0.12413793103448276</v>
      </c>
      <c r="G59" s="838">
        <f t="shared" si="43"/>
        <v>0.1702127659574468</v>
      </c>
      <c r="H59" s="838">
        <f t="shared" si="43"/>
        <v>0.10185185185185185</v>
      </c>
      <c r="I59" s="838">
        <f t="shared" si="43"/>
        <v>0.23870967741935484</v>
      </c>
      <c r="J59" s="838">
        <f t="shared" ref="J59:K59" si="44">J58/J$14</f>
        <v>9.696969696969697E-2</v>
      </c>
      <c r="K59" s="838">
        <f t="shared" si="44"/>
        <v>0.13820673900628214</v>
      </c>
    </row>
    <row r="60" spans="1:11" ht="18.75" customHeight="1" x14ac:dyDescent="0.2">
      <c r="A60" s="1042" t="s">
        <v>378</v>
      </c>
      <c r="B60" s="835">
        <f>SUM(N42:P42)</f>
        <v>12</v>
      </c>
      <c r="C60" s="835">
        <f>SUM(Q42:R42)</f>
        <v>3</v>
      </c>
      <c r="D60" s="835">
        <f>SUM(S42:V42)</f>
        <v>12</v>
      </c>
      <c r="E60" s="835">
        <f>SUM(W42:Y42)</f>
        <v>5</v>
      </c>
      <c r="F60" s="835">
        <f>SUM(Z42:AA42)</f>
        <v>8</v>
      </c>
      <c r="G60" s="835">
        <f>SUM(AB42:AD42)</f>
        <v>34</v>
      </c>
      <c r="H60" s="835">
        <f>SUM(AE42)</f>
        <v>21</v>
      </c>
      <c r="I60" s="835">
        <f>SUM(AF42)</f>
        <v>21</v>
      </c>
      <c r="J60" s="835">
        <f>SUM(AG42:AH42)</f>
        <v>10</v>
      </c>
      <c r="K60" s="837">
        <f>SUM(B60:J60)</f>
        <v>126</v>
      </c>
    </row>
    <row r="61" spans="1:11" ht="18.75" customHeight="1" x14ac:dyDescent="0.2">
      <c r="A61" s="1043"/>
      <c r="B61" s="838">
        <f t="shared" ref="B61:I61" si="45">B60/B$14</f>
        <v>7.6923076923076927E-2</v>
      </c>
      <c r="C61" s="838">
        <f t="shared" si="45"/>
        <v>2.34375E-2</v>
      </c>
      <c r="D61" s="838">
        <f t="shared" si="45"/>
        <v>5.128205128205128E-2</v>
      </c>
      <c r="E61" s="838">
        <f t="shared" si="45"/>
        <v>3.0864197530864196E-2</v>
      </c>
      <c r="F61" s="838">
        <f t="shared" si="45"/>
        <v>5.5172413793103448E-2</v>
      </c>
      <c r="G61" s="838">
        <f t="shared" si="45"/>
        <v>0.12056737588652482</v>
      </c>
      <c r="H61" s="838">
        <f t="shared" si="45"/>
        <v>6.4814814814814811E-2</v>
      </c>
      <c r="I61" s="838">
        <f t="shared" si="45"/>
        <v>0.13548387096774195</v>
      </c>
      <c r="J61" s="838">
        <f t="shared" ref="J61:K61" si="46">J60/J$14</f>
        <v>6.0606060606060608E-2</v>
      </c>
      <c r="K61" s="838">
        <f t="shared" si="46"/>
        <v>7.1958880639634501E-2</v>
      </c>
    </row>
    <row r="62" spans="1:11" ht="18.75" customHeight="1" x14ac:dyDescent="0.2">
      <c r="A62" s="1020" t="s">
        <v>53</v>
      </c>
      <c r="B62" s="835">
        <f>SUM(N43:P43)</f>
        <v>9</v>
      </c>
      <c r="C62" s="835">
        <f>SUM(Q43:R43)</f>
        <v>4</v>
      </c>
      <c r="D62" s="835">
        <f>SUM(S43:V43)</f>
        <v>7</v>
      </c>
      <c r="E62" s="835">
        <f>SUM(W43:Y43)</f>
        <v>4</v>
      </c>
      <c r="F62" s="835">
        <f>SUM(Z43:AA43)</f>
        <v>3</v>
      </c>
      <c r="G62" s="835">
        <f>SUM(AB43:AD43)</f>
        <v>8</v>
      </c>
      <c r="H62" s="835">
        <f>SUM(AE43)</f>
        <v>9</v>
      </c>
      <c r="I62" s="835">
        <f>SUM(AF43)</f>
        <v>3</v>
      </c>
      <c r="J62" s="835">
        <f>SUM(AG43:AH43)</f>
        <v>4</v>
      </c>
      <c r="K62" s="837">
        <f>SUM(B62:J62)</f>
        <v>51</v>
      </c>
    </row>
    <row r="63" spans="1:11" ht="18.75" customHeight="1" x14ac:dyDescent="0.2">
      <c r="A63" s="1021"/>
      <c r="B63" s="838">
        <f t="shared" ref="B63:I63" si="47">B62/B$14</f>
        <v>5.7692307692307696E-2</v>
      </c>
      <c r="C63" s="838">
        <f t="shared" si="47"/>
        <v>3.125E-2</v>
      </c>
      <c r="D63" s="838">
        <f t="shared" si="47"/>
        <v>2.9914529914529916E-2</v>
      </c>
      <c r="E63" s="838">
        <f t="shared" si="47"/>
        <v>2.4691358024691357E-2</v>
      </c>
      <c r="F63" s="838">
        <f t="shared" si="47"/>
        <v>2.0689655172413793E-2</v>
      </c>
      <c r="G63" s="838">
        <f t="shared" si="47"/>
        <v>2.8368794326241134E-2</v>
      </c>
      <c r="H63" s="838">
        <f t="shared" si="47"/>
        <v>2.7777777777777776E-2</v>
      </c>
      <c r="I63" s="838">
        <f t="shared" si="47"/>
        <v>1.935483870967742E-2</v>
      </c>
      <c r="J63" s="838">
        <f t="shared" ref="J63:K63" si="48">J62/J$14</f>
        <v>2.4242424242424242E-2</v>
      </c>
      <c r="K63" s="838">
        <f t="shared" si="48"/>
        <v>2.9126213592233011E-2</v>
      </c>
    </row>
    <row r="64" spans="1:11" x14ac:dyDescent="0.2">
      <c r="B64" s="22"/>
      <c r="C64" s="22"/>
      <c r="D64" s="22"/>
      <c r="E64" s="22"/>
      <c r="F64" s="22"/>
      <c r="G64" s="22"/>
      <c r="H64" s="22"/>
      <c r="I64" s="22"/>
    </row>
    <row r="65" spans="1:10" x14ac:dyDescent="0.2">
      <c r="A65" s="465"/>
      <c r="B65" s="465"/>
      <c r="C65" s="465"/>
      <c r="D65" s="465"/>
      <c r="E65" s="465"/>
      <c r="F65" s="465"/>
      <c r="G65" s="465"/>
      <c r="H65" s="465"/>
      <c r="I65" s="465"/>
      <c r="J65" s="103"/>
    </row>
    <row r="66" spans="1:10" x14ac:dyDescent="0.2">
      <c r="A66" s="466"/>
      <c r="B66" s="129"/>
      <c r="C66" s="129"/>
      <c r="D66" s="129"/>
      <c r="E66" s="129"/>
      <c r="F66" s="129"/>
      <c r="G66" s="129"/>
      <c r="H66" s="129"/>
      <c r="I66" s="129"/>
      <c r="J66" s="103"/>
    </row>
    <row r="67" spans="1:10" x14ac:dyDescent="0.2">
      <c r="A67" s="103"/>
      <c r="B67" s="103"/>
      <c r="C67" s="103"/>
      <c r="D67" s="103"/>
      <c r="E67" s="103"/>
      <c r="F67" s="103"/>
      <c r="G67" s="103"/>
      <c r="H67" s="103"/>
      <c r="I67" s="103"/>
      <c r="J67" s="103"/>
    </row>
    <row r="68" spans="1:10" x14ac:dyDescent="0.2">
      <c r="A68" s="103"/>
      <c r="B68" s="103"/>
      <c r="C68" s="103"/>
      <c r="D68" s="103"/>
      <c r="E68" s="103"/>
      <c r="F68" s="103"/>
      <c r="G68" s="103"/>
      <c r="H68" s="103"/>
      <c r="I68" s="103"/>
      <c r="J68" s="103"/>
    </row>
    <row r="69" spans="1:10" x14ac:dyDescent="0.2">
      <c r="A69" s="103"/>
      <c r="B69" s="103"/>
      <c r="C69" s="103"/>
      <c r="D69" s="103"/>
      <c r="E69" s="103"/>
      <c r="F69" s="103"/>
      <c r="G69" s="103"/>
      <c r="H69" s="103"/>
      <c r="I69" s="103"/>
      <c r="J69" s="103"/>
    </row>
  </sheetData>
  <mergeCells count="25">
    <mergeCell ref="A24:A25"/>
    <mergeCell ref="A4:A5"/>
    <mergeCell ref="A6:A7"/>
    <mergeCell ref="A8:A9"/>
    <mergeCell ref="A14:A15"/>
    <mergeCell ref="A16:A17"/>
    <mergeCell ref="A48:A49"/>
    <mergeCell ref="A26:A27"/>
    <mergeCell ref="A28:A29"/>
    <mergeCell ref="A30:A31"/>
    <mergeCell ref="A32:A33"/>
    <mergeCell ref="A34:A35"/>
    <mergeCell ref="A36:A37"/>
    <mergeCell ref="A38:A39"/>
    <mergeCell ref="A40:A41"/>
    <mergeCell ref="A42:A43"/>
    <mergeCell ref="A44:A45"/>
    <mergeCell ref="A46:A47"/>
    <mergeCell ref="A50:A51"/>
    <mergeCell ref="A52:A53"/>
    <mergeCell ref="A54:A55"/>
    <mergeCell ref="A56:A57"/>
    <mergeCell ref="A62:A63"/>
    <mergeCell ref="A58:A59"/>
    <mergeCell ref="A60:A61"/>
  </mergeCells>
  <phoneticPr fontId="2"/>
  <pageMargins left="0.70866141732283472" right="0.70866141732283472" top="0.74803149606299213" bottom="0.74803149606299213" header="0.31496062992125984" footer="0.31496062992125984"/>
  <pageSetup paperSize="9" scale="63" orientation="portrait" r:id="rId1"/>
  <rowBreaks count="1" manualBreakCount="1">
    <brk id="20" max="10" man="1"/>
  </rowBreaks>
  <drawing r:id="rId2"/>
  <mc:AlternateContent xmlns:mc="http://schemas.openxmlformats.org/markup-compatibility/2006">
    <mc:Choice Requires="v">
      <legacyDrawing r:id="rId3"/>
    </mc:Choice>
  </mc:AlternateContent>
  <controls>
    <control shapeId="86018" r:id="rId4" name="Button 2">
      <controlPr defaultSize="0" print="0" autoFill="0" autoPict="0" macro="[0]!データ削除_退院阻害入院時住所地">
        <anchor moveWithCells="1" sizeWithCells="1">
          <from>
            <xdr:col>12</xdr:col>
            <xdr:colOff>121920</xdr:colOff>
            <xdr:row>45</xdr:row>
            <xdr:rowOff>213360</xdr:rowOff>
          </from>
          <to>
            <xdr:col>15</xdr:col>
            <xdr:colOff>335280</xdr:colOff>
            <xdr:row>48</xdr:row>
            <xdr:rowOff>106680</xdr:rowOff>
          </to>
        </anchor>
      </controlPr>
    </control>
  </controls>
  <tableParts count="3">
    <tablePart r:id="rId5"/>
    <tablePart r:id="rId6"/>
    <tablePart r:id="rId7"/>
  </tableParts>
</worksheet>
</file>

<file path=xl/worksheets/sheet3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4">
    <tabColor rgb="FF4D99BB"/>
    <pageSetUpPr fitToPage="1"/>
  </sheetPr>
  <dimension ref="A1:AX55"/>
  <sheetViews>
    <sheetView showGridLines="0" view="pageBreakPreview" zoomScale="80" zoomScaleNormal="80" zoomScaleSheetLayoutView="80" workbookViewId="0"/>
  </sheetViews>
  <sheetFormatPr defaultColWidth="13.77734375" defaultRowHeight="17.399999999999999" x14ac:dyDescent="0.2"/>
  <cols>
    <col min="1" max="1" width="10.44140625" style="396" customWidth="1"/>
    <col min="2" max="11" width="8.77734375" style="396" customWidth="1"/>
    <col min="12" max="13" width="7.21875" style="396" hidden="1" customWidth="1"/>
    <col min="14" max="14" width="10.33203125" style="396" hidden="1" customWidth="1"/>
    <col min="15" max="15" width="11" style="396" hidden="1" customWidth="1"/>
    <col min="16" max="17" width="12.88671875" style="396" hidden="1" customWidth="1"/>
    <col min="18" max="18" width="9.109375" style="396" hidden="1" customWidth="1"/>
    <col min="19" max="19" width="12.88671875" style="396" hidden="1" customWidth="1"/>
    <col min="20" max="20" width="14.77734375" style="396" hidden="1" customWidth="1"/>
    <col min="21" max="21" width="16.6640625" style="396" hidden="1" customWidth="1"/>
    <col min="22" max="23" width="12.88671875" style="396" hidden="1" customWidth="1"/>
    <col min="24" max="24" width="16.6640625" style="396" hidden="1" customWidth="1"/>
    <col min="25" max="25" width="14.77734375" style="396" hidden="1" customWidth="1"/>
    <col min="26" max="28" width="12.88671875" style="396" hidden="1" customWidth="1"/>
    <col min="29" max="32" width="11" style="396" hidden="1" customWidth="1"/>
    <col min="33" max="33" width="9.109375" style="396" hidden="1" customWidth="1"/>
    <col min="34" max="34" width="11" style="396" hidden="1" customWidth="1"/>
    <col min="35" max="35" width="14.77734375" style="396" hidden="1" customWidth="1"/>
    <col min="36" max="36" width="6.6640625" style="396" hidden="1" customWidth="1"/>
    <col min="37" max="48" width="6.33203125" style="396" hidden="1" customWidth="1"/>
    <col min="49" max="49" width="13.77734375" style="396" hidden="1" customWidth="1"/>
    <col min="50" max="16384" width="13.77734375" style="396"/>
  </cols>
  <sheetData>
    <row r="1" spans="1:47" s="3" customFormat="1" ht="19.2" x14ac:dyDescent="0.2">
      <c r="A1" s="2" t="s">
        <v>471</v>
      </c>
    </row>
    <row r="2" spans="1:47" x14ac:dyDescent="0.2">
      <c r="A2" s="4"/>
    </row>
    <row r="3" spans="1:47" ht="18" thickBot="1" x14ac:dyDescent="0.25">
      <c r="A3" s="1055" t="s">
        <v>472</v>
      </c>
      <c r="B3" s="1057" t="s">
        <v>473</v>
      </c>
      <c r="C3" s="1058"/>
      <c r="D3" s="1058"/>
      <c r="E3" s="1058"/>
      <c r="F3" s="1058"/>
      <c r="G3" s="1058"/>
      <c r="H3" s="1058"/>
      <c r="I3" s="1058"/>
      <c r="J3" s="1058"/>
      <c r="K3" s="1059"/>
      <c r="AL3" s="427" t="s">
        <v>474</v>
      </c>
      <c r="AM3" s="427"/>
    </row>
    <row r="4" spans="1:47" ht="33.6" thickTop="1" thickBot="1" x14ac:dyDescent="0.25">
      <c r="A4" s="1056"/>
      <c r="B4" s="846" t="s">
        <v>386</v>
      </c>
      <c r="C4" s="846" t="s">
        <v>387</v>
      </c>
      <c r="D4" s="846" t="s">
        <v>388</v>
      </c>
      <c r="E4" s="846" t="s">
        <v>389</v>
      </c>
      <c r="F4" s="846" t="s">
        <v>390</v>
      </c>
      <c r="G4" s="846" t="s">
        <v>391</v>
      </c>
      <c r="H4" s="846" t="s">
        <v>392</v>
      </c>
      <c r="I4" s="846" t="s">
        <v>393</v>
      </c>
      <c r="J4" s="847" t="s">
        <v>464</v>
      </c>
      <c r="K4" s="846" t="s">
        <v>62</v>
      </c>
      <c r="L4" s="42"/>
      <c r="M4" s="42"/>
      <c r="N4" s="558" t="s">
        <v>372</v>
      </c>
      <c r="O4" s="468" t="s">
        <v>394</v>
      </c>
      <c r="P4" s="468" t="s">
        <v>395</v>
      </c>
      <c r="Q4" s="468" t="s">
        <v>396</v>
      </c>
      <c r="R4" s="468" t="s">
        <v>397</v>
      </c>
      <c r="S4" s="468" t="s">
        <v>398</v>
      </c>
      <c r="T4" s="468" t="s">
        <v>399</v>
      </c>
      <c r="U4" s="468" t="s">
        <v>400</v>
      </c>
      <c r="V4" s="468" t="s">
        <v>401</v>
      </c>
      <c r="W4" s="468" t="s">
        <v>402</v>
      </c>
      <c r="X4" s="468" t="s">
        <v>403</v>
      </c>
      <c r="Y4" s="468" t="s">
        <v>564</v>
      </c>
      <c r="Z4" s="468" t="s">
        <v>565</v>
      </c>
      <c r="AA4" s="468" t="s">
        <v>566</v>
      </c>
      <c r="AB4" s="468" t="s">
        <v>567</v>
      </c>
      <c r="AC4" s="468" t="s">
        <v>568</v>
      </c>
      <c r="AD4" s="468" t="s">
        <v>569</v>
      </c>
      <c r="AE4" s="468" t="s">
        <v>570</v>
      </c>
      <c r="AF4" s="468" t="s">
        <v>571</v>
      </c>
      <c r="AG4" s="468" t="s">
        <v>572</v>
      </c>
      <c r="AH4" s="468" t="s">
        <v>652</v>
      </c>
      <c r="AI4" s="468" t="s">
        <v>653</v>
      </c>
      <c r="AJ4" s="42"/>
      <c r="AK4" s="42"/>
      <c r="AL4" s="42" t="s">
        <v>475</v>
      </c>
      <c r="AM4" s="42" t="s">
        <v>476</v>
      </c>
      <c r="AN4" s="42" t="s">
        <v>477</v>
      </c>
      <c r="AO4" s="42" t="s">
        <v>478</v>
      </c>
      <c r="AP4" s="42" t="s">
        <v>479</v>
      </c>
      <c r="AQ4" s="42" t="s">
        <v>480</v>
      </c>
      <c r="AR4" s="42" t="s">
        <v>481</v>
      </c>
      <c r="AS4" s="42" t="s">
        <v>482</v>
      </c>
      <c r="AT4" s="42" t="s">
        <v>483</v>
      </c>
      <c r="AU4" s="42"/>
    </row>
    <row r="5" spans="1:47" s="21" customFormat="1" ht="18" thickTop="1" x14ac:dyDescent="0.2">
      <c r="A5" s="1014" t="s">
        <v>386</v>
      </c>
      <c r="B5" s="852">
        <f t="shared" ref="B5:J5" si="0">SUM(AL5:AL7)</f>
        <v>833</v>
      </c>
      <c r="C5" s="852">
        <f t="shared" si="0"/>
        <v>72</v>
      </c>
      <c r="D5" s="852">
        <f t="shared" si="0"/>
        <v>34</v>
      </c>
      <c r="E5" s="852">
        <f t="shared" si="0"/>
        <v>13</v>
      </c>
      <c r="F5" s="852">
        <f t="shared" si="0"/>
        <v>10</v>
      </c>
      <c r="G5" s="852">
        <f t="shared" si="0"/>
        <v>4</v>
      </c>
      <c r="H5" s="852">
        <f t="shared" si="0"/>
        <v>378</v>
      </c>
      <c r="I5" s="852">
        <f t="shared" si="0"/>
        <v>8</v>
      </c>
      <c r="J5" s="852">
        <f t="shared" si="0"/>
        <v>279</v>
      </c>
      <c r="K5" s="853">
        <f>SUM(B5:J5)</f>
        <v>1631</v>
      </c>
      <c r="L5" s="276"/>
      <c r="M5" s="428"/>
      <c r="N5" s="512" t="s">
        <v>394</v>
      </c>
      <c r="O5" s="469">
        <v>188</v>
      </c>
      <c r="P5" s="469">
        <v>61</v>
      </c>
      <c r="Q5" s="469">
        <v>60</v>
      </c>
      <c r="R5" s="469">
        <v>17</v>
      </c>
      <c r="S5" s="469">
        <v>5</v>
      </c>
      <c r="T5" s="469">
        <v>2</v>
      </c>
      <c r="U5" s="469">
        <v>3</v>
      </c>
      <c r="V5" s="469">
        <v>2</v>
      </c>
      <c r="W5" s="469">
        <v>1</v>
      </c>
      <c r="X5" s="469">
        <v>1</v>
      </c>
      <c r="Y5" s="469">
        <v>1</v>
      </c>
      <c r="Z5" s="469"/>
      <c r="AA5" s="469"/>
      <c r="AB5" s="469"/>
      <c r="AC5" s="469"/>
      <c r="AD5" s="469"/>
      <c r="AE5" s="469">
        <v>1</v>
      </c>
      <c r="AF5" s="469">
        <v>59</v>
      </c>
      <c r="AG5" s="469">
        <v>1</v>
      </c>
      <c r="AH5" s="469">
        <v>102</v>
      </c>
      <c r="AI5" s="469">
        <v>4</v>
      </c>
      <c r="AJ5" s="276"/>
      <c r="AK5" s="251" t="s">
        <v>394</v>
      </c>
      <c r="AL5" s="429">
        <f t="shared" ref="AL5:AL23" si="1">SUM(O5:Q5)</f>
        <v>309</v>
      </c>
      <c r="AM5" s="431">
        <f t="shared" ref="AM5:AM23" si="2">SUM(R5:S5)</f>
        <v>22</v>
      </c>
      <c r="AN5" s="431">
        <f t="shared" ref="AN5:AN23" si="3">SUM(T5:W5)</f>
        <v>8</v>
      </c>
      <c r="AO5" s="431">
        <f t="shared" ref="AO5:AO23" si="4">SUM(X5:Z5)</f>
        <v>2</v>
      </c>
      <c r="AP5" s="431">
        <f t="shared" ref="AP5:AP23" si="5">SUM(AA5:AB5)</f>
        <v>0</v>
      </c>
      <c r="AQ5" s="431">
        <f t="shared" ref="AQ5:AQ23" si="6">SUM(AC5:AE5)</f>
        <v>1</v>
      </c>
      <c r="AR5" s="431">
        <f t="shared" ref="AR5:AR23" si="7">AF5</f>
        <v>59</v>
      </c>
      <c r="AS5" s="431">
        <f t="shared" ref="AS5:AS23" si="8">AG5</f>
        <v>1</v>
      </c>
      <c r="AT5" s="431">
        <f t="shared" ref="AT5:AT23" si="9">SUM(AH5:AI5)</f>
        <v>106</v>
      </c>
      <c r="AU5" s="276"/>
    </row>
    <row r="6" spans="1:47" s="21" customFormat="1" x14ac:dyDescent="0.2">
      <c r="A6" s="1036"/>
      <c r="B6" s="854">
        <f>B5/B$21</f>
        <v>0.70713073005093374</v>
      </c>
      <c r="C6" s="854">
        <f t="shared" ref="C6:K6" si="10">C5/C$21</f>
        <v>5.9308072487644151E-2</v>
      </c>
      <c r="D6" s="854">
        <f t="shared" si="10"/>
        <v>2.7597402597402596E-2</v>
      </c>
      <c r="E6" s="854">
        <f t="shared" si="10"/>
        <v>1.2048192771084338E-2</v>
      </c>
      <c r="F6" s="854">
        <f t="shared" si="10"/>
        <v>9.5057034220532317E-3</v>
      </c>
      <c r="G6" s="854">
        <f t="shared" si="10"/>
        <v>1.3360053440213762E-3</v>
      </c>
      <c r="H6" s="854">
        <f t="shared" si="10"/>
        <v>0.13423295454545456</v>
      </c>
      <c r="I6" s="854">
        <f t="shared" si="10"/>
        <v>5.6899004267425323E-3</v>
      </c>
      <c r="J6" s="854">
        <f t="shared" si="10"/>
        <v>0.23465096719932715</v>
      </c>
      <c r="K6" s="854">
        <f t="shared" si="10"/>
        <v>0.11518361581920904</v>
      </c>
      <c r="L6" s="276"/>
      <c r="M6" s="428"/>
      <c r="N6" s="512" t="s">
        <v>395</v>
      </c>
      <c r="O6" s="469">
        <v>53</v>
      </c>
      <c r="P6" s="469">
        <v>281</v>
      </c>
      <c r="Q6" s="469">
        <v>60</v>
      </c>
      <c r="R6" s="469">
        <v>24</v>
      </c>
      <c r="S6" s="469">
        <v>9</v>
      </c>
      <c r="T6" s="469">
        <v>5</v>
      </c>
      <c r="U6" s="469">
        <v>2</v>
      </c>
      <c r="V6" s="469">
        <v>7</v>
      </c>
      <c r="W6" s="469">
        <v>1</v>
      </c>
      <c r="X6" s="469">
        <v>8</v>
      </c>
      <c r="Y6" s="469"/>
      <c r="Z6" s="469"/>
      <c r="AA6" s="469">
        <v>1</v>
      </c>
      <c r="AB6" s="469">
        <v>5</v>
      </c>
      <c r="AC6" s="469"/>
      <c r="AD6" s="469"/>
      <c r="AE6" s="469"/>
      <c r="AF6" s="469">
        <v>261</v>
      </c>
      <c r="AG6" s="469">
        <v>5</v>
      </c>
      <c r="AH6" s="469">
        <v>128</v>
      </c>
      <c r="AI6" s="469">
        <v>1</v>
      </c>
      <c r="AJ6" s="276"/>
      <c r="AK6" s="251" t="s">
        <v>395</v>
      </c>
      <c r="AL6" s="428">
        <f t="shared" si="1"/>
        <v>394</v>
      </c>
      <c r="AM6" s="276">
        <f t="shared" si="2"/>
        <v>33</v>
      </c>
      <c r="AN6" s="276">
        <f t="shared" si="3"/>
        <v>15</v>
      </c>
      <c r="AO6" s="276">
        <f t="shared" si="4"/>
        <v>8</v>
      </c>
      <c r="AP6" s="276">
        <f t="shared" si="5"/>
        <v>6</v>
      </c>
      <c r="AQ6" s="276">
        <f t="shared" si="6"/>
        <v>0</v>
      </c>
      <c r="AR6" s="276">
        <f t="shared" si="7"/>
        <v>261</v>
      </c>
      <c r="AS6" s="276">
        <f t="shared" si="8"/>
        <v>5</v>
      </c>
      <c r="AT6" s="276">
        <f t="shared" si="9"/>
        <v>129</v>
      </c>
      <c r="AU6" s="276"/>
    </row>
    <row r="7" spans="1:47" s="21" customFormat="1" x14ac:dyDescent="0.2">
      <c r="A7" s="1014" t="s">
        <v>387</v>
      </c>
      <c r="B7" s="852">
        <f t="shared" ref="B7:J7" si="11">SUM(AL8:AL9)</f>
        <v>206</v>
      </c>
      <c r="C7" s="852">
        <f t="shared" si="11"/>
        <v>1056</v>
      </c>
      <c r="D7" s="852">
        <f t="shared" si="11"/>
        <v>125</v>
      </c>
      <c r="E7" s="852">
        <f t="shared" si="11"/>
        <v>27</v>
      </c>
      <c r="F7" s="852">
        <f t="shared" si="11"/>
        <v>4</v>
      </c>
      <c r="G7" s="852">
        <f t="shared" si="11"/>
        <v>6</v>
      </c>
      <c r="H7" s="852">
        <f t="shared" si="11"/>
        <v>248</v>
      </c>
      <c r="I7" s="852">
        <f t="shared" si="11"/>
        <v>10</v>
      </c>
      <c r="J7" s="852">
        <f t="shared" si="11"/>
        <v>171</v>
      </c>
      <c r="K7" s="853">
        <f>SUM(B7:J7)</f>
        <v>1853</v>
      </c>
      <c r="L7" s="276"/>
      <c r="M7" s="428"/>
      <c r="N7" s="512" t="s">
        <v>396</v>
      </c>
      <c r="O7" s="469">
        <v>8</v>
      </c>
      <c r="P7" s="469">
        <v>17</v>
      </c>
      <c r="Q7" s="469">
        <v>105</v>
      </c>
      <c r="R7" s="469">
        <v>14</v>
      </c>
      <c r="S7" s="469">
        <v>3</v>
      </c>
      <c r="T7" s="469">
        <v>3</v>
      </c>
      <c r="U7" s="469">
        <v>4</v>
      </c>
      <c r="V7" s="469">
        <v>1</v>
      </c>
      <c r="W7" s="469">
        <v>3</v>
      </c>
      <c r="X7" s="469">
        <v>2</v>
      </c>
      <c r="Y7" s="469">
        <v>1</v>
      </c>
      <c r="Z7" s="469"/>
      <c r="AA7" s="469">
        <v>2</v>
      </c>
      <c r="AB7" s="469">
        <v>2</v>
      </c>
      <c r="AC7" s="469"/>
      <c r="AD7" s="469">
        <v>3</v>
      </c>
      <c r="AE7" s="469"/>
      <c r="AF7" s="469">
        <v>58</v>
      </c>
      <c r="AG7" s="469">
        <v>2</v>
      </c>
      <c r="AH7" s="469">
        <v>39</v>
      </c>
      <c r="AI7" s="469">
        <v>5</v>
      </c>
      <c r="AJ7" s="276"/>
      <c r="AK7" s="251" t="s">
        <v>396</v>
      </c>
      <c r="AL7" s="428">
        <f t="shared" si="1"/>
        <v>130</v>
      </c>
      <c r="AM7" s="276">
        <f t="shared" si="2"/>
        <v>17</v>
      </c>
      <c r="AN7" s="276">
        <f t="shared" si="3"/>
        <v>11</v>
      </c>
      <c r="AO7" s="276">
        <f t="shared" si="4"/>
        <v>3</v>
      </c>
      <c r="AP7" s="276">
        <f t="shared" si="5"/>
        <v>4</v>
      </c>
      <c r="AQ7" s="276">
        <f t="shared" si="6"/>
        <v>3</v>
      </c>
      <c r="AR7" s="276">
        <f t="shared" si="7"/>
        <v>58</v>
      </c>
      <c r="AS7" s="276">
        <f t="shared" si="8"/>
        <v>2</v>
      </c>
      <c r="AT7" s="276">
        <f t="shared" si="9"/>
        <v>44</v>
      </c>
      <c r="AU7" s="276"/>
    </row>
    <row r="8" spans="1:47" s="21" customFormat="1" x14ac:dyDescent="0.2">
      <c r="A8" s="1036"/>
      <c r="B8" s="854">
        <f>B7/B$21</f>
        <v>0.17487266553480477</v>
      </c>
      <c r="C8" s="854">
        <f t="shared" ref="C8:K8" si="12">C7/C$21</f>
        <v>0.86985172981878089</v>
      </c>
      <c r="D8" s="854">
        <f t="shared" si="12"/>
        <v>0.10146103896103896</v>
      </c>
      <c r="E8" s="854">
        <f t="shared" si="12"/>
        <v>2.5023169601482854E-2</v>
      </c>
      <c r="F8" s="854">
        <f t="shared" si="12"/>
        <v>3.8022813688212928E-3</v>
      </c>
      <c r="G8" s="854">
        <f t="shared" si="12"/>
        <v>2.004008016032064E-3</v>
      </c>
      <c r="H8" s="854">
        <f t="shared" si="12"/>
        <v>8.8068181818181823E-2</v>
      </c>
      <c r="I8" s="854">
        <f t="shared" si="12"/>
        <v>7.1123755334281651E-3</v>
      </c>
      <c r="J8" s="854">
        <f t="shared" si="12"/>
        <v>0.1438183347350715</v>
      </c>
      <c r="K8" s="854">
        <f t="shared" si="12"/>
        <v>0.13086158192090394</v>
      </c>
      <c r="L8" s="276"/>
      <c r="M8" s="428"/>
      <c r="N8" s="512" t="s">
        <v>397</v>
      </c>
      <c r="O8" s="469">
        <v>37</v>
      </c>
      <c r="P8" s="469">
        <v>27</v>
      </c>
      <c r="Q8" s="469">
        <v>78</v>
      </c>
      <c r="R8" s="469">
        <v>445</v>
      </c>
      <c r="S8" s="469">
        <v>233</v>
      </c>
      <c r="T8" s="469">
        <v>29</v>
      </c>
      <c r="U8" s="469">
        <v>11</v>
      </c>
      <c r="V8" s="469">
        <v>18</v>
      </c>
      <c r="W8" s="469">
        <v>5</v>
      </c>
      <c r="X8" s="469">
        <v>17</v>
      </c>
      <c r="Y8" s="469">
        <v>4</v>
      </c>
      <c r="Z8" s="469">
        <v>1</v>
      </c>
      <c r="AA8" s="469">
        <v>2</v>
      </c>
      <c r="AB8" s="469">
        <v>1</v>
      </c>
      <c r="AC8" s="469">
        <v>2</v>
      </c>
      <c r="AD8" s="469">
        <v>1</v>
      </c>
      <c r="AE8" s="469">
        <v>1</v>
      </c>
      <c r="AF8" s="469">
        <v>165</v>
      </c>
      <c r="AG8" s="469">
        <v>8</v>
      </c>
      <c r="AH8" s="469">
        <v>121</v>
      </c>
      <c r="AI8" s="469">
        <v>1</v>
      </c>
      <c r="AJ8" s="276"/>
      <c r="AK8" s="251" t="s">
        <v>397</v>
      </c>
      <c r="AL8" s="428">
        <f t="shared" si="1"/>
        <v>142</v>
      </c>
      <c r="AM8" s="276">
        <f t="shared" si="2"/>
        <v>678</v>
      </c>
      <c r="AN8" s="276">
        <f t="shared" si="3"/>
        <v>63</v>
      </c>
      <c r="AO8" s="276">
        <f t="shared" si="4"/>
        <v>22</v>
      </c>
      <c r="AP8" s="276">
        <f t="shared" si="5"/>
        <v>3</v>
      </c>
      <c r="AQ8" s="276">
        <f t="shared" si="6"/>
        <v>4</v>
      </c>
      <c r="AR8" s="276">
        <f t="shared" si="7"/>
        <v>165</v>
      </c>
      <c r="AS8" s="276">
        <f t="shared" si="8"/>
        <v>8</v>
      </c>
      <c r="AT8" s="276">
        <f t="shared" si="9"/>
        <v>122</v>
      </c>
      <c r="AU8" s="276"/>
    </row>
    <row r="9" spans="1:47" s="21" customFormat="1" x14ac:dyDescent="0.2">
      <c r="A9" s="1014" t="s">
        <v>388</v>
      </c>
      <c r="B9" s="852">
        <f t="shared" ref="B9:J9" si="13">SUM(AL10:AL13)</f>
        <v>35</v>
      </c>
      <c r="C9" s="852">
        <f t="shared" si="13"/>
        <v>41</v>
      </c>
      <c r="D9" s="852">
        <f t="shared" si="13"/>
        <v>853</v>
      </c>
      <c r="E9" s="852">
        <f t="shared" si="13"/>
        <v>44</v>
      </c>
      <c r="F9" s="852">
        <f t="shared" si="13"/>
        <v>10</v>
      </c>
      <c r="G9" s="852">
        <f t="shared" si="13"/>
        <v>12</v>
      </c>
      <c r="H9" s="852">
        <f t="shared" si="13"/>
        <v>149</v>
      </c>
      <c r="I9" s="852">
        <f t="shared" si="13"/>
        <v>11</v>
      </c>
      <c r="J9" s="852">
        <f t="shared" si="13"/>
        <v>135</v>
      </c>
      <c r="K9" s="853">
        <f>SUM(B9:J9)</f>
        <v>1290</v>
      </c>
      <c r="L9" s="276"/>
      <c r="M9" s="428"/>
      <c r="N9" s="512" t="s">
        <v>398</v>
      </c>
      <c r="O9" s="469">
        <v>13</v>
      </c>
      <c r="P9" s="469">
        <v>15</v>
      </c>
      <c r="Q9" s="469">
        <v>36</v>
      </c>
      <c r="R9" s="469">
        <v>94</v>
      </c>
      <c r="S9" s="469">
        <v>284</v>
      </c>
      <c r="T9" s="469">
        <v>27</v>
      </c>
      <c r="U9" s="469">
        <v>15</v>
      </c>
      <c r="V9" s="469">
        <v>14</v>
      </c>
      <c r="W9" s="469">
        <v>6</v>
      </c>
      <c r="X9" s="469">
        <v>4</v>
      </c>
      <c r="Y9" s="469">
        <v>1</v>
      </c>
      <c r="Z9" s="469"/>
      <c r="AA9" s="469">
        <v>1</v>
      </c>
      <c r="AB9" s="469"/>
      <c r="AC9" s="469">
        <v>2</v>
      </c>
      <c r="AD9" s="469"/>
      <c r="AE9" s="469"/>
      <c r="AF9" s="469">
        <v>83</v>
      </c>
      <c r="AG9" s="469">
        <v>2</v>
      </c>
      <c r="AH9" s="469">
        <v>47</v>
      </c>
      <c r="AI9" s="469">
        <v>2</v>
      </c>
      <c r="AJ9" s="276"/>
      <c r="AK9" s="251" t="s">
        <v>398</v>
      </c>
      <c r="AL9" s="428">
        <f t="shared" si="1"/>
        <v>64</v>
      </c>
      <c r="AM9" s="276">
        <f t="shared" si="2"/>
        <v>378</v>
      </c>
      <c r="AN9" s="276">
        <f t="shared" si="3"/>
        <v>62</v>
      </c>
      <c r="AO9" s="276">
        <f t="shared" si="4"/>
        <v>5</v>
      </c>
      <c r="AP9" s="276">
        <f t="shared" si="5"/>
        <v>1</v>
      </c>
      <c r="AQ9" s="276">
        <f t="shared" si="6"/>
        <v>2</v>
      </c>
      <c r="AR9" s="276">
        <f t="shared" si="7"/>
        <v>83</v>
      </c>
      <c r="AS9" s="276">
        <f t="shared" si="8"/>
        <v>2</v>
      </c>
      <c r="AT9" s="276">
        <f t="shared" si="9"/>
        <v>49</v>
      </c>
      <c r="AU9" s="276"/>
    </row>
    <row r="10" spans="1:47" s="21" customFormat="1" x14ac:dyDescent="0.2">
      <c r="A10" s="1036"/>
      <c r="B10" s="854">
        <f>B9/B$21</f>
        <v>2.9711375212224108E-2</v>
      </c>
      <c r="C10" s="854">
        <f t="shared" ref="C10:K10" si="14">C9/C$21</f>
        <v>3.3772652388797363E-2</v>
      </c>
      <c r="D10" s="854">
        <f t="shared" si="14"/>
        <v>0.69237012987012991</v>
      </c>
      <c r="E10" s="854">
        <f t="shared" si="14"/>
        <v>4.077849860982391E-2</v>
      </c>
      <c r="F10" s="854">
        <f t="shared" si="14"/>
        <v>9.5057034220532317E-3</v>
      </c>
      <c r="G10" s="854">
        <f t="shared" si="14"/>
        <v>4.0080160320641279E-3</v>
      </c>
      <c r="H10" s="854">
        <f t="shared" si="14"/>
        <v>5.2911931818181816E-2</v>
      </c>
      <c r="I10" s="854">
        <f t="shared" si="14"/>
        <v>7.8236130867709811E-3</v>
      </c>
      <c r="J10" s="854">
        <f t="shared" si="14"/>
        <v>0.1135407905803196</v>
      </c>
      <c r="K10" s="854">
        <f t="shared" si="14"/>
        <v>9.110169491525423E-2</v>
      </c>
      <c r="L10" s="276"/>
      <c r="M10" s="428"/>
      <c r="N10" s="512" t="s">
        <v>399</v>
      </c>
      <c r="O10" s="469">
        <v>6</v>
      </c>
      <c r="P10" s="469">
        <v>16</v>
      </c>
      <c r="Q10" s="469">
        <v>7</v>
      </c>
      <c r="R10" s="469">
        <v>9</v>
      </c>
      <c r="S10" s="469">
        <v>25</v>
      </c>
      <c r="T10" s="469">
        <v>300</v>
      </c>
      <c r="U10" s="469">
        <v>62</v>
      </c>
      <c r="V10" s="469">
        <v>43</v>
      </c>
      <c r="W10" s="469">
        <v>47</v>
      </c>
      <c r="X10" s="469">
        <v>14</v>
      </c>
      <c r="Y10" s="469">
        <v>5</v>
      </c>
      <c r="Z10" s="469">
        <v>2</v>
      </c>
      <c r="AA10" s="469">
        <v>1</v>
      </c>
      <c r="AB10" s="469">
        <v>7</v>
      </c>
      <c r="AC10" s="469">
        <v>3</v>
      </c>
      <c r="AD10" s="469">
        <v>2</v>
      </c>
      <c r="AE10" s="469">
        <v>2</v>
      </c>
      <c r="AF10" s="469">
        <v>59</v>
      </c>
      <c r="AG10" s="469">
        <v>9</v>
      </c>
      <c r="AH10" s="469">
        <v>71</v>
      </c>
      <c r="AI10" s="469">
        <v>6</v>
      </c>
      <c r="AJ10" s="276"/>
      <c r="AK10" s="251" t="s">
        <v>399</v>
      </c>
      <c r="AL10" s="428">
        <f t="shared" si="1"/>
        <v>29</v>
      </c>
      <c r="AM10" s="276">
        <f t="shared" si="2"/>
        <v>34</v>
      </c>
      <c r="AN10" s="276">
        <f t="shared" si="3"/>
        <v>452</v>
      </c>
      <c r="AO10" s="276">
        <f t="shared" si="4"/>
        <v>21</v>
      </c>
      <c r="AP10" s="276">
        <f t="shared" si="5"/>
        <v>8</v>
      </c>
      <c r="AQ10" s="276">
        <f t="shared" si="6"/>
        <v>7</v>
      </c>
      <c r="AR10" s="276">
        <f t="shared" si="7"/>
        <v>59</v>
      </c>
      <c r="AS10" s="276">
        <f t="shared" si="8"/>
        <v>9</v>
      </c>
      <c r="AT10" s="276">
        <f t="shared" si="9"/>
        <v>77</v>
      </c>
      <c r="AU10" s="276"/>
    </row>
    <row r="11" spans="1:47" s="21" customFormat="1" x14ac:dyDescent="0.2">
      <c r="A11" s="1014" t="s">
        <v>389</v>
      </c>
      <c r="B11" s="852">
        <f t="shared" ref="B11:J11" si="15">SUM(AL14:AL16)</f>
        <v>10</v>
      </c>
      <c r="C11" s="852">
        <f t="shared" si="15"/>
        <v>2</v>
      </c>
      <c r="D11" s="852">
        <f t="shared" si="15"/>
        <v>61</v>
      </c>
      <c r="E11" s="852">
        <f t="shared" si="15"/>
        <v>747</v>
      </c>
      <c r="F11" s="852">
        <f t="shared" si="15"/>
        <v>42</v>
      </c>
      <c r="G11" s="852">
        <f t="shared" si="15"/>
        <v>7</v>
      </c>
      <c r="H11" s="852">
        <f t="shared" si="15"/>
        <v>328</v>
      </c>
      <c r="I11" s="852">
        <f t="shared" si="15"/>
        <v>10</v>
      </c>
      <c r="J11" s="852">
        <f t="shared" si="15"/>
        <v>41</v>
      </c>
      <c r="K11" s="853">
        <f>SUM(B11:J11)</f>
        <v>1248</v>
      </c>
      <c r="L11" s="276"/>
      <c r="M11" s="428"/>
      <c r="N11" s="512" t="s">
        <v>400</v>
      </c>
      <c r="O11" s="469">
        <v>1</v>
      </c>
      <c r="P11" s="469"/>
      <c r="Q11" s="469"/>
      <c r="R11" s="469">
        <v>1</v>
      </c>
      <c r="S11" s="469">
        <v>1</v>
      </c>
      <c r="T11" s="469">
        <v>15</v>
      </c>
      <c r="U11" s="469">
        <v>85</v>
      </c>
      <c r="V11" s="469">
        <v>23</v>
      </c>
      <c r="W11" s="469">
        <v>48</v>
      </c>
      <c r="X11" s="469">
        <v>6</v>
      </c>
      <c r="Y11" s="469">
        <v>1</v>
      </c>
      <c r="Z11" s="469"/>
      <c r="AA11" s="469"/>
      <c r="AB11" s="469"/>
      <c r="AC11" s="469">
        <v>1</v>
      </c>
      <c r="AD11" s="469">
        <v>2</v>
      </c>
      <c r="AE11" s="469">
        <v>2</v>
      </c>
      <c r="AF11" s="469">
        <v>20</v>
      </c>
      <c r="AG11" s="469">
        <v>2</v>
      </c>
      <c r="AH11" s="469">
        <v>12</v>
      </c>
      <c r="AI11" s="469"/>
      <c r="AJ11" s="276"/>
      <c r="AK11" s="251" t="s">
        <v>400</v>
      </c>
      <c r="AL11" s="428">
        <f t="shared" si="1"/>
        <v>1</v>
      </c>
      <c r="AM11" s="276">
        <f t="shared" si="2"/>
        <v>2</v>
      </c>
      <c r="AN11" s="276">
        <f t="shared" si="3"/>
        <v>171</v>
      </c>
      <c r="AO11" s="276">
        <f t="shared" si="4"/>
        <v>7</v>
      </c>
      <c r="AP11" s="276">
        <f t="shared" si="5"/>
        <v>0</v>
      </c>
      <c r="AQ11" s="276">
        <f t="shared" si="6"/>
        <v>5</v>
      </c>
      <c r="AR11" s="276">
        <f t="shared" si="7"/>
        <v>20</v>
      </c>
      <c r="AS11" s="276">
        <f t="shared" si="8"/>
        <v>2</v>
      </c>
      <c r="AT11" s="276">
        <f t="shared" si="9"/>
        <v>12</v>
      </c>
      <c r="AU11" s="276"/>
    </row>
    <row r="12" spans="1:47" s="21" customFormat="1" x14ac:dyDescent="0.2">
      <c r="A12" s="1036"/>
      <c r="B12" s="854">
        <f>B11/B$21</f>
        <v>8.4889643463497456E-3</v>
      </c>
      <c r="C12" s="854">
        <f t="shared" ref="C12:K12" si="16">C11/C$21</f>
        <v>1.6474464579901153E-3</v>
      </c>
      <c r="D12" s="854">
        <f t="shared" si="16"/>
        <v>4.9512987012987016E-2</v>
      </c>
      <c r="E12" s="854">
        <f t="shared" si="16"/>
        <v>0.69230769230769229</v>
      </c>
      <c r="F12" s="854">
        <f t="shared" si="16"/>
        <v>3.9923954372623575E-2</v>
      </c>
      <c r="G12" s="854">
        <f t="shared" si="16"/>
        <v>2.3380093520374082E-3</v>
      </c>
      <c r="H12" s="854">
        <f t="shared" si="16"/>
        <v>0.11647727272727272</v>
      </c>
      <c r="I12" s="854">
        <f t="shared" si="16"/>
        <v>7.1123755334281651E-3</v>
      </c>
      <c r="J12" s="854">
        <f t="shared" si="16"/>
        <v>3.4482758620689655E-2</v>
      </c>
      <c r="K12" s="854">
        <f t="shared" si="16"/>
        <v>8.8135593220338981E-2</v>
      </c>
      <c r="L12" s="276"/>
      <c r="M12" s="428"/>
      <c r="N12" s="512" t="s">
        <v>401</v>
      </c>
      <c r="O12" s="469">
        <v>1</v>
      </c>
      <c r="P12" s="469">
        <v>2</v>
      </c>
      <c r="Q12" s="469">
        <v>2</v>
      </c>
      <c r="R12" s="469">
        <v>1</v>
      </c>
      <c r="S12" s="469">
        <v>1</v>
      </c>
      <c r="T12" s="469">
        <v>5</v>
      </c>
      <c r="U12" s="469">
        <v>8</v>
      </c>
      <c r="V12" s="469">
        <v>110</v>
      </c>
      <c r="W12" s="469">
        <v>2</v>
      </c>
      <c r="X12" s="469">
        <v>5</v>
      </c>
      <c r="Y12" s="469">
        <v>1</v>
      </c>
      <c r="Z12" s="469"/>
      <c r="AA12" s="469">
        <v>1</v>
      </c>
      <c r="AB12" s="469">
        <v>1</v>
      </c>
      <c r="AC12" s="469"/>
      <c r="AD12" s="469"/>
      <c r="AE12" s="469"/>
      <c r="AF12" s="469">
        <v>60</v>
      </c>
      <c r="AG12" s="469"/>
      <c r="AH12" s="469">
        <v>8</v>
      </c>
      <c r="AI12" s="469">
        <v>1</v>
      </c>
      <c r="AJ12" s="276"/>
      <c r="AK12" s="251" t="s">
        <v>401</v>
      </c>
      <c r="AL12" s="428">
        <f t="shared" si="1"/>
        <v>5</v>
      </c>
      <c r="AM12" s="276">
        <f t="shared" si="2"/>
        <v>2</v>
      </c>
      <c r="AN12" s="276">
        <f t="shared" si="3"/>
        <v>125</v>
      </c>
      <c r="AO12" s="276">
        <f t="shared" si="4"/>
        <v>6</v>
      </c>
      <c r="AP12" s="276">
        <f t="shared" si="5"/>
        <v>2</v>
      </c>
      <c r="AQ12" s="276">
        <f t="shared" si="6"/>
        <v>0</v>
      </c>
      <c r="AR12" s="276">
        <f t="shared" si="7"/>
        <v>60</v>
      </c>
      <c r="AS12" s="276">
        <f t="shared" si="8"/>
        <v>0</v>
      </c>
      <c r="AT12" s="276">
        <f t="shared" si="9"/>
        <v>9</v>
      </c>
      <c r="AU12" s="276"/>
    </row>
    <row r="13" spans="1:47" s="21" customFormat="1" x14ac:dyDescent="0.2">
      <c r="A13" s="1014" t="s">
        <v>390</v>
      </c>
      <c r="B13" s="852">
        <f t="shared" ref="B13:J13" si="17">SUM(AL17:AL18)</f>
        <v>10</v>
      </c>
      <c r="C13" s="852">
        <f t="shared" si="17"/>
        <v>7</v>
      </c>
      <c r="D13" s="852">
        <f t="shared" si="17"/>
        <v>26</v>
      </c>
      <c r="E13" s="852">
        <f t="shared" si="17"/>
        <v>50</v>
      </c>
      <c r="F13" s="852">
        <f t="shared" si="17"/>
        <v>639</v>
      </c>
      <c r="G13" s="852">
        <f t="shared" si="17"/>
        <v>16</v>
      </c>
      <c r="H13" s="852">
        <f t="shared" si="17"/>
        <v>274</v>
      </c>
      <c r="I13" s="852">
        <f t="shared" si="17"/>
        <v>145</v>
      </c>
      <c r="J13" s="852">
        <f t="shared" si="17"/>
        <v>59</v>
      </c>
      <c r="K13" s="853">
        <f>SUM(B13:J13)</f>
        <v>1226</v>
      </c>
      <c r="L13" s="276"/>
      <c r="M13" s="428"/>
      <c r="N13" s="512" t="s">
        <v>402</v>
      </c>
      <c r="O13" s="469"/>
      <c r="P13" s="469"/>
      <c r="Q13" s="469"/>
      <c r="R13" s="469">
        <v>2</v>
      </c>
      <c r="S13" s="469">
        <v>1</v>
      </c>
      <c r="T13" s="469">
        <v>4</v>
      </c>
      <c r="U13" s="469">
        <v>11</v>
      </c>
      <c r="V13" s="469">
        <v>5</v>
      </c>
      <c r="W13" s="469">
        <v>85</v>
      </c>
      <c r="X13" s="469">
        <v>8</v>
      </c>
      <c r="Y13" s="469">
        <v>2</v>
      </c>
      <c r="Z13" s="469"/>
      <c r="AA13" s="469"/>
      <c r="AB13" s="469"/>
      <c r="AC13" s="469"/>
      <c r="AD13" s="469"/>
      <c r="AE13" s="469"/>
      <c r="AF13" s="469">
        <v>10</v>
      </c>
      <c r="AG13" s="469"/>
      <c r="AH13" s="469">
        <v>37</v>
      </c>
      <c r="AI13" s="469"/>
      <c r="AJ13" s="276"/>
      <c r="AK13" s="251" t="s">
        <v>402</v>
      </c>
      <c r="AL13" s="428">
        <f t="shared" si="1"/>
        <v>0</v>
      </c>
      <c r="AM13" s="276">
        <f t="shared" si="2"/>
        <v>3</v>
      </c>
      <c r="AN13" s="276">
        <f t="shared" si="3"/>
        <v>105</v>
      </c>
      <c r="AO13" s="276">
        <f t="shared" si="4"/>
        <v>10</v>
      </c>
      <c r="AP13" s="276">
        <f t="shared" si="5"/>
        <v>0</v>
      </c>
      <c r="AQ13" s="276">
        <f t="shared" si="6"/>
        <v>0</v>
      </c>
      <c r="AR13" s="276">
        <f t="shared" si="7"/>
        <v>10</v>
      </c>
      <c r="AS13" s="276">
        <f t="shared" si="8"/>
        <v>0</v>
      </c>
      <c r="AT13" s="276">
        <f t="shared" si="9"/>
        <v>37</v>
      </c>
      <c r="AU13" s="276"/>
    </row>
    <row r="14" spans="1:47" s="21" customFormat="1" x14ac:dyDescent="0.2">
      <c r="A14" s="1036"/>
      <c r="B14" s="854">
        <f>B13/B$21</f>
        <v>8.4889643463497456E-3</v>
      </c>
      <c r="C14" s="854">
        <f t="shared" ref="C14:K14" si="18">C13/C$21</f>
        <v>5.7660626029654039E-3</v>
      </c>
      <c r="D14" s="854">
        <f t="shared" si="18"/>
        <v>2.1103896103896104E-2</v>
      </c>
      <c r="E14" s="854">
        <f t="shared" si="18"/>
        <v>4.6339202965708988E-2</v>
      </c>
      <c r="F14" s="854">
        <f t="shared" si="18"/>
        <v>0.60741444866920147</v>
      </c>
      <c r="G14" s="854">
        <f t="shared" si="18"/>
        <v>5.3440213760855048E-3</v>
      </c>
      <c r="H14" s="854">
        <f t="shared" si="18"/>
        <v>9.7301136363636367E-2</v>
      </c>
      <c r="I14" s="854">
        <f t="shared" si="18"/>
        <v>0.10312944523470839</v>
      </c>
      <c r="J14" s="854">
        <f t="shared" si="18"/>
        <v>4.9621530698065602E-2</v>
      </c>
      <c r="K14" s="854">
        <f t="shared" si="18"/>
        <v>8.6581920903954807E-2</v>
      </c>
      <c r="L14" s="276"/>
      <c r="M14" s="428"/>
      <c r="N14" s="512" t="s">
        <v>403</v>
      </c>
      <c r="O14" s="469"/>
      <c r="P14" s="469">
        <v>3</v>
      </c>
      <c r="Q14" s="469"/>
      <c r="R14" s="469">
        <v>1</v>
      </c>
      <c r="S14" s="469"/>
      <c r="T14" s="469">
        <v>4</v>
      </c>
      <c r="U14" s="469">
        <v>9</v>
      </c>
      <c r="V14" s="469">
        <v>9</v>
      </c>
      <c r="W14" s="469">
        <v>21</v>
      </c>
      <c r="X14" s="469">
        <v>406</v>
      </c>
      <c r="Y14" s="469">
        <v>27</v>
      </c>
      <c r="Z14" s="469">
        <v>1</v>
      </c>
      <c r="AA14" s="469">
        <v>2</v>
      </c>
      <c r="AB14" s="469">
        <v>2</v>
      </c>
      <c r="AC14" s="469"/>
      <c r="AD14" s="469"/>
      <c r="AE14" s="469"/>
      <c r="AF14" s="469">
        <v>225</v>
      </c>
      <c r="AG14" s="469">
        <v>3</v>
      </c>
      <c r="AH14" s="469">
        <v>20</v>
      </c>
      <c r="AI14" s="469">
        <v>1</v>
      </c>
      <c r="AJ14" s="276"/>
      <c r="AK14" s="251" t="s">
        <v>403</v>
      </c>
      <c r="AL14" s="428">
        <f t="shared" si="1"/>
        <v>3</v>
      </c>
      <c r="AM14" s="276">
        <f t="shared" si="2"/>
        <v>1</v>
      </c>
      <c r="AN14" s="276">
        <f t="shared" si="3"/>
        <v>43</v>
      </c>
      <c r="AO14" s="276">
        <f t="shared" si="4"/>
        <v>434</v>
      </c>
      <c r="AP14" s="276">
        <f t="shared" si="5"/>
        <v>4</v>
      </c>
      <c r="AQ14" s="276">
        <f t="shared" si="6"/>
        <v>0</v>
      </c>
      <c r="AR14" s="276">
        <f t="shared" si="7"/>
        <v>225</v>
      </c>
      <c r="AS14" s="276">
        <f t="shared" si="8"/>
        <v>3</v>
      </c>
      <c r="AT14" s="276">
        <f t="shared" si="9"/>
        <v>21</v>
      </c>
      <c r="AU14" s="276"/>
    </row>
    <row r="15" spans="1:47" s="21" customFormat="1" x14ac:dyDescent="0.2">
      <c r="A15" s="1014" t="s">
        <v>391</v>
      </c>
      <c r="B15" s="852">
        <f t="shared" ref="B15:J15" si="19">SUM(AL19:AL21)</f>
        <v>45</v>
      </c>
      <c r="C15" s="852">
        <f t="shared" si="19"/>
        <v>23</v>
      </c>
      <c r="D15" s="852">
        <f t="shared" si="19"/>
        <v>104</v>
      </c>
      <c r="E15" s="852">
        <f t="shared" si="19"/>
        <v>122</v>
      </c>
      <c r="F15" s="852">
        <f t="shared" si="19"/>
        <v>120</v>
      </c>
      <c r="G15" s="852">
        <f t="shared" si="19"/>
        <v>2863</v>
      </c>
      <c r="H15" s="852">
        <f t="shared" si="19"/>
        <v>782</v>
      </c>
      <c r="I15" s="852">
        <f t="shared" si="19"/>
        <v>330</v>
      </c>
      <c r="J15" s="852">
        <f t="shared" si="19"/>
        <v>399</v>
      </c>
      <c r="K15" s="853">
        <f>SUM(B15:J15)</f>
        <v>4788</v>
      </c>
      <c r="L15" s="276"/>
      <c r="M15" s="428"/>
      <c r="N15" s="512" t="s">
        <v>564</v>
      </c>
      <c r="O15" s="469"/>
      <c r="P15" s="469">
        <v>1</v>
      </c>
      <c r="Q15" s="469">
        <v>1</v>
      </c>
      <c r="R15" s="469"/>
      <c r="S15" s="469"/>
      <c r="T15" s="469"/>
      <c r="U15" s="469">
        <v>2</v>
      </c>
      <c r="V15" s="469">
        <v>4</v>
      </c>
      <c r="W15" s="469">
        <v>2</v>
      </c>
      <c r="X15" s="469">
        <v>35</v>
      </c>
      <c r="Y15" s="469">
        <v>173</v>
      </c>
      <c r="Z15" s="469">
        <v>22</v>
      </c>
      <c r="AA15" s="469">
        <v>17</v>
      </c>
      <c r="AB15" s="469">
        <v>5</v>
      </c>
      <c r="AC15" s="469">
        <v>1</v>
      </c>
      <c r="AD15" s="469"/>
      <c r="AE15" s="469">
        <v>2</v>
      </c>
      <c r="AF15" s="469">
        <v>59</v>
      </c>
      <c r="AG15" s="469">
        <v>3</v>
      </c>
      <c r="AH15" s="469">
        <v>6</v>
      </c>
      <c r="AI15" s="469"/>
      <c r="AK15" s="251" t="s">
        <v>564</v>
      </c>
      <c r="AL15" s="276">
        <f t="shared" si="1"/>
        <v>2</v>
      </c>
      <c r="AM15" s="276">
        <f t="shared" si="2"/>
        <v>0</v>
      </c>
      <c r="AN15" s="276">
        <f t="shared" si="3"/>
        <v>8</v>
      </c>
      <c r="AO15" s="276">
        <f t="shared" si="4"/>
        <v>230</v>
      </c>
      <c r="AP15" s="276">
        <f t="shared" si="5"/>
        <v>22</v>
      </c>
      <c r="AQ15" s="276">
        <f t="shared" si="6"/>
        <v>3</v>
      </c>
      <c r="AR15" s="276">
        <f t="shared" si="7"/>
        <v>59</v>
      </c>
      <c r="AS15" s="276">
        <f t="shared" si="8"/>
        <v>3</v>
      </c>
      <c r="AT15" s="276">
        <f t="shared" si="9"/>
        <v>6</v>
      </c>
      <c r="AU15" s="276"/>
    </row>
    <row r="16" spans="1:47" s="21" customFormat="1" x14ac:dyDescent="0.2">
      <c r="A16" s="1036"/>
      <c r="B16" s="854">
        <f>B15/B$21</f>
        <v>3.8200339558573854E-2</v>
      </c>
      <c r="C16" s="854">
        <f t="shared" ref="C16:K16" si="20">C15/C$21</f>
        <v>1.8945634266886325E-2</v>
      </c>
      <c r="D16" s="854">
        <f t="shared" si="20"/>
        <v>8.4415584415584416E-2</v>
      </c>
      <c r="E16" s="854">
        <f t="shared" si="20"/>
        <v>0.11306765523632993</v>
      </c>
      <c r="F16" s="854">
        <f t="shared" si="20"/>
        <v>0.11406844106463879</v>
      </c>
      <c r="G16" s="854">
        <f t="shared" si="20"/>
        <v>0.95624582498329991</v>
      </c>
      <c r="H16" s="854">
        <f t="shared" si="20"/>
        <v>0.27769886363636365</v>
      </c>
      <c r="I16" s="854">
        <f t="shared" si="20"/>
        <v>0.23470839260312945</v>
      </c>
      <c r="J16" s="854">
        <f t="shared" si="20"/>
        <v>0.33557611438183349</v>
      </c>
      <c r="K16" s="854">
        <f t="shared" si="20"/>
        <v>0.33813559322033898</v>
      </c>
      <c r="L16" s="276"/>
      <c r="M16" s="428"/>
      <c r="N16" s="512" t="s">
        <v>565</v>
      </c>
      <c r="O16" s="469"/>
      <c r="P16" s="469">
        <v>4</v>
      </c>
      <c r="Q16" s="469">
        <v>1</v>
      </c>
      <c r="R16" s="469"/>
      <c r="S16" s="469">
        <v>1</v>
      </c>
      <c r="T16" s="469"/>
      <c r="U16" s="469">
        <v>4</v>
      </c>
      <c r="V16" s="469">
        <v>5</v>
      </c>
      <c r="W16" s="469">
        <v>1</v>
      </c>
      <c r="X16" s="469">
        <v>27</v>
      </c>
      <c r="Y16" s="469">
        <v>18</v>
      </c>
      <c r="Z16" s="469">
        <v>38</v>
      </c>
      <c r="AA16" s="469">
        <v>11</v>
      </c>
      <c r="AB16" s="469">
        <v>5</v>
      </c>
      <c r="AC16" s="469">
        <v>2</v>
      </c>
      <c r="AD16" s="469">
        <v>1</v>
      </c>
      <c r="AE16" s="469">
        <v>1</v>
      </c>
      <c r="AF16" s="469">
        <v>44</v>
      </c>
      <c r="AG16" s="469">
        <v>4</v>
      </c>
      <c r="AH16" s="469">
        <v>13</v>
      </c>
      <c r="AI16" s="469">
        <v>1</v>
      </c>
      <c r="AJ16" s="276"/>
      <c r="AK16" s="251" t="s">
        <v>565</v>
      </c>
      <c r="AL16" s="428">
        <f t="shared" si="1"/>
        <v>5</v>
      </c>
      <c r="AM16" s="276">
        <f t="shared" si="2"/>
        <v>1</v>
      </c>
      <c r="AN16" s="276">
        <f t="shared" si="3"/>
        <v>10</v>
      </c>
      <c r="AO16" s="276">
        <f t="shared" si="4"/>
        <v>83</v>
      </c>
      <c r="AP16" s="276">
        <f t="shared" si="5"/>
        <v>16</v>
      </c>
      <c r="AQ16" s="276">
        <f t="shared" si="6"/>
        <v>4</v>
      </c>
      <c r="AR16" s="276">
        <f t="shared" si="7"/>
        <v>44</v>
      </c>
      <c r="AS16" s="276">
        <f t="shared" si="8"/>
        <v>4</v>
      </c>
      <c r="AT16" s="276">
        <f t="shared" si="9"/>
        <v>14</v>
      </c>
      <c r="AU16" s="276"/>
    </row>
    <row r="17" spans="1:50" s="21" customFormat="1" x14ac:dyDescent="0.2">
      <c r="A17" s="1014" t="s">
        <v>484</v>
      </c>
      <c r="B17" s="852">
        <f t="shared" ref="B17:J17" si="21">AL22</f>
        <v>11</v>
      </c>
      <c r="C17" s="852">
        <f t="shared" si="21"/>
        <v>5</v>
      </c>
      <c r="D17" s="852">
        <f t="shared" si="21"/>
        <v>9</v>
      </c>
      <c r="E17" s="852">
        <f t="shared" si="21"/>
        <v>15</v>
      </c>
      <c r="F17" s="852">
        <f t="shared" si="21"/>
        <v>3</v>
      </c>
      <c r="G17" s="852">
        <f t="shared" si="21"/>
        <v>4</v>
      </c>
      <c r="H17" s="852">
        <f t="shared" si="21"/>
        <v>104</v>
      </c>
      <c r="I17" s="852">
        <f t="shared" si="21"/>
        <v>4</v>
      </c>
      <c r="J17" s="852">
        <f t="shared" si="21"/>
        <v>10</v>
      </c>
      <c r="K17" s="853">
        <f>SUM(B17:J17)</f>
        <v>165</v>
      </c>
      <c r="L17" s="276"/>
      <c r="M17" s="428"/>
      <c r="N17" s="512" t="s">
        <v>566</v>
      </c>
      <c r="O17" s="469">
        <v>3</v>
      </c>
      <c r="P17" s="469"/>
      <c r="Q17" s="469"/>
      <c r="R17" s="469">
        <v>1</v>
      </c>
      <c r="S17" s="469"/>
      <c r="T17" s="469"/>
      <c r="U17" s="469"/>
      <c r="V17" s="469">
        <v>5</v>
      </c>
      <c r="W17" s="469">
        <v>1</v>
      </c>
      <c r="X17" s="469">
        <v>9</v>
      </c>
      <c r="Y17" s="469">
        <v>7</v>
      </c>
      <c r="Z17" s="469">
        <v>6</v>
      </c>
      <c r="AA17" s="469">
        <v>180</v>
      </c>
      <c r="AB17" s="469">
        <v>18</v>
      </c>
      <c r="AC17" s="469">
        <v>1</v>
      </c>
      <c r="AD17" s="469"/>
      <c r="AE17" s="469"/>
      <c r="AF17" s="469">
        <v>168</v>
      </c>
      <c r="AG17" s="469">
        <v>17</v>
      </c>
      <c r="AH17" s="469">
        <v>10</v>
      </c>
      <c r="AI17" s="469">
        <v>3</v>
      </c>
      <c r="AJ17" s="276"/>
      <c r="AK17" s="251" t="s">
        <v>566</v>
      </c>
      <c r="AL17" s="428">
        <f t="shared" si="1"/>
        <v>3</v>
      </c>
      <c r="AM17" s="276">
        <f t="shared" si="2"/>
        <v>1</v>
      </c>
      <c r="AN17" s="276">
        <f t="shared" si="3"/>
        <v>6</v>
      </c>
      <c r="AO17" s="276">
        <f t="shared" si="4"/>
        <v>22</v>
      </c>
      <c r="AP17" s="276">
        <f t="shared" si="5"/>
        <v>198</v>
      </c>
      <c r="AQ17" s="276">
        <f t="shared" si="6"/>
        <v>1</v>
      </c>
      <c r="AR17" s="276">
        <f t="shared" si="7"/>
        <v>168</v>
      </c>
      <c r="AS17" s="276">
        <f t="shared" si="8"/>
        <v>17</v>
      </c>
      <c r="AT17" s="276">
        <f t="shared" si="9"/>
        <v>13</v>
      </c>
      <c r="AU17" s="276"/>
    </row>
    <row r="18" spans="1:50" s="21" customFormat="1" x14ac:dyDescent="0.2">
      <c r="A18" s="1036"/>
      <c r="B18" s="854">
        <f>B17/B$21</f>
        <v>9.3378607809847195E-3</v>
      </c>
      <c r="C18" s="854">
        <f t="shared" ref="C18:K18" si="22">C17/C$21</f>
        <v>4.1186161449752881E-3</v>
      </c>
      <c r="D18" s="854">
        <f t="shared" si="22"/>
        <v>7.305194805194805E-3</v>
      </c>
      <c r="E18" s="854">
        <f t="shared" si="22"/>
        <v>1.3901760889712697E-2</v>
      </c>
      <c r="F18" s="854">
        <f t="shared" si="22"/>
        <v>2.8517110266159697E-3</v>
      </c>
      <c r="G18" s="854">
        <f t="shared" si="22"/>
        <v>1.3360053440213762E-3</v>
      </c>
      <c r="H18" s="854">
        <f t="shared" si="22"/>
        <v>3.6931818181818184E-2</v>
      </c>
      <c r="I18" s="854">
        <f t="shared" si="22"/>
        <v>2.8449502133712661E-3</v>
      </c>
      <c r="J18" s="854">
        <f t="shared" si="22"/>
        <v>8.4104289318755257E-3</v>
      </c>
      <c r="K18" s="854">
        <f t="shared" si="22"/>
        <v>1.1652542372881356E-2</v>
      </c>
      <c r="L18" s="276"/>
      <c r="M18" s="428"/>
      <c r="N18" s="512" t="s">
        <v>567</v>
      </c>
      <c r="O18" s="469">
        <v>1</v>
      </c>
      <c r="P18" s="469">
        <v>6</v>
      </c>
      <c r="Q18" s="469"/>
      <c r="R18" s="469">
        <v>2</v>
      </c>
      <c r="S18" s="469">
        <v>4</v>
      </c>
      <c r="T18" s="469">
        <v>6</v>
      </c>
      <c r="U18" s="469">
        <v>4</v>
      </c>
      <c r="V18" s="469">
        <v>6</v>
      </c>
      <c r="W18" s="469">
        <v>4</v>
      </c>
      <c r="X18" s="469">
        <v>10</v>
      </c>
      <c r="Y18" s="469">
        <v>16</v>
      </c>
      <c r="Z18" s="469">
        <v>2</v>
      </c>
      <c r="AA18" s="469">
        <v>50</v>
      </c>
      <c r="AB18" s="469">
        <v>391</v>
      </c>
      <c r="AC18" s="469">
        <v>11</v>
      </c>
      <c r="AD18" s="469">
        <v>2</v>
      </c>
      <c r="AE18" s="469">
        <v>2</v>
      </c>
      <c r="AF18" s="469">
        <v>106</v>
      </c>
      <c r="AG18" s="469">
        <v>128</v>
      </c>
      <c r="AH18" s="469">
        <v>43</v>
      </c>
      <c r="AI18" s="469">
        <v>3</v>
      </c>
      <c r="AJ18" s="276"/>
      <c r="AK18" s="251" t="s">
        <v>567</v>
      </c>
      <c r="AL18" s="428">
        <f t="shared" si="1"/>
        <v>7</v>
      </c>
      <c r="AM18" s="276">
        <f t="shared" si="2"/>
        <v>6</v>
      </c>
      <c r="AN18" s="276">
        <f t="shared" si="3"/>
        <v>20</v>
      </c>
      <c r="AO18" s="276">
        <f t="shared" si="4"/>
        <v>28</v>
      </c>
      <c r="AP18" s="276">
        <f t="shared" si="5"/>
        <v>441</v>
      </c>
      <c r="AQ18" s="276">
        <f t="shared" si="6"/>
        <v>15</v>
      </c>
      <c r="AR18" s="276">
        <f t="shared" si="7"/>
        <v>106</v>
      </c>
      <c r="AS18" s="276">
        <f t="shared" si="8"/>
        <v>128</v>
      </c>
      <c r="AT18" s="276">
        <f t="shared" si="9"/>
        <v>46</v>
      </c>
      <c r="AU18" s="276"/>
    </row>
    <row r="19" spans="1:50" s="21" customFormat="1" x14ac:dyDescent="0.2">
      <c r="A19" s="1014" t="s">
        <v>485</v>
      </c>
      <c r="B19" s="852">
        <f t="shared" ref="B19:J19" si="23">AL23</f>
        <v>28</v>
      </c>
      <c r="C19" s="852">
        <f t="shared" si="23"/>
        <v>8</v>
      </c>
      <c r="D19" s="852">
        <f t="shared" si="23"/>
        <v>20</v>
      </c>
      <c r="E19" s="852">
        <f t="shared" si="23"/>
        <v>61</v>
      </c>
      <c r="F19" s="852">
        <f t="shared" si="23"/>
        <v>224</v>
      </c>
      <c r="G19" s="852">
        <f t="shared" si="23"/>
        <v>82</v>
      </c>
      <c r="H19" s="852">
        <f t="shared" si="23"/>
        <v>553</v>
      </c>
      <c r="I19" s="852">
        <f t="shared" si="23"/>
        <v>888</v>
      </c>
      <c r="J19" s="852">
        <f t="shared" si="23"/>
        <v>95</v>
      </c>
      <c r="K19" s="853">
        <f>SUM(B19:J19)</f>
        <v>1959</v>
      </c>
      <c r="L19" s="276"/>
      <c r="M19" s="428"/>
      <c r="N19" s="512" t="s">
        <v>568</v>
      </c>
      <c r="O19" s="469"/>
      <c r="P19" s="469">
        <v>6</v>
      </c>
      <c r="Q19" s="469">
        <v>10</v>
      </c>
      <c r="R19" s="469">
        <v>6</v>
      </c>
      <c r="S19" s="469">
        <v>2</v>
      </c>
      <c r="T19" s="469">
        <v>9</v>
      </c>
      <c r="U19" s="469">
        <v>5</v>
      </c>
      <c r="V19" s="469">
        <v>9</v>
      </c>
      <c r="W19" s="469">
        <v>8</v>
      </c>
      <c r="X19" s="469">
        <v>44</v>
      </c>
      <c r="Y19" s="469">
        <v>13</v>
      </c>
      <c r="Z19" s="469">
        <v>6</v>
      </c>
      <c r="AA19" s="469">
        <v>19</v>
      </c>
      <c r="AB19" s="469">
        <v>30</v>
      </c>
      <c r="AC19" s="469">
        <v>627</v>
      </c>
      <c r="AD19" s="469">
        <v>83</v>
      </c>
      <c r="AE19" s="469">
        <v>44</v>
      </c>
      <c r="AF19" s="469">
        <v>313</v>
      </c>
      <c r="AG19" s="469">
        <v>216</v>
      </c>
      <c r="AH19" s="469">
        <v>129</v>
      </c>
      <c r="AI19" s="469">
        <v>4</v>
      </c>
      <c r="AJ19" s="276"/>
      <c r="AK19" s="251" t="s">
        <v>568</v>
      </c>
      <c r="AL19" s="428">
        <f t="shared" si="1"/>
        <v>16</v>
      </c>
      <c r="AM19" s="276">
        <f t="shared" si="2"/>
        <v>8</v>
      </c>
      <c r="AN19" s="276">
        <f t="shared" si="3"/>
        <v>31</v>
      </c>
      <c r="AO19" s="276">
        <f t="shared" si="4"/>
        <v>63</v>
      </c>
      <c r="AP19" s="276">
        <f t="shared" si="5"/>
        <v>49</v>
      </c>
      <c r="AQ19" s="276">
        <f t="shared" si="6"/>
        <v>754</v>
      </c>
      <c r="AR19" s="276">
        <f t="shared" si="7"/>
        <v>313</v>
      </c>
      <c r="AS19" s="276">
        <f t="shared" si="8"/>
        <v>216</v>
      </c>
      <c r="AT19" s="276">
        <f t="shared" si="9"/>
        <v>133</v>
      </c>
      <c r="AU19" s="276"/>
    </row>
    <row r="20" spans="1:50" s="21" customFormat="1" x14ac:dyDescent="0.2">
      <c r="A20" s="1036"/>
      <c r="B20" s="854">
        <f>B19/B$21</f>
        <v>2.3769100169779286E-2</v>
      </c>
      <c r="C20" s="854">
        <f t="shared" ref="C20:K20" si="24">C19/C$21</f>
        <v>6.5897858319604614E-3</v>
      </c>
      <c r="D20" s="854">
        <f t="shared" si="24"/>
        <v>1.6233766233766232E-2</v>
      </c>
      <c r="E20" s="854">
        <f t="shared" si="24"/>
        <v>5.6533827618164965E-2</v>
      </c>
      <c r="F20" s="854">
        <f t="shared" si="24"/>
        <v>0.21292775665399238</v>
      </c>
      <c r="G20" s="854">
        <f t="shared" si="24"/>
        <v>2.7388109552438211E-2</v>
      </c>
      <c r="H20" s="854">
        <f t="shared" si="24"/>
        <v>0.19637784090909091</v>
      </c>
      <c r="I20" s="854">
        <f t="shared" si="24"/>
        <v>0.63157894736842102</v>
      </c>
      <c r="J20" s="854">
        <f t="shared" si="24"/>
        <v>7.9899074852817498E-2</v>
      </c>
      <c r="K20" s="854">
        <f t="shared" si="24"/>
        <v>0.13834745762711864</v>
      </c>
      <c r="L20" s="276"/>
      <c r="M20" s="428"/>
      <c r="N20" s="512" t="s">
        <v>569</v>
      </c>
      <c r="O20" s="469">
        <v>6</v>
      </c>
      <c r="P20" s="469">
        <v>13</v>
      </c>
      <c r="Q20" s="469">
        <v>7</v>
      </c>
      <c r="R20" s="469">
        <v>9</v>
      </c>
      <c r="S20" s="469">
        <v>3</v>
      </c>
      <c r="T20" s="469">
        <v>8</v>
      </c>
      <c r="U20" s="469">
        <v>6</v>
      </c>
      <c r="V20" s="469">
        <v>11</v>
      </c>
      <c r="W20" s="469">
        <v>13</v>
      </c>
      <c r="X20" s="469">
        <v>27</v>
      </c>
      <c r="Y20" s="469">
        <v>8</v>
      </c>
      <c r="Z20" s="469">
        <v>5</v>
      </c>
      <c r="AA20" s="469">
        <v>23</v>
      </c>
      <c r="AB20" s="469">
        <v>32</v>
      </c>
      <c r="AC20" s="469">
        <v>119</v>
      </c>
      <c r="AD20" s="469">
        <v>1005</v>
      </c>
      <c r="AE20" s="469">
        <v>154</v>
      </c>
      <c r="AF20" s="469">
        <v>349</v>
      </c>
      <c r="AG20" s="469">
        <v>90</v>
      </c>
      <c r="AH20" s="469">
        <v>138</v>
      </c>
      <c r="AI20" s="469">
        <v>44</v>
      </c>
      <c r="AJ20" s="276"/>
      <c r="AK20" s="251" t="s">
        <v>569</v>
      </c>
      <c r="AL20" s="428">
        <f t="shared" si="1"/>
        <v>26</v>
      </c>
      <c r="AM20" s="276">
        <f t="shared" si="2"/>
        <v>12</v>
      </c>
      <c r="AN20" s="276">
        <f t="shared" si="3"/>
        <v>38</v>
      </c>
      <c r="AO20" s="276">
        <f t="shared" si="4"/>
        <v>40</v>
      </c>
      <c r="AP20" s="276">
        <f t="shared" si="5"/>
        <v>55</v>
      </c>
      <c r="AQ20" s="276">
        <f t="shared" si="6"/>
        <v>1278</v>
      </c>
      <c r="AR20" s="276">
        <f t="shared" si="7"/>
        <v>349</v>
      </c>
      <c r="AS20" s="276">
        <f t="shared" si="8"/>
        <v>90</v>
      </c>
      <c r="AT20" s="276">
        <f t="shared" si="9"/>
        <v>182</v>
      </c>
      <c r="AU20" s="276"/>
    </row>
    <row r="21" spans="1:50" s="21" customFormat="1" x14ac:dyDescent="0.2">
      <c r="A21" s="1053" t="s">
        <v>11</v>
      </c>
      <c r="B21" s="855">
        <f>SUM(B5,B7,B9,B11,B13,B15,B17,B19)</f>
        <v>1178</v>
      </c>
      <c r="C21" s="855">
        <f t="shared" ref="C21:K22" si="25">SUM(C5,C7,C9,C11,C13,C15,C17,C19)</f>
        <v>1214</v>
      </c>
      <c r="D21" s="855">
        <f t="shared" si="25"/>
        <v>1232</v>
      </c>
      <c r="E21" s="855">
        <f t="shared" si="25"/>
        <v>1079</v>
      </c>
      <c r="F21" s="855">
        <f t="shared" si="25"/>
        <v>1052</v>
      </c>
      <c r="G21" s="855">
        <f t="shared" si="25"/>
        <v>2994</v>
      </c>
      <c r="H21" s="855">
        <f t="shared" si="25"/>
        <v>2816</v>
      </c>
      <c r="I21" s="855">
        <f t="shared" si="25"/>
        <v>1406</v>
      </c>
      <c r="J21" s="855">
        <f t="shared" si="25"/>
        <v>1189</v>
      </c>
      <c r="K21" s="855">
        <f t="shared" si="25"/>
        <v>14160</v>
      </c>
      <c r="L21" s="276"/>
      <c r="M21" s="428"/>
      <c r="N21" s="512" t="s">
        <v>570</v>
      </c>
      <c r="O21" s="469">
        <v>1</v>
      </c>
      <c r="P21" s="469">
        <v>2</v>
      </c>
      <c r="Q21" s="469"/>
      <c r="R21" s="469">
        <v>1</v>
      </c>
      <c r="S21" s="469">
        <v>2</v>
      </c>
      <c r="T21" s="469">
        <v>11</v>
      </c>
      <c r="U21" s="469">
        <v>6</v>
      </c>
      <c r="V21" s="469">
        <v>15</v>
      </c>
      <c r="W21" s="469">
        <v>3</v>
      </c>
      <c r="X21" s="469">
        <v>7</v>
      </c>
      <c r="Y21" s="469">
        <v>10</v>
      </c>
      <c r="Z21" s="469">
        <v>2</v>
      </c>
      <c r="AA21" s="469">
        <v>9</v>
      </c>
      <c r="AB21" s="469">
        <v>7</v>
      </c>
      <c r="AC21" s="469">
        <v>35</v>
      </c>
      <c r="AD21" s="469">
        <v>86</v>
      </c>
      <c r="AE21" s="469">
        <v>710</v>
      </c>
      <c r="AF21" s="469">
        <v>120</v>
      </c>
      <c r="AG21" s="469">
        <v>24</v>
      </c>
      <c r="AH21" s="469">
        <v>78</v>
      </c>
      <c r="AI21" s="469">
        <v>6</v>
      </c>
      <c r="AJ21" s="276"/>
      <c r="AK21" s="251" t="s">
        <v>570</v>
      </c>
      <c r="AL21" s="428">
        <f t="shared" si="1"/>
        <v>3</v>
      </c>
      <c r="AM21" s="276">
        <f t="shared" si="2"/>
        <v>3</v>
      </c>
      <c r="AN21" s="276">
        <f t="shared" si="3"/>
        <v>35</v>
      </c>
      <c r="AO21" s="276">
        <f t="shared" si="4"/>
        <v>19</v>
      </c>
      <c r="AP21" s="276">
        <f t="shared" si="5"/>
        <v>16</v>
      </c>
      <c r="AQ21" s="276">
        <f t="shared" si="6"/>
        <v>831</v>
      </c>
      <c r="AR21" s="276">
        <f t="shared" si="7"/>
        <v>120</v>
      </c>
      <c r="AS21" s="276">
        <f t="shared" si="8"/>
        <v>24</v>
      </c>
      <c r="AT21" s="276">
        <f t="shared" si="9"/>
        <v>84</v>
      </c>
      <c r="AU21" s="276"/>
    </row>
    <row r="22" spans="1:50" s="21" customFormat="1" x14ac:dyDescent="0.2">
      <c r="A22" s="1054"/>
      <c r="B22" s="856">
        <f>SUM(B6,B8,B10,B12,B14,B16,B18,B20)</f>
        <v>0.99999999999999989</v>
      </c>
      <c r="C22" s="856">
        <f t="shared" si="25"/>
        <v>1</v>
      </c>
      <c r="D22" s="856">
        <f t="shared" si="25"/>
        <v>1</v>
      </c>
      <c r="E22" s="856">
        <f t="shared" si="25"/>
        <v>1</v>
      </c>
      <c r="F22" s="856">
        <f t="shared" si="25"/>
        <v>1</v>
      </c>
      <c r="G22" s="856">
        <f t="shared" si="25"/>
        <v>0.99999999999999989</v>
      </c>
      <c r="H22" s="856">
        <f t="shared" si="25"/>
        <v>1</v>
      </c>
      <c r="I22" s="856">
        <f t="shared" si="25"/>
        <v>1</v>
      </c>
      <c r="J22" s="856">
        <f t="shared" si="25"/>
        <v>1</v>
      </c>
      <c r="K22" s="856">
        <f t="shared" si="25"/>
        <v>0.99999999999999989</v>
      </c>
      <c r="L22" s="276"/>
      <c r="M22" s="428"/>
      <c r="N22" s="512" t="s">
        <v>571</v>
      </c>
      <c r="O22" s="469">
        <v>1</v>
      </c>
      <c r="P22" s="469">
        <v>4</v>
      </c>
      <c r="Q22" s="469">
        <v>6</v>
      </c>
      <c r="R22" s="469">
        <v>4</v>
      </c>
      <c r="S22" s="469">
        <v>1</v>
      </c>
      <c r="T22" s="469">
        <v>1</v>
      </c>
      <c r="U22" s="469">
        <v>2</v>
      </c>
      <c r="V22" s="469">
        <v>3</v>
      </c>
      <c r="W22" s="469">
        <v>3</v>
      </c>
      <c r="X22" s="469">
        <v>9</v>
      </c>
      <c r="Y22" s="469">
        <v>6</v>
      </c>
      <c r="Z22" s="469"/>
      <c r="AA22" s="469">
        <v>3</v>
      </c>
      <c r="AB22" s="469"/>
      <c r="AC22" s="469">
        <v>3</v>
      </c>
      <c r="AD22" s="469"/>
      <c r="AE22" s="469">
        <v>1</v>
      </c>
      <c r="AF22" s="469">
        <v>104</v>
      </c>
      <c r="AG22" s="469">
        <v>4</v>
      </c>
      <c r="AH22" s="469">
        <v>10</v>
      </c>
      <c r="AI22" s="469"/>
      <c r="AJ22" s="276"/>
      <c r="AK22" s="251" t="s">
        <v>571</v>
      </c>
      <c r="AL22" s="428">
        <f t="shared" si="1"/>
        <v>11</v>
      </c>
      <c r="AM22" s="276">
        <f t="shared" si="2"/>
        <v>5</v>
      </c>
      <c r="AN22" s="276">
        <f t="shared" si="3"/>
        <v>9</v>
      </c>
      <c r="AO22" s="276">
        <f t="shared" si="4"/>
        <v>15</v>
      </c>
      <c r="AP22" s="276">
        <f t="shared" si="5"/>
        <v>3</v>
      </c>
      <c r="AQ22" s="276">
        <f t="shared" si="6"/>
        <v>4</v>
      </c>
      <c r="AR22" s="276">
        <f t="shared" si="7"/>
        <v>104</v>
      </c>
      <c r="AS22" s="276">
        <f t="shared" si="8"/>
        <v>4</v>
      </c>
      <c r="AT22" s="276">
        <f t="shared" si="9"/>
        <v>10</v>
      </c>
      <c r="AU22" s="276"/>
    </row>
    <row r="23" spans="1:50" x14ac:dyDescent="0.2">
      <c r="L23" s="42"/>
      <c r="M23" s="42"/>
      <c r="N23" s="507" t="s">
        <v>572</v>
      </c>
      <c r="O23" s="468">
        <v>9</v>
      </c>
      <c r="P23" s="468">
        <v>12</v>
      </c>
      <c r="Q23" s="468">
        <v>7</v>
      </c>
      <c r="R23" s="468">
        <v>5</v>
      </c>
      <c r="S23" s="468">
        <v>3</v>
      </c>
      <c r="T23" s="468">
        <v>6</v>
      </c>
      <c r="U23" s="468">
        <v>7</v>
      </c>
      <c r="V23" s="468">
        <v>3</v>
      </c>
      <c r="W23" s="468">
        <v>4</v>
      </c>
      <c r="X23" s="468">
        <v>39</v>
      </c>
      <c r="Y23" s="468">
        <v>15</v>
      </c>
      <c r="Z23" s="468">
        <v>7</v>
      </c>
      <c r="AA23" s="468">
        <v>157</v>
      </c>
      <c r="AB23" s="468">
        <v>67</v>
      </c>
      <c r="AC23" s="468">
        <v>49</v>
      </c>
      <c r="AD23" s="468">
        <v>22</v>
      </c>
      <c r="AE23" s="468">
        <v>11</v>
      </c>
      <c r="AF23" s="468">
        <v>553</v>
      </c>
      <c r="AG23" s="468">
        <v>888</v>
      </c>
      <c r="AH23" s="468">
        <v>86</v>
      </c>
      <c r="AI23" s="468">
        <v>9</v>
      </c>
      <c r="AJ23" s="276"/>
      <c r="AK23" s="251" t="s">
        <v>572</v>
      </c>
      <c r="AL23" s="428">
        <f t="shared" si="1"/>
        <v>28</v>
      </c>
      <c r="AM23" s="276">
        <f t="shared" si="2"/>
        <v>8</v>
      </c>
      <c r="AN23" s="276">
        <f t="shared" si="3"/>
        <v>20</v>
      </c>
      <c r="AO23" s="276">
        <f t="shared" si="4"/>
        <v>61</v>
      </c>
      <c r="AP23" s="276">
        <f t="shared" si="5"/>
        <v>224</v>
      </c>
      <c r="AQ23" s="276">
        <f t="shared" si="6"/>
        <v>82</v>
      </c>
      <c r="AR23" s="276">
        <f t="shared" si="7"/>
        <v>553</v>
      </c>
      <c r="AS23" s="276">
        <f t="shared" si="8"/>
        <v>888</v>
      </c>
      <c r="AT23" s="276">
        <f t="shared" si="9"/>
        <v>95</v>
      </c>
      <c r="AU23" s="42"/>
    </row>
    <row r="24" spans="1:50" s="3" customFormat="1" ht="19.2" x14ac:dyDescent="0.2">
      <c r="A24" s="2" t="s">
        <v>486</v>
      </c>
      <c r="L24" s="430"/>
      <c r="M24" s="430"/>
      <c r="N24" s="507"/>
      <c r="O24" s="469"/>
      <c r="P24" s="469"/>
      <c r="Q24" s="469"/>
      <c r="R24" s="469"/>
      <c r="S24" s="469"/>
      <c r="T24" s="469"/>
      <c r="U24" s="469"/>
      <c r="V24" s="469"/>
      <c r="W24" s="469"/>
      <c r="X24" s="469"/>
      <c r="Y24" s="469"/>
      <c r="Z24" s="469"/>
      <c r="AA24" s="469"/>
      <c r="AB24" s="469"/>
      <c r="AC24" s="469"/>
      <c r="AD24" s="469"/>
      <c r="AE24" s="469"/>
      <c r="AF24" s="469"/>
      <c r="AG24" s="469"/>
      <c r="AH24" s="469"/>
      <c r="AI24" s="469"/>
      <c r="AJ24" s="430"/>
      <c r="AK24" s="430"/>
      <c r="AL24" s="430"/>
      <c r="AM24" s="430"/>
      <c r="AN24" s="430"/>
      <c r="AO24" s="430"/>
      <c r="AP24" s="430"/>
      <c r="AQ24" s="430"/>
      <c r="AR24" s="430"/>
      <c r="AS24" s="430"/>
      <c r="AT24" s="430"/>
      <c r="AU24" s="430"/>
    </row>
    <row r="25" spans="1:50" x14ac:dyDescent="0.2">
      <c r="A25" s="4"/>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row>
    <row r="26" spans="1:50" ht="18" thickBot="1" x14ac:dyDescent="0.25">
      <c r="A26" s="1051" t="s">
        <v>472</v>
      </c>
      <c r="B26" s="1048" t="s">
        <v>473</v>
      </c>
      <c r="C26" s="1049"/>
      <c r="D26" s="1049"/>
      <c r="E26" s="1049"/>
      <c r="F26" s="1049"/>
      <c r="G26" s="1049"/>
      <c r="H26" s="1049"/>
      <c r="I26" s="1049"/>
      <c r="J26" s="1049"/>
      <c r="K26" s="1050"/>
      <c r="AK26" s="395"/>
      <c r="AL26" s="427" t="s">
        <v>474</v>
      </c>
      <c r="AM26" s="427"/>
    </row>
    <row r="27" spans="1:50" ht="33.6" thickTop="1" thickBot="1" x14ac:dyDescent="0.25">
      <c r="A27" s="1052"/>
      <c r="B27" s="848" t="s">
        <v>386</v>
      </c>
      <c r="C27" s="848" t="s">
        <v>387</v>
      </c>
      <c r="D27" s="848" t="s">
        <v>388</v>
      </c>
      <c r="E27" s="848" t="s">
        <v>389</v>
      </c>
      <c r="F27" s="848" t="s">
        <v>390</v>
      </c>
      <c r="G27" s="848" t="s">
        <v>391</v>
      </c>
      <c r="H27" s="848" t="s">
        <v>392</v>
      </c>
      <c r="I27" s="848" t="s">
        <v>393</v>
      </c>
      <c r="J27" s="849" t="s">
        <v>464</v>
      </c>
      <c r="K27" s="848" t="s">
        <v>62</v>
      </c>
      <c r="N27" s="564" t="s">
        <v>372</v>
      </c>
      <c r="O27" s="548" t="s">
        <v>394</v>
      </c>
      <c r="P27" s="548" t="s">
        <v>395</v>
      </c>
      <c r="Q27" s="548" t="s">
        <v>396</v>
      </c>
      <c r="R27" s="548" t="s">
        <v>397</v>
      </c>
      <c r="S27" s="548" t="s">
        <v>398</v>
      </c>
      <c r="T27" s="548" t="s">
        <v>399</v>
      </c>
      <c r="U27" s="548" t="s">
        <v>400</v>
      </c>
      <c r="V27" s="548" t="s">
        <v>401</v>
      </c>
      <c r="W27" s="548" t="s">
        <v>402</v>
      </c>
      <c r="X27" s="548" t="s">
        <v>403</v>
      </c>
      <c r="Y27" s="548" t="s">
        <v>564</v>
      </c>
      <c r="Z27" s="548" t="s">
        <v>565</v>
      </c>
      <c r="AA27" s="548" t="s">
        <v>566</v>
      </c>
      <c r="AB27" s="548" t="s">
        <v>567</v>
      </c>
      <c r="AC27" s="548" t="s">
        <v>568</v>
      </c>
      <c r="AD27" s="548" t="s">
        <v>569</v>
      </c>
      <c r="AE27" s="548" t="s">
        <v>570</v>
      </c>
      <c r="AF27" s="548" t="s">
        <v>571</v>
      </c>
      <c r="AG27" s="548" t="s">
        <v>572</v>
      </c>
      <c r="AH27" s="548" t="s">
        <v>652</v>
      </c>
      <c r="AI27" s="548" t="s">
        <v>653</v>
      </c>
      <c r="AJ27" s="548" t="s">
        <v>608</v>
      </c>
      <c r="AK27" s="42"/>
      <c r="AL27" s="42"/>
      <c r="AM27" s="42" t="s">
        <v>475</v>
      </c>
      <c r="AN27" s="42" t="s">
        <v>476</v>
      </c>
      <c r="AO27" s="42" t="s">
        <v>477</v>
      </c>
      <c r="AP27" s="42" t="s">
        <v>478</v>
      </c>
      <c r="AQ27" s="42" t="s">
        <v>479</v>
      </c>
      <c r="AR27" s="42" t="s">
        <v>480</v>
      </c>
      <c r="AS27" s="42" t="s">
        <v>481</v>
      </c>
      <c r="AT27" s="42" t="s">
        <v>482</v>
      </c>
      <c r="AU27" s="42" t="s">
        <v>483</v>
      </c>
      <c r="AV27" s="42"/>
      <c r="AW27" s="42"/>
      <c r="AX27" s="42"/>
    </row>
    <row r="28" spans="1:50" s="21" customFormat="1" ht="18" thickTop="1" x14ac:dyDescent="0.2">
      <c r="A28" s="1014" t="s">
        <v>386</v>
      </c>
      <c r="B28" s="852">
        <f>SUM(AM28:AM30)</f>
        <v>446</v>
      </c>
      <c r="C28" s="852">
        <f t="shared" ref="C28:I28" si="26">SUM(AN28:AN30)</f>
        <v>38</v>
      </c>
      <c r="D28" s="852">
        <f t="shared" si="26"/>
        <v>17</v>
      </c>
      <c r="E28" s="852">
        <f t="shared" si="26"/>
        <v>6</v>
      </c>
      <c r="F28" s="852">
        <f t="shared" si="26"/>
        <v>6</v>
      </c>
      <c r="G28" s="852">
        <f t="shared" si="26"/>
        <v>2</v>
      </c>
      <c r="H28" s="852">
        <f t="shared" si="26"/>
        <v>182</v>
      </c>
      <c r="I28" s="852">
        <f t="shared" si="26"/>
        <v>5</v>
      </c>
      <c r="J28" s="852">
        <f>SUM(AU28:AU30)</f>
        <v>167</v>
      </c>
      <c r="K28" s="853">
        <f>SUM(B28:J28)</f>
        <v>869</v>
      </c>
      <c r="M28" s="428"/>
      <c r="N28" s="567" t="s">
        <v>394</v>
      </c>
      <c r="O28" s="513">
        <v>125</v>
      </c>
      <c r="P28" s="513">
        <v>40</v>
      </c>
      <c r="Q28" s="513">
        <v>37</v>
      </c>
      <c r="R28" s="513">
        <v>10</v>
      </c>
      <c r="S28" s="513">
        <v>3</v>
      </c>
      <c r="T28" s="513">
        <v>2</v>
      </c>
      <c r="U28" s="513">
        <v>1</v>
      </c>
      <c r="V28" s="513">
        <v>1</v>
      </c>
      <c r="W28" s="513"/>
      <c r="X28" s="513">
        <v>1</v>
      </c>
      <c r="Y28" s="513"/>
      <c r="Z28" s="513"/>
      <c r="AA28" s="513"/>
      <c r="AB28" s="513"/>
      <c r="AC28" s="513"/>
      <c r="AD28" s="513"/>
      <c r="AE28" s="513">
        <v>1</v>
      </c>
      <c r="AF28" s="513">
        <v>40</v>
      </c>
      <c r="AG28" s="513">
        <v>1</v>
      </c>
      <c r="AH28" s="513">
        <v>73</v>
      </c>
      <c r="AI28" s="513">
        <v>4</v>
      </c>
      <c r="AJ28" s="513"/>
      <c r="AK28" s="428"/>
      <c r="AL28" s="251" t="s">
        <v>394</v>
      </c>
      <c r="AM28" s="429">
        <f>SUM(O28:Q28)</f>
        <v>202</v>
      </c>
      <c r="AN28" s="431">
        <f>SUM(R28:S28)</f>
        <v>13</v>
      </c>
      <c r="AO28" s="431">
        <f>SUM(T28:W28)</f>
        <v>4</v>
      </c>
      <c r="AP28" s="431">
        <f>SUM(X28:Z28)</f>
        <v>1</v>
      </c>
      <c r="AQ28" s="431">
        <f>SUM(AA28:AB28)</f>
        <v>0</v>
      </c>
      <c r="AR28" s="431">
        <f>SUM(AC28:AE28)</f>
        <v>1</v>
      </c>
      <c r="AS28" s="431">
        <f>AF28</f>
        <v>40</v>
      </c>
      <c r="AT28" s="431">
        <f>AG28</f>
        <v>1</v>
      </c>
      <c r="AU28" s="431">
        <f>SUM(AH28:AI28)</f>
        <v>77</v>
      </c>
      <c r="AV28" s="70">
        <f>SUM(AM28:AU28)</f>
        <v>339</v>
      </c>
    </row>
    <row r="29" spans="1:50" s="21" customFormat="1" x14ac:dyDescent="0.2">
      <c r="A29" s="1036"/>
      <c r="B29" s="854">
        <f>B28/B$44</f>
        <v>0.73234811165845648</v>
      </c>
      <c r="C29" s="854">
        <f t="shared" ref="C29:K29" si="27">C28/C$44</f>
        <v>6.0606060606060608E-2</v>
      </c>
      <c r="D29" s="854">
        <f t="shared" si="27"/>
        <v>2.9259896729776247E-2</v>
      </c>
      <c r="E29" s="854">
        <f t="shared" si="27"/>
        <v>1.1583011583011582E-2</v>
      </c>
      <c r="F29" s="854">
        <f t="shared" si="27"/>
        <v>1.0714285714285714E-2</v>
      </c>
      <c r="G29" s="854">
        <f t="shared" si="27"/>
        <v>1.0335917312661498E-3</v>
      </c>
      <c r="H29" s="854">
        <f t="shared" si="27"/>
        <v>0.1276297335203366</v>
      </c>
      <c r="I29" s="854">
        <f t="shared" si="27"/>
        <v>6.3856960408684551E-3</v>
      </c>
      <c r="J29" s="854">
        <f t="shared" si="27"/>
        <v>0.22971114167812931</v>
      </c>
      <c r="K29" s="854">
        <f t="shared" si="27"/>
        <v>0.11189801699716714</v>
      </c>
      <c r="M29" s="428"/>
      <c r="N29" s="547" t="s">
        <v>395</v>
      </c>
      <c r="O29" s="490">
        <v>21</v>
      </c>
      <c r="P29" s="490">
        <v>107</v>
      </c>
      <c r="Q29" s="490">
        <v>24</v>
      </c>
      <c r="R29" s="490">
        <v>12</v>
      </c>
      <c r="S29" s="490">
        <v>6</v>
      </c>
      <c r="T29" s="490">
        <v>3</v>
      </c>
      <c r="U29" s="490">
        <v>1</v>
      </c>
      <c r="V29" s="490">
        <v>3</v>
      </c>
      <c r="W29" s="490"/>
      <c r="X29" s="490">
        <v>4</v>
      </c>
      <c r="Y29" s="490"/>
      <c r="Z29" s="490"/>
      <c r="AA29" s="490">
        <v>1</v>
      </c>
      <c r="AB29" s="490">
        <v>1</v>
      </c>
      <c r="AC29" s="490"/>
      <c r="AD29" s="490"/>
      <c r="AE29" s="490"/>
      <c r="AF29" s="490">
        <v>97</v>
      </c>
      <c r="AG29" s="490">
        <v>2</v>
      </c>
      <c r="AH29" s="490">
        <v>61</v>
      </c>
      <c r="AI29" s="490"/>
      <c r="AJ29" s="513"/>
      <c r="AK29" s="428"/>
      <c r="AL29" s="251" t="s">
        <v>395</v>
      </c>
      <c r="AM29" s="428">
        <f t="shared" ref="AM29:AM44" si="28">SUM(O29:Q29)</f>
        <v>152</v>
      </c>
      <c r="AN29" s="276">
        <f t="shared" ref="AN29:AN44" si="29">SUM(R29:S29)</f>
        <v>18</v>
      </c>
      <c r="AO29" s="276">
        <f t="shared" ref="AO29:AO44" si="30">SUM(T29:W29)</f>
        <v>7</v>
      </c>
      <c r="AP29" s="276">
        <f t="shared" ref="AP29:AP44" si="31">SUM(X29:Z29)</f>
        <v>4</v>
      </c>
      <c r="AQ29" s="276">
        <f t="shared" ref="AQ29:AQ44" si="32">SUM(AA29:AB29)</f>
        <v>2</v>
      </c>
      <c r="AR29" s="276">
        <f t="shared" ref="AR29:AR44" si="33">SUM(AC29:AE29)</f>
        <v>0</v>
      </c>
      <c r="AS29" s="276">
        <f t="shared" ref="AS29:AS44" si="34">AF29</f>
        <v>97</v>
      </c>
      <c r="AT29" s="276">
        <f t="shared" ref="AT29:AT44" si="35">AG29</f>
        <v>2</v>
      </c>
      <c r="AU29" s="276">
        <f t="shared" ref="AU29:AU44" si="36">SUM(AH29:AI29)</f>
        <v>61</v>
      </c>
      <c r="AV29" s="70">
        <f t="shared" ref="AV29:AV47" si="37">SUM(AM29:AU29)</f>
        <v>343</v>
      </c>
    </row>
    <row r="30" spans="1:50" s="21" customFormat="1" x14ac:dyDescent="0.2">
      <c r="A30" s="1014" t="s">
        <v>387</v>
      </c>
      <c r="B30" s="852">
        <f>SUM(AM31:AM32)</f>
        <v>93</v>
      </c>
      <c r="C30" s="852">
        <f t="shared" ref="C30:J30" si="38">SUM(AN31:AN32)</f>
        <v>555</v>
      </c>
      <c r="D30" s="852">
        <f t="shared" si="38"/>
        <v>57</v>
      </c>
      <c r="E30" s="852">
        <f t="shared" si="38"/>
        <v>17</v>
      </c>
      <c r="F30" s="852">
        <f t="shared" si="38"/>
        <v>3</v>
      </c>
      <c r="G30" s="852">
        <f t="shared" si="38"/>
        <v>5</v>
      </c>
      <c r="H30" s="852">
        <f t="shared" si="38"/>
        <v>139</v>
      </c>
      <c r="I30" s="852">
        <f t="shared" si="38"/>
        <v>5</v>
      </c>
      <c r="J30" s="852">
        <f t="shared" si="38"/>
        <v>105</v>
      </c>
      <c r="K30" s="853">
        <f>SUM(B30:J30)</f>
        <v>979</v>
      </c>
      <c r="M30" s="428"/>
      <c r="N30" s="546" t="s">
        <v>396</v>
      </c>
      <c r="O30" s="513">
        <v>6</v>
      </c>
      <c r="P30" s="513">
        <v>11</v>
      </c>
      <c r="Q30" s="513">
        <v>75</v>
      </c>
      <c r="R30" s="513">
        <v>5</v>
      </c>
      <c r="S30" s="513">
        <v>2</v>
      </c>
      <c r="T30" s="513">
        <v>1</v>
      </c>
      <c r="U30" s="513">
        <v>3</v>
      </c>
      <c r="V30" s="513">
        <v>1</v>
      </c>
      <c r="W30" s="513">
        <v>1</v>
      </c>
      <c r="X30" s="513"/>
      <c r="Y30" s="513">
        <v>1</v>
      </c>
      <c r="Z30" s="513"/>
      <c r="AA30" s="513">
        <v>2</v>
      </c>
      <c r="AB30" s="513">
        <v>2</v>
      </c>
      <c r="AC30" s="513"/>
      <c r="AD30" s="513">
        <v>1</v>
      </c>
      <c r="AE30" s="513"/>
      <c r="AF30" s="513">
        <v>45</v>
      </c>
      <c r="AG30" s="513">
        <v>2</v>
      </c>
      <c r="AH30" s="513">
        <v>27</v>
      </c>
      <c r="AI30" s="513">
        <v>2</v>
      </c>
      <c r="AJ30" s="513"/>
      <c r="AK30" s="428"/>
      <c r="AL30" s="251" t="s">
        <v>396</v>
      </c>
      <c r="AM30" s="428">
        <f t="shared" si="28"/>
        <v>92</v>
      </c>
      <c r="AN30" s="276">
        <f t="shared" si="29"/>
        <v>7</v>
      </c>
      <c r="AO30" s="276">
        <f t="shared" si="30"/>
        <v>6</v>
      </c>
      <c r="AP30" s="276">
        <f t="shared" si="31"/>
        <v>1</v>
      </c>
      <c r="AQ30" s="276">
        <f t="shared" si="32"/>
        <v>4</v>
      </c>
      <c r="AR30" s="276">
        <f t="shared" si="33"/>
        <v>1</v>
      </c>
      <c r="AS30" s="276">
        <f t="shared" si="34"/>
        <v>45</v>
      </c>
      <c r="AT30" s="276">
        <f t="shared" si="35"/>
        <v>2</v>
      </c>
      <c r="AU30" s="276">
        <f t="shared" si="36"/>
        <v>29</v>
      </c>
      <c r="AV30" s="70">
        <f t="shared" si="37"/>
        <v>187</v>
      </c>
    </row>
    <row r="31" spans="1:50" s="21" customFormat="1" x14ac:dyDescent="0.2">
      <c r="A31" s="1036"/>
      <c r="B31" s="854">
        <f>B30/B$44</f>
        <v>0.15270935960591134</v>
      </c>
      <c r="C31" s="854">
        <f t="shared" ref="C31:K31" si="39">C30/C$44</f>
        <v>0.88516746411483249</v>
      </c>
      <c r="D31" s="854">
        <f t="shared" si="39"/>
        <v>9.8106712564543896E-2</v>
      </c>
      <c r="E31" s="854">
        <f t="shared" si="39"/>
        <v>3.2818532818532815E-2</v>
      </c>
      <c r="F31" s="854">
        <f t="shared" si="39"/>
        <v>5.3571428571428572E-3</v>
      </c>
      <c r="G31" s="854">
        <f t="shared" si="39"/>
        <v>2.5839793281653748E-3</v>
      </c>
      <c r="H31" s="854">
        <f t="shared" si="39"/>
        <v>9.7475455820476856E-2</v>
      </c>
      <c r="I31" s="854">
        <f t="shared" si="39"/>
        <v>6.3856960408684551E-3</v>
      </c>
      <c r="J31" s="854">
        <f t="shared" si="39"/>
        <v>0.14442916093535077</v>
      </c>
      <c r="K31" s="854">
        <f t="shared" si="39"/>
        <v>0.12606232294617564</v>
      </c>
      <c r="M31" s="428"/>
      <c r="N31" s="547" t="s">
        <v>397</v>
      </c>
      <c r="O31" s="490">
        <v>20</v>
      </c>
      <c r="P31" s="490">
        <v>15</v>
      </c>
      <c r="Q31" s="490">
        <v>41</v>
      </c>
      <c r="R31" s="490">
        <v>271</v>
      </c>
      <c r="S31" s="490">
        <v>128</v>
      </c>
      <c r="T31" s="490">
        <v>18</v>
      </c>
      <c r="U31" s="490">
        <v>8</v>
      </c>
      <c r="V31" s="490">
        <v>13</v>
      </c>
      <c r="W31" s="490">
        <v>3</v>
      </c>
      <c r="X31" s="490">
        <v>12</v>
      </c>
      <c r="Y31" s="490">
        <v>4</v>
      </c>
      <c r="Z31" s="490"/>
      <c r="AA31" s="490">
        <v>1</v>
      </c>
      <c r="AB31" s="490">
        <v>1</v>
      </c>
      <c r="AC31" s="490">
        <v>1</v>
      </c>
      <c r="AD31" s="490">
        <v>1</v>
      </c>
      <c r="AE31" s="490">
        <v>1</v>
      </c>
      <c r="AF31" s="490">
        <v>107</v>
      </c>
      <c r="AG31" s="490">
        <v>4</v>
      </c>
      <c r="AH31" s="490">
        <v>83</v>
      </c>
      <c r="AI31" s="490"/>
      <c r="AJ31" s="513"/>
      <c r="AK31" s="428"/>
      <c r="AL31" s="251" t="s">
        <v>397</v>
      </c>
      <c r="AM31" s="428">
        <f t="shared" si="28"/>
        <v>76</v>
      </c>
      <c r="AN31" s="276">
        <f t="shared" si="29"/>
        <v>399</v>
      </c>
      <c r="AO31" s="276">
        <f t="shared" si="30"/>
        <v>42</v>
      </c>
      <c r="AP31" s="276">
        <f t="shared" si="31"/>
        <v>16</v>
      </c>
      <c r="AQ31" s="276">
        <f t="shared" si="32"/>
        <v>2</v>
      </c>
      <c r="AR31" s="276">
        <f t="shared" si="33"/>
        <v>3</v>
      </c>
      <c r="AS31" s="276">
        <f t="shared" si="34"/>
        <v>107</v>
      </c>
      <c r="AT31" s="276">
        <f t="shared" si="35"/>
        <v>4</v>
      </c>
      <c r="AU31" s="276">
        <f t="shared" si="36"/>
        <v>83</v>
      </c>
      <c r="AV31" s="70">
        <f t="shared" si="37"/>
        <v>732</v>
      </c>
    </row>
    <row r="32" spans="1:50" s="21" customFormat="1" x14ac:dyDescent="0.2">
      <c r="A32" s="1014" t="s">
        <v>388</v>
      </c>
      <c r="B32" s="852">
        <f>SUM(AM33:AM36)</f>
        <v>15</v>
      </c>
      <c r="C32" s="852">
        <f t="shared" ref="C32:J32" si="40">SUM(AN33:AN36)</f>
        <v>16</v>
      </c>
      <c r="D32" s="852">
        <f t="shared" si="40"/>
        <v>392</v>
      </c>
      <c r="E32" s="852">
        <f t="shared" si="40"/>
        <v>24</v>
      </c>
      <c r="F32" s="852">
        <f t="shared" si="40"/>
        <v>4</v>
      </c>
      <c r="G32" s="852">
        <f t="shared" si="40"/>
        <v>9</v>
      </c>
      <c r="H32" s="852">
        <f t="shared" si="40"/>
        <v>78</v>
      </c>
      <c r="I32" s="852">
        <f t="shared" si="40"/>
        <v>7</v>
      </c>
      <c r="J32" s="852">
        <f t="shared" si="40"/>
        <v>83</v>
      </c>
      <c r="K32" s="853">
        <f>SUM(B32:J32)</f>
        <v>628</v>
      </c>
      <c r="M32" s="428"/>
      <c r="N32" s="546" t="s">
        <v>398</v>
      </c>
      <c r="O32" s="513">
        <v>1</v>
      </c>
      <c r="P32" s="513">
        <v>1</v>
      </c>
      <c r="Q32" s="513">
        <v>15</v>
      </c>
      <c r="R32" s="513">
        <v>36</v>
      </c>
      <c r="S32" s="513">
        <v>120</v>
      </c>
      <c r="T32" s="513">
        <v>9</v>
      </c>
      <c r="U32" s="513">
        <v>2</v>
      </c>
      <c r="V32" s="513">
        <v>3</v>
      </c>
      <c r="W32" s="513">
        <v>1</v>
      </c>
      <c r="X32" s="513">
        <v>1</v>
      </c>
      <c r="Y32" s="513"/>
      <c r="Z32" s="513"/>
      <c r="AA32" s="513">
        <v>1</v>
      </c>
      <c r="AB32" s="513"/>
      <c r="AC32" s="513">
        <v>2</v>
      </c>
      <c r="AD32" s="513"/>
      <c r="AE32" s="513"/>
      <c r="AF32" s="513">
        <v>32</v>
      </c>
      <c r="AG32" s="513">
        <v>1</v>
      </c>
      <c r="AH32" s="513">
        <v>22</v>
      </c>
      <c r="AI32" s="513"/>
      <c r="AJ32" s="513"/>
      <c r="AK32" s="428"/>
      <c r="AL32" s="251" t="s">
        <v>398</v>
      </c>
      <c r="AM32" s="428">
        <f t="shared" si="28"/>
        <v>17</v>
      </c>
      <c r="AN32" s="276">
        <f t="shared" si="29"/>
        <v>156</v>
      </c>
      <c r="AO32" s="276">
        <f t="shared" si="30"/>
        <v>15</v>
      </c>
      <c r="AP32" s="276">
        <f t="shared" si="31"/>
        <v>1</v>
      </c>
      <c r="AQ32" s="276">
        <f t="shared" si="32"/>
        <v>1</v>
      </c>
      <c r="AR32" s="276">
        <f t="shared" si="33"/>
        <v>2</v>
      </c>
      <c r="AS32" s="276">
        <f t="shared" si="34"/>
        <v>32</v>
      </c>
      <c r="AT32" s="276">
        <f t="shared" si="35"/>
        <v>1</v>
      </c>
      <c r="AU32" s="276">
        <f t="shared" si="36"/>
        <v>22</v>
      </c>
      <c r="AV32" s="70">
        <f t="shared" si="37"/>
        <v>247</v>
      </c>
    </row>
    <row r="33" spans="1:48" s="21" customFormat="1" x14ac:dyDescent="0.2">
      <c r="A33" s="1036"/>
      <c r="B33" s="854">
        <f>B32/B$44</f>
        <v>2.4630541871921183E-2</v>
      </c>
      <c r="C33" s="854">
        <f t="shared" ref="C33:K33" si="41">C32/C$44</f>
        <v>2.5518341307814992E-2</v>
      </c>
      <c r="D33" s="854">
        <f t="shared" si="41"/>
        <v>0.67469879518072284</v>
      </c>
      <c r="E33" s="854">
        <f t="shared" si="41"/>
        <v>4.633204633204633E-2</v>
      </c>
      <c r="F33" s="854">
        <f t="shared" si="41"/>
        <v>7.1428571428571426E-3</v>
      </c>
      <c r="G33" s="854">
        <f t="shared" si="41"/>
        <v>4.6511627906976744E-3</v>
      </c>
      <c r="H33" s="854">
        <f t="shared" si="41"/>
        <v>5.4698457223001401E-2</v>
      </c>
      <c r="I33" s="854">
        <f t="shared" si="41"/>
        <v>8.9399744572158362E-3</v>
      </c>
      <c r="J33" s="854">
        <f t="shared" si="41"/>
        <v>0.11416781292984869</v>
      </c>
      <c r="K33" s="854">
        <f t="shared" si="41"/>
        <v>8.0865310327066703E-2</v>
      </c>
      <c r="M33" s="428"/>
      <c r="N33" s="547" t="s">
        <v>399</v>
      </c>
      <c r="O33" s="490">
        <v>3</v>
      </c>
      <c r="P33" s="490">
        <v>8</v>
      </c>
      <c r="Q33" s="490">
        <v>2</v>
      </c>
      <c r="R33" s="490">
        <v>6</v>
      </c>
      <c r="S33" s="490">
        <v>8</v>
      </c>
      <c r="T33" s="490">
        <v>114</v>
      </c>
      <c r="U33" s="490">
        <v>22</v>
      </c>
      <c r="V33" s="490">
        <v>17</v>
      </c>
      <c r="W33" s="490">
        <v>15</v>
      </c>
      <c r="X33" s="490">
        <v>9</v>
      </c>
      <c r="Y33" s="490">
        <v>3</v>
      </c>
      <c r="Z33" s="490">
        <v>1</v>
      </c>
      <c r="AA33" s="490">
        <v>1</v>
      </c>
      <c r="AB33" s="490">
        <v>2</v>
      </c>
      <c r="AC33" s="490">
        <v>2</v>
      </c>
      <c r="AD33" s="490">
        <v>1</v>
      </c>
      <c r="AE33" s="490">
        <v>2</v>
      </c>
      <c r="AF33" s="490">
        <v>33</v>
      </c>
      <c r="AG33" s="490">
        <v>6</v>
      </c>
      <c r="AH33" s="490">
        <v>45</v>
      </c>
      <c r="AI33" s="490">
        <v>3</v>
      </c>
      <c r="AJ33" s="513"/>
      <c r="AK33" s="428"/>
      <c r="AL33" s="251" t="s">
        <v>399</v>
      </c>
      <c r="AM33" s="428">
        <f t="shared" si="28"/>
        <v>13</v>
      </c>
      <c r="AN33" s="276">
        <f t="shared" si="29"/>
        <v>14</v>
      </c>
      <c r="AO33" s="276">
        <f t="shared" si="30"/>
        <v>168</v>
      </c>
      <c r="AP33" s="276">
        <f t="shared" si="31"/>
        <v>13</v>
      </c>
      <c r="AQ33" s="276">
        <f t="shared" si="32"/>
        <v>3</v>
      </c>
      <c r="AR33" s="276">
        <f t="shared" si="33"/>
        <v>5</v>
      </c>
      <c r="AS33" s="276">
        <f t="shared" si="34"/>
        <v>33</v>
      </c>
      <c r="AT33" s="276">
        <f t="shared" si="35"/>
        <v>6</v>
      </c>
      <c r="AU33" s="276">
        <f t="shared" si="36"/>
        <v>48</v>
      </c>
      <c r="AV33" s="70">
        <f t="shared" si="37"/>
        <v>303</v>
      </c>
    </row>
    <row r="34" spans="1:48" s="21" customFormat="1" x14ac:dyDescent="0.2">
      <c r="A34" s="1014" t="s">
        <v>389</v>
      </c>
      <c r="B34" s="852">
        <f>SUM(AM37:AM39)</f>
        <v>4</v>
      </c>
      <c r="C34" s="852">
        <f t="shared" ref="C34:J34" si="42">SUM(AN37:AN39)</f>
        <v>1</v>
      </c>
      <c r="D34" s="852">
        <f t="shared" si="42"/>
        <v>23</v>
      </c>
      <c r="E34" s="852">
        <f t="shared" si="42"/>
        <v>331</v>
      </c>
      <c r="F34" s="852">
        <f t="shared" si="42"/>
        <v>11</v>
      </c>
      <c r="G34" s="852">
        <f t="shared" si="42"/>
        <v>4</v>
      </c>
      <c r="H34" s="852">
        <f t="shared" si="42"/>
        <v>132</v>
      </c>
      <c r="I34" s="852">
        <f t="shared" si="42"/>
        <v>7</v>
      </c>
      <c r="J34" s="852">
        <f t="shared" si="42"/>
        <v>22</v>
      </c>
      <c r="K34" s="853">
        <f>SUM(B34:J34)</f>
        <v>535</v>
      </c>
      <c r="M34" s="428"/>
      <c r="N34" s="546" t="s">
        <v>400</v>
      </c>
      <c r="O34" s="513">
        <v>1</v>
      </c>
      <c r="P34" s="513"/>
      <c r="Q34" s="513"/>
      <c r="R34" s="513"/>
      <c r="S34" s="513">
        <v>1</v>
      </c>
      <c r="T34" s="513">
        <v>7</v>
      </c>
      <c r="U34" s="513">
        <v>46</v>
      </c>
      <c r="V34" s="513">
        <v>11</v>
      </c>
      <c r="W34" s="513">
        <v>23</v>
      </c>
      <c r="X34" s="513">
        <v>3</v>
      </c>
      <c r="Y34" s="513">
        <v>1</v>
      </c>
      <c r="Z34" s="513"/>
      <c r="AA34" s="513"/>
      <c r="AB34" s="513"/>
      <c r="AC34" s="513">
        <v>1</v>
      </c>
      <c r="AD34" s="513">
        <v>2</v>
      </c>
      <c r="AE34" s="513">
        <v>1</v>
      </c>
      <c r="AF34" s="513">
        <v>8</v>
      </c>
      <c r="AG34" s="513">
        <v>1</v>
      </c>
      <c r="AH34" s="513">
        <v>9</v>
      </c>
      <c r="AI34" s="513"/>
      <c r="AJ34" s="513"/>
      <c r="AK34" s="428"/>
      <c r="AL34" s="251" t="s">
        <v>400</v>
      </c>
      <c r="AM34" s="428">
        <f t="shared" si="28"/>
        <v>1</v>
      </c>
      <c r="AN34" s="276">
        <f t="shared" si="29"/>
        <v>1</v>
      </c>
      <c r="AO34" s="276">
        <f t="shared" si="30"/>
        <v>87</v>
      </c>
      <c r="AP34" s="276">
        <f t="shared" si="31"/>
        <v>4</v>
      </c>
      <c r="AQ34" s="276">
        <f t="shared" si="32"/>
        <v>0</v>
      </c>
      <c r="AR34" s="276">
        <f t="shared" si="33"/>
        <v>4</v>
      </c>
      <c r="AS34" s="276">
        <f t="shared" si="34"/>
        <v>8</v>
      </c>
      <c r="AT34" s="276">
        <f t="shared" si="35"/>
        <v>1</v>
      </c>
      <c r="AU34" s="276">
        <f t="shared" si="36"/>
        <v>9</v>
      </c>
      <c r="AV34" s="70">
        <f t="shared" si="37"/>
        <v>115</v>
      </c>
    </row>
    <row r="35" spans="1:48" s="21" customFormat="1" x14ac:dyDescent="0.2">
      <c r="A35" s="1036"/>
      <c r="B35" s="854">
        <f>B34/B$44</f>
        <v>6.5681444991789817E-3</v>
      </c>
      <c r="C35" s="854">
        <f t="shared" ref="C35:K35" si="43">C34/C$44</f>
        <v>1.594896331738437E-3</v>
      </c>
      <c r="D35" s="854">
        <f t="shared" si="43"/>
        <v>3.9586919104991396E-2</v>
      </c>
      <c r="E35" s="854">
        <f t="shared" si="43"/>
        <v>0.63899613899613905</v>
      </c>
      <c r="F35" s="854">
        <f t="shared" si="43"/>
        <v>1.9642857142857142E-2</v>
      </c>
      <c r="G35" s="854">
        <f t="shared" si="43"/>
        <v>2.0671834625322996E-3</v>
      </c>
      <c r="H35" s="854">
        <f t="shared" si="43"/>
        <v>9.2566619915848525E-2</v>
      </c>
      <c r="I35" s="854">
        <f t="shared" si="43"/>
        <v>8.9399744572158362E-3</v>
      </c>
      <c r="J35" s="854">
        <f t="shared" si="43"/>
        <v>3.0261348005502064E-2</v>
      </c>
      <c r="K35" s="854">
        <f t="shared" si="43"/>
        <v>6.88900334792686E-2</v>
      </c>
      <c r="M35" s="428"/>
      <c r="N35" s="547" t="s">
        <v>401</v>
      </c>
      <c r="O35" s="490">
        <v>1</v>
      </c>
      <c r="P35" s="490"/>
      <c r="Q35" s="490"/>
      <c r="R35" s="490"/>
      <c r="S35" s="490">
        <v>1</v>
      </c>
      <c r="T35" s="490">
        <v>2</v>
      </c>
      <c r="U35" s="490">
        <v>5</v>
      </c>
      <c r="V35" s="490">
        <v>62</v>
      </c>
      <c r="W35" s="490">
        <v>1</v>
      </c>
      <c r="X35" s="490"/>
      <c r="Y35" s="490">
        <v>1</v>
      </c>
      <c r="Z35" s="490"/>
      <c r="AA35" s="490">
        <v>1</v>
      </c>
      <c r="AB35" s="490"/>
      <c r="AC35" s="490"/>
      <c r="AD35" s="490"/>
      <c r="AE35" s="490"/>
      <c r="AF35" s="490">
        <v>30</v>
      </c>
      <c r="AG35" s="490"/>
      <c r="AH35" s="490">
        <v>1</v>
      </c>
      <c r="AI35" s="490"/>
      <c r="AJ35" s="513"/>
      <c r="AK35" s="428"/>
      <c r="AL35" s="251" t="s">
        <v>401</v>
      </c>
      <c r="AM35" s="428">
        <f t="shared" si="28"/>
        <v>1</v>
      </c>
      <c r="AN35" s="276">
        <f t="shared" si="29"/>
        <v>1</v>
      </c>
      <c r="AO35" s="276">
        <f t="shared" si="30"/>
        <v>70</v>
      </c>
      <c r="AP35" s="276">
        <f t="shared" si="31"/>
        <v>1</v>
      </c>
      <c r="AQ35" s="276">
        <f t="shared" si="32"/>
        <v>1</v>
      </c>
      <c r="AR35" s="276">
        <f t="shared" si="33"/>
        <v>0</v>
      </c>
      <c r="AS35" s="276">
        <f t="shared" si="34"/>
        <v>30</v>
      </c>
      <c r="AT35" s="276">
        <f t="shared" si="35"/>
        <v>0</v>
      </c>
      <c r="AU35" s="276">
        <f t="shared" si="36"/>
        <v>1</v>
      </c>
      <c r="AV35" s="70">
        <f t="shared" si="37"/>
        <v>105</v>
      </c>
    </row>
    <row r="36" spans="1:48" s="21" customFormat="1" x14ac:dyDescent="0.2">
      <c r="A36" s="1014" t="s">
        <v>390</v>
      </c>
      <c r="B36" s="852">
        <f>SUM(AM40:AM41)</f>
        <v>6</v>
      </c>
      <c r="C36" s="852">
        <f t="shared" ref="C36:J36" si="44">SUM(AN40:AN41)</f>
        <v>4</v>
      </c>
      <c r="D36" s="852">
        <f t="shared" si="44"/>
        <v>13</v>
      </c>
      <c r="E36" s="852">
        <f t="shared" si="44"/>
        <v>31</v>
      </c>
      <c r="F36" s="852">
        <f t="shared" si="44"/>
        <v>355</v>
      </c>
      <c r="G36" s="852">
        <f t="shared" si="44"/>
        <v>9</v>
      </c>
      <c r="H36" s="852">
        <f t="shared" si="44"/>
        <v>142</v>
      </c>
      <c r="I36" s="852">
        <f t="shared" si="44"/>
        <v>82</v>
      </c>
      <c r="J36" s="852">
        <f t="shared" si="44"/>
        <v>39</v>
      </c>
      <c r="K36" s="853">
        <f>SUM(B36:J36)</f>
        <v>681</v>
      </c>
      <c r="M36" s="428"/>
      <c r="N36" s="546" t="s">
        <v>402</v>
      </c>
      <c r="O36" s="513"/>
      <c r="P36" s="513"/>
      <c r="Q36" s="513"/>
      <c r="R36" s="513"/>
      <c r="S36" s="513"/>
      <c r="T36" s="513">
        <v>3</v>
      </c>
      <c r="U36" s="513">
        <v>8</v>
      </c>
      <c r="V36" s="513">
        <v>4</v>
      </c>
      <c r="W36" s="513">
        <v>52</v>
      </c>
      <c r="X36" s="513">
        <v>6</v>
      </c>
      <c r="Y36" s="513"/>
      <c r="Z36" s="513"/>
      <c r="AA36" s="513"/>
      <c r="AB36" s="513"/>
      <c r="AC36" s="513"/>
      <c r="AD36" s="513"/>
      <c r="AE36" s="513"/>
      <c r="AF36" s="513">
        <v>7</v>
      </c>
      <c r="AG36" s="513"/>
      <c r="AH36" s="513">
        <v>25</v>
      </c>
      <c r="AI36" s="513"/>
      <c r="AJ36" s="513"/>
      <c r="AK36" s="428"/>
      <c r="AL36" s="251" t="s">
        <v>402</v>
      </c>
      <c r="AM36" s="428">
        <f t="shared" si="28"/>
        <v>0</v>
      </c>
      <c r="AN36" s="276">
        <f t="shared" si="29"/>
        <v>0</v>
      </c>
      <c r="AO36" s="276">
        <f t="shared" si="30"/>
        <v>67</v>
      </c>
      <c r="AP36" s="276">
        <f t="shared" si="31"/>
        <v>6</v>
      </c>
      <c r="AQ36" s="276">
        <f t="shared" si="32"/>
        <v>0</v>
      </c>
      <c r="AR36" s="276">
        <f t="shared" si="33"/>
        <v>0</v>
      </c>
      <c r="AS36" s="276">
        <f t="shared" si="34"/>
        <v>7</v>
      </c>
      <c r="AT36" s="276">
        <f t="shared" si="35"/>
        <v>0</v>
      </c>
      <c r="AU36" s="276">
        <f t="shared" si="36"/>
        <v>25</v>
      </c>
      <c r="AV36" s="70">
        <f t="shared" si="37"/>
        <v>105</v>
      </c>
    </row>
    <row r="37" spans="1:48" s="21" customFormat="1" x14ac:dyDescent="0.2">
      <c r="A37" s="1036"/>
      <c r="B37" s="854">
        <f>B36/B$44</f>
        <v>9.852216748768473E-3</v>
      </c>
      <c r="C37" s="854">
        <f t="shared" ref="C37:K37" si="45">C36/C$44</f>
        <v>6.379585326953748E-3</v>
      </c>
      <c r="D37" s="854">
        <f t="shared" si="45"/>
        <v>2.2375215146299483E-2</v>
      </c>
      <c r="E37" s="854">
        <f t="shared" si="45"/>
        <v>5.9845559845559844E-2</v>
      </c>
      <c r="F37" s="854">
        <f t="shared" si="45"/>
        <v>0.6339285714285714</v>
      </c>
      <c r="G37" s="854">
        <f t="shared" si="45"/>
        <v>4.6511627906976744E-3</v>
      </c>
      <c r="H37" s="854">
        <f t="shared" si="45"/>
        <v>9.957924263674614E-2</v>
      </c>
      <c r="I37" s="854">
        <f t="shared" si="45"/>
        <v>0.10472541507024266</v>
      </c>
      <c r="J37" s="854">
        <f t="shared" si="45"/>
        <v>5.364511691884457E-2</v>
      </c>
      <c r="K37" s="854">
        <f t="shared" si="45"/>
        <v>8.7689930466134436E-2</v>
      </c>
      <c r="M37" s="428"/>
      <c r="N37" s="547" t="s">
        <v>403</v>
      </c>
      <c r="O37" s="490"/>
      <c r="P37" s="490">
        <v>1</v>
      </c>
      <c r="Q37" s="490"/>
      <c r="R37" s="490">
        <v>1</v>
      </c>
      <c r="S37" s="490"/>
      <c r="T37" s="490"/>
      <c r="U37" s="490">
        <v>6</v>
      </c>
      <c r="V37" s="490">
        <v>3</v>
      </c>
      <c r="W37" s="490">
        <v>6</v>
      </c>
      <c r="X37" s="490">
        <v>197</v>
      </c>
      <c r="Y37" s="490">
        <v>16</v>
      </c>
      <c r="Z37" s="490">
        <v>1</v>
      </c>
      <c r="AA37" s="490"/>
      <c r="AB37" s="490">
        <v>2</v>
      </c>
      <c r="AC37" s="490"/>
      <c r="AD37" s="490"/>
      <c r="AE37" s="490"/>
      <c r="AF37" s="490">
        <v>90</v>
      </c>
      <c r="AG37" s="490">
        <v>3</v>
      </c>
      <c r="AH37" s="490">
        <v>12</v>
      </c>
      <c r="AI37" s="490"/>
      <c r="AJ37" s="513"/>
      <c r="AK37" s="428"/>
      <c r="AL37" s="251" t="s">
        <v>403</v>
      </c>
      <c r="AM37" s="428">
        <f t="shared" si="28"/>
        <v>1</v>
      </c>
      <c r="AN37" s="276">
        <f t="shared" si="29"/>
        <v>1</v>
      </c>
      <c r="AO37" s="276">
        <f t="shared" si="30"/>
        <v>15</v>
      </c>
      <c r="AP37" s="276">
        <f t="shared" si="31"/>
        <v>214</v>
      </c>
      <c r="AQ37" s="276">
        <f t="shared" si="32"/>
        <v>2</v>
      </c>
      <c r="AR37" s="276">
        <f t="shared" si="33"/>
        <v>0</v>
      </c>
      <c r="AS37" s="276">
        <f t="shared" si="34"/>
        <v>90</v>
      </c>
      <c r="AT37" s="276">
        <f t="shared" si="35"/>
        <v>3</v>
      </c>
      <c r="AU37" s="276">
        <f t="shared" si="36"/>
        <v>12</v>
      </c>
      <c r="AV37" s="70">
        <f t="shared" si="37"/>
        <v>338</v>
      </c>
    </row>
    <row r="38" spans="1:48" s="21" customFormat="1" x14ac:dyDescent="0.2">
      <c r="A38" s="1014" t="s">
        <v>391</v>
      </c>
      <c r="B38" s="852">
        <f>SUM(AM42:AM44)</f>
        <v>32</v>
      </c>
      <c r="C38" s="852">
        <f t="shared" ref="C38:J38" si="46">SUM(AN42:AN44)</f>
        <v>10</v>
      </c>
      <c r="D38" s="852">
        <f t="shared" si="46"/>
        <v>73</v>
      </c>
      <c r="E38" s="852">
        <f t="shared" si="46"/>
        <v>82</v>
      </c>
      <c r="F38" s="852">
        <f t="shared" si="46"/>
        <v>69</v>
      </c>
      <c r="G38" s="852">
        <f t="shared" si="46"/>
        <v>1879</v>
      </c>
      <c r="H38" s="852">
        <f t="shared" si="46"/>
        <v>493</v>
      </c>
      <c r="I38" s="852">
        <f t="shared" si="46"/>
        <v>195</v>
      </c>
      <c r="J38" s="852">
        <f t="shared" si="46"/>
        <v>262</v>
      </c>
      <c r="K38" s="853">
        <f>SUM(B38:J38)</f>
        <v>3095</v>
      </c>
      <c r="M38" s="428"/>
      <c r="N38" s="546" t="s">
        <v>564</v>
      </c>
      <c r="O38" s="513"/>
      <c r="P38" s="513"/>
      <c r="Q38" s="513">
        <v>1</v>
      </c>
      <c r="R38" s="513"/>
      <c r="S38" s="513"/>
      <c r="T38" s="513"/>
      <c r="U38" s="513"/>
      <c r="V38" s="513">
        <v>3</v>
      </c>
      <c r="W38" s="513">
        <v>1</v>
      </c>
      <c r="X38" s="513">
        <v>7</v>
      </c>
      <c r="Y38" s="513">
        <v>64</v>
      </c>
      <c r="Z38" s="513">
        <v>3</v>
      </c>
      <c r="AA38" s="513">
        <v>4</v>
      </c>
      <c r="AB38" s="513"/>
      <c r="AC38" s="513"/>
      <c r="AD38" s="513"/>
      <c r="AE38" s="513">
        <v>1</v>
      </c>
      <c r="AF38" s="513">
        <v>20</v>
      </c>
      <c r="AG38" s="513">
        <v>1</v>
      </c>
      <c r="AH38" s="513">
        <v>1</v>
      </c>
      <c r="AI38" s="513"/>
      <c r="AJ38" s="513"/>
      <c r="AK38" s="428"/>
      <c r="AL38" s="251" t="s">
        <v>564</v>
      </c>
      <c r="AM38" s="276">
        <f t="shared" si="28"/>
        <v>1</v>
      </c>
      <c r="AN38" s="276">
        <f t="shared" si="29"/>
        <v>0</v>
      </c>
      <c r="AO38" s="276">
        <f t="shared" si="30"/>
        <v>4</v>
      </c>
      <c r="AP38" s="276">
        <f t="shared" si="31"/>
        <v>74</v>
      </c>
      <c r="AQ38" s="276">
        <f t="shared" si="32"/>
        <v>4</v>
      </c>
      <c r="AR38" s="276">
        <f t="shared" si="33"/>
        <v>1</v>
      </c>
      <c r="AS38" s="276">
        <f t="shared" si="34"/>
        <v>20</v>
      </c>
      <c r="AT38" s="276">
        <f t="shared" si="35"/>
        <v>1</v>
      </c>
      <c r="AU38" s="276">
        <f t="shared" si="36"/>
        <v>1</v>
      </c>
      <c r="AV38" s="70">
        <f t="shared" si="37"/>
        <v>106</v>
      </c>
    </row>
    <row r="39" spans="1:48" s="21" customFormat="1" x14ac:dyDescent="0.2">
      <c r="A39" s="1036"/>
      <c r="B39" s="854">
        <f>B38/B$44</f>
        <v>5.2545155993431854E-2</v>
      </c>
      <c r="C39" s="854">
        <f t="shared" ref="C39:K39" si="47">C38/C$44</f>
        <v>1.5948963317384369E-2</v>
      </c>
      <c r="D39" s="854">
        <f t="shared" si="47"/>
        <v>0.12564543889845095</v>
      </c>
      <c r="E39" s="854">
        <f t="shared" si="47"/>
        <v>0.15830115830115829</v>
      </c>
      <c r="F39" s="854">
        <f t="shared" si="47"/>
        <v>0.12321428571428572</v>
      </c>
      <c r="G39" s="854">
        <f t="shared" si="47"/>
        <v>0.97105943152454777</v>
      </c>
      <c r="H39" s="854">
        <f t="shared" si="47"/>
        <v>0.34572230014025246</v>
      </c>
      <c r="I39" s="854">
        <f t="shared" si="47"/>
        <v>0.24904214559386972</v>
      </c>
      <c r="J39" s="854">
        <f t="shared" si="47"/>
        <v>0.36038514442916092</v>
      </c>
      <c r="K39" s="854">
        <f t="shared" si="47"/>
        <v>0.39853206283801185</v>
      </c>
      <c r="M39" s="428"/>
      <c r="N39" s="547" t="s">
        <v>565</v>
      </c>
      <c r="O39" s="490"/>
      <c r="P39" s="490">
        <v>1</v>
      </c>
      <c r="Q39" s="490">
        <v>1</v>
      </c>
      <c r="R39" s="490"/>
      <c r="S39" s="490"/>
      <c r="T39" s="490"/>
      <c r="U39" s="490">
        <v>2</v>
      </c>
      <c r="V39" s="490">
        <v>2</v>
      </c>
      <c r="W39" s="490"/>
      <c r="X39" s="490">
        <v>13</v>
      </c>
      <c r="Y39" s="490">
        <v>9</v>
      </c>
      <c r="Z39" s="490">
        <v>21</v>
      </c>
      <c r="AA39" s="490">
        <v>3</v>
      </c>
      <c r="AB39" s="490">
        <v>2</v>
      </c>
      <c r="AC39" s="490">
        <v>2</v>
      </c>
      <c r="AD39" s="490"/>
      <c r="AE39" s="490">
        <v>1</v>
      </c>
      <c r="AF39" s="490">
        <v>22</v>
      </c>
      <c r="AG39" s="490">
        <v>3</v>
      </c>
      <c r="AH39" s="490">
        <v>8</v>
      </c>
      <c r="AI39" s="490">
        <v>1</v>
      </c>
      <c r="AJ39" s="513"/>
      <c r="AK39" s="428"/>
      <c r="AL39" s="251" t="s">
        <v>565</v>
      </c>
      <c r="AM39" s="428">
        <f t="shared" si="28"/>
        <v>2</v>
      </c>
      <c r="AN39" s="276">
        <f t="shared" si="29"/>
        <v>0</v>
      </c>
      <c r="AO39" s="276">
        <f t="shared" si="30"/>
        <v>4</v>
      </c>
      <c r="AP39" s="276">
        <f t="shared" si="31"/>
        <v>43</v>
      </c>
      <c r="AQ39" s="276">
        <f t="shared" si="32"/>
        <v>5</v>
      </c>
      <c r="AR39" s="276">
        <f t="shared" si="33"/>
        <v>3</v>
      </c>
      <c r="AS39" s="276">
        <f t="shared" si="34"/>
        <v>22</v>
      </c>
      <c r="AT39" s="276">
        <f t="shared" si="35"/>
        <v>3</v>
      </c>
      <c r="AU39" s="276">
        <f t="shared" si="36"/>
        <v>9</v>
      </c>
      <c r="AV39" s="70">
        <f t="shared" si="37"/>
        <v>91</v>
      </c>
    </row>
    <row r="40" spans="1:48" s="21" customFormat="1" x14ac:dyDescent="0.2">
      <c r="A40" s="1014" t="s">
        <v>484</v>
      </c>
      <c r="B40" s="852">
        <f>AM45</f>
        <v>0</v>
      </c>
      <c r="C40" s="852">
        <f t="shared" ref="C40:J40" si="48">AN45</f>
        <v>0</v>
      </c>
      <c r="D40" s="852">
        <f t="shared" si="48"/>
        <v>0</v>
      </c>
      <c r="E40" s="852">
        <f t="shared" si="48"/>
        <v>0</v>
      </c>
      <c r="F40" s="852">
        <f t="shared" si="48"/>
        <v>0</v>
      </c>
      <c r="G40" s="852">
        <f t="shared" si="48"/>
        <v>0</v>
      </c>
      <c r="H40" s="852">
        <f t="shared" si="48"/>
        <v>0</v>
      </c>
      <c r="I40" s="852">
        <f t="shared" si="48"/>
        <v>0</v>
      </c>
      <c r="J40" s="852">
        <f t="shared" si="48"/>
        <v>0</v>
      </c>
      <c r="K40" s="853">
        <f>SUM(B40:J40)</f>
        <v>0</v>
      </c>
      <c r="M40" s="428"/>
      <c r="N40" s="546" t="s">
        <v>566</v>
      </c>
      <c r="O40" s="513">
        <v>3</v>
      </c>
      <c r="P40" s="513"/>
      <c r="Q40" s="513"/>
      <c r="R40" s="513">
        <v>1</v>
      </c>
      <c r="S40" s="513"/>
      <c r="T40" s="513"/>
      <c r="U40" s="513"/>
      <c r="V40" s="513">
        <v>2</v>
      </c>
      <c r="W40" s="513"/>
      <c r="X40" s="513">
        <v>6</v>
      </c>
      <c r="Y40" s="513">
        <v>3</v>
      </c>
      <c r="Z40" s="513">
        <v>5</v>
      </c>
      <c r="AA40" s="513">
        <v>116</v>
      </c>
      <c r="AB40" s="513">
        <v>11</v>
      </c>
      <c r="AC40" s="513">
        <v>1</v>
      </c>
      <c r="AD40" s="513"/>
      <c r="AE40" s="513"/>
      <c r="AF40" s="513">
        <v>92</v>
      </c>
      <c r="AG40" s="513">
        <v>11</v>
      </c>
      <c r="AH40" s="513">
        <v>10</v>
      </c>
      <c r="AI40" s="513">
        <v>2</v>
      </c>
      <c r="AJ40" s="513"/>
      <c r="AK40" s="428"/>
      <c r="AL40" s="251" t="s">
        <v>566</v>
      </c>
      <c r="AM40" s="428">
        <f t="shared" si="28"/>
        <v>3</v>
      </c>
      <c r="AN40" s="276">
        <f t="shared" si="29"/>
        <v>1</v>
      </c>
      <c r="AO40" s="276">
        <f t="shared" si="30"/>
        <v>2</v>
      </c>
      <c r="AP40" s="276">
        <f t="shared" si="31"/>
        <v>14</v>
      </c>
      <c r="AQ40" s="276">
        <f t="shared" si="32"/>
        <v>127</v>
      </c>
      <c r="AR40" s="276">
        <f t="shared" si="33"/>
        <v>1</v>
      </c>
      <c r="AS40" s="276">
        <f t="shared" si="34"/>
        <v>92</v>
      </c>
      <c r="AT40" s="276">
        <f t="shared" si="35"/>
        <v>11</v>
      </c>
      <c r="AU40" s="276">
        <f t="shared" si="36"/>
        <v>12</v>
      </c>
      <c r="AV40" s="70">
        <f t="shared" si="37"/>
        <v>263</v>
      </c>
    </row>
    <row r="41" spans="1:48" s="21" customFormat="1" x14ac:dyDescent="0.2">
      <c r="A41" s="1036"/>
      <c r="B41" s="854">
        <f>B40/B$44</f>
        <v>0</v>
      </c>
      <c r="C41" s="854">
        <f t="shared" ref="C41:K41" si="49">C40/C$44</f>
        <v>0</v>
      </c>
      <c r="D41" s="854">
        <f t="shared" si="49"/>
        <v>0</v>
      </c>
      <c r="E41" s="854">
        <f t="shared" si="49"/>
        <v>0</v>
      </c>
      <c r="F41" s="854">
        <f t="shared" si="49"/>
        <v>0</v>
      </c>
      <c r="G41" s="854">
        <f t="shared" si="49"/>
        <v>0</v>
      </c>
      <c r="H41" s="854">
        <f t="shared" si="49"/>
        <v>0</v>
      </c>
      <c r="I41" s="854">
        <f t="shared" si="49"/>
        <v>0</v>
      </c>
      <c r="J41" s="854">
        <f t="shared" si="49"/>
        <v>0</v>
      </c>
      <c r="K41" s="854">
        <f t="shared" si="49"/>
        <v>0</v>
      </c>
      <c r="M41" s="428"/>
      <c r="N41" s="547" t="s">
        <v>567</v>
      </c>
      <c r="O41" s="490"/>
      <c r="P41" s="490">
        <v>3</v>
      </c>
      <c r="Q41" s="490"/>
      <c r="R41" s="490">
        <v>2</v>
      </c>
      <c r="S41" s="490">
        <v>1</v>
      </c>
      <c r="T41" s="490">
        <v>4</v>
      </c>
      <c r="U41" s="490">
        <v>2</v>
      </c>
      <c r="V41" s="490">
        <v>4</v>
      </c>
      <c r="W41" s="490">
        <v>1</v>
      </c>
      <c r="X41" s="490">
        <v>6</v>
      </c>
      <c r="Y41" s="490">
        <v>11</v>
      </c>
      <c r="Z41" s="490"/>
      <c r="AA41" s="490">
        <v>27</v>
      </c>
      <c r="AB41" s="490">
        <v>201</v>
      </c>
      <c r="AC41" s="490">
        <v>5</v>
      </c>
      <c r="AD41" s="490">
        <v>1</v>
      </c>
      <c r="AE41" s="490">
        <v>2</v>
      </c>
      <c r="AF41" s="490">
        <v>50</v>
      </c>
      <c r="AG41" s="490">
        <v>71</v>
      </c>
      <c r="AH41" s="490">
        <v>25</v>
      </c>
      <c r="AI41" s="490">
        <v>2</v>
      </c>
      <c r="AJ41" s="513"/>
      <c r="AK41" s="428"/>
      <c r="AL41" s="251" t="s">
        <v>567</v>
      </c>
      <c r="AM41" s="428">
        <f t="shared" si="28"/>
        <v>3</v>
      </c>
      <c r="AN41" s="276">
        <f t="shared" si="29"/>
        <v>3</v>
      </c>
      <c r="AO41" s="276">
        <f t="shared" si="30"/>
        <v>11</v>
      </c>
      <c r="AP41" s="276">
        <f t="shared" si="31"/>
        <v>17</v>
      </c>
      <c r="AQ41" s="276">
        <f t="shared" si="32"/>
        <v>228</v>
      </c>
      <c r="AR41" s="276">
        <f t="shared" si="33"/>
        <v>8</v>
      </c>
      <c r="AS41" s="276">
        <f t="shared" si="34"/>
        <v>50</v>
      </c>
      <c r="AT41" s="276">
        <f t="shared" si="35"/>
        <v>71</v>
      </c>
      <c r="AU41" s="276">
        <f t="shared" si="36"/>
        <v>27</v>
      </c>
      <c r="AV41" s="70">
        <f t="shared" si="37"/>
        <v>418</v>
      </c>
    </row>
    <row r="42" spans="1:48" s="21" customFormat="1" x14ac:dyDescent="0.2">
      <c r="A42" s="1014" t="s">
        <v>485</v>
      </c>
      <c r="B42" s="852">
        <f>AM46</f>
        <v>13</v>
      </c>
      <c r="C42" s="852">
        <f t="shared" ref="C42:J42" si="50">AN46</f>
        <v>3</v>
      </c>
      <c r="D42" s="852">
        <f t="shared" si="50"/>
        <v>6</v>
      </c>
      <c r="E42" s="852">
        <f t="shared" si="50"/>
        <v>27</v>
      </c>
      <c r="F42" s="852">
        <f t="shared" si="50"/>
        <v>112</v>
      </c>
      <c r="G42" s="852">
        <f t="shared" si="50"/>
        <v>27</v>
      </c>
      <c r="H42" s="852">
        <f t="shared" si="50"/>
        <v>260</v>
      </c>
      <c r="I42" s="852">
        <f t="shared" si="50"/>
        <v>482</v>
      </c>
      <c r="J42" s="852">
        <f t="shared" si="50"/>
        <v>49</v>
      </c>
      <c r="K42" s="853">
        <f>SUM(B42:J42)</f>
        <v>979</v>
      </c>
      <c r="M42" s="428"/>
      <c r="N42" s="546" t="s">
        <v>568</v>
      </c>
      <c r="O42" s="513"/>
      <c r="P42" s="513">
        <v>3</v>
      </c>
      <c r="Q42" s="513">
        <v>7</v>
      </c>
      <c r="R42" s="513">
        <v>2</v>
      </c>
      <c r="S42" s="513">
        <v>2</v>
      </c>
      <c r="T42" s="513">
        <v>6</v>
      </c>
      <c r="U42" s="513">
        <v>4</v>
      </c>
      <c r="V42" s="513">
        <v>5</v>
      </c>
      <c r="W42" s="513">
        <v>6</v>
      </c>
      <c r="X42" s="513">
        <v>29</v>
      </c>
      <c r="Y42" s="513">
        <v>6</v>
      </c>
      <c r="Z42" s="513">
        <v>4</v>
      </c>
      <c r="AA42" s="513">
        <v>10</v>
      </c>
      <c r="AB42" s="513">
        <v>12</v>
      </c>
      <c r="AC42" s="513">
        <v>390</v>
      </c>
      <c r="AD42" s="513">
        <v>36</v>
      </c>
      <c r="AE42" s="513">
        <v>16</v>
      </c>
      <c r="AF42" s="513">
        <v>161</v>
      </c>
      <c r="AG42" s="513">
        <v>105</v>
      </c>
      <c r="AH42" s="513">
        <v>67</v>
      </c>
      <c r="AI42" s="513">
        <v>4</v>
      </c>
      <c r="AJ42" s="513"/>
      <c r="AK42" s="428"/>
      <c r="AL42" s="251" t="s">
        <v>568</v>
      </c>
      <c r="AM42" s="428">
        <f t="shared" si="28"/>
        <v>10</v>
      </c>
      <c r="AN42" s="276">
        <f t="shared" si="29"/>
        <v>4</v>
      </c>
      <c r="AO42" s="276">
        <f t="shared" si="30"/>
        <v>21</v>
      </c>
      <c r="AP42" s="276">
        <f t="shared" si="31"/>
        <v>39</v>
      </c>
      <c r="AQ42" s="276">
        <f t="shared" si="32"/>
        <v>22</v>
      </c>
      <c r="AR42" s="276">
        <f t="shared" si="33"/>
        <v>442</v>
      </c>
      <c r="AS42" s="276">
        <f t="shared" si="34"/>
        <v>161</v>
      </c>
      <c r="AT42" s="276">
        <f t="shared" si="35"/>
        <v>105</v>
      </c>
      <c r="AU42" s="276">
        <f t="shared" si="36"/>
        <v>71</v>
      </c>
      <c r="AV42" s="70">
        <f t="shared" si="37"/>
        <v>875</v>
      </c>
    </row>
    <row r="43" spans="1:48" s="21" customFormat="1" x14ac:dyDescent="0.2">
      <c r="A43" s="1036"/>
      <c r="B43" s="854">
        <f>B42/B$44</f>
        <v>2.1346469622331693E-2</v>
      </c>
      <c r="C43" s="854">
        <f t="shared" ref="C43:K43" si="51">C42/C$44</f>
        <v>4.7846889952153108E-3</v>
      </c>
      <c r="D43" s="854">
        <f t="shared" si="51"/>
        <v>1.0327022375215147E-2</v>
      </c>
      <c r="E43" s="854">
        <f t="shared" si="51"/>
        <v>5.2123552123552123E-2</v>
      </c>
      <c r="F43" s="854">
        <f t="shared" si="51"/>
        <v>0.2</v>
      </c>
      <c r="G43" s="854">
        <f t="shared" si="51"/>
        <v>1.3953488372093023E-2</v>
      </c>
      <c r="H43" s="854">
        <f t="shared" si="51"/>
        <v>0.182328190743338</v>
      </c>
      <c r="I43" s="854">
        <f t="shared" si="51"/>
        <v>0.61558109833971908</v>
      </c>
      <c r="J43" s="854">
        <f t="shared" si="51"/>
        <v>6.7400275103163682E-2</v>
      </c>
      <c r="K43" s="854">
        <f t="shared" si="51"/>
        <v>0.12606232294617564</v>
      </c>
      <c r="M43" s="428"/>
      <c r="N43" s="547" t="s">
        <v>569</v>
      </c>
      <c r="O43" s="490">
        <v>4</v>
      </c>
      <c r="P43" s="490">
        <v>10</v>
      </c>
      <c r="Q43" s="490">
        <v>5</v>
      </c>
      <c r="R43" s="490">
        <v>3</v>
      </c>
      <c r="S43" s="490">
        <v>1</v>
      </c>
      <c r="T43" s="490">
        <v>3</v>
      </c>
      <c r="U43" s="490">
        <v>6</v>
      </c>
      <c r="V43" s="490">
        <v>9</v>
      </c>
      <c r="W43" s="490">
        <v>6</v>
      </c>
      <c r="X43" s="490">
        <v>20</v>
      </c>
      <c r="Y43" s="490">
        <v>5</v>
      </c>
      <c r="Z43" s="490">
        <v>4</v>
      </c>
      <c r="AA43" s="490">
        <v>17</v>
      </c>
      <c r="AB43" s="490">
        <v>19</v>
      </c>
      <c r="AC43" s="490">
        <v>76</v>
      </c>
      <c r="AD43" s="490">
        <v>731</v>
      </c>
      <c r="AE43" s="490">
        <v>93</v>
      </c>
      <c r="AF43" s="490">
        <v>252</v>
      </c>
      <c r="AG43" s="490">
        <v>71</v>
      </c>
      <c r="AH43" s="490">
        <v>100</v>
      </c>
      <c r="AI43" s="490">
        <v>32</v>
      </c>
      <c r="AJ43" s="513"/>
      <c r="AK43" s="428"/>
      <c r="AL43" s="251" t="s">
        <v>569</v>
      </c>
      <c r="AM43" s="428">
        <f t="shared" si="28"/>
        <v>19</v>
      </c>
      <c r="AN43" s="276">
        <f t="shared" si="29"/>
        <v>4</v>
      </c>
      <c r="AO43" s="276">
        <f t="shared" si="30"/>
        <v>24</v>
      </c>
      <c r="AP43" s="276">
        <f t="shared" si="31"/>
        <v>29</v>
      </c>
      <c r="AQ43" s="276">
        <f t="shared" si="32"/>
        <v>36</v>
      </c>
      <c r="AR43" s="276">
        <f t="shared" si="33"/>
        <v>900</v>
      </c>
      <c r="AS43" s="276">
        <f t="shared" si="34"/>
        <v>252</v>
      </c>
      <c r="AT43" s="276">
        <f t="shared" si="35"/>
        <v>71</v>
      </c>
      <c r="AU43" s="276">
        <f t="shared" si="36"/>
        <v>132</v>
      </c>
      <c r="AV43" s="70">
        <f t="shared" si="37"/>
        <v>1467</v>
      </c>
    </row>
    <row r="44" spans="1:48" s="21" customFormat="1" x14ac:dyDescent="0.2">
      <c r="A44" s="1046" t="s">
        <v>11</v>
      </c>
      <c r="B44" s="857">
        <f t="shared" ref="B44:K44" si="52">SUM(B28,B30,B32,B34,B36,B38,B40,B42)</f>
        <v>609</v>
      </c>
      <c r="C44" s="857">
        <f t="shared" si="52"/>
        <v>627</v>
      </c>
      <c r="D44" s="857">
        <f t="shared" si="52"/>
        <v>581</v>
      </c>
      <c r="E44" s="857">
        <f t="shared" si="52"/>
        <v>518</v>
      </c>
      <c r="F44" s="857">
        <f t="shared" si="52"/>
        <v>560</v>
      </c>
      <c r="G44" s="857">
        <f t="shared" si="52"/>
        <v>1935</v>
      </c>
      <c r="H44" s="857">
        <f t="shared" si="52"/>
        <v>1426</v>
      </c>
      <c r="I44" s="857">
        <f t="shared" si="52"/>
        <v>783</v>
      </c>
      <c r="J44" s="857">
        <f t="shared" si="52"/>
        <v>727</v>
      </c>
      <c r="K44" s="857">
        <f t="shared" si="52"/>
        <v>7766</v>
      </c>
      <c r="M44" s="428"/>
      <c r="N44" s="546" t="s">
        <v>570</v>
      </c>
      <c r="O44" s="513">
        <v>1</v>
      </c>
      <c r="P44" s="513">
        <v>2</v>
      </c>
      <c r="Q44" s="513"/>
      <c r="R44" s="513">
        <v>1</v>
      </c>
      <c r="S44" s="513">
        <v>1</v>
      </c>
      <c r="T44" s="513">
        <v>8</v>
      </c>
      <c r="U44" s="513">
        <v>5</v>
      </c>
      <c r="V44" s="513">
        <v>14</v>
      </c>
      <c r="W44" s="513">
        <v>1</v>
      </c>
      <c r="X44" s="513">
        <v>4</v>
      </c>
      <c r="Y44" s="513">
        <v>9</v>
      </c>
      <c r="Z44" s="513">
        <v>1</v>
      </c>
      <c r="AA44" s="513">
        <v>5</v>
      </c>
      <c r="AB44" s="513">
        <v>6</v>
      </c>
      <c r="AC44" s="513">
        <v>24</v>
      </c>
      <c r="AD44" s="513">
        <v>57</v>
      </c>
      <c r="AE44" s="513">
        <v>456</v>
      </c>
      <c r="AF44" s="513">
        <v>80</v>
      </c>
      <c r="AG44" s="513">
        <v>19</v>
      </c>
      <c r="AH44" s="513">
        <v>58</v>
      </c>
      <c r="AI44" s="513">
        <v>1</v>
      </c>
      <c r="AJ44" s="513"/>
      <c r="AK44" s="428"/>
      <c r="AL44" s="251" t="s">
        <v>570</v>
      </c>
      <c r="AM44" s="428">
        <f t="shared" si="28"/>
        <v>3</v>
      </c>
      <c r="AN44" s="276">
        <f t="shared" si="29"/>
        <v>2</v>
      </c>
      <c r="AO44" s="276">
        <f t="shared" si="30"/>
        <v>28</v>
      </c>
      <c r="AP44" s="276">
        <f t="shared" si="31"/>
        <v>14</v>
      </c>
      <c r="AQ44" s="276">
        <f t="shared" si="32"/>
        <v>11</v>
      </c>
      <c r="AR44" s="276">
        <f t="shared" si="33"/>
        <v>537</v>
      </c>
      <c r="AS44" s="276">
        <f t="shared" si="34"/>
        <v>80</v>
      </c>
      <c r="AT44" s="276">
        <f t="shared" si="35"/>
        <v>19</v>
      </c>
      <c r="AU44" s="276">
        <f t="shared" si="36"/>
        <v>59</v>
      </c>
      <c r="AV44" s="70">
        <f t="shared" si="37"/>
        <v>753</v>
      </c>
    </row>
    <row r="45" spans="1:48" s="21" customFormat="1" x14ac:dyDescent="0.2">
      <c r="A45" s="1047"/>
      <c r="B45" s="858">
        <f>SUM(B29,B31,B33,B35,B37,B39,B41,B43)</f>
        <v>1</v>
      </c>
      <c r="C45" s="858">
        <f t="shared" ref="C45:K45" si="53">SUM(C29,C31,C33,C35,C37,C39,C41,C43)</f>
        <v>1</v>
      </c>
      <c r="D45" s="858">
        <f t="shared" si="53"/>
        <v>0.99999999999999989</v>
      </c>
      <c r="E45" s="858">
        <f t="shared" si="53"/>
        <v>1</v>
      </c>
      <c r="F45" s="858">
        <f t="shared" si="53"/>
        <v>1</v>
      </c>
      <c r="G45" s="858">
        <f t="shared" si="53"/>
        <v>0.99999999999999989</v>
      </c>
      <c r="H45" s="858">
        <f t="shared" si="53"/>
        <v>1</v>
      </c>
      <c r="I45" s="858">
        <f t="shared" si="53"/>
        <v>1</v>
      </c>
      <c r="J45" s="858">
        <f t="shared" si="53"/>
        <v>1</v>
      </c>
      <c r="K45" s="858">
        <f t="shared" si="53"/>
        <v>1</v>
      </c>
      <c r="M45" s="428"/>
      <c r="N45" s="887" t="s">
        <v>572</v>
      </c>
      <c r="O45" s="490">
        <v>3</v>
      </c>
      <c r="P45" s="490">
        <v>5</v>
      </c>
      <c r="Q45" s="490">
        <v>5</v>
      </c>
      <c r="R45" s="490">
        <v>1</v>
      </c>
      <c r="S45" s="490">
        <v>2</v>
      </c>
      <c r="T45" s="490">
        <v>3</v>
      </c>
      <c r="U45" s="490">
        <v>2</v>
      </c>
      <c r="V45" s="490"/>
      <c r="W45" s="490">
        <v>1</v>
      </c>
      <c r="X45" s="490">
        <v>17</v>
      </c>
      <c r="Y45" s="490">
        <v>8</v>
      </c>
      <c r="Z45" s="490">
        <v>2</v>
      </c>
      <c r="AA45" s="490">
        <v>83</v>
      </c>
      <c r="AB45" s="490">
        <v>29</v>
      </c>
      <c r="AC45" s="490">
        <v>19</v>
      </c>
      <c r="AD45" s="490">
        <v>5</v>
      </c>
      <c r="AE45" s="490">
        <v>3</v>
      </c>
      <c r="AF45" s="490">
        <v>260</v>
      </c>
      <c r="AG45" s="490">
        <v>482</v>
      </c>
      <c r="AH45" s="490">
        <v>46</v>
      </c>
      <c r="AI45" s="490">
        <v>3</v>
      </c>
      <c r="AJ45" s="492"/>
      <c r="AK45" s="428"/>
      <c r="AL45" s="251" t="s">
        <v>571</v>
      </c>
      <c r="AV45" s="70">
        <f t="shared" si="37"/>
        <v>0</v>
      </c>
    </row>
    <row r="46" spans="1:48" x14ac:dyDescent="0.2">
      <c r="N46" s="547" t="s">
        <v>262</v>
      </c>
      <c r="O46" s="490">
        <v>189</v>
      </c>
      <c r="P46" s="490">
        <v>207</v>
      </c>
      <c r="Q46" s="490">
        <v>213</v>
      </c>
      <c r="R46" s="490">
        <v>351</v>
      </c>
      <c r="S46" s="490">
        <v>276</v>
      </c>
      <c r="T46" s="490">
        <v>183</v>
      </c>
      <c r="U46" s="490">
        <v>123</v>
      </c>
      <c r="V46" s="490">
        <v>157</v>
      </c>
      <c r="W46" s="490">
        <v>118</v>
      </c>
      <c r="X46" s="490">
        <v>335</v>
      </c>
      <c r="Y46" s="490">
        <v>141</v>
      </c>
      <c r="Z46" s="490">
        <v>42</v>
      </c>
      <c r="AA46" s="490">
        <v>272</v>
      </c>
      <c r="AB46" s="490">
        <v>288</v>
      </c>
      <c r="AC46" s="490">
        <v>523</v>
      </c>
      <c r="AD46" s="490">
        <v>835</v>
      </c>
      <c r="AE46" s="490">
        <v>577</v>
      </c>
      <c r="AF46" s="490">
        <v>1426</v>
      </c>
      <c r="AG46" s="490">
        <v>783</v>
      </c>
      <c r="AH46" s="490">
        <v>673</v>
      </c>
      <c r="AI46" s="490">
        <v>54</v>
      </c>
      <c r="AJ46" s="513"/>
      <c r="AK46" s="42"/>
      <c r="AL46" s="251" t="s">
        <v>572</v>
      </c>
      <c r="AM46" s="428">
        <f>SUM(O45:Q45)</f>
        <v>13</v>
      </c>
      <c r="AN46" s="276">
        <f>SUM(R45:S45)</f>
        <v>3</v>
      </c>
      <c r="AO46" s="276">
        <f>SUM(T45:W45)</f>
        <v>6</v>
      </c>
      <c r="AP46" s="276">
        <f>SUM(X45:Z45)</f>
        <v>27</v>
      </c>
      <c r="AQ46" s="276">
        <f>SUM(AA45:AB45)</f>
        <v>112</v>
      </c>
      <c r="AR46" s="276">
        <f>SUM(AC45:AE45)</f>
        <v>27</v>
      </c>
      <c r="AS46" s="276">
        <f>AF45</f>
        <v>260</v>
      </c>
      <c r="AT46" s="276">
        <f>AG45</f>
        <v>482</v>
      </c>
      <c r="AU46" s="276">
        <f>SUM(AH45:AI45)</f>
        <v>49</v>
      </c>
      <c r="AV46" s="70">
        <f t="shared" si="37"/>
        <v>979</v>
      </c>
    </row>
    <row r="47" spans="1:48" x14ac:dyDescent="0.2">
      <c r="A47" s="247"/>
      <c r="B47" s="247"/>
      <c r="C47" s="247"/>
      <c r="D47" s="247"/>
      <c r="E47" s="247"/>
      <c r="F47" s="247"/>
      <c r="G47" s="247"/>
      <c r="H47" s="247"/>
      <c r="I47" s="247"/>
      <c r="J47" s="247"/>
      <c r="K47" s="247"/>
      <c r="L47" s="247"/>
      <c r="M47" s="247"/>
      <c r="N47" s="546"/>
      <c r="O47" s="21"/>
      <c r="P47" s="21"/>
      <c r="Q47" s="21"/>
      <c r="R47" s="21"/>
      <c r="S47" s="21"/>
      <c r="T47" s="21"/>
      <c r="U47" s="21"/>
      <c r="V47" s="21"/>
      <c r="W47" s="21"/>
      <c r="X47" s="21"/>
      <c r="Y47" s="21"/>
      <c r="Z47" s="21"/>
      <c r="AA47" s="21"/>
      <c r="AB47" s="21"/>
      <c r="AC47" s="21"/>
      <c r="AD47" s="21"/>
      <c r="AE47" s="21"/>
      <c r="AF47" s="21"/>
      <c r="AG47" s="21"/>
      <c r="AH47" s="21"/>
      <c r="AI47" s="21"/>
      <c r="AJ47" s="513"/>
      <c r="AM47" s="429">
        <f>SUM(O46:Q46)</f>
        <v>609</v>
      </c>
      <c r="AN47" s="276">
        <f>SUM(R46:S46)</f>
        <v>627</v>
      </c>
      <c r="AO47" s="276">
        <f>SUM(T46:W46)</f>
        <v>581</v>
      </c>
      <c r="AP47" s="276">
        <f>SUM(X46:Z46)</f>
        <v>518</v>
      </c>
      <c r="AQ47" s="276">
        <f>SUM(AA46:AB46)</f>
        <v>560</v>
      </c>
      <c r="AR47" s="276">
        <f>SUM(AC46:AE46)</f>
        <v>1935</v>
      </c>
      <c r="AS47" s="276">
        <f>AF46</f>
        <v>1426</v>
      </c>
      <c r="AT47" s="276">
        <f>AG46</f>
        <v>783</v>
      </c>
      <c r="AU47" s="276">
        <f>SUM(AH46:AI46)</f>
        <v>727</v>
      </c>
      <c r="AV47" s="70">
        <f t="shared" si="37"/>
        <v>7766</v>
      </c>
    </row>
    <row r="48" spans="1:48" x14ac:dyDescent="0.2">
      <c r="A48" s="53"/>
      <c r="N48" s="887" t="s">
        <v>655</v>
      </c>
      <c r="O48" s="21"/>
      <c r="P48" s="21"/>
      <c r="Q48" s="21"/>
      <c r="R48" s="21"/>
      <c r="S48" s="21"/>
      <c r="T48" s="21"/>
      <c r="U48" s="21"/>
      <c r="V48" s="21"/>
      <c r="W48" s="21"/>
      <c r="X48" s="21"/>
      <c r="Y48" s="21"/>
      <c r="Z48" s="21"/>
      <c r="AA48" s="21"/>
      <c r="AB48" s="21"/>
      <c r="AC48" s="21"/>
      <c r="AD48" s="21"/>
      <c r="AE48" s="21"/>
      <c r="AF48" s="21"/>
      <c r="AG48" s="21"/>
      <c r="AH48" s="21"/>
      <c r="AI48" s="21"/>
      <c r="AJ48" s="492"/>
    </row>
    <row r="49" spans="1:14" x14ac:dyDescent="0.2">
      <c r="A49" s="53"/>
      <c r="N49" s="395" t="s">
        <v>654</v>
      </c>
    </row>
    <row r="50" spans="1:14" x14ac:dyDescent="0.2">
      <c r="A50" s="53"/>
    </row>
    <row r="51" spans="1:14" x14ac:dyDescent="0.2">
      <c r="A51" s="53"/>
    </row>
    <row r="52" spans="1:14" x14ac:dyDescent="0.2">
      <c r="A52" s="53"/>
    </row>
    <row r="53" spans="1:14" x14ac:dyDescent="0.2">
      <c r="A53" s="53"/>
      <c r="H53" s="432"/>
    </row>
    <row r="54" spans="1:14" x14ac:dyDescent="0.2">
      <c r="A54" s="53"/>
    </row>
    <row r="55" spans="1:14" x14ac:dyDescent="0.2">
      <c r="A55" s="53"/>
    </row>
  </sheetData>
  <mergeCells count="22">
    <mergeCell ref="A11:A12"/>
    <mergeCell ref="A3:A4"/>
    <mergeCell ref="B3:K3"/>
    <mergeCell ref="A5:A6"/>
    <mergeCell ref="A7:A8"/>
    <mergeCell ref="A9:A10"/>
    <mergeCell ref="A13:A14"/>
    <mergeCell ref="A15:A16"/>
    <mergeCell ref="A17:A18"/>
    <mergeCell ref="A19:A20"/>
    <mergeCell ref="A21:A22"/>
    <mergeCell ref="A38:A39"/>
    <mergeCell ref="A40:A41"/>
    <mergeCell ref="A42:A43"/>
    <mergeCell ref="A44:A45"/>
    <mergeCell ref="B26:K26"/>
    <mergeCell ref="A28:A29"/>
    <mergeCell ref="A30:A31"/>
    <mergeCell ref="A32:A33"/>
    <mergeCell ref="A34:A35"/>
    <mergeCell ref="A36:A37"/>
    <mergeCell ref="A26:A27"/>
  </mergeCells>
  <phoneticPr fontId="2"/>
  <printOptions horizontalCentered="1"/>
  <pageMargins left="0.70866141732283472" right="0.70866141732283472" top="0.74803149606299213" bottom="0.74803149606299213" header="0.31496062992125984" footer="0.31496062992125984"/>
  <pageSetup paperSize="9" scale="89" orientation="portrait" r:id="rId1"/>
  <drawing r:id="rId2"/>
  <mc:AlternateContent xmlns:mc="http://schemas.openxmlformats.org/markup-compatibility/2006">
    <mc:Choice Requires="v">
      <legacyDrawing r:id="rId3"/>
    </mc:Choice>
  </mc:AlternateContent>
  <controls>
    <control shapeId="87041" r:id="rId4" name="Button 1">
      <controlPr defaultSize="0" print="0" autoFill="0" autoPict="0" macro="[0]!データ削除_圏域圏域">
        <anchor moveWithCells="1" sizeWithCells="1">
          <from>
            <xdr:col>11</xdr:col>
            <xdr:colOff>274320</xdr:colOff>
            <xdr:row>0</xdr:row>
            <xdr:rowOff>106680</xdr:rowOff>
          </from>
          <to>
            <xdr:col>15</xdr:col>
            <xdr:colOff>464820</xdr:colOff>
            <xdr:row>2</xdr:row>
            <xdr:rowOff>99060</xdr:rowOff>
          </to>
        </anchor>
      </controlPr>
    </control>
  </controls>
  <tableParts count="2">
    <tablePart r:id="rId5"/>
    <tablePart r:id="rId6"/>
  </tableParts>
</worksheet>
</file>

<file path=xl/worksheets/sheet3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5">
    <tabColor rgb="FFFFFF00"/>
  </sheetPr>
  <dimension ref="A1:T91"/>
  <sheetViews>
    <sheetView showGridLines="0" view="pageBreakPreview" zoomScaleNormal="100" zoomScaleSheetLayoutView="100" workbookViewId="0"/>
  </sheetViews>
  <sheetFormatPr defaultColWidth="9" defaultRowHeight="17.399999999999999" x14ac:dyDescent="0.2"/>
  <cols>
    <col min="1" max="1" width="4" style="396" customWidth="1"/>
    <col min="2" max="2" width="10.88671875" style="433" customWidth="1"/>
    <col min="3" max="3" width="4.33203125" style="433" bestFit="1" customWidth="1"/>
    <col min="4" max="4" width="4.21875" style="433" customWidth="1"/>
    <col min="5" max="8" width="5.33203125" style="433" bestFit="1" customWidth="1"/>
    <col min="9" max="9" width="7" style="433" bestFit="1" customWidth="1"/>
    <col min="10" max="10" width="4.33203125" style="433" bestFit="1" customWidth="1"/>
    <col min="11" max="14" width="5.33203125" style="433" bestFit="1" customWidth="1"/>
    <col min="15" max="15" width="5" style="433" bestFit="1" customWidth="1"/>
    <col min="16" max="16" width="7" style="433" bestFit="1" customWidth="1"/>
    <col min="17" max="17" width="6.88671875" style="433" customWidth="1"/>
    <col min="18" max="18" width="9" style="396"/>
    <col min="19" max="20" width="9" style="396" hidden="1" customWidth="1"/>
    <col min="21" max="24" width="0" style="396" hidden="1" customWidth="1"/>
    <col min="25" max="16384" width="9" style="396"/>
  </cols>
  <sheetData>
    <row r="1" spans="1:17" x14ac:dyDescent="0.2">
      <c r="B1" s="4" t="s">
        <v>487</v>
      </c>
    </row>
    <row r="3" spans="1:17" x14ac:dyDescent="0.2">
      <c r="B3" s="434"/>
      <c r="C3" s="1060" t="s">
        <v>488</v>
      </c>
      <c r="D3" s="1061"/>
      <c r="E3" s="1061"/>
      <c r="F3" s="1061"/>
      <c r="G3" s="1061"/>
      <c r="H3" s="1061"/>
      <c r="I3" s="1062"/>
      <c r="J3" s="1060" t="s">
        <v>489</v>
      </c>
      <c r="K3" s="1061"/>
      <c r="L3" s="1061"/>
      <c r="M3" s="1061"/>
      <c r="N3" s="1061"/>
      <c r="O3" s="1061"/>
      <c r="P3" s="1062"/>
      <c r="Q3" s="1063" t="s">
        <v>62</v>
      </c>
    </row>
    <row r="4" spans="1:17" ht="44.25" customHeight="1" x14ac:dyDescent="0.2">
      <c r="B4" s="435"/>
      <c r="C4" s="436" t="s">
        <v>276</v>
      </c>
      <c r="D4" s="437" t="s">
        <v>277</v>
      </c>
      <c r="E4" s="436" t="s">
        <v>490</v>
      </c>
      <c r="F4" s="436" t="s">
        <v>491</v>
      </c>
      <c r="G4" s="436" t="s">
        <v>492</v>
      </c>
      <c r="H4" s="436" t="s">
        <v>493</v>
      </c>
      <c r="I4" s="436" t="s">
        <v>494</v>
      </c>
      <c r="J4" s="436" t="s">
        <v>276</v>
      </c>
      <c r="K4" s="437" t="s">
        <v>277</v>
      </c>
      <c r="L4" s="436" t="s">
        <v>490</v>
      </c>
      <c r="M4" s="436" t="s">
        <v>491</v>
      </c>
      <c r="N4" s="436" t="s">
        <v>492</v>
      </c>
      <c r="O4" s="436" t="s">
        <v>493</v>
      </c>
      <c r="P4" s="436" t="s">
        <v>494</v>
      </c>
      <c r="Q4" s="1064"/>
    </row>
    <row r="5" spans="1:17" s="172" customFormat="1" x14ac:dyDescent="0.2">
      <c r="A5" s="172">
        <v>1</v>
      </c>
      <c r="B5" s="514" t="s">
        <v>495</v>
      </c>
      <c r="C5" s="438">
        <v>2</v>
      </c>
      <c r="D5" s="438">
        <v>2</v>
      </c>
      <c r="E5" s="438">
        <v>4</v>
      </c>
      <c r="F5" s="438">
        <v>27</v>
      </c>
      <c r="G5" s="438">
        <v>11</v>
      </c>
      <c r="H5" s="438">
        <v>2</v>
      </c>
      <c r="I5" s="438">
        <f>SUM(C5:H5)</f>
        <v>48</v>
      </c>
      <c r="J5" s="438">
        <v>4</v>
      </c>
      <c r="K5" s="438">
        <v>11</v>
      </c>
      <c r="L5" s="438">
        <v>11</v>
      </c>
      <c r="M5" s="438">
        <v>20</v>
      </c>
      <c r="N5" s="438">
        <v>9</v>
      </c>
      <c r="O5" s="438">
        <v>1</v>
      </c>
      <c r="P5" s="438">
        <f>SUM(J5:O5)</f>
        <v>56</v>
      </c>
      <c r="Q5" s="439">
        <f>SUM(I5,P5)</f>
        <v>104</v>
      </c>
    </row>
    <row r="6" spans="1:17" s="172" customFormat="1" x14ac:dyDescent="0.2">
      <c r="A6" s="172">
        <v>2</v>
      </c>
      <c r="B6" s="514" t="s">
        <v>496</v>
      </c>
      <c r="C6" s="438"/>
      <c r="D6" s="438">
        <v>7</v>
      </c>
      <c r="E6" s="438">
        <v>14</v>
      </c>
      <c r="F6" s="438">
        <v>59</v>
      </c>
      <c r="G6" s="438">
        <v>27</v>
      </c>
      <c r="H6" s="438">
        <v>8</v>
      </c>
      <c r="I6" s="438">
        <f t="shared" ref="I6:I45" si="0">SUM(C6:H6)</f>
        <v>115</v>
      </c>
      <c r="J6" s="438">
        <v>3</v>
      </c>
      <c r="K6" s="438">
        <v>10</v>
      </c>
      <c r="L6" s="438">
        <v>6</v>
      </c>
      <c r="M6" s="438">
        <v>34</v>
      </c>
      <c r="N6" s="438">
        <v>14</v>
      </c>
      <c r="O6" s="438">
        <v>1</v>
      </c>
      <c r="P6" s="438">
        <f t="shared" ref="P6:P45" si="1">SUM(J6:O6)</f>
        <v>68</v>
      </c>
      <c r="Q6" s="439">
        <f t="shared" ref="Q6:Q71" si="2">SUM(I6,P6)</f>
        <v>183</v>
      </c>
    </row>
    <row r="7" spans="1:17" s="172" customFormat="1" x14ac:dyDescent="0.2">
      <c r="A7" s="172">
        <v>3</v>
      </c>
      <c r="B7" s="514" t="s">
        <v>497</v>
      </c>
      <c r="C7" s="438"/>
      <c r="D7" s="438"/>
      <c r="E7" s="438">
        <v>1</v>
      </c>
      <c r="F7" s="438">
        <v>7</v>
      </c>
      <c r="G7" s="438">
        <v>1</v>
      </c>
      <c r="H7" s="438">
        <v>2</v>
      </c>
      <c r="I7" s="438">
        <f t="shared" si="0"/>
        <v>11</v>
      </c>
      <c r="J7" s="438">
        <v>1</v>
      </c>
      <c r="K7" s="438">
        <v>1</v>
      </c>
      <c r="L7" s="438"/>
      <c r="M7" s="438">
        <v>2</v>
      </c>
      <c r="N7" s="438"/>
      <c r="O7" s="438">
        <v>1</v>
      </c>
      <c r="P7" s="438">
        <f t="shared" si="1"/>
        <v>5</v>
      </c>
      <c r="Q7" s="439">
        <f t="shared" si="2"/>
        <v>16</v>
      </c>
    </row>
    <row r="8" spans="1:17" s="172" customFormat="1" x14ac:dyDescent="0.2">
      <c r="A8" s="172">
        <v>4</v>
      </c>
      <c r="B8" s="514" t="s">
        <v>498</v>
      </c>
      <c r="C8" s="438"/>
      <c r="D8" s="438">
        <v>2</v>
      </c>
      <c r="E8" s="438">
        <v>2</v>
      </c>
      <c r="F8" s="438">
        <v>4</v>
      </c>
      <c r="G8" s="438">
        <v>7</v>
      </c>
      <c r="H8" s="438"/>
      <c r="I8" s="438">
        <f t="shared" si="0"/>
        <v>15</v>
      </c>
      <c r="J8" s="438"/>
      <c r="K8" s="438"/>
      <c r="L8" s="438">
        <v>3</v>
      </c>
      <c r="M8" s="438">
        <v>3</v>
      </c>
      <c r="N8" s="438">
        <v>3</v>
      </c>
      <c r="O8" s="438">
        <v>1</v>
      </c>
      <c r="P8" s="438">
        <f t="shared" si="1"/>
        <v>10</v>
      </c>
      <c r="Q8" s="439">
        <f t="shared" si="2"/>
        <v>25</v>
      </c>
    </row>
    <row r="9" spans="1:17" s="172" customFormat="1" x14ac:dyDescent="0.2">
      <c r="A9" s="172">
        <v>5</v>
      </c>
      <c r="B9" s="514" t="s">
        <v>499</v>
      </c>
      <c r="C9" s="438">
        <v>5</v>
      </c>
      <c r="D9" s="438">
        <v>9</v>
      </c>
      <c r="E9" s="438">
        <v>20</v>
      </c>
      <c r="F9" s="438">
        <v>90</v>
      </c>
      <c r="G9" s="438">
        <v>58</v>
      </c>
      <c r="H9" s="438">
        <v>25</v>
      </c>
      <c r="I9" s="438">
        <f t="shared" si="0"/>
        <v>207</v>
      </c>
      <c r="J9" s="438">
        <v>7</v>
      </c>
      <c r="K9" s="438">
        <v>33</v>
      </c>
      <c r="L9" s="438">
        <v>53</v>
      </c>
      <c r="M9" s="438">
        <v>85</v>
      </c>
      <c r="N9" s="438">
        <v>67</v>
      </c>
      <c r="O9" s="438">
        <v>18</v>
      </c>
      <c r="P9" s="438">
        <f t="shared" si="1"/>
        <v>263</v>
      </c>
      <c r="Q9" s="439">
        <f t="shared" si="2"/>
        <v>470</v>
      </c>
    </row>
    <row r="10" spans="1:17" s="172" customFormat="1" x14ac:dyDescent="0.2">
      <c r="A10" s="172">
        <v>6</v>
      </c>
      <c r="B10" s="514" t="s">
        <v>500</v>
      </c>
      <c r="C10" s="438">
        <v>3</v>
      </c>
      <c r="D10" s="438">
        <v>13</v>
      </c>
      <c r="E10" s="438">
        <v>20</v>
      </c>
      <c r="F10" s="438">
        <v>104</v>
      </c>
      <c r="G10" s="438">
        <v>57</v>
      </c>
      <c r="H10" s="438">
        <v>16</v>
      </c>
      <c r="I10" s="438">
        <f t="shared" si="0"/>
        <v>213</v>
      </c>
      <c r="J10" s="438">
        <v>9</v>
      </c>
      <c r="K10" s="438">
        <v>22</v>
      </c>
      <c r="L10" s="438">
        <v>25</v>
      </c>
      <c r="M10" s="438">
        <v>61</v>
      </c>
      <c r="N10" s="438">
        <v>43</v>
      </c>
      <c r="O10" s="438">
        <v>7</v>
      </c>
      <c r="P10" s="438">
        <f t="shared" si="1"/>
        <v>167</v>
      </c>
      <c r="Q10" s="439">
        <f t="shared" si="2"/>
        <v>380</v>
      </c>
    </row>
    <row r="11" spans="1:17" s="172" customFormat="1" x14ac:dyDescent="0.2">
      <c r="A11" s="172">
        <v>7</v>
      </c>
      <c r="B11" s="514" t="s">
        <v>501</v>
      </c>
      <c r="C11" s="438"/>
      <c r="D11" s="438">
        <v>3</v>
      </c>
      <c r="E11" s="438">
        <v>8</v>
      </c>
      <c r="F11" s="438">
        <v>20</v>
      </c>
      <c r="G11" s="438">
        <v>11</v>
      </c>
      <c r="H11" s="438">
        <v>7</v>
      </c>
      <c r="I11" s="438">
        <f t="shared" si="0"/>
        <v>49</v>
      </c>
      <c r="J11" s="438">
        <v>2</v>
      </c>
      <c r="K11" s="438">
        <v>13</v>
      </c>
      <c r="L11" s="438">
        <v>18</v>
      </c>
      <c r="M11" s="438">
        <v>6</v>
      </c>
      <c r="N11" s="438">
        <v>9</v>
      </c>
      <c r="O11" s="438">
        <v>3</v>
      </c>
      <c r="P11" s="438">
        <f t="shared" si="1"/>
        <v>51</v>
      </c>
      <c r="Q11" s="439">
        <f t="shared" si="2"/>
        <v>100</v>
      </c>
    </row>
    <row r="12" spans="1:17" s="172" customFormat="1" x14ac:dyDescent="0.2">
      <c r="A12" s="172">
        <v>8</v>
      </c>
      <c r="B12" s="514" t="s">
        <v>502</v>
      </c>
      <c r="C12" s="438">
        <v>1</v>
      </c>
      <c r="D12" s="438">
        <v>14</v>
      </c>
      <c r="E12" s="438">
        <v>24</v>
      </c>
      <c r="F12" s="438">
        <v>130</v>
      </c>
      <c r="G12" s="438">
        <v>80</v>
      </c>
      <c r="H12" s="438">
        <v>40</v>
      </c>
      <c r="I12" s="438">
        <f t="shared" si="0"/>
        <v>289</v>
      </c>
      <c r="J12" s="438">
        <v>6</v>
      </c>
      <c r="K12" s="438">
        <v>25</v>
      </c>
      <c r="L12" s="438">
        <v>27</v>
      </c>
      <c r="M12" s="438">
        <v>63</v>
      </c>
      <c r="N12" s="438">
        <v>74</v>
      </c>
      <c r="O12" s="438">
        <v>27</v>
      </c>
      <c r="P12" s="438">
        <f t="shared" si="1"/>
        <v>222</v>
      </c>
      <c r="Q12" s="439">
        <f t="shared" si="2"/>
        <v>511</v>
      </c>
    </row>
    <row r="13" spans="1:17" s="172" customFormat="1" x14ac:dyDescent="0.2">
      <c r="A13" s="172">
        <v>9</v>
      </c>
      <c r="B13" s="514" t="s">
        <v>574</v>
      </c>
      <c r="C13" s="438"/>
      <c r="D13" s="438"/>
      <c r="E13" s="438"/>
      <c r="F13" s="438">
        <v>7</v>
      </c>
      <c r="G13" s="438">
        <v>5</v>
      </c>
      <c r="H13" s="438">
        <v>1</v>
      </c>
      <c r="I13" s="438">
        <f t="shared" si="0"/>
        <v>13</v>
      </c>
      <c r="J13" s="438">
        <v>1</v>
      </c>
      <c r="K13" s="438"/>
      <c r="L13" s="438">
        <v>5</v>
      </c>
      <c r="M13" s="438">
        <v>4</v>
      </c>
      <c r="N13" s="438">
        <v>1</v>
      </c>
      <c r="O13" s="438">
        <v>1</v>
      </c>
      <c r="P13" s="438">
        <f t="shared" si="1"/>
        <v>12</v>
      </c>
      <c r="Q13" s="439">
        <f t="shared" si="2"/>
        <v>25</v>
      </c>
    </row>
    <row r="14" spans="1:17" s="172" customFormat="1" x14ac:dyDescent="0.2">
      <c r="A14" s="172">
        <v>10</v>
      </c>
      <c r="B14" s="514" t="s">
        <v>503</v>
      </c>
      <c r="C14" s="438">
        <v>4</v>
      </c>
      <c r="D14" s="438">
        <v>9</v>
      </c>
      <c r="E14" s="438">
        <v>34</v>
      </c>
      <c r="F14" s="438">
        <v>127</v>
      </c>
      <c r="G14" s="438">
        <v>76</v>
      </c>
      <c r="H14" s="438">
        <v>26</v>
      </c>
      <c r="I14" s="438">
        <f t="shared" si="0"/>
        <v>276</v>
      </c>
      <c r="J14" s="438">
        <v>15</v>
      </c>
      <c r="K14" s="438">
        <v>48</v>
      </c>
      <c r="L14" s="438">
        <v>58</v>
      </c>
      <c r="M14" s="438">
        <v>83</v>
      </c>
      <c r="N14" s="438">
        <v>83</v>
      </c>
      <c r="O14" s="438">
        <v>15</v>
      </c>
      <c r="P14" s="438">
        <f t="shared" si="1"/>
        <v>302</v>
      </c>
      <c r="Q14" s="439">
        <f t="shared" si="2"/>
        <v>578</v>
      </c>
    </row>
    <row r="15" spans="1:17" s="172" customFormat="1" x14ac:dyDescent="0.2">
      <c r="A15" s="172">
        <v>11</v>
      </c>
      <c r="B15" s="514" t="s">
        <v>504</v>
      </c>
      <c r="C15" s="438"/>
      <c r="D15" s="438">
        <v>11</v>
      </c>
      <c r="E15" s="438">
        <v>26</v>
      </c>
      <c r="F15" s="438">
        <v>87</v>
      </c>
      <c r="G15" s="438">
        <v>55</v>
      </c>
      <c r="H15" s="438">
        <v>4</v>
      </c>
      <c r="I15" s="438">
        <f t="shared" si="0"/>
        <v>183</v>
      </c>
      <c r="J15" s="438">
        <v>21</v>
      </c>
      <c r="K15" s="438">
        <v>30</v>
      </c>
      <c r="L15" s="438">
        <v>59</v>
      </c>
      <c r="M15" s="438">
        <v>85</v>
      </c>
      <c r="N15" s="438">
        <v>50</v>
      </c>
      <c r="O15" s="438">
        <v>7</v>
      </c>
      <c r="P15" s="438">
        <f t="shared" si="1"/>
        <v>252</v>
      </c>
      <c r="Q15" s="439">
        <f t="shared" si="2"/>
        <v>435</v>
      </c>
    </row>
    <row r="16" spans="1:17" s="172" customFormat="1" x14ac:dyDescent="0.2">
      <c r="A16" s="172">
        <v>12</v>
      </c>
      <c r="B16" s="514" t="s">
        <v>505</v>
      </c>
      <c r="C16" s="438">
        <v>8</v>
      </c>
      <c r="D16" s="438">
        <v>14</v>
      </c>
      <c r="E16" s="438">
        <v>18</v>
      </c>
      <c r="F16" s="438">
        <v>43</v>
      </c>
      <c r="G16" s="438">
        <v>33</v>
      </c>
      <c r="H16" s="438">
        <v>7</v>
      </c>
      <c r="I16" s="438">
        <f t="shared" si="0"/>
        <v>123</v>
      </c>
      <c r="J16" s="438">
        <v>6</v>
      </c>
      <c r="K16" s="438">
        <v>29</v>
      </c>
      <c r="L16" s="438">
        <v>28</v>
      </c>
      <c r="M16" s="438">
        <v>38</v>
      </c>
      <c r="N16" s="438">
        <v>19</v>
      </c>
      <c r="O16" s="438">
        <v>3</v>
      </c>
      <c r="P16" s="438">
        <f t="shared" si="1"/>
        <v>123</v>
      </c>
      <c r="Q16" s="439">
        <f t="shared" si="2"/>
        <v>246</v>
      </c>
    </row>
    <row r="17" spans="1:17" s="172" customFormat="1" x14ac:dyDescent="0.2">
      <c r="A17" s="172">
        <v>13</v>
      </c>
      <c r="B17" s="514" t="s">
        <v>506</v>
      </c>
      <c r="C17" s="438">
        <v>2</v>
      </c>
      <c r="D17" s="438">
        <v>2</v>
      </c>
      <c r="E17" s="438">
        <v>2</v>
      </c>
      <c r="F17" s="438">
        <v>8</v>
      </c>
      <c r="G17" s="438">
        <v>7</v>
      </c>
      <c r="H17" s="438"/>
      <c r="I17" s="438">
        <f t="shared" si="0"/>
        <v>21</v>
      </c>
      <c r="J17" s="438">
        <v>2</v>
      </c>
      <c r="K17" s="438">
        <v>3</v>
      </c>
      <c r="L17" s="438">
        <v>8</v>
      </c>
      <c r="M17" s="438">
        <v>19</v>
      </c>
      <c r="N17" s="438">
        <v>9</v>
      </c>
      <c r="O17" s="438">
        <v>2</v>
      </c>
      <c r="P17" s="438">
        <f t="shared" si="1"/>
        <v>43</v>
      </c>
      <c r="Q17" s="439">
        <f t="shared" si="2"/>
        <v>64</v>
      </c>
    </row>
    <row r="18" spans="1:17" s="172" customFormat="1" x14ac:dyDescent="0.2">
      <c r="A18" s="172">
        <v>14</v>
      </c>
      <c r="B18" s="514" t="s">
        <v>575</v>
      </c>
      <c r="C18" s="438"/>
      <c r="D18" s="438">
        <v>3</v>
      </c>
      <c r="E18" s="438">
        <v>11</v>
      </c>
      <c r="F18" s="438">
        <v>32</v>
      </c>
      <c r="G18" s="438">
        <v>12</v>
      </c>
      <c r="H18" s="438">
        <v>4</v>
      </c>
      <c r="I18" s="438">
        <f t="shared" si="0"/>
        <v>62</v>
      </c>
      <c r="J18" s="438">
        <v>2</v>
      </c>
      <c r="K18" s="438">
        <v>1</v>
      </c>
      <c r="L18" s="438">
        <v>5</v>
      </c>
      <c r="M18" s="438">
        <v>11</v>
      </c>
      <c r="N18" s="438">
        <v>8</v>
      </c>
      <c r="O18" s="438">
        <v>1</v>
      </c>
      <c r="P18" s="438">
        <f t="shared" si="1"/>
        <v>28</v>
      </c>
      <c r="Q18" s="439">
        <f t="shared" si="2"/>
        <v>90</v>
      </c>
    </row>
    <row r="19" spans="1:17" s="172" customFormat="1" x14ac:dyDescent="0.2">
      <c r="A19" s="172">
        <v>15</v>
      </c>
      <c r="B19" s="514" t="s">
        <v>507</v>
      </c>
      <c r="C19" s="438"/>
      <c r="D19" s="438">
        <v>3</v>
      </c>
      <c r="E19" s="438">
        <v>5</v>
      </c>
      <c r="F19" s="438">
        <v>14</v>
      </c>
      <c r="G19" s="438">
        <v>13</v>
      </c>
      <c r="H19" s="438"/>
      <c r="I19" s="438">
        <f t="shared" si="0"/>
        <v>35</v>
      </c>
      <c r="J19" s="438">
        <v>10</v>
      </c>
      <c r="K19" s="438">
        <v>14</v>
      </c>
      <c r="L19" s="438">
        <v>15</v>
      </c>
      <c r="M19" s="438">
        <v>20</v>
      </c>
      <c r="N19" s="438">
        <v>9</v>
      </c>
      <c r="O19" s="438">
        <v>1</v>
      </c>
      <c r="P19" s="438">
        <f t="shared" si="1"/>
        <v>69</v>
      </c>
      <c r="Q19" s="439">
        <f t="shared" si="2"/>
        <v>104</v>
      </c>
    </row>
    <row r="20" spans="1:17" s="172" customFormat="1" x14ac:dyDescent="0.2">
      <c r="A20" s="172">
        <v>16</v>
      </c>
      <c r="B20" s="514" t="s">
        <v>508</v>
      </c>
      <c r="C20" s="438">
        <v>1</v>
      </c>
      <c r="D20" s="438">
        <v>3</v>
      </c>
      <c r="E20" s="438">
        <v>12</v>
      </c>
      <c r="F20" s="438">
        <v>41</v>
      </c>
      <c r="G20" s="438">
        <v>18</v>
      </c>
      <c r="H20" s="438">
        <v>14</v>
      </c>
      <c r="I20" s="438">
        <f t="shared" si="0"/>
        <v>89</v>
      </c>
      <c r="J20" s="438">
        <v>7</v>
      </c>
      <c r="K20" s="438">
        <v>11</v>
      </c>
      <c r="L20" s="438">
        <v>9</v>
      </c>
      <c r="M20" s="438">
        <v>18</v>
      </c>
      <c r="N20" s="438">
        <v>16</v>
      </c>
      <c r="O20" s="438">
        <v>4</v>
      </c>
      <c r="P20" s="438">
        <f t="shared" si="1"/>
        <v>65</v>
      </c>
      <c r="Q20" s="439">
        <f t="shared" si="2"/>
        <v>154</v>
      </c>
    </row>
    <row r="21" spans="1:17" s="172" customFormat="1" x14ac:dyDescent="0.2">
      <c r="A21" s="172">
        <v>17</v>
      </c>
      <c r="B21" s="514" t="s">
        <v>509</v>
      </c>
      <c r="C21" s="438"/>
      <c r="D21" s="438">
        <v>4</v>
      </c>
      <c r="E21" s="438">
        <v>9</v>
      </c>
      <c r="F21" s="438">
        <v>26</v>
      </c>
      <c r="G21" s="438">
        <v>19</v>
      </c>
      <c r="H21" s="438">
        <v>10</v>
      </c>
      <c r="I21" s="438">
        <f t="shared" si="0"/>
        <v>68</v>
      </c>
      <c r="J21" s="438">
        <v>4</v>
      </c>
      <c r="K21" s="438">
        <v>6</v>
      </c>
      <c r="L21" s="438">
        <v>14</v>
      </c>
      <c r="M21" s="438">
        <v>25</v>
      </c>
      <c r="N21" s="438">
        <v>15</v>
      </c>
      <c r="O21" s="438">
        <v>7</v>
      </c>
      <c r="P21" s="438">
        <f t="shared" si="1"/>
        <v>71</v>
      </c>
      <c r="Q21" s="439">
        <f t="shared" si="2"/>
        <v>139</v>
      </c>
    </row>
    <row r="22" spans="1:17" s="172" customFormat="1" x14ac:dyDescent="0.2">
      <c r="A22" s="172">
        <v>18</v>
      </c>
      <c r="B22" s="514" t="s">
        <v>510</v>
      </c>
      <c r="C22" s="438">
        <v>6</v>
      </c>
      <c r="D22" s="438">
        <v>42</v>
      </c>
      <c r="E22" s="438">
        <v>81</v>
      </c>
      <c r="F22" s="438">
        <v>152</v>
      </c>
      <c r="G22" s="438">
        <v>45</v>
      </c>
      <c r="H22" s="438">
        <v>9</v>
      </c>
      <c r="I22" s="438">
        <f t="shared" si="0"/>
        <v>335</v>
      </c>
      <c r="J22" s="438">
        <v>29</v>
      </c>
      <c r="K22" s="438">
        <v>57</v>
      </c>
      <c r="L22" s="438">
        <v>112</v>
      </c>
      <c r="M22" s="438">
        <v>105</v>
      </c>
      <c r="N22" s="438">
        <v>39</v>
      </c>
      <c r="O22" s="438">
        <v>1</v>
      </c>
      <c r="P22" s="438">
        <f t="shared" si="1"/>
        <v>343</v>
      </c>
      <c r="Q22" s="439">
        <f t="shared" si="2"/>
        <v>678</v>
      </c>
    </row>
    <row r="23" spans="1:17" s="172" customFormat="1" x14ac:dyDescent="0.2">
      <c r="A23" s="172">
        <v>19</v>
      </c>
      <c r="B23" s="514" t="s">
        <v>511</v>
      </c>
      <c r="C23" s="438">
        <v>4</v>
      </c>
      <c r="D23" s="438">
        <v>10</v>
      </c>
      <c r="E23" s="438">
        <v>33</v>
      </c>
      <c r="F23" s="438">
        <v>61</v>
      </c>
      <c r="G23" s="438">
        <v>30</v>
      </c>
      <c r="H23" s="438">
        <v>3</v>
      </c>
      <c r="I23" s="438">
        <f t="shared" si="0"/>
        <v>141</v>
      </c>
      <c r="J23" s="438">
        <v>6</v>
      </c>
      <c r="K23" s="438">
        <v>34</v>
      </c>
      <c r="L23" s="438">
        <v>63</v>
      </c>
      <c r="M23" s="438">
        <v>45</v>
      </c>
      <c r="N23" s="438">
        <v>20</v>
      </c>
      <c r="O23" s="438"/>
      <c r="P23" s="438">
        <f t="shared" si="1"/>
        <v>168</v>
      </c>
      <c r="Q23" s="439">
        <f t="shared" si="2"/>
        <v>309</v>
      </c>
    </row>
    <row r="24" spans="1:17" s="172" customFormat="1" x14ac:dyDescent="0.2">
      <c r="A24" s="172">
        <v>20</v>
      </c>
      <c r="B24" s="514" t="s">
        <v>512</v>
      </c>
      <c r="C24" s="438">
        <v>1</v>
      </c>
      <c r="D24" s="438">
        <v>4</v>
      </c>
      <c r="E24" s="438">
        <v>3</v>
      </c>
      <c r="F24" s="438">
        <v>15</v>
      </c>
      <c r="G24" s="438">
        <v>14</v>
      </c>
      <c r="H24" s="438">
        <v>5</v>
      </c>
      <c r="I24" s="438">
        <f t="shared" si="0"/>
        <v>42</v>
      </c>
      <c r="J24" s="438">
        <v>1</v>
      </c>
      <c r="K24" s="438">
        <v>12</v>
      </c>
      <c r="L24" s="438">
        <v>12</v>
      </c>
      <c r="M24" s="438">
        <v>15</v>
      </c>
      <c r="N24" s="438">
        <v>10</v>
      </c>
      <c r="O24" s="438"/>
      <c r="P24" s="438">
        <f t="shared" si="1"/>
        <v>50</v>
      </c>
      <c r="Q24" s="439">
        <f t="shared" si="2"/>
        <v>92</v>
      </c>
    </row>
    <row r="25" spans="1:17" s="172" customFormat="1" x14ac:dyDescent="0.2">
      <c r="A25" s="172">
        <v>21</v>
      </c>
      <c r="B25" s="514" t="s">
        <v>513</v>
      </c>
      <c r="C25" s="438"/>
      <c r="D25" s="438">
        <v>4</v>
      </c>
      <c r="E25" s="438">
        <v>19</v>
      </c>
      <c r="F25" s="438">
        <v>67</v>
      </c>
      <c r="G25" s="438">
        <v>55</v>
      </c>
      <c r="H25" s="438">
        <v>5</v>
      </c>
      <c r="I25" s="438">
        <f t="shared" si="0"/>
        <v>150</v>
      </c>
      <c r="J25" s="438">
        <v>13</v>
      </c>
      <c r="K25" s="438">
        <v>11</v>
      </c>
      <c r="L25" s="438">
        <v>28</v>
      </c>
      <c r="M25" s="438">
        <v>20</v>
      </c>
      <c r="N25" s="438">
        <v>23</v>
      </c>
      <c r="O25" s="438">
        <v>2</v>
      </c>
      <c r="P25" s="438">
        <f t="shared" si="1"/>
        <v>97</v>
      </c>
      <c r="Q25" s="439">
        <f t="shared" si="2"/>
        <v>247</v>
      </c>
    </row>
    <row r="26" spans="1:17" s="172" customFormat="1" x14ac:dyDescent="0.2">
      <c r="A26" s="172">
        <v>22</v>
      </c>
      <c r="B26" s="514" t="s">
        <v>514</v>
      </c>
      <c r="C26" s="438"/>
      <c r="D26" s="438">
        <v>4</v>
      </c>
      <c r="E26" s="438">
        <v>4</v>
      </c>
      <c r="F26" s="438">
        <v>16</v>
      </c>
      <c r="G26" s="438">
        <v>5</v>
      </c>
      <c r="H26" s="438">
        <v>1</v>
      </c>
      <c r="I26" s="438">
        <f t="shared" si="0"/>
        <v>30</v>
      </c>
      <c r="J26" s="438">
        <v>2</v>
      </c>
      <c r="K26" s="438">
        <v>7</v>
      </c>
      <c r="L26" s="438">
        <v>9</v>
      </c>
      <c r="M26" s="438">
        <v>14</v>
      </c>
      <c r="N26" s="438">
        <v>7</v>
      </c>
      <c r="O26" s="438">
        <v>1</v>
      </c>
      <c r="P26" s="438">
        <f t="shared" si="1"/>
        <v>40</v>
      </c>
      <c r="Q26" s="439">
        <f t="shared" si="2"/>
        <v>70</v>
      </c>
    </row>
    <row r="27" spans="1:17" s="172" customFormat="1" x14ac:dyDescent="0.2">
      <c r="A27" s="172">
        <v>23</v>
      </c>
      <c r="B27" s="514" t="s">
        <v>515</v>
      </c>
      <c r="C27" s="438"/>
      <c r="D27" s="438">
        <v>2</v>
      </c>
      <c r="E27" s="438">
        <v>10</v>
      </c>
      <c r="F27" s="438">
        <v>32</v>
      </c>
      <c r="G27" s="438">
        <v>44</v>
      </c>
      <c r="H27" s="438">
        <v>4</v>
      </c>
      <c r="I27" s="438">
        <f t="shared" si="0"/>
        <v>92</v>
      </c>
      <c r="J27" s="438">
        <v>3</v>
      </c>
      <c r="K27" s="438">
        <v>8</v>
      </c>
      <c r="L27" s="438">
        <v>13</v>
      </c>
      <c r="M27" s="438">
        <v>23</v>
      </c>
      <c r="N27" s="438">
        <v>21</v>
      </c>
      <c r="O27" s="438">
        <v>2</v>
      </c>
      <c r="P27" s="438">
        <f t="shared" si="1"/>
        <v>70</v>
      </c>
      <c r="Q27" s="439">
        <f t="shared" si="2"/>
        <v>162</v>
      </c>
    </row>
    <row r="28" spans="1:17" s="172" customFormat="1" x14ac:dyDescent="0.2">
      <c r="A28" s="172">
        <v>24</v>
      </c>
      <c r="B28" s="514" t="s">
        <v>516</v>
      </c>
      <c r="C28" s="438"/>
      <c r="D28" s="438">
        <v>5</v>
      </c>
      <c r="E28" s="438">
        <v>9</v>
      </c>
      <c r="F28" s="438">
        <v>29</v>
      </c>
      <c r="G28" s="438">
        <v>21</v>
      </c>
      <c r="H28" s="438">
        <v>1</v>
      </c>
      <c r="I28" s="438">
        <f t="shared" si="0"/>
        <v>65</v>
      </c>
      <c r="J28" s="438"/>
      <c r="K28" s="438">
        <v>6</v>
      </c>
      <c r="L28" s="438">
        <v>10</v>
      </c>
      <c r="M28" s="438">
        <v>14</v>
      </c>
      <c r="N28" s="438">
        <v>9</v>
      </c>
      <c r="O28" s="438">
        <v>2</v>
      </c>
      <c r="P28" s="438">
        <f t="shared" si="1"/>
        <v>41</v>
      </c>
      <c r="Q28" s="439">
        <f t="shared" si="2"/>
        <v>106</v>
      </c>
    </row>
    <row r="29" spans="1:17" s="172" customFormat="1" x14ac:dyDescent="0.2">
      <c r="A29" s="172">
        <v>25</v>
      </c>
      <c r="B29" s="514" t="s">
        <v>517</v>
      </c>
      <c r="C29" s="438">
        <v>6</v>
      </c>
      <c r="D29" s="438">
        <v>11</v>
      </c>
      <c r="E29" s="438">
        <v>20</v>
      </c>
      <c r="F29" s="438">
        <v>53</v>
      </c>
      <c r="G29" s="438">
        <v>25</v>
      </c>
      <c r="H29" s="438">
        <v>9</v>
      </c>
      <c r="I29" s="438">
        <f t="shared" si="0"/>
        <v>124</v>
      </c>
      <c r="J29" s="438">
        <v>5</v>
      </c>
      <c r="K29" s="438">
        <v>20</v>
      </c>
      <c r="L29" s="438">
        <v>21</v>
      </c>
      <c r="M29" s="438">
        <v>60</v>
      </c>
      <c r="N29" s="438">
        <v>15</v>
      </c>
      <c r="O29" s="438">
        <v>7</v>
      </c>
      <c r="P29" s="438">
        <f t="shared" si="1"/>
        <v>128</v>
      </c>
      <c r="Q29" s="439">
        <f t="shared" si="2"/>
        <v>252</v>
      </c>
    </row>
    <row r="30" spans="1:17" s="172" customFormat="1" x14ac:dyDescent="0.2">
      <c r="A30" s="172">
        <v>26</v>
      </c>
      <c r="B30" s="514" t="s">
        <v>518</v>
      </c>
      <c r="C30" s="438"/>
      <c r="D30" s="438"/>
      <c r="E30" s="438"/>
      <c r="F30" s="438">
        <v>3</v>
      </c>
      <c r="G30" s="438">
        <v>2</v>
      </c>
      <c r="H30" s="438">
        <v>2</v>
      </c>
      <c r="I30" s="438">
        <f t="shared" si="0"/>
        <v>7</v>
      </c>
      <c r="J30" s="438"/>
      <c r="K30" s="438">
        <v>1</v>
      </c>
      <c r="L30" s="438">
        <v>2</v>
      </c>
      <c r="M30" s="438">
        <v>2</v>
      </c>
      <c r="N30" s="438"/>
      <c r="O30" s="438">
        <v>1</v>
      </c>
      <c r="P30" s="438">
        <f t="shared" si="1"/>
        <v>6</v>
      </c>
      <c r="Q30" s="439">
        <f t="shared" si="2"/>
        <v>13</v>
      </c>
    </row>
    <row r="31" spans="1:17" s="172" customFormat="1" x14ac:dyDescent="0.2">
      <c r="A31" s="172">
        <v>27</v>
      </c>
      <c r="B31" s="514" t="s">
        <v>519</v>
      </c>
      <c r="C31" s="438"/>
      <c r="D31" s="438"/>
      <c r="E31" s="438"/>
      <c r="F31" s="438">
        <v>5</v>
      </c>
      <c r="G31" s="438">
        <v>3</v>
      </c>
      <c r="H31" s="438"/>
      <c r="I31" s="438">
        <f t="shared" si="0"/>
        <v>8</v>
      </c>
      <c r="J31" s="438">
        <v>1</v>
      </c>
      <c r="K31" s="438"/>
      <c r="L31" s="438">
        <v>2</v>
      </c>
      <c r="M31" s="438">
        <v>2</v>
      </c>
      <c r="N31" s="438">
        <v>2</v>
      </c>
      <c r="O31" s="438"/>
      <c r="P31" s="438">
        <f t="shared" si="1"/>
        <v>7</v>
      </c>
      <c r="Q31" s="439">
        <f t="shared" si="2"/>
        <v>15</v>
      </c>
    </row>
    <row r="32" spans="1:17" s="172" customFormat="1" x14ac:dyDescent="0.2">
      <c r="A32" s="172">
        <v>28</v>
      </c>
      <c r="B32" s="514" t="s">
        <v>520</v>
      </c>
      <c r="C32" s="438"/>
      <c r="D32" s="438">
        <v>1</v>
      </c>
      <c r="E32" s="438">
        <v>1</v>
      </c>
      <c r="F32" s="438"/>
      <c r="G32" s="438">
        <v>1</v>
      </c>
      <c r="H32" s="438"/>
      <c r="I32" s="438">
        <f t="shared" si="0"/>
        <v>3</v>
      </c>
      <c r="J32" s="438"/>
      <c r="K32" s="438"/>
      <c r="L32" s="438">
        <v>5</v>
      </c>
      <c r="M32" s="438">
        <v>2</v>
      </c>
      <c r="N32" s="438"/>
      <c r="O32" s="438"/>
      <c r="P32" s="438">
        <f t="shared" si="1"/>
        <v>7</v>
      </c>
      <c r="Q32" s="439">
        <f t="shared" si="2"/>
        <v>10</v>
      </c>
    </row>
    <row r="33" spans="1:17" s="172" customFormat="1" x14ac:dyDescent="0.2">
      <c r="A33" s="172">
        <v>29</v>
      </c>
      <c r="B33" s="514" t="s">
        <v>521</v>
      </c>
      <c r="C33" s="438"/>
      <c r="D33" s="438">
        <v>9</v>
      </c>
      <c r="E33" s="438">
        <v>9</v>
      </c>
      <c r="F33" s="438">
        <v>39</v>
      </c>
      <c r="G33" s="438">
        <v>21</v>
      </c>
      <c r="H33" s="438">
        <v>3</v>
      </c>
      <c r="I33" s="438">
        <f t="shared" si="0"/>
        <v>81</v>
      </c>
      <c r="J33" s="438">
        <v>5</v>
      </c>
      <c r="K33" s="438">
        <v>14</v>
      </c>
      <c r="L33" s="438">
        <v>21</v>
      </c>
      <c r="M33" s="438">
        <v>29</v>
      </c>
      <c r="N33" s="438">
        <v>25</v>
      </c>
      <c r="O33" s="438">
        <v>2</v>
      </c>
      <c r="P33" s="438">
        <f t="shared" si="1"/>
        <v>96</v>
      </c>
      <c r="Q33" s="439">
        <f t="shared" si="2"/>
        <v>177</v>
      </c>
    </row>
    <row r="34" spans="1:17" s="172" customFormat="1" x14ac:dyDescent="0.2">
      <c r="A34" s="172">
        <v>31</v>
      </c>
      <c r="B34" s="514" t="s">
        <v>522</v>
      </c>
      <c r="C34" s="438">
        <v>2</v>
      </c>
      <c r="D34" s="438">
        <v>17</v>
      </c>
      <c r="E34" s="438">
        <v>27</v>
      </c>
      <c r="F34" s="438">
        <v>99</v>
      </c>
      <c r="G34" s="438">
        <v>74</v>
      </c>
      <c r="H34" s="438">
        <v>22</v>
      </c>
      <c r="I34" s="438">
        <f t="shared" si="0"/>
        <v>241</v>
      </c>
      <c r="J34" s="438">
        <v>7</v>
      </c>
      <c r="K34" s="438">
        <v>20</v>
      </c>
      <c r="L34" s="438">
        <v>52</v>
      </c>
      <c r="M34" s="438">
        <v>64</v>
      </c>
      <c r="N34" s="438">
        <v>36</v>
      </c>
      <c r="O34" s="438">
        <v>8</v>
      </c>
      <c r="P34" s="438">
        <f t="shared" si="1"/>
        <v>187</v>
      </c>
      <c r="Q34" s="439">
        <f t="shared" si="2"/>
        <v>428</v>
      </c>
    </row>
    <row r="35" spans="1:17" s="172" customFormat="1" x14ac:dyDescent="0.2">
      <c r="A35" s="172">
        <v>32</v>
      </c>
      <c r="B35" s="514" t="s">
        <v>523</v>
      </c>
      <c r="C35" s="438"/>
      <c r="D35" s="438">
        <v>6</v>
      </c>
      <c r="E35" s="438">
        <v>7</v>
      </c>
      <c r="F35" s="438">
        <v>43</v>
      </c>
      <c r="G35" s="438">
        <v>21</v>
      </c>
      <c r="H35" s="438">
        <v>1</v>
      </c>
      <c r="I35" s="438">
        <f t="shared" si="0"/>
        <v>78</v>
      </c>
      <c r="J35" s="438"/>
      <c r="K35" s="438">
        <v>7</v>
      </c>
      <c r="L35" s="438">
        <v>13</v>
      </c>
      <c r="M35" s="438">
        <v>33</v>
      </c>
      <c r="N35" s="438">
        <v>12</v>
      </c>
      <c r="O35" s="438">
        <v>3</v>
      </c>
      <c r="P35" s="438">
        <f t="shared" si="1"/>
        <v>68</v>
      </c>
      <c r="Q35" s="439">
        <f t="shared" si="2"/>
        <v>146</v>
      </c>
    </row>
    <row r="36" spans="1:17" s="172" customFormat="1" x14ac:dyDescent="0.2">
      <c r="A36" s="172">
        <v>33</v>
      </c>
      <c r="B36" s="514" t="s">
        <v>524</v>
      </c>
      <c r="C36" s="438"/>
      <c r="D36" s="438">
        <v>2</v>
      </c>
      <c r="E36" s="438">
        <v>18</v>
      </c>
      <c r="F36" s="438">
        <v>91</v>
      </c>
      <c r="G36" s="438">
        <v>60</v>
      </c>
      <c r="H36" s="438">
        <v>4</v>
      </c>
      <c r="I36" s="438">
        <f t="shared" si="0"/>
        <v>175</v>
      </c>
      <c r="J36" s="438"/>
      <c r="K36" s="438">
        <v>6</v>
      </c>
      <c r="L36" s="438">
        <v>20</v>
      </c>
      <c r="M36" s="438">
        <v>24</v>
      </c>
      <c r="N36" s="438">
        <v>13</v>
      </c>
      <c r="O36" s="438"/>
      <c r="P36" s="438">
        <f t="shared" si="1"/>
        <v>63</v>
      </c>
      <c r="Q36" s="439">
        <f t="shared" si="2"/>
        <v>238</v>
      </c>
    </row>
    <row r="37" spans="1:17" s="172" customFormat="1" x14ac:dyDescent="0.2">
      <c r="A37" s="172">
        <v>34</v>
      </c>
      <c r="B37" s="514" t="s">
        <v>525</v>
      </c>
      <c r="C37" s="438"/>
      <c r="D37" s="438"/>
      <c r="E37" s="438">
        <v>4</v>
      </c>
      <c r="F37" s="438">
        <v>20</v>
      </c>
      <c r="G37" s="438">
        <v>5</v>
      </c>
      <c r="H37" s="438"/>
      <c r="I37" s="438">
        <f t="shared" si="0"/>
        <v>29</v>
      </c>
      <c r="J37" s="438"/>
      <c r="K37" s="438">
        <v>2</v>
      </c>
      <c r="L37" s="438">
        <v>4</v>
      </c>
      <c r="M37" s="438">
        <v>3</v>
      </c>
      <c r="N37" s="438">
        <v>6</v>
      </c>
      <c r="O37" s="438"/>
      <c r="P37" s="438">
        <f t="shared" si="1"/>
        <v>15</v>
      </c>
      <c r="Q37" s="439">
        <f t="shared" si="2"/>
        <v>44</v>
      </c>
    </row>
    <row r="38" spans="1:17" s="172" customFormat="1" x14ac:dyDescent="0.2">
      <c r="A38" s="172">
        <v>35</v>
      </c>
      <c r="B38" s="514" t="s">
        <v>526</v>
      </c>
      <c r="C38" s="438">
        <v>1</v>
      </c>
      <c r="D38" s="438">
        <v>20</v>
      </c>
      <c r="E38" s="438">
        <v>58</v>
      </c>
      <c r="F38" s="438">
        <v>218</v>
      </c>
      <c r="G38" s="438">
        <v>93</v>
      </c>
      <c r="H38" s="438">
        <v>18</v>
      </c>
      <c r="I38" s="438">
        <f t="shared" si="0"/>
        <v>408</v>
      </c>
      <c r="J38" s="438">
        <v>4</v>
      </c>
      <c r="K38" s="438">
        <v>22</v>
      </c>
      <c r="L38" s="438">
        <v>38</v>
      </c>
      <c r="M38" s="438">
        <v>108</v>
      </c>
      <c r="N38" s="438">
        <v>43</v>
      </c>
      <c r="O38" s="438">
        <v>7</v>
      </c>
      <c r="P38" s="438">
        <f t="shared" si="1"/>
        <v>222</v>
      </c>
      <c r="Q38" s="439">
        <f t="shared" si="2"/>
        <v>630</v>
      </c>
    </row>
    <row r="39" spans="1:17" s="172" customFormat="1" x14ac:dyDescent="0.2">
      <c r="A39" s="172">
        <v>36</v>
      </c>
      <c r="B39" s="514" t="s">
        <v>527</v>
      </c>
      <c r="C39" s="438"/>
      <c r="D39" s="438">
        <v>55</v>
      </c>
      <c r="E39" s="438">
        <v>74</v>
      </c>
      <c r="F39" s="438">
        <v>167</v>
      </c>
      <c r="G39" s="438">
        <v>102</v>
      </c>
      <c r="H39" s="438">
        <v>29</v>
      </c>
      <c r="I39" s="438">
        <f t="shared" si="0"/>
        <v>427</v>
      </c>
      <c r="J39" s="438">
        <v>5</v>
      </c>
      <c r="K39" s="438">
        <v>11</v>
      </c>
      <c r="L39" s="438">
        <v>39</v>
      </c>
      <c r="M39" s="438">
        <v>56</v>
      </c>
      <c r="N39" s="438">
        <v>32</v>
      </c>
      <c r="O39" s="438">
        <v>7</v>
      </c>
      <c r="P39" s="438">
        <f t="shared" si="1"/>
        <v>150</v>
      </c>
      <c r="Q39" s="439">
        <f t="shared" si="2"/>
        <v>577</v>
      </c>
    </row>
    <row r="40" spans="1:17" s="172" customFormat="1" x14ac:dyDescent="0.2">
      <c r="A40" s="172">
        <v>37</v>
      </c>
      <c r="B40" s="514" t="s">
        <v>528</v>
      </c>
      <c r="C40" s="438">
        <v>1</v>
      </c>
      <c r="D40" s="438">
        <v>2</v>
      </c>
      <c r="E40" s="438">
        <v>11</v>
      </c>
      <c r="F40" s="438">
        <v>42</v>
      </c>
      <c r="G40" s="438">
        <v>33</v>
      </c>
      <c r="H40" s="438">
        <v>2</v>
      </c>
      <c r="I40" s="438">
        <f t="shared" si="0"/>
        <v>91</v>
      </c>
      <c r="J40" s="438"/>
      <c r="K40" s="438">
        <v>2</v>
      </c>
      <c r="L40" s="438">
        <v>14</v>
      </c>
      <c r="M40" s="438">
        <v>31</v>
      </c>
      <c r="N40" s="438">
        <v>13</v>
      </c>
      <c r="O40" s="438">
        <v>1</v>
      </c>
      <c r="P40" s="438">
        <f t="shared" si="1"/>
        <v>61</v>
      </c>
      <c r="Q40" s="439">
        <f t="shared" si="2"/>
        <v>152</v>
      </c>
    </row>
    <row r="41" spans="1:17" s="172" customFormat="1" x14ac:dyDescent="0.2">
      <c r="A41" s="172">
        <v>38</v>
      </c>
      <c r="B41" s="514" t="s">
        <v>529</v>
      </c>
      <c r="C41" s="438"/>
      <c r="D41" s="438">
        <v>7</v>
      </c>
      <c r="E41" s="438">
        <v>36</v>
      </c>
      <c r="F41" s="438">
        <v>102</v>
      </c>
      <c r="G41" s="438">
        <v>43</v>
      </c>
      <c r="H41" s="438">
        <v>11</v>
      </c>
      <c r="I41" s="438">
        <f t="shared" si="0"/>
        <v>199</v>
      </c>
      <c r="J41" s="438">
        <v>1</v>
      </c>
      <c r="K41" s="438">
        <v>7</v>
      </c>
      <c r="L41" s="438">
        <v>37</v>
      </c>
      <c r="M41" s="438">
        <v>43</v>
      </c>
      <c r="N41" s="438">
        <v>20</v>
      </c>
      <c r="O41" s="438">
        <v>6</v>
      </c>
      <c r="P41" s="438">
        <f t="shared" si="1"/>
        <v>114</v>
      </c>
      <c r="Q41" s="439">
        <f t="shared" si="2"/>
        <v>313</v>
      </c>
    </row>
    <row r="42" spans="1:17" s="172" customFormat="1" x14ac:dyDescent="0.2">
      <c r="A42" s="172">
        <v>39</v>
      </c>
      <c r="B42" s="514" t="s">
        <v>530</v>
      </c>
      <c r="C42" s="438"/>
      <c r="D42" s="438">
        <v>2</v>
      </c>
      <c r="E42" s="438">
        <v>5</v>
      </c>
      <c r="F42" s="438">
        <v>4</v>
      </c>
      <c r="G42" s="438">
        <v>2</v>
      </c>
      <c r="H42" s="438"/>
      <c r="I42" s="438">
        <f t="shared" si="0"/>
        <v>13</v>
      </c>
      <c r="J42" s="438"/>
      <c r="K42" s="438">
        <v>1</v>
      </c>
      <c r="L42" s="438">
        <v>2</v>
      </c>
      <c r="M42" s="438">
        <v>1</v>
      </c>
      <c r="N42" s="438">
        <v>3</v>
      </c>
      <c r="O42" s="438">
        <v>1</v>
      </c>
      <c r="P42" s="438">
        <f t="shared" si="1"/>
        <v>8</v>
      </c>
      <c r="Q42" s="439">
        <f t="shared" si="2"/>
        <v>21</v>
      </c>
    </row>
    <row r="43" spans="1:17" s="172" customFormat="1" x14ac:dyDescent="0.2">
      <c r="A43" s="172">
        <v>40</v>
      </c>
      <c r="B43" s="514" t="s">
        <v>531</v>
      </c>
      <c r="C43" s="438"/>
      <c r="D43" s="438">
        <v>8</v>
      </c>
      <c r="E43" s="438">
        <v>38</v>
      </c>
      <c r="F43" s="438">
        <v>87</v>
      </c>
      <c r="G43" s="438">
        <v>41</v>
      </c>
      <c r="H43" s="438">
        <v>2</v>
      </c>
      <c r="I43" s="438">
        <f t="shared" si="0"/>
        <v>176</v>
      </c>
      <c r="J43" s="438"/>
      <c r="K43" s="438">
        <v>9</v>
      </c>
      <c r="L43" s="438">
        <v>33</v>
      </c>
      <c r="M43" s="438">
        <v>48</v>
      </c>
      <c r="N43" s="438">
        <v>19</v>
      </c>
      <c r="O43" s="438">
        <v>2</v>
      </c>
      <c r="P43" s="438">
        <f t="shared" si="1"/>
        <v>111</v>
      </c>
      <c r="Q43" s="439">
        <f t="shared" si="2"/>
        <v>287</v>
      </c>
    </row>
    <row r="44" spans="1:17" s="172" customFormat="1" x14ac:dyDescent="0.2">
      <c r="A44" s="172">
        <v>41</v>
      </c>
      <c r="B44" s="514" t="s">
        <v>532</v>
      </c>
      <c r="C44" s="438"/>
      <c r="D44" s="438">
        <v>3</v>
      </c>
      <c r="E44" s="438">
        <v>22</v>
      </c>
      <c r="F44" s="438">
        <v>38</v>
      </c>
      <c r="G44" s="438">
        <v>18</v>
      </c>
      <c r="H44" s="438">
        <v>1</v>
      </c>
      <c r="I44" s="438">
        <f t="shared" si="0"/>
        <v>82</v>
      </c>
      <c r="J44" s="438">
        <v>1</v>
      </c>
      <c r="K44" s="438">
        <v>3</v>
      </c>
      <c r="L44" s="438">
        <v>10</v>
      </c>
      <c r="M44" s="438">
        <v>23</v>
      </c>
      <c r="N44" s="438">
        <v>14</v>
      </c>
      <c r="O44" s="438"/>
      <c r="P44" s="438">
        <f t="shared" si="1"/>
        <v>51</v>
      </c>
      <c r="Q44" s="439">
        <f t="shared" si="2"/>
        <v>133</v>
      </c>
    </row>
    <row r="45" spans="1:17" s="172" customFormat="1" x14ac:dyDescent="0.2">
      <c r="A45" s="172">
        <v>42</v>
      </c>
      <c r="B45" s="514" t="s">
        <v>533</v>
      </c>
      <c r="C45" s="438"/>
      <c r="D45" s="438"/>
      <c r="E45" s="438">
        <v>2</v>
      </c>
      <c r="F45" s="438">
        <v>9</v>
      </c>
      <c r="G45" s="438">
        <v>5</v>
      </c>
      <c r="H45" s="438"/>
      <c r="I45" s="438">
        <f t="shared" si="0"/>
        <v>16</v>
      </c>
      <c r="J45" s="438">
        <v>1</v>
      </c>
      <c r="K45" s="438">
        <v>1</v>
      </c>
      <c r="L45" s="438">
        <v>2</v>
      </c>
      <c r="M45" s="438">
        <v>3</v>
      </c>
      <c r="N45" s="438">
        <v>2</v>
      </c>
      <c r="O45" s="438"/>
      <c r="P45" s="438">
        <f t="shared" si="1"/>
        <v>9</v>
      </c>
      <c r="Q45" s="439">
        <f t="shared" si="2"/>
        <v>25</v>
      </c>
    </row>
    <row r="46" spans="1:17" x14ac:dyDescent="0.2">
      <c r="B46" s="565"/>
      <c r="C46" s="1060" t="s">
        <v>488</v>
      </c>
      <c r="D46" s="1061"/>
      <c r="E46" s="1061"/>
      <c r="F46" s="1061"/>
      <c r="G46" s="1061"/>
      <c r="H46" s="1061"/>
      <c r="I46" s="1062"/>
      <c r="J46" s="1060" t="s">
        <v>489</v>
      </c>
      <c r="K46" s="1061"/>
      <c r="L46" s="1061"/>
      <c r="M46" s="1061"/>
      <c r="N46" s="1061"/>
      <c r="O46" s="1061"/>
      <c r="P46" s="1062"/>
      <c r="Q46" s="1063" t="s">
        <v>62</v>
      </c>
    </row>
    <row r="47" spans="1:17" ht="44.25" customHeight="1" thickBot="1" x14ac:dyDescent="0.25">
      <c r="B47" s="566"/>
      <c r="C47" s="440" t="s">
        <v>276</v>
      </c>
      <c r="D47" s="441" t="s">
        <v>277</v>
      </c>
      <c r="E47" s="440" t="s">
        <v>490</v>
      </c>
      <c r="F47" s="440" t="s">
        <v>491</v>
      </c>
      <c r="G47" s="440" t="s">
        <v>492</v>
      </c>
      <c r="H47" s="440" t="s">
        <v>493</v>
      </c>
      <c r="I47" s="440" t="s">
        <v>494</v>
      </c>
      <c r="J47" s="440" t="s">
        <v>276</v>
      </c>
      <c r="K47" s="441" t="s">
        <v>277</v>
      </c>
      <c r="L47" s="440" t="s">
        <v>490</v>
      </c>
      <c r="M47" s="440" t="s">
        <v>491</v>
      </c>
      <c r="N47" s="440" t="s">
        <v>492</v>
      </c>
      <c r="O47" s="440" t="s">
        <v>493</v>
      </c>
      <c r="P47" s="440" t="s">
        <v>494</v>
      </c>
      <c r="Q47" s="1065"/>
    </row>
    <row r="48" spans="1:17" s="172" customFormat="1" ht="18" thickBot="1" x14ac:dyDescent="0.25">
      <c r="B48" s="568" t="s">
        <v>392</v>
      </c>
      <c r="C48" s="442">
        <f>SUM(C49:C73)</f>
        <v>13</v>
      </c>
      <c r="D48" s="442">
        <f t="shared" ref="D48:H48" si="3">SUM(D49:D73)</f>
        <v>94</v>
      </c>
      <c r="E48" s="442">
        <f t="shared" si="3"/>
        <v>248</v>
      </c>
      <c r="F48" s="442">
        <f t="shared" si="3"/>
        <v>604</v>
      </c>
      <c r="G48" s="442">
        <f t="shared" si="3"/>
        <v>394</v>
      </c>
      <c r="H48" s="442">
        <f t="shared" si="3"/>
        <v>73</v>
      </c>
      <c r="I48" s="442">
        <f>SUM(I49:I73)</f>
        <v>1426</v>
      </c>
      <c r="J48" s="442">
        <f>SUM(J49:J73)</f>
        <v>106</v>
      </c>
      <c r="K48" s="442">
        <f t="shared" ref="K48:P48" si="4">SUM(K49:K73)</f>
        <v>229</v>
      </c>
      <c r="L48" s="442">
        <f t="shared" si="4"/>
        <v>316</v>
      </c>
      <c r="M48" s="442">
        <f t="shared" si="4"/>
        <v>461</v>
      </c>
      <c r="N48" s="442">
        <f t="shared" si="4"/>
        <v>230</v>
      </c>
      <c r="O48" s="442">
        <f t="shared" si="4"/>
        <v>48</v>
      </c>
      <c r="P48" s="442">
        <f t="shared" si="4"/>
        <v>1390</v>
      </c>
      <c r="Q48" s="442">
        <f>SUM(I48,P48)</f>
        <v>2816</v>
      </c>
    </row>
    <row r="49" spans="1:17" s="172" customFormat="1" x14ac:dyDescent="0.2">
      <c r="A49" s="172">
        <v>43</v>
      </c>
      <c r="B49" s="515" t="s">
        <v>534</v>
      </c>
      <c r="C49" s="443">
        <v>1</v>
      </c>
      <c r="D49" s="443">
        <v>1</v>
      </c>
      <c r="E49" s="443">
        <v>5</v>
      </c>
      <c r="F49" s="443">
        <v>21</v>
      </c>
      <c r="G49" s="443">
        <v>13</v>
      </c>
      <c r="H49" s="443">
        <v>1</v>
      </c>
      <c r="I49" s="443">
        <f t="shared" ref="I49:I90" si="5">SUM(C49:H49)</f>
        <v>42</v>
      </c>
      <c r="J49" s="443">
        <v>2</v>
      </c>
      <c r="K49" s="443">
        <v>7</v>
      </c>
      <c r="L49" s="443">
        <v>6</v>
      </c>
      <c r="M49" s="443">
        <v>16</v>
      </c>
      <c r="N49" s="443">
        <v>4</v>
      </c>
      <c r="O49" s="443">
        <v>3</v>
      </c>
      <c r="P49" s="443">
        <f t="shared" ref="P49:P73" si="6">SUM(J49:O49)</f>
        <v>38</v>
      </c>
      <c r="Q49" s="444">
        <f>SUM(I49,P49)</f>
        <v>80</v>
      </c>
    </row>
    <row r="50" spans="1:17" s="172" customFormat="1" x14ac:dyDescent="0.2">
      <c r="A50" s="172">
        <v>44</v>
      </c>
      <c r="B50" s="516" t="s">
        <v>535</v>
      </c>
      <c r="C50" s="438"/>
      <c r="D50" s="438">
        <v>3</v>
      </c>
      <c r="E50" s="438">
        <v>13</v>
      </c>
      <c r="F50" s="438">
        <v>18</v>
      </c>
      <c r="G50" s="438">
        <v>9</v>
      </c>
      <c r="H50" s="438"/>
      <c r="I50" s="438">
        <f t="shared" si="5"/>
        <v>43</v>
      </c>
      <c r="J50" s="438">
        <v>3</v>
      </c>
      <c r="K50" s="438">
        <v>5</v>
      </c>
      <c r="L50" s="438">
        <v>11</v>
      </c>
      <c r="M50" s="438">
        <v>15</v>
      </c>
      <c r="N50" s="438">
        <v>5</v>
      </c>
      <c r="O50" s="438">
        <v>5</v>
      </c>
      <c r="P50" s="438">
        <f t="shared" si="6"/>
        <v>44</v>
      </c>
      <c r="Q50" s="439">
        <f t="shared" si="2"/>
        <v>87</v>
      </c>
    </row>
    <row r="51" spans="1:17" s="172" customFormat="1" x14ac:dyDescent="0.2">
      <c r="A51" s="172">
        <v>45</v>
      </c>
      <c r="B51" s="516" t="s">
        <v>536</v>
      </c>
      <c r="C51" s="438"/>
      <c r="D51" s="438">
        <v>2</v>
      </c>
      <c r="E51" s="438">
        <v>4</v>
      </c>
      <c r="F51" s="438">
        <v>16</v>
      </c>
      <c r="G51" s="438">
        <v>8</v>
      </c>
      <c r="H51" s="438"/>
      <c r="I51" s="438">
        <f t="shared" si="5"/>
        <v>30</v>
      </c>
      <c r="J51" s="438">
        <v>1</v>
      </c>
      <c r="K51" s="438">
        <v>2</v>
      </c>
      <c r="L51" s="438"/>
      <c r="M51" s="438">
        <v>3</v>
      </c>
      <c r="N51" s="438">
        <v>5</v>
      </c>
      <c r="O51" s="438"/>
      <c r="P51" s="438">
        <f t="shared" si="6"/>
        <v>11</v>
      </c>
      <c r="Q51" s="439">
        <f t="shared" si="2"/>
        <v>41</v>
      </c>
    </row>
    <row r="52" spans="1:17" s="172" customFormat="1" x14ac:dyDescent="0.2">
      <c r="A52" s="172">
        <v>46</v>
      </c>
      <c r="B52" s="516" t="s">
        <v>537</v>
      </c>
      <c r="C52" s="438"/>
      <c r="D52" s="438">
        <v>1</v>
      </c>
      <c r="E52" s="438">
        <v>8</v>
      </c>
      <c r="F52" s="438">
        <v>17</v>
      </c>
      <c r="G52" s="438">
        <v>10</v>
      </c>
      <c r="H52" s="438">
        <v>3</v>
      </c>
      <c r="I52" s="438">
        <f t="shared" si="5"/>
        <v>39</v>
      </c>
      <c r="J52" s="438">
        <v>2</v>
      </c>
      <c r="K52" s="438">
        <v>3</v>
      </c>
      <c r="L52" s="438">
        <v>8</v>
      </c>
      <c r="M52" s="438">
        <v>14</v>
      </c>
      <c r="N52" s="438">
        <v>6</v>
      </c>
      <c r="O52" s="438"/>
      <c r="P52" s="438">
        <f t="shared" si="6"/>
        <v>33</v>
      </c>
      <c r="Q52" s="439">
        <f t="shared" si="2"/>
        <v>72</v>
      </c>
    </row>
    <row r="53" spans="1:17" s="172" customFormat="1" x14ac:dyDescent="0.2">
      <c r="A53" s="172">
        <v>47</v>
      </c>
      <c r="B53" s="516" t="s">
        <v>538</v>
      </c>
      <c r="C53" s="438"/>
      <c r="D53" s="438">
        <v>1</v>
      </c>
      <c r="E53" s="438">
        <v>8</v>
      </c>
      <c r="F53" s="438">
        <v>13</v>
      </c>
      <c r="G53" s="438">
        <v>5</v>
      </c>
      <c r="H53" s="438">
        <v>1</v>
      </c>
      <c r="I53" s="438">
        <f t="shared" si="5"/>
        <v>28</v>
      </c>
      <c r="J53" s="438">
        <v>2</v>
      </c>
      <c r="K53" s="438">
        <v>7</v>
      </c>
      <c r="L53" s="438">
        <v>8</v>
      </c>
      <c r="M53" s="438">
        <v>11</v>
      </c>
      <c r="N53" s="438">
        <v>1</v>
      </c>
      <c r="O53" s="438"/>
      <c r="P53" s="438">
        <f t="shared" si="6"/>
        <v>29</v>
      </c>
      <c r="Q53" s="439">
        <f t="shared" si="2"/>
        <v>57</v>
      </c>
    </row>
    <row r="54" spans="1:17" s="172" customFormat="1" x14ac:dyDescent="0.2">
      <c r="A54" s="172">
        <v>48</v>
      </c>
      <c r="B54" s="516" t="s">
        <v>539</v>
      </c>
      <c r="C54" s="438"/>
      <c r="D54" s="438">
        <v>4</v>
      </c>
      <c r="E54" s="438">
        <v>4</v>
      </c>
      <c r="F54" s="438">
        <v>7</v>
      </c>
      <c r="G54" s="438">
        <v>8</v>
      </c>
      <c r="H54" s="438">
        <v>1</v>
      </c>
      <c r="I54" s="438">
        <f t="shared" si="5"/>
        <v>24</v>
      </c>
      <c r="J54" s="438">
        <v>2</v>
      </c>
      <c r="K54" s="438">
        <v>9</v>
      </c>
      <c r="L54" s="438">
        <v>6</v>
      </c>
      <c r="M54" s="438">
        <v>16</v>
      </c>
      <c r="N54" s="438">
        <v>8</v>
      </c>
      <c r="O54" s="438">
        <v>2</v>
      </c>
      <c r="P54" s="438">
        <f t="shared" si="6"/>
        <v>43</v>
      </c>
      <c r="Q54" s="439">
        <f t="shared" si="2"/>
        <v>67</v>
      </c>
    </row>
    <row r="55" spans="1:17" s="172" customFormat="1" x14ac:dyDescent="0.2">
      <c r="A55" s="172">
        <v>49</v>
      </c>
      <c r="B55" s="516" t="s">
        <v>540</v>
      </c>
      <c r="C55" s="438"/>
      <c r="D55" s="438">
        <v>1</v>
      </c>
      <c r="E55" s="438">
        <v>12</v>
      </c>
      <c r="F55" s="438">
        <v>22</v>
      </c>
      <c r="G55" s="438">
        <v>11</v>
      </c>
      <c r="H55" s="438">
        <v>3</v>
      </c>
      <c r="I55" s="438">
        <f t="shared" si="5"/>
        <v>49</v>
      </c>
      <c r="J55" s="438">
        <v>1</v>
      </c>
      <c r="K55" s="438">
        <v>3</v>
      </c>
      <c r="L55" s="438">
        <v>12</v>
      </c>
      <c r="M55" s="438">
        <v>11</v>
      </c>
      <c r="N55" s="438">
        <v>5</v>
      </c>
      <c r="O55" s="438"/>
      <c r="P55" s="438">
        <f t="shared" si="6"/>
        <v>32</v>
      </c>
      <c r="Q55" s="439">
        <f t="shared" si="2"/>
        <v>81</v>
      </c>
    </row>
    <row r="56" spans="1:17" s="172" customFormat="1" x14ac:dyDescent="0.2">
      <c r="A56" s="172">
        <v>50</v>
      </c>
      <c r="B56" s="516" t="s">
        <v>541</v>
      </c>
      <c r="C56" s="438"/>
      <c r="D56" s="438">
        <v>6</v>
      </c>
      <c r="E56" s="438">
        <v>3</v>
      </c>
      <c r="F56" s="438">
        <v>10</v>
      </c>
      <c r="G56" s="438">
        <v>9</v>
      </c>
      <c r="H56" s="438">
        <v>2</v>
      </c>
      <c r="I56" s="438">
        <f t="shared" si="5"/>
        <v>30</v>
      </c>
      <c r="J56" s="438">
        <v>2</v>
      </c>
      <c r="K56" s="438">
        <v>9</v>
      </c>
      <c r="L56" s="438">
        <v>4</v>
      </c>
      <c r="M56" s="438">
        <v>10</v>
      </c>
      <c r="N56" s="438">
        <v>8</v>
      </c>
      <c r="O56" s="438">
        <v>4</v>
      </c>
      <c r="P56" s="438">
        <f t="shared" si="6"/>
        <v>37</v>
      </c>
      <c r="Q56" s="439">
        <f t="shared" si="2"/>
        <v>67</v>
      </c>
    </row>
    <row r="57" spans="1:17" s="172" customFormat="1" x14ac:dyDescent="0.2">
      <c r="A57" s="172">
        <v>51</v>
      </c>
      <c r="B57" s="516" t="s">
        <v>542</v>
      </c>
      <c r="C57" s="438">
        <v>1</v>
      </c>
      <c r="D57" s="438">
        <v>1</v>
      </c>
      <c r="E57" s="438">
        <v>5</v>
      </c>
      <c r="F57" s="438">
        <v>14</v>
      </c>
      <c r="G57" s="438">
        <v>4</v>
      </c>
      <c r="H57" s="438"/>
      <c r="I57" s="438">
        <f t="shared" si="5"/>
        <v>25</v>
      </c>
      <c r="J57" s="438">
        <v>2</v>
      </c>
      <c r="K57" s="438">
        <v>6</v>
      </c>
      <c r="L57" s="438">
        <v>6</v>
      </c>
      <c r="M57" s="438">
        <v>8</v>
      </c>
      <c r="N57" s="438">
        <v>5</v>
      </c>
      <c r="O57" s="438"/>
      <c r="P57" s="438">
        <f t="shared" si="6"/>
        <v>27</v>
      </c>
      <c r="Q57" s="439">
        <f t="shared" si="2"/>
        <v>52</v>
      </c>
    </row>
    <row r="58" spans="1:17" s="172" customFormat="1" x14ac:dyDescent="0.2">
      <c r="A58" s="172">
        <v>52</v>
      </c>
      <c r="B58" s="516" t="s">
        <v>543</v>
      </c>
      <c r="C58" s="438">
        <v>1</v>
      </c>
      <c r="D58" s="438"/>
      <c r="E58" s="438">
        <v>8</v>
      </c>
      <c r="F58" s="438">
        <v>11</v>
      </c>
      <c r="G58" s="438">
        <v>7</v>
      </c>
      <c r="H58" s="438">
        <v>1</v>
      </c>
      <c r="I58" s="438">
        <f t="shared" si="5"/>
        <v>28</v>
      </c>
      <c r="J58" s="438">
        <v>2</v>
      </c>
      <c r="K58" s="438">
        <v>7</v>
      </c>
      <c r="L58" s="438">
        <v>5</v>
      </c>
      <c r="M58" s="438">
        <v>6</v>
      </c>
      <c r="N58" s="438">
        <v>4</v>
      </c>
      <c r="O58" s="438">
        <v>4</v>
      </c>
      <c r="P58" s="438">
        <f t="shared" si="6"/>
        <v>28</v>
      </c>
      <c r="Q58" s="439">
        <f t="shared" si="2"/>
        <v>56</v>
      </c>
    </row>
    <row r="59" spans="1:17" s="172" customFormat="1" x14ac:dyDescent="0.2">
      <c r="A59" s="172">
        <v>53</v>
      </c>
      <c r="B59" s="516" t="s">
        <v>544</v>
      </c>
      <c r="C59" s="438"/>
      <c r="D59" s="438">
        <v>1</v>
      </c>
      <c r="E59" s="438">
        <v>5</v>
      </c>
      <c r="F59" s="438">
        <v>17</v>
      </c>
      <c r="G59" s="438">
        <v>13</v>
      </c>
      <c r="H59" s="438">
        <v>3</v>
      </c>
      <c r="I59" s="438">
        <f t="shared" si="5"/>
        <v>39</v>
      </c>
      <c r="J59" s="438">
        <v>5</v>
      </c>
      <c r="K59" s="438">
        <v>5</v>
      </c>
      <c r="L59" s="438">
        <v>8</v>
      </c>
      <c r="M59" s="438">
        <v>8</v>
      </c>
      <c r="N59" s="438">
        <v>11</v>
      </c>
      <c r="O59" s="438">
        <v>2</v>
      </c>
      <c r="P59" s="438">
        <f t="shared" si="6"/>
        <v>39</v>
      </c>
      <c r="Q59" s="439">
        <f t="shared" si="2"/>
        <v>78</v>
      </c>
    </row>
    <row r="60" spans="1:17" s="172" customFormat="1" x14ac:dyDescent="0.2">
      <c r="A60" s="172">
        <v>54</v>
      </c>
      <c r="B60" s="516" t="s">
        <v>545</v>
      </c>
      <c r="C60" s="438">
        <v>3</v>
      </c>
      <c r="D60" s="438">
        <v>5</v>
      </c>
      <c r="E60" s="438">
        <v>9</v>
      </c>
      <c r="F60" s="438">
        <v>29</v>
      </c>
      <c r="G60" s="438">
        <v>32</v>
      </c>
      <c r="H60" s="438">
        <v>8</v>
      </c>
      <c r="I60" s="438">
        <f t="shared" si="5"/>
        <v>86</v>
      </c>
      <c r="J60" s="438">
        <v>3</v>
      </c>
      <c r="K60" s="438">
        <v>12</v>
      </c>
      <c r="L60" s="438">
        <v>18</v>
      </c>
      <c r="M60" s="438">
        <v>33</v>
      </c>
      <c r="N60" s="438">
        <v>9</v>
      </c>
      <c r="O60" s="438">
        <v>2</v>
      </c>
      <c r="P60" s="438">
        <f t="shared" si="6"/>
        <v>77</v>
      </c>
      <c r="Q60" s="439">
        <f t="shared" si="2"/>
        <v>163</v>
      </c>
    </row>
    <row r="61" spans="1:17" s="172" customFormat="1" x14ac:dyDescent="0.2">
      <c r="A61" s="172">
        <v>55</v>
      </c>
      <c r="B61" s="516" t="s">
        <v>546</v>
      </c>
      <c r="C61" s="438"/>
      <c r="D61" s="438">
        <v>3</v>
      </c>
      <c r="E61" s="438">
        <v>18</v>
      </c>
      <c r="F61" s="438">
        <v>42</v>
      </c>
      <c r="G61" s="438">
        <v>28</v>
      </c>
      <c r="H61" s="438">
        <v>5</v>
      </c>
      <c r="I61" s="438">
        <f t="shared" si="5"/>
        <v>96</v>
      </c>
      <c r="J61" s="438">
        <v>3</v>
      </c>
      <c r="K61" s="438">
        <v>20</v>
      </c>
      <c r="L61" s="438">
        <v>21</v>
      </c>
      <c r="M61" s="438">
        <v>35</v>
      </c>
      <c r="N61" s="438">
        <v>15</v>
      </c>
      <c r="O61" s="438">
        <v>4</v>
      </c>
      <c r="P61" s="438">
        <f t="shared" si="6"/>
        <v>98</v>
      </c>
      <c r="Q61" s="439">
        <f t="shared" si="2"/>
        <v>194</v>
      </c>
    </row>
    <row r="62" spans="1:17" s="172" customFormat="1" x14ac:dyDescent="0.2">
      <c r="A62" s="172">
        <v>56</v>
      </c>
      <c r="B62" s="516" t="s">
        <v>547</v>
      </c>
      <c r="C62" s="438">
        <v>2</v>
      </c>
      <c r="D62" s="438">
        <v>2</v>
      </c>
      <c r="E62" s="438">
        <v>7</v>
      </c>
      <c r="F62" s="438">
        <v>19</v>
      </c>
      <c r="G62" s="438">
        <v>7</v>
      </c>
      <c r="H62" s="438">
        <v>1</v>
      </c>
      <c r="I62" s="438">
        <f t="shared" si="5"/>
        <v>38</v>
      </c>
      <c r="J62" s="438">
        <v>2</v>
      </c>
      <c r="K62" s="438">
        <v>5</v>
      </c>
      <c r="L62" s="438">
        <v>11</v>
      </c>
      <c r="M62" s="438">
        <v>9</v>
      </c>
      <c r="N62" s="438">
        <v>3</v>
      </c>
      <c r="O62" s="438"/>
      <c r="P62" s="438">
        <f t="shared" si="6"/>
        <v>30</v>
      </c>
      <c r="Q62" s="439">
        <f t="shared" si="2"/>
        <v>68</v>
      </c>
    </row>
    <row r="63" spans="1:17" s="172" customFormat="1" x14ac:dyDescent="0.2">
      <c r="A63" s="172">
        <v>57</v>
      </c>
      <c r="B63" s="516" t="s">
        <v>548</v>
      </c>
      <c r="C63" s="438"/>
      <c r="D63" s="438">
        <v>6</v>
      </c>
      <c r="E63" s="438">
        <v>18</v>
      </c>
      <c r="F63" s="438">
        <v>30</v>
      </c>
      <c r="G63" s="438">
        <v>14</v>
      </c>
      <c r="H63" s="438">
        <v>1</v>
      </c>
      <c r="I63" s="438">
        <f t="shared" si="5"/>
        <v>69</v>
      </c>
      <c r="J63" s="438">
        <v>6</v>
      </c>
      <c r="K63" s="438">
        <v>20</v>
      </c>
      <c r="L63" s="438">
        <v>18</v>
      </c>
      <c r="M63" s="438">
        <v>28</v>
      </c>
      <c r="N63" s="438">
        <v>13</v>
      </c>
      <c r="O63" s="438">
        <v>3</v>
      </c>
      <c r="P63" s="438">
        <f t="shared" si="6"/>
        <v>88</v>
      </c>
      <c r="Q63" s="439">
        <f t="shared" si="2"/>
        <v>157</v>
      </c>
    </row>
    <row r="64" spans="1:17" s="172" customFormat="1" x14ac:dyDescent="0.2">
      <c r="A64" s="172">
        <v>58</v>
      </c>
      <c r="B64" s="516" t="s">
        <v>549</v>
      </c>
      <c r="C64" s="438"/>
      <c r="D64" s="438">
        <v>2</v>
      </c>
      <c r="E64" s="438">
        <v>9</v>
      </c>
      <c r="F64" s="438">
        <v>27</v>
      </c>
      <c r="G64" s="438">
        <v>14</v>
      </c>
      <c r="H64" s="438">
        <v>6</v>
      </c>
      <c r="I64" s="438">
        <f t="shared" si="5"/>
        <v>58</v>
      </c>
      <c r="J64" s="438">
        <v>6</v>
      </c>
      <c r="K64" s="438">
        <v>6</v>
      </c>
      <c r="L64" s="438">
        <v>10</v>
      </c>
      <c r="M64" s="438">
        <v>9</v>
      </c>
      <c r="N64" s="438">
        <v>7</v>
      </c>
      <c r="O64" s="438">
        <v>3</v>
      </c>
      <c r="P64" s="438">
        <f t="shared" si="6"/>
        <v>41</v>
      </c>
      <c r="Q64" s="439">
        <f t="shared" si="2"/>
        <v>99</v>
      </c>
    </row>
    <row r="65" spans="1:17" s="172" customFormat="1" x14ac:dyDescent="0.2">
      <c r="A65" s="172">
        <v>59</v>
      </c>
      <c r="B65" s="516" t="s">
        <v>550</v>
      </c>
      <c r="C65" s="438">
        <v>1</v>
      </c>
      <c r="D65" s="438">
        <v>4</v>
      </c>
      <c r="E65" s="438">
        <v>14</v>
      </c>
      <c r="F65" s="438">
        <v>31</v>
      </c>
      <c r="G65" s="438">
        <v>17</v>
      </c>
      <c r="H65" s="438">
        <v>5</v>
      </c>
      <c r="I65" s="438">
        <f t="shared" si="5"/>
        <v>72</v>
      </c>
      <c r="J65" s="438">
        <v>6</v>
      </c>
      <c r="K65" s="438">
        <v>9</v>
      </c>
      <c r="L65" s="438">
        <v>15</v>
      </c>
      <c r="M65" s="438">
        <v>31</v>
      </c>
      <c r="N65" s="438">
        <v>9</v>
      </c>
      <c r="O65" s="438">
        <v>3</v>
      </c>
      <c r="P65" s="438">
        <f t="shared" si="6"/>
        <v>73</v>
      </c>
      <c r="Q65" s="439">
        <f t="shared" si="2"/>
        <v>145</v>
      </c>
    </row>
    <row r="66" spans="1:17" s="172" customFormat="1" x14ac:dyDescent="0.2">
      <c r="A66" s="172">
        <v>60</v>
      </c>
      <c r="B66" s="516" t="s">
        <v>551</v>
      </c>
      <c r="C66" s="438"/>
      <c r="D66" s="438">
        <v>3</v>
      </c>
      <c r="E66" s="438">
        <v>6</v>
      </c>
      <c r="F66" s="438">
        <v>28</v>
      </c>
      <c r="G66" s="438">
        <v>4</v>
      </c>
      <c r="H66" s="438">
        <v>1</v>
      </c>
      <c r="I66" s="438">
        <f t="shared" si="5"/>
        <v>42</v>
      </c>
      <c r="J66" s="438">
        <v>4</v>
      </c>
      <c r="K66" s="438">
        <v>6</v>
      </c>
      <c r="L66" s="438">
        <v>7</v>
      </c>
      <c r="M66" s="438">
        <v>13</v>
      </c>
      <c r="N66" s="438">
        <v>6</v>
      </c>
      <c r="O66" s="438"/>
      <c r="P66" s="438">
        <f t="shared" si="6"/>
        <v>36</v>
      </c>
      <c r="Q66" s="439">
        <f t="shared" si="2"/>
        <v>78</v>
      </c>
    </row>
    <row r="67" spans="1:17" s="172" customFormat="1" x14ac:dyDescent="0.2">
      <c r="A67" s="172">
        <v>61</v>
      </c>
      <c r="B67" s="516" t="s">
        <v>552</v>
      </c>
      <c r="C67" s="438">
        <v>1</v>
      </c>
      <c r="D67" s="438">
        <v>4</v>
      </c>
      <c r="E67" s="438">
        <v>6</v>
      </c>
      <c r="F67" s="438">
        <v>27</v>
      </c>
      <c r="G67" s="438">
        <v>13</v>
      </c>
      <c r="H67" s="438">
        <v>2</v>
      </c>
      <c r="I67" s="438">
        <f t="shared" si="5"/>
        <v>53</v>
      </c>
      <c r="J67" s="438">
        <v>1</v>
      </c>
      <c r="K67" s="438">
        <v>6</v>
      </c>
      <c r="L67" s="438">
        <v>15</v>
      </c>
      <c r="M67" s="438">
        <v>19</v>
      </c>
      <c r="N67" s="438">
        <v>10</v>
      </c>
      <c r="O67" s="438">
        <v>3</v>
      </c>
      <c r="P67" s="438">
        <f t="shared" si="6"/>
        <v>54</v>
      </c>
      <c r="Q67" s="439">
        <f t="shared" si="2"/>
        <v>107</v>
      </c>
    </row>
    <row r="68" spans="1:17" s="172" customFormat="1" x14ac:dyDescent="0.2">
      <c r="A68" s="172">
        <v>62</v>
      </c>
      <c r="B68" s="516" t="s">
        <v>553</v>
      </c>
      <c r="C68" s="438"/>
      <c r="D68" s="438">
        <v>5</v>
      </c>
      <c r="E68" s="438">
        <v>11</v>
      </c>
      <c r="F68" s="438">
        <v>35</v>
      </c>
      <c r="G68" s="438">
        <v>32</v>
      </c>
      <c r="H68" s="438">
        <v>3</v>
      </c>
      <c r="I68" s="438">
        <f t="shared" si="5"/>
        <v>86</v>
      </c>
      <c r="J68" s="438">
        <v>2</v>
      </c>
      <c r="K68" s="438">
        <v>12</v>
      </c>
      <c r="L68" s="438">
        <v>20</v>
      </c>
      <c r="M68" s="438">
        <v>18</v>
      </c>
      <c r="N68" s="438">
        <v>15</v>
      </c>
      <c r="O68" s="438"/>
      <c r="P68" s="438">
        <f t="shared" si="6"/>
        <v>67</v>
      </c>
      <c r="Q68" s="439">
        <f t="shared" si="2"/>
        <v>153</v>
      </c>
    </row>
    <row r="69" spans="1:17" s="172" customFormat="1" x14ac:dyDescent="0.2">
      <c r="A69" s="172">
        <v>63</v>
      </c>
      <c r="B69" s="516" t="s">
        <v>554</v>
      </c>
      <c r="C69" s="438">
        <v>1</v>
      </c>
      <c r="D69" s="438">
        <v>12</v>
      </c>
      <c r="E69" s="438">
        <v>21</v>
      </c>
      <c r="F69" s="438">
        <v>41</v>
      </c>
      <c r="G69" s="438">
        <v>24</v>
      </c>
      <c r="H69" s="438">
        <v>4</v>
      </c>
      <c r="I69" s="438">
        <f t="shared" si="5"/>
        <v>103</v>
      </c>
      <c r="J69" s="438">
        <v>7</v>
      </c>
      <c r="K69" s="438">
        <v>16</v>
      </c>
      <c r="L69" s="438">
        <v>21</v>
      </c>
      <c r="M69" s="438">
        <v>39</v>
      </c>
      <c r="N69" s="438">
        <v>22</v>
      </c>
      <c r="O69" s="438">
        <v>2</v>
      </c>
      <c r="P69" s="438">
        <f t="shared" si="6"/>
        <v>107</v>
      </c>
      <c r="Q69" s="439">
        <f t="shared" si="2"/>
        <v>210</v>
      </c>
    </row>
    <row r="70" spans="1:17" s="172" customFormat="1" x14ac:dyDescent="0.2">
      <c r="A70" s="172">
        <v>64</v>
      </c>
      <c r="B70" s="516" t="s">
        <v>555</v>
      </c>
      <c r="C70" s="438">
        <v>1</v>
      </c>
      <c r="D70" s="438">
        <v>4</v>
      </c>
      <c r="E70" s="438">
        <v>14</v>
      </c>
      <c r="F70" s="438">
        <v>35</v>
      </c>
      <c r="G70" s="438">
        <v>26</v>
      </c>
      <c r="H70" s="438">
        <v>8</v>
      </c>
      <c r="I70" s="438">
        <f t="shared" si="5"/>
        <v>88</v>
      </c>
      <c r="J70" s="438">
        <v>9</v>
      </c>
      <c r="K70" s="438">
        <v>11</v>
      </c>
      <c r="L70" s="438">
        <v>18</v>
      </c>
      <c r="M70" s="438">
        <v>28</v>
      </c>
      <c r="N70" s="438">
        <v>17</v>
      </c>
      <c r="O70" s="438">
        <v>3</v>
      </c>
      <c r="P70" s="438">
        <f t="shared" si="6"/>
        <v>86</v>
      </c>
      <c r="Q70" s="439">
        <f t="shared" si="2"/>
        <v>174</v>
      </c>
    </row>
    <row r="71" spans="1:17" s="172" customFormat="1" x14ac:dyDescent="0.2">
      <c r="A71" s="172">
        <v>65</v>
      </c>
      <c r="B71" s="516" t="s">
        <v>556</v>
      </c>
      <c r="C71" s="438"/>
      <c r="D71" s="438">
        <v>10</v>
      </c>
      <c r="E71" s="438">
        <v>15</v>
      </c>
      <c r="F71" s="438">
        <v>40</v>
      </c>
      <c r="G71" s="438">
        <v>54</v>
      </c>
      <c r="H71" s="438">
        <v>6</v>
      </c>
      <c r="I71" s="438">
        <f t="shared" si="5"/>
        <v>125</v>
      </c>
      <c r="J71" s="438">
        <v>13</v>
      </c>
      <c r="K71" s="438">
        <v>21</v>
      </c>
      <c r="L71" s="438">
        <v>35</v>
      </c>
      <c r="M71" s="438">
        <v>39</v>
      </c>
      <c r="N71" s="438">
        <v>27</v>
      </c>
      <c r="O71" s="438">
        <v>1</v>
      </c>
      <c r="P71" s="438">
        <f t="shared" si="6"/>
        <v>136</v>
      </c>
      <c r="Q71" s="439">
        <f t="shared" si="2"/>
        <v>261</v>
      </c>
    </row>
    <row r="72" spans="1:17" s="172" customFormat="1" x14ac:dyDescent="0.2">
      <c r="A72" s="172">
        <v>66</v>
      </c>
      <c r="B72" s="516" t="s">
        <v>557</v>
      </c>
      <c r="C72" s="438">
        <v>1</v>
      </c>
      <c r="D72" s="438">
        <v>13</v>
      </c>
      <c r="E72" s="438">
        <v>25</v>
      </c>
      <c r="F72" s="438">
        <v>54</v>
      </c>
      <c r="G72" s="438">
        <v>32</v>
      </c>
      <c r="H72" s="438">
        <v>8</v>
      </c>
      <c r="I72" s="438">
        <f t="shared" si="5"/>
        <v>133</v>
      </c>
      <c r="J72" s="438">
        <v>20</v>
      </c>
      <c r="K72" s="438">
        <v>22</v>
      </c>
      <c r="L72" s="438">
        <v>33</v>
      </c>
      <c r="M72" s="438">
        <v>42</v>
      </c>
      <c r="N72" s="438">
        <v>15</v>
      </c>
      <c r="O72" s="438">
        <v>4</v>
      </c>
      <c r="P72" s="438">
        <f t="shared" si="6"/>
        <v>136</v>
      </c>
      <c r="Q72" s="439">
        <f t="shared" ref="Q72:Q90" si="7">SUM(I72,P72)</f>
        <v>269</v>
      </c>
    </row>
    <row r="73" spans="1:17" s="172" customFormat="1" ht="18" thickBot="1" x14ac:dyDescent="0.25">
      <c r="B73" s="569" t="s">
        <v>585</v>
      </c>
      <c r="C73" s="523"/>
      <c r="D73" s="523"/>
      <c r="E73" s="523"/>
      <c r="F73" s="523"/>
      <c r="G73" s="523"/>
      <c r="H73" s="523"/>
      <c r="I73" s="438">
        <f t="shared" si="5"/>
        <v>0</v>
      </c>
      <c r="J73" s="523"/>
      <c r="K73" s="523"/>
      <c r="L73" s="523"/>
      <c r="M73" s="523"/>
      <c r="N73" s="523"/>
      <c r="O73" s="523"/>
      <c r="P73" s="438">
        <f t="shared" si="6"/>
        <v>0</v>
      </c>
      <c r="Q73" s="439">
        <f t="shared" si="7"/>
        <v>0</v>
      </c>
    </row>
    <row r="74" spans="1:17" s="172" customFormat="1" ht="18" thickBot="1" x14ac:dyDescent="0.25">
      <c r="A74" s="172">
        <v>30</v>
      </c>
      <c r="B74" s="568" t="s">
        <v>393</v>
      </c>
      <c r="C74" s="442">
        <f>SUM(C75:C82)</f>
        <v>2</v>
      </c>
      <c r="D74" s="442">
        <f t="shared" ref="D74:P74" si="8">SUM(D75:D82)</f>
        <v>41</v>
      </c>
      <c r="E74" s="442">
        <f t="shared" si="8"/>
        <v>151</v>
      </c>
      <c r="F74" s="442">
        <f t="shared" si="8"/>
        <v>372</v>
      </c>
      <c r="G74" s="442">
        <f t="shared" si="8"/>
        <v>195</v>
      </c>
      <c r="H74" s="442">
        <f t="shared" si="8"/>
        <v>22</v>
      </c>
      <c r="I74" s="442">
        <f t="shared" si="8"/>
        <v>783</v>
      </c>
      <c r="J74" s="442">
        <f t="shared" si="8"/>
        <v>14</v>
      </c>
      <c r="K74" s="442">
        <f t="shared" si="8"/>
        <v>72</v>
      </c>
      <c r="L74" s="442">
        <f t="shared" si="8"/>
        <v>170</v>
      </c>
      <c r="M74" s="442">
        <f t="shared" si="8"/>
        <v>232</v>
      </c>
      <c r="N74" s="442">
        <f>SUM(N75:N82)</f>
        <v>124</v>
      </c>
      <c r="O74" s="442">
        <f t="shared" si="8"/>
        <v>11</v>
      </c>
      <c r="P74" s="442">
        <f t="shared" si="8"/>
        <v>623</v>
      </c>
      <c r="Q74" s="442">
        <f>SUM(I74,P74)</f>
        <v>1406</v>
      </c>
    </row>
    <row r="75" spans="1:17" s="172" customFormat="1" x14ac:dyDescent="0.2">
      <c r="A75" s="172">
        <v>70</v>
      </c>
      <c r="B75" s="518" t="s">
        <v>576</v>
      </c>
      <c r="C75" s="443"/>
      <c r="D75" s="443">
        <v>9</v>
      </c>
      <c r="E75" s="443">
        <v>64</v>
      </c>
      <c r="F75" s="443">
        <v>113</v>
      </c>
      <c r="G75" s="443">
        <v>44</v>
      </c>
      <c r="H75" s="443">
        <v>3</v>
      </c>
      <c r="I75" s="443">
        <f t="shared" si="5"/>
        <v>233</v>
      </c>
      <c r="J75" s="443">
        <v>3</v>
      </c>
      <c r="K75" s="443">
        <v>14</v>
      </c>
      <c r="L75" s="443">
        <v>31</v>
      </c>
      <c r="M75" s="443">
        <v>20</v>
      </c>
      <c r="N75" s="443">
        <v>19</v>
      </c>
      <c r="O75" s="443">
        <v>2</v>
      </c>
      <c r="P75" s="443">
        <f t="shared" ref="P75:P82" si="9">SUM(J75:O75)</f>
        <v>89</v>
      </c>
      <c r="Q75" s="444">
        <f>SUM(I75,P75)</f>
        <v>322</v>
      </c>
    </row>
    <row r="76" spans="1:17" s="172" customFormat="1" x14ac:dyDescent="0.2">
      <c r="A76" s="172">
        <v>71</v>
      </c>
      <c r="B76" s="514" t="s">
        <v>577</v>
      </c>
      <c r="C76" s="438"/>
      <c r="D76" s="438">
        <v>5</v>
      </c>
      <c r="E76" s="438">
        <v>15</v>
      </c>
      <c r="F76" s="438">
        <v>49</v>
      </c>
      <c r="G76" s="438">
        <v>21</v>
      </c>
      <c r="H76" s="438">
        <v>3</v>
      </c>
      <c r="I76" s="438">
        <f t="shared" si="5"/>
        <v>93</v>
      </c>
      <c r="J76" s="438">
        <v>4</v>
      </c>
      <c r="K76" s="438">
        <v>15</v>
      </c>
      <c r="L76" s="438">
        <v>16</v>
      </c>
      <c r="M76" s="438">
        <v>20</v>
      </c>
      <c r="N76" s="438">
        <v>13</v>
      </c>
      <c r="O76" s="438"/>
      <c r="P76" s="438">
        <f t="shared" si="9"/>
        <v>68</v>
      </c>
      <c r="Q76" s="439">
        <f t="shared" si="7"/>
        <v>161</v>
      </c>
    </row>
    <row r="77" spans="1:17" s="172" customFormat="1" x14ac:dyDescent="0.2">
      <c r="A77" s="172">
        <v>72</v>
      </c>
      <c r="B77" s="514" t="s">
        <v>578</v>
      </c>
      <c r="C77" s="438"/>
      <c r="D77" s="438">
        <v>3</v>
      </c>
      <c r="E77" s="438">
        <v>21</v>
      </c>
      <c r="F77" s="438">
        <v>69</v>
      </c>
      <c r="G77" s="438">
        <v>55</v>
      </c>
      <c r="H77" s="438">
        <v>5</v>
      </c>
      <c r="I77" s="438">
        <f t="shared" si="5"/>
        <v>153</v>
      </c>
      <c r="J77" s="438">
        <v>3</v>
      </c>
      <c r="K77" s="438">
        <v>8</v>
      </c>
      <c r="L77" s="438">
        <v>48</v>
      </c>
      <c r="M77" s="438">
        <v>110</v>
      </c>
      <c r="N77" s="438">
        <v>53</v>
      </c>
      <c r="O77" s="438">
        <v>6</v>
      </c>
      <c r="P77" s="438">
        <f t="shared" si="9"/>
        <v>228</v>
      </c>
      <c r="Q77" s="439">
        <f t="shared" si="7"/>
        <v>381</v>
      </c>
    </row>
    <row r="78" spans="1:17" s="172" customFormat="1" x14ac:dyDescent="0.2">
      <c r="A78" s="172">
        <v>73</v>
      </c>
      <c r="B78" s="514" t="s">
        <v>579</v>
      </c>
      <c r="C78" s="438">
        <v>2</v>
      </c>
      <c r="D78" s="438">
        <v>11</v>
      </c>
      <c r="E78" s="438">
        <v>16</v>
      </c>
      <c r="F78" s="438">
        <v>34</v>
      </c>
      <c r="G78" s="438">
        <v>10</v>
      </c>
      <c r="H78" s="438">
        <v>2</v>
      </c>
      <c r="I78" s="438">
        <f t="shared" si="5"/>
        <v>75</v>
      </c>
      <c r="J78" s="438"/>
      <c r="K78" s="438">
        <v>10</v>
      </c>
      <c r="L78" s="438">
        <v>24</v>
      </c>
      <c r="M78" s="438">
        <v>22</v>
      </c>
      <c r="N78" s="438">
        <v>9</v>
      </c>
      <c r="O78" s="438">
        <v>1</v>
      </c>
      <c r="P78" s="438">
        <f t="shared" si="9"/>
        <v>66</v>
      </c>
      <c r="Q78" s="439">
        <f t="shared" si="7"/>
        <v>141</v>
      </c>
    </row>
    <row r="79" spans="1:17" s="172" customFormat="1" x14ac:dyDescent="0.2">
      <c r="A79" s="172">
        <v>74</v>
      </c>
      <c r="B79" s="514" t="s">
        <v>580</v>
      </c>
      <c r="C79" s="438"/>
      <c r="D79" s="438">
        <v>3</v>
      </c>
      <c r="E79" s="438">
        <v>18</v>
      </c>
      <c r="F79" s="438">
        <v>52</v>
      </c>
      <c r="G79" s="438">
        <v>40</v>
      </c>
      <c r="H79" s="438">
        <v>4</v>
      </c>
      <c r="I79" s="438">
        <f t="shared" si="5"/>
        <v>117</v>
      </c>
      <c r="J79" s="438">
        <v>3</v>
      </c>
      <c r="K79" s="438">
        <v>15</v>
      </c>
      <c r="L79" s="438">
        <v>28</v>
      </c>
      <c r="M79" s="438">
        <v>29</v>
      </c>
      <c r="N79" s="438">
        <v>12</v>
      </c>
      <c r="O79" s="438">
        <v>1</v>
      </c>
      <c r="P79" s="438">
        <f t="shared" si="9"/>
        <v>88</v>
      </c>
      <c r="Q79" s="439">
        <f t="shared" si="7"/>
        <v>205</v>
      </c>
    </row>
    <row r="80" spans="1:17" s="172" customFormat="1" x14ac:dyDescent="0.2">
      <c r="A80" s="172">
        <v>75</v>
      </c>
      <c r="B80" s="514" t="s">
        <v>581</v>
      </c>
      <c r="C80" s="438"/>
      <c r="D80" s="438">
        <v>3</v>
      </c>
      <c r="E80" s="438">
        <v>4</v>
      </c>
      <c r="F80" s="438">
        <v>29</v>
      </c>
      <c r="G80" s="438">
        <v>16</v>
      </c>
      <c r="H80" s="438">
        <v>4</v>
      </c>
      <c r="I80" s="438">
        <f t="shared" si="5"/>
        <v>56</v>
      </c>
      <c r="J80" s="438">
        <v>1</v>
      </c>
      <c r="K80" s="438">
        <v>6</v>
      </c>
      <c r="L80" s="438">
        <v>14</v>
      </c>
      <c r="M80" s="438">
        <v>14</v>
      </c>
      <c r="N80" s="438">
        <v>14</v>
      </c>
      <c r="O80" s="438">
        <v>1</v>
      </c>
      <c r="P80" s="438">
        <f t="shared" si="9"/>
        <v>50</v>
      </c>
      <c r="Q80" s="439">
        <f t="shared" si="7"/>
        <v>106</v>
      </c>
    </row>
    <row r="81" spans="1:17" s="172" customFormat="1" x14ac:dyDescent="0.2">
      <c r="A81" s="172">
        <v>76</v>
      </c>
      <c r="B81" s="514" t="s">
        <v>582</v>
      </c>
      <c r="C81" s="438"/>
      <c r="D81" s="438">
        <v>7</v>
      </c>
      <c r="E81" s="438">
        <v>13</v>
      </c>
      <c r="F81" s="438">
        <v>26</v>
      </c>
      <c r="G81" s="438">
        <v>9</v>
      </c>
      <c r="H81" s="438">
        <v>1</v>
      </c>
      <c r="I81" s="438">
        <f t="shared" si="5"/>
        <v>56</v>
      </c>
      <c r="J81" s="438"/>
      <c r="K81" s="438">
        <v>4</v>
      </c>
      <c r="L81" s="438">
        <v>9</v>
      </c>
      <c r="M81" s="438">
        <v>17</v>
      </c>
      <c r="N81" s="438">
        <v>4</v>
      </c>
      <c r="O81" s="438"/>
      <c r="P81" s="438">
        <f t="shared" si="9"/>
        <v>34</v>
      </c>
      <c r="Q81" s="439">
        <f t="shared" si="7"/>
        <v>90</v>
      </c>
    </row>
    <row r="82" spans="1:17" s="172" customFormat="1" ht="18" thickBot="1" x14ac:dyDescent="0.25">
      <c r="B82" s="570" t="s">
        <v>586</v>
      </c>
      <c r="C82" s="523"/>
      <c r="D82" s="523"/>
      <c r="E82" s="523"/>
      <c r="F82" s="523"/>
      <c r="G82" s="523"/>
      <c r="H82" s="523"/>
      <c r="I82" s="523">
        <f t="shared" si="5"/>
        <v>0</v>
      </c>
      <c r="J82" s="523"/>
      <c r="K82" s="523"/>
      <c r="L82" s="523"/>
      <c r="M82" s="523"/>
      <c r="N82" s="523"/>
      <c r="O82" s="523"/>
      <c r="P82" s="523">
        <f t="shared" si="9"/>
        <v>0</v>
      </c>
      <c r="Q82" s="439">
        <f t="shared" si="7"/>
        <v>0</v>
      </c>
    </row>
    <row r="83" spans="1:17" s="172" customFormat="1" ht="18" thickBot="1" x14ac:dyDescent="0.25">
      <c r="B83" s="571" t="s">
        <v>558</v>
      </c>
      <c r="C83" s="442">
        <f>SUM(C84:C89)</f>
        <v>6</v>
      </c>
      <c r="D83" s="442">
        <f t="shared" ref="D83:O83" si="10">SUM(D84:D89)</f>
        <v>48</v>
      </c>
      <c r="E83" s="442">
        <f t="shared" si="10"/>
        <v>94</v>
      </c>
      <c r="F83" s="442">
        <f t="shared" si="10"/>
        <v>302</v>
      </c>
      <c r="G83" s="442">
        <f t="shared" si="10"/>
        <v>177</v>
      </c>
      <c r="H83" s="442">
        <f t="shared" si="10"/>
        <v>46</v>
      </c>
      <c r="I83" s="442">
        <f t="shared" si="10"/>
        <v>673</v>
      </c>
      <c r="J83" s="442">
        <f t="shared" si="10"/>
        <v>24</v>
      </c>
      <c r="K83" s="442">
        <f t="shared" si="10"/>
        <v>74</v>
      </c>
      <c r="L83" s="442">
        <f t="shared" si="10"/>
        <v>81</v>
      </c>
      <c r="M83" s="442">
        <f t="shared" si="10"/>
        <v>134</v>
      </c>
      <c r="N83" s="442">
        <f t="shared" si="10"/>
        <v>94</v>
      </c>
      <c r="O83" s="442">
        <f t="shared" si="10"/>
        <v>18</v>
      </c>
      <c r="P83" s="442">
        <f>SUM(P84:P89)</f>
        <v>425</v>
      </c>
      <c r="Q83" s="442">
        <f>SUM(I83,P83)</f>
        <v>1098</v>
      </c>
    </row>
    <row r="84" spans="1:17" s="172" customFormat="1" x14ac:dyDescent="0.2">
      <c r="A84" s="172">
        <v>80</v>
      </c>
      <c r="B84" s="515" t="s">
        <v>559</v>
      </c>
      <c r="C84" s="443"/>
      <c r="D84" s="443"/>
      <c r="E84" s="443">
        <v>1</v>
      </c>
      <c r="F84" s="443">
        <v>2</v>
      </c>
      <c r="G84" s="443">
        <v>3</v>
      </c>
      <c r="H84" s="443"/>
      <c r="I84" s="443">
        <f t="shared" si="5"/>
        <v>6</v>
      </c>
      <c r="J84" s="443">
        <v>3</v>
      </c>
      <c r="K84" s="443"/>
      <c r="L84" s="443"/>
      <c r="M84" s="443">
        <v>5</v>
      </c>
      <c r="N84" s="443">
        <v>4</v>
      </c>
      <c r="O84" s="443">
        <v>2</v>
      </c>
      <c r="P84" s="443">
        <f>SUM(J84:O84)</f>
        <v>14</v>
      </c>
      <c r="Q84" s="444">
        <f t="shared" si="7"/>
        <v>20</v>
      </c>
    </row>
    <row r="85" spans="1:17" s="172" customFormat="1" x14ac:dyDescent="0.2">
      <c r="A85" s="172">
        <v>81</v>
      </c>
      <c r="B85" s="516" t="s">
        <v>560</v>
      </c>
      <c r="C85" s="438">
        <v>1</v>
      </c>
      <c r="D85" s="438">
        <v>6</v>
      </c>
      <c r="E85" s="438">
        <v>16</v>
      </c>
      <c r="F85" s="438">
        <v>41</v>
      </c>
      <c r="G85" s="438">
        <v>23</v>
      </c>
      <c r="H85" s="438">
        <v>2</v>
      </c>
      <c r="I85" s="438">
        <f t="shared" si="5"/>
        <v>89</v>
      </c>
      <c r="J85" s="438">
        <v>6</v>
      </c>
      <c r="K85" s="438">
        <v>13</v>
      </c>
      <c r="L85" s="438">
        <v>11</v>
      </c>
      <c r="M85" s="438">
        <v>18</v>
      </c>
      <c r="N85" s="438">
        <v>19</v>
      </c>
      <c r="O85" s="438">
        <v>6</v>
      </c>
      <c r="P85" s="438">
        <f t="shared" ref="P85:P90" si="11">SUM(J85:O85)</f>
        <v>73</v>
      </c>
      <c r="Q85" s="439">
        <f t="shared" si="7"/>
        <v>162</v>
      </c>
    </row>
    <row r="86" spans="1:17" s="172" customFormat="1" x14ac:dyDescent="0.2">
      <c r="A86" s="172">
        <v>82</v>
      </c>
      <c r="B86" s="516" t="s">
        <v>561</v>
      </c>
      <c r="C86" s="438">
        <v>1</v>
      </c>
      <c r="D86" s="438">
        <v>10</v>
      </c>
      <c r="E86" s="438">
        <v>16</v>
      </c>
      <c r="F86" s="438">
        <v>41</v>
      </c>
      <c r="G86" s="438">
        <v>22</v>
      </c>
      <c r="H86" s="438">
        <v>6</v>
      </c>
      <c r="I86" s="438">
        <f t="shared" si="5"/>
        <v>96</v>
      </c>
      <c r="J86" s="438">
        <v>6</v>
      </c>
      <c r="K86" s="438">
        <v>12</v>
      </c>
      <c r="L86" s="438">
        <v>17</v>
      </c>
      <c r="M86" s="438">
        <v>16</v>
      </c>
      <c r="N86" s="438">
        <v>11</v>
      </c>
      <c r="O86" s="438">
        <v>1</v>
      </c>
      <c r="P86" s="438">
        <f t="shared" si="11"/>
        <v>63</v>
      </c>
      <c r="Q86" s="439">
        <f t="shared" si="7"/>
        <v>159</v>
      </c>
    </row>
    <row r="87" spans="1:17" s="172" customFormat="1" x14ac:dyDescent="0.2">
      <c r="A87" s="172">
        <v>83</v>
      </c>
      <c r="B87" s="516" t="s">
        <v>562</v>
      </c>
      <c r="C87" s="438">
        <v>1</v>
      </c>
      <c r="D87" s="438">
        <v>14</v>
      </c>
      <c r="E87" s="438">
        <v>32</v>
      </c>
      <c r="F87" s="438">
        <v>125</v>
      </c>
      <c r="G87" s="438">
        <v>79</v>
      </c>
      <c r="H87" s="438">
        <v>22</v>
      </c>
      <c r="I87" s="438">
        <f t="shared" si="5"/>
        <v>273</v>
      </c>
      <c r="J87" s="438">
        <v>6</v>
      </c>
      <c r="K87" s="438">
        <v>21</v>
      </c>
      <c r="L87" s="438">
        <v>35</v>
      </c>
      <c r="M87" s="438">
        <v>62</v>
      </c>
      <c r="N87" s="438">
        <v>40</v>
      </c>
      <c r="O87" s="438">
        <v>6</v>
      </c>
      <c r="P87" s="438">
        <f t="shared" si="11"/>
        <v>170</v>
      </c>
      <c r="Q87" s="439">
        <f t="shared" si="7"/>
        <v>443</v>
      </c>
    </row>
    <row r="88" spans="1:17" s="172" customFormat="1" x14ac:dyDescent="0.2">
      <c r="A88" s="172">
        <v>84</v>
      </c>
      <c r="B88" s="516" t="s">
        <v>563</v>
      </c>
      <c r="C88" s="438">
        <v>2</v>
      </c>
      <c r="D88" s="438">
        <v>13</v>
      </c>
      <c r="E88" s="438">
        <v>14</v>
      </c>
      <c r="F88" s="438">
        <v>60</v>
      </c>
      <c r="G88" s="438">
        <v>27</v>
      </c>
      <c r="H88" s="438">
        <v>5</v>
      </c>
      <c r="I88" s="438">
        <f t="shared" si="5"/>
        <v>121</v>
      </c>
      <c r="J88" s="438">
        <v>2</v>
      </c>
      <c r="K88" s="438">
        <v>18</v>
      </c>
      <c r="L88" s="438">
        <v>7</v>
      </c>
      <c r="M88" s="438">
        <v>19</v>
      </c>
      <c r="N88" s="438">
        <v>10</v>
      </c>
      <c r="O88" s="438">
        <v>3</v>
      </c>
      <c r="P88" s="438">
        <f t="shared" si="11"/>
        <v>59</v>
      </c>
      <c r="Q88" s="439">
        <f t="shared" si="7"/>
        <v>180</v>
      </c>
    </row>
    <row r="89" spans="1:17" s="172" customFormat="1" ht="18" thickBot="1" x14ac:dyDescent="0.25">
      <c r="A89" s="172">
        <v>85</v>
      </c>
      <c r="B89" s="517" t="s">
        <v>18</v>
      </c>
      <c r="C89" s="445">
        <v>1</v>
      </c>
      <c r="D89" s="445">
        <v>5</v>
      </c>
      <c r="E89" s="445">
        <v>15</v>
      </c>
      <c r="F89" s="445">
        <v>33</v>
      </c>
      <c r="G89" s="445">
        <v>23</v>
      </c>
      <c r="H89" s="445">
        <v>11</v>
      </c>
      <c r="I89" s="445">
        <f t="shared" si="5"/>
        <v>88</v>
      </c>
      <c r="J89" s="445">
        <v>1</v>
      </c>
      <c r="K89" s="445">
        <v>10</v>
      </c>
      <c r="L89" s="445">
        <v>11</v>
      </c>
      <c r="M89" s="445">
        <v>14</v>
      </c>
      <c r="N89" s="445">
        <v>10</v>
      </c>
      <c r="O89" s="445"/>
      <c r="P89" s="445">
        <f t="shared" si="11"/>
        <v>46</v>
      </c>
      <c r="Q89" s="446">
        <f t="shared" si="7"/>
        <v>134</v>
      </c>
    </row>
    <row r="90" spans="1:17" s="172" customFormat="1" ht="18" thickBot="1" x14ac:dyDescent="0.25">
      <c r="A90" s="172">
        <v>99</v>
      </c>
      <c r="B90" s="568" t="s">
        <v>374</v>
      </c>
      <c r="C90" s="447"/>
      <c r="D90" s="447">
        <v>9</v>
      </c>
      <c r="E90" s="447">
        <v>9</v>
      </c>
      <c r="F90" s="447">
        <v>22</v>
      </c>
      <c r="G90" s="447">
        <v>10</v>
      </c>
      <c r="H90" s="447">
        <v>4</v>
      </c>
      <c r="I90" s="447">
        <f t="shared" si="5"/>
        <v>54</v>
      </c>
      <c r="J90" s="447">
        <v>2</v>
      </c>
      <c r="K90" s="447">
        <v>7</v>
      </c>
      <c r="L90" s="447">
        <v>3</v>
      </c>
      <c r="M90" s="447">
        <v>15</v>
      </c>
      <c r="N90" s="447">
        <v>8</v>
      </c>
      <c r="O90" s="447">
        <v>2</v>
      </c>
      <c r="P90" s="447">
        <f t="shared" si="11"/>
        <v>37</v>
      </c>
      <c r="Q90" s="442">
        <f t="shared" si="7"/>
        <v>91</v>
      </c>
    </row>
    <row r="91" spans="1:17" s="172" customFormat="1" x14ac:dyDescent="0.2">
      <c r="B91" s="448" t="s">
        <v>11</v>
      </c>
      <c r="C91" s="449">
        <f>SUM(C5:C45,C49:C72,C75:C81,C84:C89,C90)</f>
        <v>68</v>
      </c>
      <c r="D91" s="449">
        <f t="shared" ref="D91:O91" si="12">SUM(D5:D45,D49:D72,D75:D81,D84:D89,D90)</f>
        <v>505</v>
      </c>
      <c r="E91" s="449">
        <f t="shared" si="12"/>
        <v>1203</v>
      </c>
      <c r="F91" s="449">
        <f>SUM(F5:F45,F49:F72,F75:F81,F84:F89,F90)</f>
        <v>3518</v>
      </c>
      <c r="G91" s="449">
        <f>SUM(G5:G45,G49:G72,G75:G81,G84:G89,G90)</f>
        <v>2029</v>
      </c>
      <c r="H91" s="449">
        <f>SUM(H5:H45,H49:H72,H75:H81,H84:H89,H90)</f>
        <v>443</v>
      </c>
      <c r="I91" s="449">
        <f>SUM(I5:I45,I49:I72,I75:I81,I84:I89,I90)</f>
        <v>7766</v>
      </c>
      <c r="J91" s="449">
        <f t="shared" si="12"/>
        <v>330</v>
      </c>
      <c r="K91" s="449">
        <f t="shared" si="12"/>
        <v>900</v>
      </c>
      <c r="L91" s="449">
        <f t="shared" si="12"/>
        <v>1476</v>
      </c>
      <c r="M91" s="449">
        <f t="shared" si="12"/>
        <v>2187</v>
      </c>
      <c r="N91" s="449">
        <f t="shared" si="12"/>
        <v>1269</v>
      </c>
      <c r="O91" s="449">
        <f t="shared" si="12"/>
        <v>232</v>
      </c>
      <c r="P91" s="449">
        <f>SUM(P5:P45,P49:P72,P75:P81,P84:P89,P90)</f>
        <v>6394</v>
      </c>
      <c r="Q91" s="449">
        <f>SUM(Q5:Q45,Q49:Q73,Q75:Q82,Q84:Q89,Q90)</f>
        <v>14160</v>
      </c>
    </row>
  </sheetData>
  <mergeCells count="6">
    <mergeCell ref="C3:I3"/>
    <mergeCell ref="J3:P3"/>
    <mergeCell ref="Q3:Q4"/>
    <mergeCell ref="C46:I46"/>
    <mergeCell ref="J46:P46"/>
    <mergeCell ref="Q46:Q47"/>
  </mergeCells>
  <phoneticPr fontId="2"/>
  <printOptions horizontalCentered="1"/>
  <pageMargins left="0.70866141732283472" right="0.70866141732283472" top="0.74803149606299213" bottom="0.74803149606299213" header="0.31496062992125984" footer="0.31496062992125984"/>
  <pageSetup paperSize="9" scale="93" fitToWidth="0" fitToHeight="0" orientation="portrait" r:id="rId1"/>
  <rowBreaks count="1" manualBreakCount="1">
    <brk id="45" min="1" max="16" man="1"/>
  </rowBreaks>
  <drawing r:id="rId2"/>
  <mc:AlternateContent xmlns:mc="http://schemas.openxmlformats.org/markup-compatibility/2006">
    <mc:Choice Requires="v">
      <legacyDrawing r:id="rId3"/>
    </mc:Choice>
  </mc:AlternateContent>
  <controls>
    <control shapeId="88066" r:id="rId4" name="Button 2">
      <controlPr defaultSize="0" print="0" autoFill="0" autoPict="0" macro="[0]!データ削除_入院時住所地">
        <anchor moveWithCells="1" sizeWithCells="1">
          <from>
            <xdr:col>18</xdr:col>
            <xdr:colOff>373380</xdr:colOff>
            <xdr:row>1</xdr:row>
            <xdr:rowOff>106680</xdr:rowOff>
          </from>
          <to>
            <xdr:col>22</xdr:col>
            <xdr:colOff>556260</xdr:colOff>
            <xdr:row>3</xdr:row>
            <xdr:rowOff>106680</xdr:rowOff>
          </to>
        </anchor>
      </controlPr>
    </control>
  </controls>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U64"/>
  <sheetViews>
    <sheetView showGridLines="0" view="pageBreakPreview" zoomScale="80" zoomScaleNormal="100" zoomScaleSheetLayoutView="80" workbookViewId="0"/>
  </sheetViews>
  <sheetFormatPr defaultColWidth="9" defaultRowHeight="18.75" customHeight="1" x14ac:dyDescent="0.2"/>
  <cols>
    <col min="1" max="1" width="3.21875" style="1" customWidth="1"/>
    <col min="2" max="2" width="52.44140625" style="1" customWidth="1"/>
    <col min="3" max="3" width="9.33203125" style="1" customWidth="1"/>
    <col min="4" max="4" width="10.5546875" style="1" bestFit="1" customWidth="1"/>
    <col min="5" max="5" width="4.109375" style="1" customWidth="1"/>
    <col min="6" max="6" width="3.21875" style="1" customWidth="1"/>
    <col min="7" max="7" width="52.5546875" style="1" customWidth="1"/>
    <col min="8" max="10" width="9.33203125" style="1" customWidth="1"/>
    <col min="11" max="11" width="10.21875" style="1" customWidth="1"/>
    <col min="12" max="12" width="5" style="1" customWidth="1"/>
    <col min="13" max="13" width="71" style="1" hidden="1" customWidth="1"/>
    <col min="14" max="14" width="7.33203125" style="1" hidden="1" customWidth="1"/>
    <col min="15" max="15" width="17.21875" style="1" hidden="1" customWidth="1"/>
    <col min="16" max="16" width="15.6640625" style="1" hidden="1" customWidth="1"/>
    <col min="17" max="17" width="7.33203125" style="1" hidden="1" customWidth="1"/>
    <col min="18" max="18" width="0" style="1" hidden="1" customWidth="1"/>
    <col min="19" max="20" width="9" style="1"/>
    <col min="21" max="21" width="11.88671875" style="1" customWidth="1"/>
    <col min="22" max="16384" width="9" style="1"/>
  </cols>
  <sheetData>
    <row r="1" spans="1:21" s="3" customFormat="1" ht="18.75" customHeight="1" x14ac:dyDescent="0.2">
      <c r="A1" s="2" t="s">
        <v>119</v>
      </c>
      <c r="B1" s="2"/>
    </row>
    <row r="2" spans="1:21" ht="18.75" customHeight="1" x14ac:dyDescent="0.2">
      <c r="A2" s="4"/>
      <c r="B2" s="4"/>
      <c r="M2" s="113"/>
      <c r="N2" s="32"/>
      <c r="O2" s="32"/>
      <c r="P2" s="32"/>
      <c r="R2" s="113"/>
      <c r="S2" s="32"/>
      <c r="T2" s="32"/>
      <c r="U2" s="32"/>
    </row>
    <row r="3" spans="1:21" s="3" customFormat="1" ht="18.75" customHeight="1" x14ac:dyDescent="0.2">
      <c r="A3" s="4" t="s">
        <v>13</v>
      </c>
      <c r="B3" s="4"/>
      <c r="F3" s="4" t="s">
        <v>113</v>
      </c>
      <c r="G3" s="4"/>
      <c r="M3" s="133"/>
      <c r="N3" s="37"/>
      <c r="O3" s="38"/>
      <c r="P3" s="35"/>
      <c r="Q3" s="1"/>
      <c r="R3" s="133"/>
      <c r="S3" s="37"/>
      <c r="T3" s="38"/>
      <c r="U3" s="35"/>
    </row>
    <row r="4" spans="1:21" ht="18.75" customHeight="1" x14ac:dyDescent="0.2">
      <c r="A4" s="196"/>
      <c r="B4" s="197"/>
      <c r="C4" s="203" t="s">
        <v>0</v>
      </c>
      <c r="D4" s="203" t="s">
        <v>1</v>
      </c>
      <c r="F4" s="212"/>
      <c r="G4" s="213"/>
      <c r="H4" s="203" t="s">
        <v>114</v>
      </c>
      <c r="I4" s="203" t="s">
        <v>116</v>
      </c>
      <c r="J4" s="203" t="s">
        <v>12</v>
      </c>
      <c r="K4" s="203" t="s">
        <v>1</v>
      </c>
      <c r="M4" s="54" t="s">
        <v>295</v>
      </c>
      <c r="N4" s="280" t="s">
        <v>325</v>
      </c>
      <c r="O4" s="16" t="s">
        <v>362</v>
      </c>
      <c r="P4" s="35"/>
      <c r="R4" s="133"/>
      <c r="S4" s="37"/>
      <c r="T4" s="38"/>
      <c r="U4" s="35"/>
    </row>
    <row r="5" spans="1:21" ht="18.75" customHeight="1" x14ac:dyDescent="0.2">
      <c r="A5" s="912" t="s">
        <v>120</v>
      </c>
      <c r="B5" s="913"/>
      <c r="C5" s="707">
        <f>SUM(C6:C8)</f>
        <v>4059</v>
      </c>
      <c r="D5" s="719">
        <f>SUM(D6:D8)</f>
        <v>0.28665254237288135</v>
      </c>
      <c r="F5" s="911" t="s">
        <v>120</v>
      </c>
      <c r="G5" s="902"/>
      <c r="H5" s="713">
        <f t="shared" ref="H5:I5" si="0">SUM(H6:H8)</f>
        <v>55</v>
      </c>
      <c r="I5" s="707">
        <f t="shared" si="0"/>
        <v>222</v>
      </c>
      <c r="J5" s="707">
        <f>SUM(H5:I5)</f>
        <v>277</v>
      </c>
      <c r="K5" s="706">
        <f t="shared" ref="K5:K20" si="1">IFERROR(J5/J$21,"-")</f>
        <v>0.15363283416528009</v>
      </c>
      <c r="M5" s="54" t="s">
        <v>284</v>
      </c>
      <c r="N5" s="280" t="s">
        <v>314</v>
      </c>
      <c r="O5" s="16" t="s">
        <v>363</v>
      </c>
      <c r="P5" s="35"/>
      <c r="R5" s="133"/>
      <c r="S5" s="37"/>
      <c r="T5" s="38"/>
      <c r="U5" s="35"/>
    </row>
    <row r="6" spans="1:21" ht="36.75" customHeight="1" x14ac:dyDescent="0.2">
      <c r="A6" s="198"/>
      <c r="B6" s="879" t="s">
        <v>121</v>
      </c>
      <c r="C6" s="784">
        <f>IFERROR(VLOOKUP($M4,疾患別[#All],2,FALSE),0)</f>
        <v>2086</v>
      </c>
      <c r="D6" s="721">
        <f t="shared" ref="D6:D20" si="2">IFERROR(C6/C$21,"-")</f>
        <v>0.14731638418079096</v>
      </c>
      <c r="F6" s="198"/>
      <c r="G6" s="880" t="s">
        <v>121</v>
      </c>
      <c r="H6" s="720">
        <f>IFERROR(VLOOKUP($M4,疾患別＿寛解[#All],2,FALSE),0)</f>
        <v>23</v>
      </c>
      <c r="I6" s="720">
        <f>IFERROR(VLOOKUP($M4,疾患別＿院内寛解[#All],2,FALSE),0)</f>
        <v>92</v>
      </c>
      <c r="J6" s="725">
        <f t="shared" ref="J6:J19" si="3">SUM(H6:I6)</f>
        <v>115</v>
      </c>
      <c r="K6" s="726">
        <f t="shared" si="1"/>
        <v>6.3782584581253465E-2</v>
      </c>
      <c r="M6" s="54" t="s">
        <v>285</v>
      </c>
      <c r="N6" s="280" t="s">
        <v>315</v>
      </c>
      <c r="O6" s="38"/>
      <c r="P6" s="35"/>
      <c r="R6" s="133"/>
      <c r="S6" s="37"/>
      <c r="T6" s="38"/>
      <c r="U6" s="35"/>
    </row>
    <row r="7" spans="1:21" ht="18.75" customHeight="1" x14ac:dyDescent="0.2">
      <c r="A7" s="198"/>
      <c r="B7" s="201" t="s">
        <v>122</v>
      </c>
      <c r="C7" s="878">
        <f>IFERROR(VLOOKUP($M5,疾患別[#All],2,FALSE),0)</f>
        <v>284</v>
      </c>
      <c r="D7" s="722">
        <f t="shared" si="2"/>
        <v>2.0056497175141241E-2</v>
      </c>
      <c r="F7" s="198"/>
      <c r="G7" s="201" t="s">
        <v>106</v>
      </c>
      <c r="H7" s="727">
        <f>IFERROR(VLOOKUP($M5,疾患別＿寛解[#All],2,FALSE),0)</f>
        <v>3</v>
      </c>
      <c r="I7" s="727">
        <f>IFERROR(VLOOKUP($M5,疾患別＿院内寛解[#All],2,FALSE),0)</f>
        <v>9</v>
      </c>
      <c r="J7" s="728">
        <f t="shared" si="3"/>
        <v>12</v>
      </c>
      <c r="K7" s="729">
        <f t="shared" si="1"/>
        <v>6.6555740432612314E-3</v>
      </c>
      <c r="M7" s="54" t="s">
        <v>286</v>
      </c>
      <c r="N7" s="280" t="s">
        <v>316</v>
      </c>
      <c r="O7" s="38"/>
      <c r="P7" s="35"/>
      <c r="R7" s="133"/>
      <c r="S7" s="37"/>
      <c r="T7" s="38"/>
      <c r="U7" s="35"/>
    </row>
    <row r="8" spans="1:21" ht="37.5" customHeight="1" x14ac:dyDescent="0.2">
      <c r="A8" s="199"/>
      <c r="B8" s="202" t="s">
        <v>19</v>
      </c>
      <c r="C8" s="877">
        <f>IFERROR(VLOOKUP($M6,疾患別[#All],2,FALSE),0)</f>
        <v>1689</v>
      </c>
      <c r="D8" s="723">
        <f t="shared" si="2"/>
        <v>0.11927966101694916</v>
      </c>
      <c r="F8" s="216"/>
      <c r="G8" s="522" t="s">
        <v>584</v>
      </c>
      <c r="H8" s="730">
        <f>IFERROR(VLOOKUP($M6,疾患別＿寛解[#All],2,FALSE),0)</f>
        <v>29</v>
      </c>
      <c r="I8" s="730">
        <f>IFERROR(VLOOKUP($M6,疾患別＿院内寛解[#All],2,FALSE),0)</f>
        <v>121</v>
      </c>
      <c r="J8" s="731">
        <f t="shared" si="3"/>
        <v>150</v>
      </c>
      <c r="K8" s="732">
        <f t="shared" si="1"/>
        <v>8.3194675540765387E-2</v>
      </c>
      <c r="M8" s="54" t="s">
        <v>312</v>
      </c>
      <c r="N8" s="280" t="s">
        <v>317</v>
      </c>
      <c r="O8" s="38"/>
      <c r="P8" s="35"/>
      <c r="R8" s="133"/>
      <c r="S8" s="37"/>
      <c r="T8" s="38"/>
      <c r="U8" s="35"/>
    </row>
    <row r="9" spans="1:21" ht="18.75" customHeight="1" x14ac:dyDescent="0.2">
      <c r="A9" s="909" t="s">
        <v>20</v>
      </c>
      <c r="B9" s="910"/>
      <c r="C9" s="713">
        <f>IFERROR(VLOOKUP($M7,疾患別[#All],2,FALSE),0)+IFERROR(VLOOKUP($M8,疾患別[#All],2,FALSE),0)+IFERROR(VLOOKUP($M9,疾患別[#All],2,FALSE),0)</f>
        <v>755</v>
      </c>
      <c r="D9" s="724">
        <f t="shared" si="2"/>
        <v>5.3319209039548024E-2</v>
      </c>
      <c r="F9" s="901" t="s">
        <v>20</v>
      </c>
      <c r="G9" s="902"/>
      <c r="H9" s="713">
        <f>IFERROR(VLOOKUP($M7,疾患別＿寛解[#All],2,FALSE),0)+IFERROR(VLOOKUP($M8,疾患別＿寛解[#All],2,FALSE),0)+IFERROR(VLOOKUP($M9,疾患別＿寛解[#All],2,FALSE),0)</f>
        <v>42</v>
      </c>
      <c r="I9" s="713">
        <f>IFERROR(VLOOKUP($M7,疾患別＿院内寛解[#All],2,FALSE),0)+IFERROR(VLOOKUP($M8,疾患別＿院内寛解[#All],2,FALSE),0)+IFERROR(VLOOKUP($M9,疾患別＿院内寛解[#All],2,FALSE),0)</f>
        <v>198</v>
      </c>
      <c r="J9" s="707">
        <f t="shared" si="3"/>
        <v>240</v>
      </c>
      <c r="K9" s="712">
        <f t="shared" si="1"/>
        <v>0.13311148086522462</v>
      </c>
      <c r="M9" s="54" t="s">
        <v>313</v>
      </c>
      <c r="N9" s="280" t="s">
        <v>318</v>
      </c>
      <c r="O9" s="38"/>
      <c r="P9" s="35"/>
      <c r="R9" s="133"/>
      <c r="S9" s="37"/>
      <c r="T9" s="38"/>
      <c r="U9" s="35"/>
    </row>
    <row r="10" spans="1:21" ht="18.75" customHeight="1" x14ac:dyDescent="0.2">
      <c r="A10" s="909" t="s">
        <v>272</v>
      </c>
      <c r="B10" s="910"/>
      <c r="C10" s="713">
        <f>IFERROR(VLOOKUP($M10,疾患別[#All],2,FALSE),0)</f>
        <v>6731</v>
      </c>
      <c r="D10" s="724">
        <f t="shared" si="2"/>
        <v>0.47535310734463276</v>
      </c>
      <c r="F10" s="901" t="s">
        <v>272</v>
      </c>
      <c r="G10" s="902"/>
      <c r="H10" s="713">
        <f>IFERROR(VLOOKUP($M10,疾患別＿寛解[#All],2,FALSE),0)</f>
        <v>157</v>
      </c>
      <c r="I10" s="713">
        <f>IFERROR(VLOOKUP($M10,疾患別＿院内寛解[#All],2,FALSE),0)</f>
        <v>595</v>
      </c>
      <c r="J10" s="707">
        <f t="shared" si="3"/>
        <v>752</v>
      </c>
      <c r="K10" s="712">
        <f t="shared" si="1"/>
        <v>0.41708264004437051</v>
      </c>
      <c r="M10" s="54" t="s">
        <v>287</v>
      </c>
      <c r="N10" s="280" t="s">
        <v>319</v>
      </c>
      <c r="O10" s="38"/>
      <c r="P10" s="35"/>
      <c r="R10" s="133"/>
      <c r="S10" s="37"/>
      <c r="T10" s="38"/>
      <c r="U10" s="35"/>
    </row>
    <row r="11" spans="1:21" ht="18.75" customHeight="1" x14ac:dyDescent="0.2">
      <c r="A11" s="909" t="s">
        <v>22</v>
      </c>
      <c r="B11" s="910"/>
      <c r="C11" s="713">
        <f>IFERROR(VLOOKUP($M11,疾患別[#All],2,FALSE),0)+IFERROR(VLOOKUP($M12,疾患別[#All],2,FALSE),0)</f>
        <v>1633</v>
      </c>
      <c r="D11" s="724">
        <f t="shared" si="2"/>
        <v>0.11532485875706215</v>
      </c>
      <c r="F11" s="901" t="s">
        <v>22</v>
      </c>
      <c r="G11" s="902"/>
      <c r="H11" s="713">
        <f>IFERROR(VLOOKUP($M11,疾患別＿寛解[#All],2,FALSE),0)+IFERROR(VLOOKUP($M12,疾患別＿寛解[#All],2,FALSE),0)</f>
        <v>99</v>
      </c>
      <c r="I11" s="713">
        <f>IFERROR(VLOOKUP($M11,疾患別＿院内寛解[#All],2,FALSE),0)+IFERROR(VLOOKUP($M12,疾患別＿院内寛解[#All],2,FALSE),0)</f>
        <v>248</v>
      </c>
      <c r="J11" s="707">
        <f t="shared" si="3"/>
        <v>347</v>
      </c>
      <c r="K11" s="712">
        <f t="shared" si="1"/>
        <v>0.19245701608430393</v>
      </c>
      <c r="M11" s="54" t="s">
        <v>288</v>
      </c>
      <c r="N11" s="280" t="s">
        <v>320</v>
      </c>
      <c r="O11" s="38"/>
      <c r="P11" s="35"/>
      <c r="R11" s="133"/>
      <c r="S11" s="37"/>
      <c r="T11" s="38"/>
      <c r="U11" s="35"/>
    </row>
    <row r="12" spans="1:21" ht="18.75" customHeight="1" x14ac:dyDescent="0.2">
      <c r="A12" s="907" t="s">
        <v>107</v>
      </c>
      <c r="B12" s="908"/>
      <c r="C12" s="713">
        <f>IFERROR(VLOOKUP($M13,疾患別[#All],2,FALSE),0)</f>
        <v>263</v>
      </c>
      <c r="D12" s="724">
        <f t="shared" si="2"/>
        <v>1.8573446327683617E-2</v>
      </c>
      <c r="F12" s="903" t="s">
        <v>24</v>
      </c>
      <c r="G12" s="904"/>
      <c r="H12" s="713">
        <f>IFERROR(VLOOKUP($M13,疾患別＿寛解[#All],2,FALSE),0)</f>
        <v>20</v>
      </c>
      <c r="I12" s="713">
        <f>IFERROR(VLOOKUP($M13,疾患別＿院内寛解[#All],2,FALSE),0)</f>
        <v>53</v>
      </c>
      <c r="J12" s="707">
        <f t="shared" si="3"/>
        <v>73</v>
      </c>
      <c r="K12" s="712">
        <f t="shared" si="1"/>
        <v>4.0488075429839156E-2</v>
      </c>
      <c r="M12" s="54" t="s">
        <v>289</v>
      </c>
      <c r="N12" s="280" t="s">
        <v>321</v>
      </c>
      <c r="O12" s="38"/>
      <c r="P12" s="35"/>
      <c r="R12" s="134"/>
      <c r="S12" s="37"/>
      <c r="T12" s="38"/>
      <c r="U12" s="35"/>
    </row>
    <row r="13" spans="1:21" ht="18.75" customHeight="1" x14ac:dyDescent="0.2">
      <c r="A13" s="907" t="s">
        <v>108</v>
      </c>
      <c r="B13" s="908"/>
      <c r="C13" s="713">
        <f>IFERROR(VLOOKUP($M14,疾患別[#All],2,FALSE),0)</f>
        <v>58</v>
      </c>
      <c r="D13" s="724">
        <f t="shared" si="2"/>
        <v>4.0960451977401129E-3</v>
      </c>
      <c r="F13" s="903" t="s">
        <v>25</v>
      </c>
      <c r="G13" s="904"/>
      <c r="H13" s="713">
        <f>IFERROR(VLOOKUP($M14,疾患別＿寛解[#All],2,FALSE),0)</f>
        <v>0</v>
      </c>
      <c r="I13" s="713">
        <f>IFERROR(VLOOKUP($M14,疾患別＿院内寛解[#All],2,FALSE),0)</f>
        <v>4</v>
      </c>
      <c r="J13" s="707">
        <f t="shared" si="3"/>
        <v>4</v>
      </c>
      <c r="K13" s="712">
        <f t="shared" si="1"/>
        <v>2.2185246810870773E-3</v>
      </c>
      <c r="M13" s="54" t="s">
        <v>290</v>
      </c>
      <c r="N13" s="280" t="s">
        <v>322</v>
      </c>
      <c r="O13" s="38"/>
      <c r="P13" s="35"/>
      <c r="R13" s="134"/>
      <c r="S13" s="37"/>
      <c r="T13" s="38"/>
      <c r="U13" s="35"/>
    </row>
    <row r="14" spans="1:21" ht="18.75" customHeight="1" x14ac:dyDescent="0.2">
      <c r="A14" s="909" t="s">
        <v>256</v>
      </c>
      <c r="B14" s="910"/>
      <c r="C14" s="713">
        <f>IFERROR(VLOOKUP($M15,疾患別[#All],2,FALSE),0)</f>
        <v>38</v>
      </c>
      <c r="D14" s="724">
        <f t="shared" si="2"/>
        <v>2.6836158192090395E-3</v>
      </c>
      <c r="F14" s="901" t="s">
        <v>256</v>
      </c>
      <c r="G14" s="902"/>
      <c r="H14" s="713">
        <f>IFERROR(VLOOKUP($M15,疾患別＿寛解[#All],2,FALSE),0)</f>
        <v>1</v>
      </c>
      <c r="I14" s="713">
        <f>IFERROR(VLOOKUP($M15,疾患別＿院内寛解[#All],2,FALSE),0)</f>
        <v>15</v>
      </c>
      <c r="J14" s="707">
        <f t="shared" si="3"/>
        <v>16</v>
      </c>
      <c r="K14" s="712">
        <f t="shared" si="1"/>
        <v>8.8740987243483092E-3</v>
      </c>
      <c r="M14" s="54" t="s">
        <v>291</v>
      </c>
      <c r="N14" s="280" t="s">
        <v>323</v>
      </c>
      <c r="O14" s="38"/>
      <c r="P14" s="35"/>
      <c r="R14" s="134"/>
      <c r="S14" s="37"/>
      <c r="T14" s="38"/>
      <c r="U14" s="35"/>
    </row>
    <row r="15" spans="1:21" ht="18.75" customHeight="1" x14ac:dyDescent="0.2">
      <c r="A15" s="909" t="s">
        <v>257</v>
      </c>
      <c r="B15" s="910"/>
      <c r="C15" s="713">
        <f>IFERROR(VLOOKUP($M16,疾患別[#All],2,FALSE),0)</f>
        <v>305</v>
      </c>
      <c r="D15" s="724">
        <f t="shared" si="2"/>
        <v>2.1539548022598869E-2</v>
      </c>
      <c r="F15" s="901" t="s">
        <v>257</v>
      </c>
      <c r="G15" s="902"/>
      <c r="H15" s="713">
        <f>IFERROR(VLOOKUP($M16,疾患別＿寛解[#All],2,FALSE),0)</f>
        <v>6</v>
      </c>
      <c r="I15" s="713">
        <f>IFERROR(VLOOKUP($M16,疾患別＿院内寛解[#All],2,FALSE),0)</f>
        <v>30</v>
      </c>
      <c r="J15" s="707">
        <f t="shared" si="3"/>
        <v>36</v>
      </c>
      <c r="K15" s="712">
        <f t="shared" si="1"/>
        <v>1.9966722129783693E-2</v>
      </c>
      <c r="M15" s="54" t="s">
        <v>296</v>
      </c>
      <c r="N15" s="280" t="s">
        <v>324</v>
      </c>
      <c r="O15" s="38"/>
      <c r="P15" s="35"/>
      <c r="R15" s="133"/>
      <c r="S15" s="37"/>
      <c r="T15" s="38"/>
      <c r="U15" s="35"/>
    </row>
    <row r="16" spans="1:21" ht="18.75" customHeight="1" x14ac:dyDescent="0.2">
      <c r="A16" s="909" t="s">
        <v>23</v>
      </c>
      <c r="B16" s="910"/>
      <c r="C16" s="713">
        <f>IFERROR(VLOOKUP($M17,疾患別[#All],2,FALSE),0)</f>
        <v>153</v>
      </c>
      <c r="D16" s="724">
        <f t="shared" si="2"/>
        <v>1.0805084745762712E-2</v>
      </c>
      <c r="E16" s="106"/>
      <c r="F16" s="901" t="s">
        <v>23</v>
      </c>
      <c r="G16" s="902"/>
      <c r="H16" s="713">
        <f>IFERROR(VLOOKUP($M17,疾患別＿寛解[#All],2,FALSE),0)</f>
        <v>12</v>
      </c>
      <c r="I16" s="713">
        <f>IFERROR(VLOOKUP($M17,疾患別＿院内寛解[#All],2,FALSE),0)</f>
        <v>24</v>
      </c>
      <c r="J16" s="707">
        <f t="shared" si="3"/>
        <v>36</v>
      </c>
      <c r="K16" s="712">
        <f t="shared" si="1"/>
        <v>1.9966722129783693E-2</v>
      </c>
      <c r="M16" s="54" t="s">
        <v>292</v>
      </c>
      <c r="N16" s="280" t="s">
        <v>376</v>
      </c>
      <c r="O16" s="38"/>
      <c r="P16" s="35"/>
      <c r="R16" s="135"/>
      <c r="S16" s="37"/>
      <c r="T16" s="38"/>
      <c r="U16" s="35"/>
    </row>
    <row r="17" spans="1:21" ht="18.75" customHeight="1" x14ac:dyDescent="0.2">
      <c r="A17" s="905" t="s">
        <v>258</v>
      </c>
      <c r="B17" s="906"/>
      <c r="C17" s="713">
        <f>IFERROR(VLOOKUP($M18,疾患別[#All],2,FALSE),0)</f>
        <v>43</v>
      </c>
      <c r="D17" s="724">
        <f t="shared" si="2"/>
        <v>3.036723163841808E-3</v>
      </c>
      <c r="E17" s="38"/>
      <c r="F17" s="905" t="s">
        <v>258</v>
      </c>
      <c r="G17" s="906"/>
      <c r="H17" s="713">
        <f>IFERROR(VLOOKUP($M18,疾患別＿寛解[#All],2,FALSE),0)</f>
        <v>4</v>
      </c>
      <c r="I17" s="713">
        <f>IFERROR(VLOOKUP($M18,疾患別＿院内寛解[#All],2,FALSE),0)</f>
        <v>6</v>
      </c>
      <c r="J17" s="707">
        <f t="shared" si="3"/>
        <v>10</v>
      </c>
      <c r="K17" s="712">
        <f t="shared" si="1"/>
        <v>5.546311702717693E-3</v>
      </c>
      <c r="M17" s="54" t="s">
        <v>293</v>
      </c>
      <c r="N17" s="37"/>
      <c r="O17" s="38"/>
      <c r="P17" s="35"/>
      <c r="R17" s="113"/>
      <c r="S17" s="37"/>
      <c r="T17" s="38"/>
      <c r="U17" s="35"/>
    </row>
    <row r="18" spans="1:21" ht="18.75" customHeight="1" x14ac:dyDescent="0.2">
      <c r="A18" s="909" t="s">
        <v>123</v>
      </c>
      <c r="B18" s="910"/>
      <c r="C18" s="713">
        <f>IFERROR(VLOOKUP($M19,疾患別[#All],2,FALSE),0)</f>
        <v>40</v>
      </c>
      <c r="D18" s="724">
        <f t="shared" si="2"/>
        <v>2.8248587570621469E-3</v>
      </c>
      <c r="E18" s="106"/>
      <c r="F18" s="901" t="s">
        <v>123</v>
      </c>
      <c r="G18" s="902"/>
      <c r="H18" s="713">
        <f>IFERROR(VLOOKUP($M19,疾患別＿寛解[#All],2,FALSE),0)</f>
        <v>0</v>
      </c>
      <c r="I18" s="713">
        <f>IFERROR(VLOOKUP($M19,疾患別＿院内寛解[#All],2,FALSE),0)</f>
        <v>3</v>
      </c>
      <c r="J18" s="707">
        <f>SUM(H18:I18)</f>
        <v>3</v>
      </c>
      <c r="K18" s="712">
        <f t="shared" si="1"/>
        <v>1.6638935108153079E-3</v>
      </c>
      <c r="M18" s="54" t="s">
        <v>297</v>
      </c>
    </row>
    <row r="19" spans="1:21" ht="18.75" customHeight="1" x14ac:dyDescent="0.2">
      <c r="A19" s="899" t="s">
        <v>18</v>
      </c>
      <c r="B19" s="900"/>
      <c r="C19" s="713">
        <f>IFERROR(VLOOKUP($M20,疾患別[#All],2,FALSE),0)</f>
        <v>82</v>
      </c>
      <c r="D19" s="724">
        <f t="shared" si="2"/>
        <v>5.7909604519774012E-3</v>
      </c>
      <c r="E19" s="38"/>
      <c r="F19" s="914" t="s">
        <v>18</v>
      </c>
      <c r="G19" s="915"/>
      <c r="H19" s="713">
        <f>IFERROR(VLOOKUP($M20,疾患別＿寛解[#All],2,FALSE),0)</f>
        <v>2</v>
      </c>
      <c r="I19" s="713">
        <f>IFERROR(VLOOKUP($M20,疾患別＿院内寛解[#All],2,FALSE),0)</f>
        <v>7</v>
      </c>
      <c r="J19" s="707">
        <f t="shared" si="3"/>
        <v>9</v>
      </c>
      <c r="K19" s="712">
        <f t="shared" si="1"/>
        <v>4.9916805324459234E-3</v>
      </c>
      <c r="M19" s="54" t="s">
        <v>294</v>
      </c>
    </row>
    <row r="20" spans="1:21" ht="18.75" customHeight="1" x14ac:dyDescent="0.2">
      <c r="A20" s="899" t="s">
        <v>375</v>
      </c>
      <c r="B20" s="900"/>
      <c r="C20" s="713">
        <f>IFERROR(VLOOKUP($M21,疾患別[#All],2,FALSE),0)</f>
        <v>0</v>
      </c>
      <c r="D20" s="724">
        <f t="shared" si="2"/>
        <v>0</v>
      </c>
      <c r="E20" s="38"/>
      <c r="F20" s="899" t="s">
        <v>375</v>
      </c>
      <c r="G20" s="900"/>
      <c r="H20" s="713">
        <f>IFERROR(VLOOKUP($M21,疾患別＿寛解[#All],2,FALSE),0)</f>
        <v>0</v>
      </c>
      <c r="I20" s="713">
        <f>IFERROR(VLOOKUP($M21,疾患別＿院内寛解[#All],2,FALSE),0)</f>
        <v>0</v>
      </c>
      <c r="J20" s="707">
        <f t="shared" ref="J20" si="4">SUM(H20:I20)</f>
        <v>0</v>
      </c>
      <c r="K20" s="712">
        <f t="shared" si="1"/>
        <v>0</v>
      </c>
      <c r="M20" s="54" t="s">
        <v>18</v>
      </c>
    </row>
    <row r="21" spans="1:21" ht="18.75" customHeight="1" x14ac:dyDescent="0.2">
      <c r="A21" s="200" t="s">
        <v>11</v>
      </c>
      <c r="B21" s="18"/>
      <c r="C21" s="709">
        <f>SUM(C6:C20)</f>
        <v>14160</v>
      </c>
      <c r="D21" s="710">
        <f>SUM(D6:D20)</f>
        <v>0.99999999999999989</v>
      </c>
      <c r="F21" s="214" t="s">
        <v>11</v>
      </c>
      <c r="G21" s="215"/>
      <c r="H21" s="709">
        <f>SUM(H6:H20)</f>
        <v>398</v>
      </c>
      <c r="I21" s="709">
        <f>SUM(I6:I20)</f>
        <v>1405</v>
      </c>
      <c r="J21" s="709">
        <f>SUM(J6:J20)</f>
        <v>1803</v>
      </c>
      <c r="K21" s="710">
        <f>SUM(K6:K20)</f>
        <v>1</v>
      </c>
      <c r="M21" s="54" t="s">
        <v>375</v>
      </c>
    </row>
    <row r="22" spans="1:21" ht="18.75" hidden="1" customHeight="1" x14ac:dyDescent="0.2">
      <c r="A22" s="37"/>
      <c r="B22" s="55" t="s">
        <v>63</v>
      </c>
      <c r="C22" s="44"/>
      <c r="G22" s="55" t="s">
        <v>63</v>
      </c>
      <c r="M22" s="113"/>
      <c r="N22" s="32"/>
      <c r="O22" s="32"/>
      <c r="P22" s="32"/>
    </row>
    <row r="23" spans="1:21" ht="18.75" hidden="1" customHeight="1" thickBot="1" x14ac:dyDescent="0.25">
      <c r="B23" s="343" t="s">
        <v>283</v>
      </c>
      <c r="C23" s="339" t="s">
        <v>0</v>
      </c>
      <c r="G23" s="343" t="s">
        <v>283</v>
      </c>
      <c r="H23" s="339" t="s">
        <v>28</v>
      </c>
      <c r="M23" s="133"/>
      <c r="N23" s="37"/>
      <c r="O23" s="38"/>
      <c r="P23" s="35"/>
    </row>
    <row r="24" spans="1:21" s="3" customFormat="1" ht="18.75" hidden="1" customHeight="1" thickTop="1" thickBot="1" x14ac:dyDescent="0.25">
      <c r="B24" s="288" t="s">
        <v>372</v>
      </c>
      <c r="C24" s="34" t="s">
        <v>615</v>
      </c>
      <c r="F24" s="265"/>
      <c r="G24" s="288" t="s">
        <v>372</v>
      </c>
      <c r="H24" s="34" t="s">
        <v>615</v>
      </c>
      <c r="L24" s="268"/>
      <c r="M24" s="268"/>
      <c r="O24" s="38"/>
      <c r="P24" s="35"/>
    </row>
    <row r="25" spans="1:21" ht="18.75" hidden="1" customHeight="1" thickTop="1" x14ac:dyDescent="0.2">
      <c r="A25" s="42"/>
      <c r="B25" s="42" t="s">
        <v>295</v>
      </c>
      <c r="C25" s="116">
        <v>2086</v>
      </c>
      <c r="F25" s="266"/>
      <c r="G25" s="42" t="s">
        <v>295</v>
      </c>
      <c r="H25" s="116">
        <v>23</v>
      </c>
      <c r="M25" s="133"/>
      <c r="O25" s="38"/>
      <c r="P25" s="35"/>
    </row>
    <row r="26" spans="1:21" ht="18.75" hidden="1" customHeight="1" x14ac:dyDescent="0.2">
      <c r="A26" s="42"/>
      <c r="B26" s="42" t="s">
        <v>284</v>
      </c>
      <c r="C26" s="116">
        <v>284</v>
      </c>
      <c r="F26" s="267"/>
      <c r="G26" s="262" t="s">
        <v>284</v>
      </c>
      <c r="H26" s="263">
        <v>3</v>
      </c>
      <c r="M26" s="133"/>
      <c r="O26" s="38"/>
      <c r="P26" s="35"/>
    </row>
    <row r="27" spans="1:21" ht="18.75" hidden="1" customHeight="1" x14ac:dyDescent="0.2">
      <c r="A27" s="42"/>
      <c r="B27" s="42" t="s">
        <v>285</v>
      </c>
      <c r="C27" s="116">
        <v>1689</v>
      </c>
      <c r="F27" s="266"/>
      <c r="G27" s="260" t="s">
        <v>285</v>
      </c>
      <c r="H27" s="261">
        <v>29</v>
      </c>
      <c r="M27" s="133"/>
      <c r="O27" s="38"/>
      <c r="P27" s="35"/>
    </row>
    <row r="28" spans="1:21" ht="18.75" hidden="1" customHeight="1" x14ac:dyDescent="0.2">
      <c r="A28" s="42"/>
      <c r="B28" s="42" t="s">
        <v>286</v>
      </c>
      <c r="C28" s="116">
        <v>634</v>
      </c>
      <c r="F28" s="267"/>
      <c r="G28" s="262" t="s">
        <v>286</v>
      </c>
      <c r="H28" s="263">
        <v>36</v>
      </c>
      <c r="M28" s="133"/>
      <c r="O28" s="38"/>
      <c r="P28" s="35"/>
    </row>
    <row r="29" spans="1:21" ht="18.75" hidden="1" customHeight="1" x14ac:dyDescent="0.2">
      <c r="A29" s="54"/>
      <c r="B29" s="71" t="s">
        <v>200</v>
      </c>
      <c r="C29" s="116">
        <v>57</v>
      </c>
      <c r="F29" s="266"/>
      <c r="G29" s="260" t="s">
        <v>200</v>
      </c>
      <c r="H29" s="261">
        <v>4</v>
      </c>
      <c r="M29" s="133"/>
      <c r="O29" s="38"/>
      <c r="P29" s="35"/>
    </row>
    <row r="30" spans="1:21" ht="18.75" hidden="1" customHeight="1" x14ac:dyDescent="0.2">
      <c r="A30" s="42"/>
      <c r="B30" s="42" t="s">
        <v>201</v>
      </c>
      <c r="C30" s="116">
        <v>64</v>
      </c>
      <c r="F30" s="267"/>
      <c r="G30" s="262" t="s">
        <v>201</v>
      </c>
      <c r="H30" s="263">
        <v>2</v>
      </c>
      <c r="M30" s="133"/>
      <c r="O30" s="38"/>
      <c r="P30" s="35"/>
    </row>
    <row r="31" spans="1:21" ht="18.75" hidden="1" customHeight="1" x14ac:dyDescent="0.2">
      <c r="A31" s="42"/>
      <c r="B31" s="42" t="s">
        <v>287</v>
      </c>
      <c r="C31" s="116">
        <v>6731</v>
      </c>
      <c r="F31" s="266"/>
      <c r="G31" s="260" t="s">
        <v>287</v>
      </c>
      <c r="H31" s="261">
        <v>157</v>
      </c>
      <c r="O31" s="38"/>
      <c r="P31" s="35"/>
    </row>
    <row r="32" spans="1:21" ht="18.75" hidden="1" customHeight="1" x14ac:dyDescent="0.2">
      <c r="A32" s="42"/>
      <c r="B32" s="42" t="s">
        <v>288</v>
      </c>
      <c r="C32" s="116">
        <v>682</v>
      </c>
      <c r="F32" s="267"/>
      <c r="G32" s="262" t="s">
        <v>288</v>
      </c>
      <c r="H32" s="263">
        <v>43</v>
      </c>
      <c r="O32" s="38"/>
      <c r="P32" s="35"/>
    </row>
    <row r="33" spans="1:16" ht="18.75" hidden="1" customHeight="1" x14ac:dyDescent="0.2">
      <c r="A33" s="42"/>
      <c r="B33" s="42" t="s">
        <v>289</v>
      </c>
      <c r="C33" s="116">
        <v>951</v>
      </c>
      <c r="F33" s="266"/>
      <c r="G33" s="260" t="s">
        <v>289</v>
      </c>
      <c r="H33" s="261">
        <v>56</v>
      </c>
      <c r="O33" s="38"/>
      <c r="P33" s="35"/>
    </row>
    <row r="34" spans="1:16" ht="18.75" hidden="1" customHeight="1" x14ac:dyDescent="0.2">
      <c r="A34" s="42"/>
      <c r="B34" s="42" t="s">
        <v>290</v>
      </c>
      <c r="C34" s="116">
        <v>263</v>
      </c>
      <c r="F34" s="267"/>
      <c r="G34" s="262" t="s">
        <v>290</v>
      </c>
      <c r="H34" s="263">
        <v>20</v>
      </c>
      <c r="O34" s="38"/>
      <c r="P34" s="35"/>
    </row>
    <row r="35" spans="1:16" ht="18.75" hidden="1" customHeight="1" x14ac:dyDescent="0.2">
      <c r="A35" s="42"/>
      <c r="B35" s="42" t="s">
        <v>291</v>
      </c>
      <c r="C35" s="116">
        <v>58</v>
      </c>
      <c r="F35" s="266"/>
      <c r="G35" s="260" t="s">
        <v>291</v>
      </c>
      <c r="H35" s="261">
        <v>0</v>
      </c>
      <c r="O35" s="38"/>
      <c r="P35" s="35"/>
    </row>
    <row r="36" spans="1:16" ht="18.75" hidden="1" customHeight="1" x14ac:dyDescent="0.2">
      <c r="A36" s="42"/>
      <c r="B36" s="42" t="s">
        <v>296</v>
      </c>
      <c r="C36" s="116">
        <v>38</v>
      </c>
      <c r="F36" s="267"/>
      <c r="G36" s="262" t="s">
        <v>296</v>
      </c>
      <c r="H36" s="263">
        <v>1</v>
      </c>
      <c r="O36" s="38"/>
      <c r="P36" s="35"/>
    </row>
    <row r="37" spans="1:16" ht="18.75" hidden="1" customHeight="1" x14ac:dyDescent="0.2">
      <c r="A37" s="42"/>
      <c r="B37" s="42" t="s">
        <v>292</v>
      </c>
      <c r="C37" s="116">
        <v>305</v>
      </c>
      <c r="F37" s="266"/>
      <c r="G37" s="260" t="s">
        <v>292</v>
      </c>
      <c r="H37" s="261">
        <v>6</v>
      </c>
      <c r="O37" s="38"/>
      <c r="P37" s="35"/>
    </row>
    <row r="38" spans="1:16" ht="18.75" hidden="1" customHeight="1" x14ac:dyDescent="0.2">
      <c r="A38" s="42"/>
      <c r="B38" s="42" t="s">
        <v>293</v>
      </c>
      <c r="C38" s="116">
        <v>153</v>
      </c>
      <c r="F38" s="267"/>
      <c r="G38" s="262" t="s">
        <v>293</v>
      </c>
      <c r="H38" s="263">
        <v>12</v>
      </c>
    </row>
    <row r="39" spans="1:16" ht="18.75" hidden="1" customHeight="1" x14ac:dyDescent="0.2">
      <c r="A39" s="54"/>
      <c r="B39" s="71" t="s">
        <v>297</v>
      </c>
      <c r="C39" s="116">
        <v>43</v>
      </c>
      <c r="F39" s="266"/>
      <c r="G39" s="260" t="s">
        <v>297</v>
      </c>
      <c r="H39" s="261">
        <v>4</v>
      </c>
    </row>
    <row r="40" spans="1:16" ht="18.75" hidden="1" customHeight="1" x14ac:dyDescent="0.2">
      <c r="A40" s="42"/>
      <c r="B40" s="42" t="s">
        <v>18</v>
      </c>
      <c r="C40" s="116">
        <v>82</v>
      </c>
      <c r="F40" s="267"/>
      <c r="G40" s="264" t="s">
        <v>18</v>
      </c>
      <c r="H40" s="263">
        <v>2</v>
      </c>
    </row>
    <row r="41" spans="1:16" ht="18.75" hidden="1" customHeight="1" x14ac:dyDescent="0.2">
      <c r="A41" s="42"/>
      <c r="B41" s="42" t="s">
        <v>294</v>
      </c>
      <c r="C41" s="116">
        <v>40</v>
      </c>
      <c r="F41" s="266"/>
      <c r="G41" s="259" t="s">
        <v>294</v>
      </c>
      <c r="H41" s="258">
        <v>0</v>
      </c>
    </row>
    <row r="42" spans="1:16" ht="18.75" hidden="1" customHeight="1" x14ac:dyDescent="0.2">
      <c r="B42" s="42" t="s">
        <v>616</v>
      </c>
      <c r="C42" s="116">
        <v>0</v>
      </c>
      <c r="G42" s="259" t="s">
        <v>616</v>
      </c>
      <c r="H42" s="261">
        <v>0</v>
      </c>
    </row>
    <row r="43" spans="1:16" ht="18.75" hidden="1" customHeight="1" thickBot="1" x14ac:dyDescent="0.25">
      <c r="G43" s="265" t="s">
        <v>283</v>
      </c>
      <c r="H43" s="339" t="s">
        <v>29</v>
      </c>
    </row>
    <row r="44" spans="1:16" ht="18.75" hidden="1" customHeight="1" thickTop="1" thickBot="1" x14ac:dyDescent="0.25">
      <c r="G44" s="288" t="s">
        <v>372</v>
      </c>
      <c r="H44" s="34" t="s">
        <v>615</v>
      </c>
    </row>
    <row r="45" spans="1:16" ht="18.75" hidden="1" customHeight="1" thickTop="1" x14ac:dyDescent="0.2">
      <c r="G45" s="42" t="s">
        <v>295</v>
      </c>
      <c r="H45" s="116">
        <v>92</v>
      </c>
    </row>
    <row r="46" spans="1:16" ht="18.75" hidden="1" customHeight="1" x14ac:dyDescent="0.2">
      <c r="G46" s="42" t="s">
        <v>284</v>
      </c>
      <c r="H46" s="329">
        <v>9</v>
      </c>
    </row>
    <row r="47" spans="1:16" ht="18.75" hidden="1" customHeight="1" x14ac:dyDescent="0.2">
      <c r="G47" s="42" t="s">
        <v>285</v>
      </c>
      <c r="H47" s="329">
        <v>121</v>
      </c>
    </row>
    <row r="48" spans="1:16" ht="18.75" hidden="1" customHeight="1" x14ac:dyDescent="0.2">
      <c r="G48" s="42" t="s">
        <v>286</v>
      </c>
      <c r="H48" s="329">
        <v>186</v>
      </c>
    </row>
    <row r="49" spans="1:8" ht="18.75" hidden="1" customHeight="1" x14ac:dyDescent="0.2">
      <c r="G49" s="42" t="s">
        <v>200</v>
      </c>
      <c r="H49" s="329">
        <v>5</v>
      </c>
    </row>
    <row r="50" spans="1:8" ht="18.75" hidden="1" customHeight="1" x14ac:dyDescent="0.2">
      <c r="G50" s="42" t="s">
        <v>201</v>
      </c>
      <c r="H50" s="329">
        <v>7</v>
      </c>
    </row>
    <row r="51" spans="1:8" ht="18.75" hidden="1" customHeight="1" x14ac:dyDescent="0.2">
      <c r="G51" s="42" t="s">
        <v>287</v>
      </c>
      <c r="H51" s="329">
        <v>595</v>
      </c>
    </row>
    <row r="52" spans="1:8" ht="18.75" hidden="1" customHeight="1" x14ac:dyDescent="0.2">
      <c r="G52" s="42" t="s">
        <v>288</v>
      </c>
      <c r="H52" s="329">
        <v>95</v>
      </c>
    </row>
    <row r="53" spans="1:8" ht="18.75" hidden="1" customHeight="1" x14ac:dyDescent="0.2">
      <c r="G53" s="42" t="s">
        <v>289</v>
      </c>
      <c r="H53" s="329">
        <v>153</v>
      </c>
    </row>
    <row r="54" spans="1:8" ht="18.75" hidden="1" customHeight="1" x14ac:dyDescent="0.2">
      <c r="G54" s="42" t="s">
        <v>290</v>
      </c>
      <c r="H54" s="329">
        <v>53</v>
      </c>
    </row>
    <row r="55" spans="1:8" ht="18.75" hidden="1" customHeight="1" x14ac:dyDescent="0.2">
      <c r="G55" s="42" t="s">
        <v>291</v>
      </c>
      <c r="H55" s="329">
        <v>4</v>
      </c>
    </row>
    <row r="56" spans="1:8" ht="18.75" hidden="1" customHeight="1" x14ac:dyDescent="0.2">
      <c r="A56" s="42"/>
      <c r="B56" s="42"/>
      <c r="G56" s="42" t="s">
        <v>296</v>
      </c>
      <c r="H56" s="329">
        <v>15</v>
      </c>
    </row>
    <row r="57" spans="1:8" ht="18.75" hidden="1" customHeight="1" x14ac:dyDescent="0.2">
      <c r="G57" s="42" t="s">
        <v>292</v>
      </c>
      <c r="H57" s="329">
        <v>30</v>
      </c>
    </row>
    <row r="58" spans="1:8" ht="18.75" hidden="1" customHeight="1" x14ac:dyDescent="0.2">
      <c r="G58" s="42" t="s">
        <v>293</v>
      </c>
      <c r="H58" s="329">
        <v>24</v>
      </c>
    </row>
    <row r="59" spans="1:8" ht="18.75" hidden="1" customHeight="1" x14ac:dyDescent="0.2">
      <c r="G59" s="42" t="s">
        <v>297</v>
      </c>
      <c r="H59" s="329">
        <v>6</v>
      </c>
    </row>
    <row r="60" spans="1:8" ht="18.75" hidden="1" customHeight="1" x14ac:dyDescent="0.2">
      <c r="G60" s="42" t="s">
        <v>18</v>
      </c>
      <c r="H60" s="329">
        <v>7</v>
      </c>
    </row>
    <row r="61" spans="1:8" ht="18.75" hidden="1" customHeight="1" x14ac:dyDescent="0.2">
      <c r="G61" s="42" t="s">
        <v>294</v>
      </c>
      <c r="H61" s="329">
        <v>3</v>
      </c>
    </row>
    <row r="62" spans="1:8" ht="18.75" hidden="1" customHeight="1" x14ac:dyDescent="0.2">
      <c r="G62" s="42" t="s">
        <v>616</v>
      </c>
      <c r="H62" s="329">
        <v>0</v>
      </c>
    </row>
    <row r="63" spans="1:8" ht="18.75" hidden="1" customHeight="1" x14ac:dyDescent="0.2"/>
    <row r="64" spans="1:8" ht="18.75" hidden="1" customHeight="1" x14ac:dyDescent="0.2"/>
  </sheetData>
  <mergeCells count="26">
    <mergeCell ref="A20:B20"/>
    <mergeCell ref="F20:G20"/>
    <mergeCell ref="A13:B13"/>
    <mergeCell ref="A14:B14"/>
    <mergeCell ref="F5:G5"/>
    <mergeCell ref="F9:G9"/>
    <mergeCell ref="F10:G10"/>
    <mergeCell ref="A5:B5"/>
    <mergeCell ref="A9:B9"/>
    <mergeCell ref="A10:B10"/>
    <mergeCell ref="A15:B15"/>
    <mergeCell ref="A16:B16"/>
    <mergeCell ref="A11:B11"/>
    <mergeCell ref="A12:B12"/>
    <mergeCell ref="F19:G19"/>
    <mergeCell ref="A18:B18"/>
    <mergeCell ref="A19:B19"/>
    <mergeCell ref="F11:G11"/>
    <mergeCell ref="F12:G12"/>
    <mergeCell ref="F16:G16"/>
    <mergeCell ref="F17:G17"/>
    <mergeCell ref="F18:G18"/>
    <mergeCell ref="F13:G13"/>
    <mergeCell ref="F14:G14"/>
    <mergeCell ref="F15:G15"/>
    <mergeCell ref="A17:B17"/>
  </mergeCells>
  <phoneticPr fontId="2"/>
  <pageMargins left="0.70866141732283472" right="0.70866141732283472" top="0.74803149606299213" bottom="0.74803149606299213" header="0.31496062992125984" footer="0.31496062992125984"/>
  <pageSetup paperSize="9" scale="76" fitToHeight="0" orientation="landscape" r:id="rId1"/>
  <drawing r:id="rId2"/>
  <mc:AlternateContent xmlns:mc="http://schemas.openxmlformats.org/markup-compatibility/2006">
    <mc:Choice Requires="v">
      <legacyDrawing r:id="rId3"/>
    </mc:Choice>
  </mc:AlternateContent>
  <controls>
    <control shapeId="19457" r:id="rId4" name="Button 1">
      <controlPr defaultSize="0" print="0" autoFill="0" autoPict="0" macro="[0]!データ削除_疾患別">
        <anchor moveWithCells="1" sizeWithCells="1">
          <from>
            <xdr:col>9</xdr:col>
            <xdr:colOff>137160</xdr:colOff>
            <xdr:row>23</xdr:row>
            <xdr:rowOff>30480</xdr:rowOff>
          </from>
          <to>
            <xdr:col>11</xdr:col>
            <xdr:colOff>83820</xdr:colOff>
            <xdr:row>25</xdr:row>
            <xdr:rowOff>76200</xdr:rowOff>
          </to>
        </anchor>
      </controlPr>
    </control>
  </controls>
  <tableParts count="3">
    <tablePart r:id="rId5"/>
    <tablePart r:id="rId6"/>
    <tablePart r:id="rId7"/>
  </tableParts>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7">
    <tabColor theme="7" tint="-0.249977111117893"/>
    <pageSetUpPr fitToPage="1"/>
  </sheetPr>
  <dimension ref="A1:R123"/>
  <sheetViews>
    <sheetView view="pageBreakPreview" zoomScale="80" zoomScaleNormal="100" zoomScaleSheetLayoutView="80" zoomScalePageLayoutView="110" workbookViewId="0"/>
  </sheetViews>
  <sheetFormatPr defaultColWidth="9" defaultRowHeight="13.5" customHeight="1" x14ac:dyDescent="0.2"/>
  <cols>
    <col min="1" max="1" width="18.109375" style="573" customWidth="1"/>
    <col min="2" max="3" width="10.109375" style="573" customWidth="1"/>
    <col min="4" max="4" width="4.88671875" style="573" customWidth="1"/>
    <col min="5" max="5" width="2.77734375" style="573" customWidth="1"/>
    <col min="6" max="6" width="40" style="573" customWidth="1"/>
    <col min="7" max="7" width="11.5546875" style="573" bestFit="1" customWidth="1"/>
    <col min="8" max="8" width="10.44140625" style="573" customWidth="1"/>
    <col min="9" max="9" width="3.109375" style="573" customWidth="1"/>
    <col min="10" max="10" width="18.33203125" style="573" hidden="1" customWidth="1"/>
    <col min="11" max="11" width="11" style="573" hidden="1" customWidth="1"/>
    <col min="12" max="13" width="9.44140625" style="573" hidden="1" customWidth="1"/>
    <col min="14" max="14" width="5.77734375" style="573" hidden="1" customWidth="1"/>
    <col min="15" max="15" width="9.109375" style="573" hidden="1" customWidth="1"/>
    <col min="16" max="18" width="9.44140625" style="573" hidden="1" customWidth="1"/>
    <col min="19" max="16384" width="9" style="573"/>
  </cols>
  <sheetData>
    <row r="1" spans="1:18" ht="20.25" customHeight="1" x14ac:dyDescent="0.2">
      <c r="A1" s="572" t="s">
        <v>618</v>
      </c>
      <c r="J1" s="574" t="s">
        <v>639</v>
      </c>
    </row>
    <row r="2" spans="1:18" ht="20.25" customHeight="1" x14ac:dyDescent="0.2">
      <c r="J2" s="575"/>
      <c r="K2" s="575" t="s">
        <v>640</v>
      </c>
      <c r="L2" s="575" t="s">
        <v>28</v>
      </c>
      <c r="M2" s="575" t="s">
        <v>29</v>
      </c>
      <c r="N2" s="576"/>
      <c r="O2" s="577"/>
      <c r="P2" s="578" t="s">
        <v>640</v>
      </c>
      <c r="Q2" s="575" t="s">
        <v>28</v>
      </c>
      <c r="R2" s="575" t="s">
        <v>29</v>
      </c>
    </row>
    <row r="3" spans="1:18" ht="20.25" customHeight="1" thickBot="1" x14ac:dyDescent="0.25">
      <c r="A3" s="579" t="s">
        <v>266</v>
      </c>
      <c r="B3" s="579" t="s">
        <v>619</v>
      </c>
      <c r="C3" s="579" t="s">
        <v>275</v>
      </c>
      <c r="E3" s="1068" t="s">
        <v>620</v>
      </c>
      <c r="F3" s="1069"/>
      <c r="G3" s="580" t="s">
        <v>619</v>
      </c>
      <c r="H3" s="580" t="s">
        <v>275</v>
      </c>
      <c r="J3" s="581" t="s">
        <v>2</v>
      </c>
      <c r="K3" s="582">
        <f>'2-Ⅰ'!B5</f>
        <v>166</v>
      </c>
      <c r="L3" s="582">
        <f>'2-Ⅰ'!F5</f>
        <v>7</v>
      </c>
      <c r="M3" s="582">
        <f>'2-Ⅰ'!G5</f>
        <v>23</v>
      </c>
      <c r="N3" s="576"/>
      <c r="O3" s="583" t="s">
        <v>300</v>
      </c>
      <c r="P3" s="584">
        <v>0</v>
      </c>
      <c r="Q3" s="584">
        <v>0</v>
      </c>
      <c r="R3" s="583"/>
    </row>
    <row r="4" spans="1:18" ht="20.25" customHeight="1" thickTop="1" x14ac:dyDescent="0.2">
      <c r="A4" s="599" t="s">
        <v>621</v>
      </c>
      <c r="B4" s="616">
        <f t="shared" ref="B4:B12" si="0">K3</f>
        <v>166</v>
      </c>
      <c r="C4" s="616">
        <f t="shared" ref="C4:C12" si="1">L3+M3</f>
        <v>30</v>
      </c>
      <c r="E4" s="1070" t="s">
        <v>622</v>
      </c>
      <c r="F4" s="1071"/>
      <c r="G4" s="587">
        <f t="shared" ref="G4:G12" si="2">P26</f>
        <v>1631</v>
      </c>
      <c r="H4" s="588">
        <f t="shared" ref="H4:H12" si="3">Q26+R26</f>
        <v>189</v>
      </c>
      <c r="J4" s="581" t="s">
        <v>3</v>
      </c>
      <c r="K4" s="582">
        <f>'2-Ⅰ'!B6</f>
        <v>342</v>
      </c>
      <c r="L4" s="582">
        <f>'2-Ⅰ'!F6</f>
        <v>24</v>
      </c>
      <c r="M4" s="582">
        <f>'2-Ⅰ'!G6</f>
        <v>73</v>
      </c>
      <c r="N4" s="576"/>
      <c r="O4" s="583" t="s">
        <v>301</v>
      </c>
      <c r="P4" s="584">
        <v>0</v>
      </c>
      <c r="Q4" s="584">
        <v>0</v>
      </c>
      <c r="R4" s="583"/>
    </row>
    <row r="5" spans="1:18" ht="20.25" customHeight="1" x14ac:dyDescent="0.2">
      <c r="A5" s="248" t="s">
        <v>3</v>
      </c>
      <c r="B5" s="587">
        <f t="shared" si="0"/>
        <v>342</v>
      </c>
      <c r="C5" s="587">
        <f t="shared" si="1"/>
        <v>97</v>
      </c>
      <c r="E5" s="1070" t="s">
        <v>623</v>
      </c>
      <c r="F5" s="1071"/>
      <c r="G5" s="587">
        <f t="shared" si="2"/>
        <v>1853</v>
      </c>
      <c r="H5" s="588">
        <f t="shared" si="3"/>
        <v>223</v>
      </c>
      <c r="J5" s="581" t="s">
        <v>4</v>
      </c>
      <c r="K5" s="582">
        <f>'2-Ⅰ'!B7</f>
        <v>512</v>
      </c>
      <c r="L5" s="582">
        <f>'2-Ⅰ'!F7</f>
        <v>29</v>
      </c>
      <c r="M5" s="582">
        <f>'2-Ⅰ'!G7</f>
        <v>93</v>
      </c>
      <c r="N5" s="576"/>
      <c r="O5" s="583" t="s">
        <v>302</v>
      </c>
      <c r="P5" s="584">
        <v>0</v>
      </c>
      <c r="Q5" s="584">
        <v>0</v>
      </c>
      <c r="R5" s="583"/>
    </row>
    <row r="6" spans="1:18" ht="20.25" customHeight="1" x14ac:dyDescent="0.2">
      <c r="A6" s="248" t="s">
        <v>4</v>
      </c>
      <c r="B6" s="587">
        <f t="shared" si="0"/>
        <v>512</v>
      </c>
      <c r="C6" s="587">
        <f t="shared" si="1"/>
        <v>122</v>
      </c>
      <c r="E6" s="1070" t="s">
        <v>624</v>
      </c>
      <c r="F6" s="1071"/>
      <c r="G6" s="587">
        <f t="shared" si="2"/>
        <v>1290</v>
      </c>
      <c r="H6" s="588">
        <f t="shared" si="3"/>
        <v>196</v>
      </c>
      <c r="J6" s="581" t="s">
        <v>5</v>
      </c>
      <c r="K6" s="582">
        <f>'2-Ⅰ'!B8</f>
        <v>1052</v>
      </c>
      <c r="L6" s="582">
        <f>'2-Ⅰ'!F8</f>
        <v>55</v>
      </c>
      <c r="M6" s="582">
        <f>'2-Ⅰ'!G8</f>
        <v>148</v>
      </c>
      <c r="N6" s="576"/>
      <c r="O6" s="583" t="s">
        <v>303</v>
      </c>
      <c r="P6" s="584">
        <v>0</v>
      </c>
      <c r="Q6" s="584">
        <v>0</v>
      </c>
      <c r="R6" s="583"/>
    </row>
    <row r="7" spans="1:18" ht="20.25" customHeight="1" x14ac:dyDescent="0.2">
      <c r="A7" s="248" t="s">
        <v>5</v>
      </c>
      <c r="B7" s="587">
        <f t="shared" si="0"/>
        <v>1052</v>
      </c>
      <c r="C7" s="587">
        <f t="shared" si="1"/>
        <v>203</v>
      </c>
      <c r="E7" s="1070" t="s">
        <v>625</v>
      </c>
      <c r="F7" s="1071"/>
      <c r="G7" s="587">
        <f t="shared" si="2"/>
        <v>1248</v>
      </c>
      <c r="H7" s="588">
        <f t="shared" si="3"/>
        <v>291</v>
      </c>
      <c r="J7" s="581" t="s">
        <v>6</v>
      </c>
      <c r="K7" s="582">
        <f>'2-Ⅰ'!B9</f>
        <v>2378</v>
      </c>
      <c r="L7" s="582">
        <f>'2-Ⅰ'!F9</f>
        <v>81</v>
      </c>
      <c r="M7" s="582">
        <f>'2-Ⅰ'!G9</f>
        <v>279</v>
      </c>
      <c r="N7" s="576"/>
      <c r="O7" s="583" t="s">
        <v>304</v>
      </c>
      <c r="P7" s="584">
        <v>0</v>
      </c>
      <c r="Q7" s="584">
        <v>0</v>
      </c>
      <c r="R7" s="583"/>
    </row>
    <row r="8" spans="1:18" ht="20.25" customHeight="1" x14ac:dyDescent="0.2">
      <c r="A8" s="248" t="s">
        <v>6</v>
      </c>
      <c r="B8" s="587">
        <f t="shared" si="0"/>
        <v>2378</v>
      </c>
      <c r="C8" s="587">
        <f t="shared" si="1"/>
        <v>360</v>
      </c>
      <c r="E8" s="1070" t="s">
        <v>626</v>
      </c>
      <c r="F8" s="1071"/>
      <c r="G8" s="587">
        <f t="shared" si="2"/>
        <v>1226</v>
      </c>
      <c r="H8" s="588">
        <f t="shared" si="3"/>
        <v>163</v>
      </c>
      <c r="J8" s="581" t="s">
        <v>7</v>
      </c>
      <c r="K8" s="582">
        <f>'2-Ⅰ'!B10</f>
        <v>2348</v>
      </c>
      <c r="L8" s="582">
        <f>'2-Ⅰ'!F10</f>
        <v>73</v>
      </c>
      <c r="M8" s="582">
        <f>'2-Ⅰ'!G10</f>
        <v>251</v>
      </c>
      <c r="N8" s="576"/>
      <c r="O8" s="583" t="s">
        <v>10</v>
      </c>
      <c r="P8" s="584">
        <v>0</v>
      </c>
      <c r="Q8" s="584">
        <v>0</v>
      </c>
      <c r="R8" s="583"/>
    </row>
    <row r="9" spans="1:18" ht="20.25" customHeight="1" x14ac:dyDescent="0.2">
      <c r="A9" s="248" t="s">
        <v>7</v>
      </c>
      <c r="B9" s="587">
        <f t="shared" si="0"/>
        <v>2348</v>
      </c>
      <c r="C9" s="587">
        <f t="shared" si="1"/>
        <v>324</v>
      </c>
      <c r="E9" s="1070" t="s">
        <v>627</v>
      </c>
      <c r="F9" s="1071"/>
      <c r="G9" s="587">
        <f t="shared" si="2"/>
        <v>4788</v>
      </c>
      <c r="H9" s="588">
        <f t="shared" si="3"/>
        <v>538</v>
      </c>
      <c r="J9" s="581" t="s">
        <v>8</v>
      </c>
      <c r="K9" s="582">
        <f>'2-Ⅰ'!B11</f>
        <v>3361</v>
      </c>
      <c r="L9" s="582">
        <f>'2-Ⅰ'!F11</f>
        <v>71</v>
      </c>
      <c r="M9" s="582">
        <f>'2-Ⅰ'!G11</f>
        <v>279</v>
      </c>
      <c r="N9" s="576"/>
      <c r="O9" s="583" t="s">
        <v>262</v>
      </c>
      <c r="P9" s="584">
        <v>0</v>
      </c>
      <c r="Q9" s="584">
        <v>0</v>
      </c>
      <c r="R9" s="583"/>
    </row>
    <row r="10" spans="1:18" ht="20.25" customHeight="1" x14ac:dyDescent="0.2">
      <c r="A10" s="248" t="s">
        <v>8</v>
      </c>
      <c r="B10" s="587">
        <f t="shared" si="0"/>
        <v>3361</v>
      </c>
      <c r="C10" s="587">
        <f t="shared" si="1"/>
        <v>350</v>
      </c>
      <c r="E10" s="1070" t="s">
        <v>484</v>
      </c>
      <c r="F10" s="1071"/>
      <c r="G10" s="587">
        <f t="shared" si="2"/>
        <v>165</v>
      </c>
      <c r="H10" s="588">
        <f t="shared" si="3"/>
        <v>21</v>
      </c>
      <c r="J10" s="581" t="s">
        <v>9</v>
      </c>
      <c r="K10" s="582">
        <f>'2-Ⅰ'!B12</f>
        <v>3230</v>
      </c>
      <c r="L10" s="582">
        <f>'2-Ⅰ'!F12</f>
        <v>53</v>
      </c>
      <c r="M10" s="582">
        <f>'2-Ⅰ'!G12</f>
        <v>218</v>
      </c>
      <c r="N10" s="576"/>
      <c r="O10" s="576"/>
      <c r="P10" s="576"/>
      <c r="Q10" s="576"/>
      <c r="R10" s="576"/>
    </row>
    <row r="11" spans="1:18" ht="20.25" customHeight="1" thickBot="1" x14ac:dyDescent="0.25">
      <c r="A11" s="248" t="s">
        <v>9</v>
      </c>
      <c r="B11" s="587">
        <f t="shared" si="0"/>
        <v>3230</v>
      </c>
      <c r="C11" s="587">
        <f t="shared" si="1"/>
        <v>271</v>
      </c>
      <c r="E11" s="1070" t="s">
        <v>485</v>
      </c>
      <c r="F11" s="1071"/>
      <c r="G11" s="587">
        <f t="shared" si="2"/>
        <v>1959</v>
      </c>
      <c r="H11" s="589">
        <f t="shared" si="3"/>
        <v>182</v>
      </c>
      <c r="J11" s="581" t="s">
        <v>10</v>
      </c>
      <c r="K11" s="582">
        <f>'2-Ⅰ'!B13</f>
        <v>770</v>
      </c>
      <c r="L11" s="582">
        <f>'2-Ⅰ'!F13</f>
        <v>5</v>
      </c>
      <c r="M11" s="582">
        <f>'2-Ⅰ'!G13</f>
        <v>40</v>
      </c>
      <c r="N11" s="576"/>
      <c r="O11" s="576"/>
      <c r="P11" s="576"/>
      <c r="Q11" s="576"/>
      <c r="R11" s="576"/>
    </row>
    <row r="12" spans="1:18" ht="20.25" customHeight="1" thickTop="1" x14ac:dyDescent="0.2">
      <c r="A12" s="248" t="s">
        <v>10</v>
      </c>
      <c r="B12" s="587">
        <f t="shared" si="0"/>
        <v>770</v>
      </c>
      <c r="C12" s="587">
        <f t="shared" si="1"/>
        <v>45</v>
      </c>
      <c r="E12" s="592" t="s">
        <v>11</v>
      </c>
      <c r="F12" s="593"/>
      <c r="G12" s="885">
        <f t="shared" si="2"/>
        <v>14160</v>
      </c>
      <c r="H12" s="594">
        <f t="shared" si="3"/>
        <v>1803</v>
      </c>
      <c r="J12" s="581" t="s">
        <v>375</v>
      </c>
      <c r="K12" s="582">
        <f>'2-Ⅰ'!B14</f>
        <v>1</v>
      </c>
      <c r="L12" s="582">
        <f>'2-Ⅰ'!F14</f>
        <v>0</v>
      </c>
      <c r="M12" s="582">
        <f>'2-Ⅰ'!G14</f>
        <v>1</v>
      </c>
      <c r="N12" s="576"/>
      <c r="O12" s="576"/>
      <c r="P12" s="576"/>
      <c r="Q12" s="576"/>
      <c r="R12" s="576"/>
    </row>
    <row r="13" spans="1:18" ht="20.25" customHeight="1" thickBot="1" x14ac:dyDescent="0.25">
      <c r="A13" s="590" t="s">
        <v>375</v>
      </c>
      <c r="B13" s="591">
        <f t="shared" ref="B13" si="4">K12</f>
        <v>1</v>
      </c>
      <c r="C13" s="591">
        <f t="shared" ref="C13" si="5">L12+M12</f>
        <v>1</v>
      </c>
      <c r="E13" s="173"/>
      <c r="F13" s="173"/>
      <c r="G13" s="596"/>
      <c r="H13" s="597"/>
      <c r="J13" s="581" t="s">
        <v>262</v>
      </c>
      <c r="K13" s="582">
        <f>'2-Ⅰ'!B15</f>
        <v>14160</v>
      </c>
      <c r="L13" s="582">
        <f>'2-Ⅰ'!F15</f>
        <v>398</v>
      </c>
      <c r="M13" s="582">
        <f>'2-Ⅰ'!G15</f>
        <v>1405</v>
      </c>
      <c r="N13" s="598"/>
      <c r="O13" s="598"/>
      <c r="P13" s="598"/>
      <c r="Q13" s="598"/>
      <c r="R13" s="598"/>
    </row>
    <row r="14" spans="1:18" ht="20.25" customHeight="1" thickTop="1" thickBot="1" x14ac:dyDescent="0.25">
      <c r="A14" s="595" t="s">
        <v>11</v>
      </c>
      <c r="B14" s="883">
        <f>K13</f>
        <v>14160</v>
      </c>
      <c r="C14" s="883">
        <f>L13+M13</f>
        <v>1803</v>
      </c>
      <c r="E14" s="173"/>
      <c r="F14" s="173"/>
      <c r="G14" s="596"/>
      <c r="H14" s="597"/>
      <c r="J14" s="581" t="s">
        <v>306</v>
      </c>
      <c r="K14" s="582">
        <f>'2-Ⅰ'!B16</f>
        <v>5666</v>
      </c>
      <c r="L14" s="582">
        <f>'2-Ⅰ'!F16</f>
        <v>231</v>
      </c>
      <c r="M14" s="582">
        <f>'2-Ⅰ'!G16</f>
        <v>739</v>
      </c>
      <c r="N14" s="598"/>
      <c r="O14" s="598"/>
      <c r="P14" s="598"/>
      <c r="Q14" s="598"/>
      <c r="R14" s="598"/>
    </row>
    <row r="15" spans="1:18" ht="20.25" customHeight="1" thickTop="1" x14ac:dyDescent="0.2">
      <c r="A15" s="599" t="s">
        <v>628</v>
      </c>
      <c r="B15" s="600">
        <f>K14</f>
        <v>5666</v>
      </c>
      <c r="C15" s="600">
        <f>L14+M14</f>
        <v>970</v>
      </c>
      <c r="J15" s="581" t="s">
        <v>307</v>
      </c>
      <c r="K15" s="582">
        <f>'2-Ⅰ'!B17</f>
        <v>8493</v>
      </c>
      <c r="L15" s="582">
        <f>'2-Ⅰ'!F17</f>
        <v>167</v>
      </c>
      <c r="M15" s="582">
        <f>'2-Ⅰ'!G17</f>
        <v>665</v>
      </c>
      <c r="N15" s="598"/>
      <c r="O15" s="598"/>
      <c r="P15" s="598"/>
      <c r="Q15" s="598"/>
      <c r="R15" s="598"/>
    </row>
    <row r="16" spans="1:18" ht="20.25" customHeight="1" x14ac:dyDescent="0.2">
      <c r="A16" s="248" t="s">
        <v>629</v>
      </c>
      <c r="B16" s="601">
        <f>K15</f>
        <v>8493</v>
      </c>
      <c r="C16" s="601">
        <f>L15+M15</f>
        <v>832</v>
      </c>
      <c r="J16" s="581" t="s">
        <v>375</v>
      </c>
      <c r="K16" s="582">
        <f>'2-Ⅰ'!B18</f>
        <v>1</v>
      </c>
      <c r="L16" s="582">
        <f>'2-Ⅰ'!F18</f>
        <v>0</v>
      </c>
      <c r="M16" s="582">
        <f>'2-Ⅰ'!G18</f>
        <v>1</v>
      </c>
      <c r="N16" s="598"/>
      <c r="O16" s="598"/>
      <c r="P16" s="598"/>
      <c r="Q16" s="598"/>
      <c r="R16" s="598"/>
    </row>
    <row r="17" spans="1:18" ht="20.25" customHeight="1" x14ac:dyDescent="0.2">
      <c r="A17" s="248" t="s">
        <v>375</v>
      </c>
      <c r="B17" s="601">
        <f>K16</f>
        <v>1</v>
      </c>
      <c r="C17" s="601">
        <f>L16+M16</f>
        <v>1</v>
      </c>
      <c r="J17" s="598"/>
      <c r="K17" s="598"/>
      <c r="L17" s="598"/>
      <c r="M17" s="598"/>
      <c r="N17" s="598"/>
      <c r="O17" s="598"/>
      <c r="P17" s="598"/>
      <c r="Q17" s="598"/>
      <c r="R17" s="598"/>
    </row>
    <row r="18" spans="1:18" ht="20.25" customHeight="1" x14ac:dyDescent="0.2"/>
    <row r="19" spans="1:18" ht="20.25" customHeight="1" x14ac:dyDescent="0.2"/>
    <row r="20" spans="1:18" ht="20.25" customHeight="1" x14ac:dyDescent="0.2">
      <c r="A20" s="602" t="s">
        <v>299</v>
      </c>
      <c r="B20" s="603" t="s">
        <v>619</v>
      </c>
      <c r="C20" s="603" t="s">
        <v>275</v>
      </c>
      <c r="E20" s="1072" t="s">
        <v>81</v>
      </c>
      <c r="F20" s="1073"/>
      <c r="G20" s="580" t="s">
        <v>619</v>
      </c>
      <c r="H20" s="580" t="s">
        <v>275</v>
      </c>
    </row>
    <row r="21" spans="1:18" ht="20.25" customHeight="1" x14ac:dyDescent="0.2">
      <c r="A21" s="248" t="s">
        <v>630</v>
      </c>
      <c r="B21" s="587">
        <f>SUM(K26:K29)</f>
        <v>6394</v>
      </c>
      <c r="C21" s="587">
        <f>SUM(L26:M29)</f>
        <v>1230</v>
      </c>
      <c r="E21" s="1066" t="s">
        <v>120</v>
      </c>
      <c r="F21" s="1067"/>
      <c r="G21" s="604">
        <f>K45</f>
        <v>4059</v>
      </c>
      <c r="H21" s="601">
        <f>SUM(L45:M45)</f>
        <v>277</v>
      </c>
    </row>
    <row r="22" spans="1:18" ht="20.25" customHeight="1" x14ac:dyDescent="0.2">
      <c r="A22" s="248" t="s">
        <v>631</v>
      </c>
      <c r="B22" s="587">
        <f>SUM(K30:K34)</f>
        <v>3955</v>
      </c>
      <c r="C22" s="587">
        <f>SUM(L30:M34)</f>
        <v>318</v>
      </c>
      <c r="E22" s="605"/>
      <c r="F22" s="606" t="s">
        <v>121</v>
      </c>
      <c r="G22" s="666">
        <f>K46</f>
        <v>2086</v>
      </c>
      <c r="H22" s="666">
        <f t="shared" ref="H22:H35" si="6">SUM(L46:M46)</f>
        <v>115</v>
      </c>
    </row>
    <row r="23" spans="1:18" ht="20.25" customHeight="1" x14ac:dyDescent="0.2">
      <c r="A23" s="248" t="s">
        <v>632</v>
      </c>
      <c r="B23" s="587">
        <f>SUM(K35:K39)</f>
        <v>1806</v>
      </c>
      <c r="C23" s="587">
        <f>SUM(L35:M39)</f>
        <v>145</v>
      </c>
      <c r="E23" s="605"/>
      <c r="F23" s="608" t="s">
        <v>106</v>
      </c>
      <c r="G23" s="667">
        <f t="shared" ref="G23:G35" si="7">K47</f>
        <v>284</v>
      </c>
      <c r="H23" s="667">
        <f t="shared" si="6"/>
        <v>12</v>
      </c>
    </row>
    <row r="24" spans="1:18" ht="20.25" customHeight="1" x14ac:dyDescent="0.2">
      <c r="A24" s="248" t="s">
        <v>633</v>
      </c>
      <c r="B24" s="587">
        <f>K40</f>
        <v>1240</v>
      </c>
      <c r="C24" s="587">
        <f>SUM(L40:M40)</f>
        <v>79</v>
      </c>
      <c r="E24" s="609"/>
      <c r="F24" s="610" t="s">
        <v>19</v>
      </c>
      <c r="G24" s="668">
        <f t="shared" si="7"/>
        <v>1689</v>
      </c>
      <c r="H24" s="668">
        <f t="shared" si="6"/>
        <v>150</v>
      </c>
    </row>
    <row r="25" spans="1:18" ht="20.25" customHeight="1" thickBot="1" x14ac:dyDescent="0.25">
      <c r="A25" s="590" t="s">
        <v>634</v>
      </c>
      <c r="B25" s="611">
        <f>K41</f>
        <v>765</v>
      </c>
      <c r="C25" s="611">
        <f>SUM(L41:M41)</f>
        <v>31</v>
      </c>
      <c r="E25" s="1066" t="s">
        <v>251</v>
      </c>
      <c r="F25" s="1067"/>
      <c r="G25" s="601">
        <f t="shared" si="7"/>
        <v>755</v>
      </c>
      <c r="H25" s="612">
        <f t="shared" si="6"/>
        <v>240</v>
      </c>
      <c r="J25" s="575"/>
      <c r="K25" s="575" t="s">
        <v>640</v>
      </c>
      <c r="L25" s="613" t="s">
        <v>28</v>
      </c>
      <c r="M25" s="613" t="s">
        <v>29</v>
      </c>
      <c r="N25" s="576"/>
      <c r="O25" s="577"/>
      <c r="P25" s="578" t="s">
        <v>640</v>
      </c>
      <c r="Q25" s="575" t="s">
        <v>28</v>
      </c>
      <c r="R25" s="575" t="s">
        <v>29</v>
      </c>
    </row>
    <row r="26" spans="1:18" ht="20.25" customHeight="1" thickTop="1" x14ac:dyDescent="0.2">
      <c r="A26" s="614" t="s">
        <v>11</v>
      </c>
      <c r="B26" s="618">
        <f>K42</f>
        <v>14160</v>
      </c>
      <c r="C26" s="618">
        <f>SUM(L42:M42)</f>
        <v>1803</v>
      </c>
      <c r="E26" s="1066" t="s">
        <v>73</v>
      </c>
      <c r="F26" s="1067"/>
      <c r="G26" s="601">
        <f t="shared" si="7"/>
        <v>6731</v>
      </c>
      <c r="H26" s="612">
        <f t="shared" si="6"/>
        <v>752</v>
      </c>
      <c r="J26" s="581" t="s">
        <v>60</v>
      </c>
      <c r="K26" s="582">
        <f>'２-Ⅳ'!B5</f>
        <v>1771</v>
      </c>
      <c r="L26" s="582">
        <f>'２-Ⅳ'!F5</f>
        <v>128</v>
      </c>
      <c r="M26" s="582">
        <f>'２-Ⅳ'!G5</f>
        <v>270</v>
      </c>
      <c r="N26" s="576"/>
      <c r="O26" s="583" t="s">
        <v>386</v>
      </c>
      <c r="P26" s="582">
        <f>'6-Ⅰ⑤'!B16</f>
        <v>1631</v>
      </c>
      <c r="Q26" s="582">
        <f>'6-Ⅰ⑤'!B4</f>
        <v>45</v>
      </c>
      <c r="R26" s="582">
        <f>'6-Ⅰ⑤'!B6</f>
        <v>144</v>
      </c>
    </row>
    <row r="27" spans="1:18" ht="20.25" customHeight="1" x14ac:dyDescent="0.2">
      <c r="A27" s="173"/>
      <c r="B27" s="173"/>
      <c r="C27" s="615"/>
      <c r="E27" s="1066" t="s">
        <v>76</v>
      </c>
      <c r="F27" s="1067"/>
      <c r="G27" s="601">
        <f t="shared" si="7"/>
        <v>1633</v>
      </c>
      <c r="H27" s="612">
        <f t="shared" si="6"/>
        <v>347</v>
      </c>
      <c r="J27" s="581" t="s">
        <v>207</v>
      </c>
      <c r="K27" s="582">
        <f>'２-Ⅳ'!B6</f>
        <v>2121</v>
      </c>
      <c r="L27" s="582">
        <f>'２-Ⅳ'!F6</f>
        <v>135</v>
      </c>
      <c r="M27" s="582">
        <f>'２-Ⅳ'!G6</f>
        <v>364</v>
      </c>
      <c r="N27" s="576"/>
      <c r="O27" s="583" t="s">
        <v>387</v>
      </c>
      <c r="P27" s="582">
        <f>'6-Ⅰ⑤'!C16</f>
        <v>1853</v>
      </c>
      <c r="Q27" s="582">
        <f>'6-Ⅰ⑤'!C4</f>
        <v>55</v>
      </c>
      <c r="R27" s="582">
        <f>'6-Ⅰ⑤'!C6</f>
        <v>168</v>
      </c>
    </row>
    <row r="28" spans="1:18" ht="20.25" customHeight="1" x14ac:dyDescent="0.2">
      <c r="E28" s="1066" t="s">
        <v>24</v>
      </c>
      <c r="F28" s="1067"/>
      <c r="G28" s="601">
        <f t="shared" si="7"/>
        <v>263</v>
      </c>
      <c r="H28" s="612">
        <f t="shared" si="6"/>
        <v>73</v>
      </c>
      <c r="J28" s="581" t="s">
        <v>208</v>
      </c>
      <c r="K28" s="582">
        <f>'２-Ⅳ'!B7</f>
        <v>1159</v>
      </c>
      <c r="L28" s="582">
        <f>'２-Ⅳ'!F7</f>
        <v>41</v>
      </c>
      <c r="M28" s="582">
        <f>'２-Ⅳ'!G7</f>
        <v>146</v>
      </c>
      <c r="N28" s="576"/>
      <c r="O28" s="583" t="s">
        <v>388</v>
      </c>
      <c r="P28" s="582">
        <f>'6-Ⅰ⑤'!D16</f>
        <v>1290</v>
      </c>
      <c r="Q28" s="582">
        <f>'6-Ⅰ⑤'!D4</f>
        <v>62</v>
      </c>
      <c r="R28" s="582">
        <f>'6-Ⅰ⑤'!D6</f>
        <v>134</v>
      </c>
    </row>
    <row r="29" spans="1:18" ht="20.25" customHeight="1" thickBot="1" x14ac:dyDescent="0.25">
      <c r="A29" s="579" t="s">
        <v>635</v>
      </c>
      <c r="B29" s="579" t="s">
        <v>619</v>
      </c>
      <c r="C29" s="579" t="s">
        <v>1</v>
      </c>
      <c r="E29" s="1066" t="s">
        <v>25</v>
      </c>
      <c r="F29" s="1067"/>
      <c r="G29" s="601">
        <f t="shared" si="7"/>
        <v>58</v>
      </c>
      <c r="H29" s="612">
        <f t="shared" si="6"/>
        <v>4</v>
      </c>
      <c r="J29" s="581" t="s">
        <v>209</v>
      </c>
      <c r="K29" s="582">
        <f>'２-Ⅳ'!B8</f>
        <v>1343</v>
      </c>
      <c r="L29" s="582">
        <f>'２-Ⅳ'!F8</f>
        <v>26</v>
      </c>
      <c r="M29" s="582">
        <f>'２-Ⅳ'!G8</f>
        <v>120</v>
      </c>
      <c r="N29" s="576"/>
      <c r="O29" s="583" t="s">
        <v>389</v>
      </c>
      <c r="P29" s="582">
        <f>'6-Ⅰ⑤'!E16</f>
        <v>1248</v>
      </c>
      <c r="Q29" s="582">
        <f>'6-Ⅰ⑤'!E4</f>
        <v>75</v>
      </c>
      <c r="R29" s="582">
        <f>'6-Ⅰ⑤'!E6</f>
        <v>216</v>
      </c>
    </row>
    <row r="30" spans="1:18" ht="20.25" customHeight="1" thickTop="1" x14ac:dyDescent="0.2">
      <c r="A30" s="599" t="s">
        <v>276</v>
      </c>
      <c r="B30" s="616">
        <f>P45</f>
        <v>398</v>
      </c>
      <c r="C30" s="650">
        <f>Q45</f>
        <v>2.8107344632768361E-2</v>
      </c>
      <c r="E30" s="1066" t="s">
        <v>256</v>
      </c>
      <c r="F30" s="1067"/>
      <c r="G30" s="601">
        <f t="shared" si="7"/>
        <v>38</v>
      </c>
      <c r="H30" s="612">
        <f t="shared" si="6"/>
        <v>16</v>
      </c>
      <c r="J30" s="581" t="s">
        <v>210</v>
      </c>
      <c r="K30" s="582">
        <f>'２-Ⅳ'!B9</f>
        <v>936</v>
      </c>
      <c r="L30" s="582">
        <f>'２-Ⅳ'!F9</f>
        <v>17</v>
      </c>
      <c r="M30" s="582">
        <f>'２-Ⅳ'!G9</f>
        <v>80</v>
      </c>
      <c r="N30" s="576"/>
      <c r="O30" s="583" t="s">
        <v>390</v>
      </c>
      <c r="P30" s="582">
        <f>'6-Ⅰ⑤'!F16</f>
        <v>1226</v>
      </c>
      <c r="Q30" s="582">
        <f>'6-Ⅰ⑤'!F4</f>
        <v>55</v>
      </c>
      <c r="R30" s="582">
        <f>'6-Ⅰ⑤'!F6</f>
        <v>108</v>
      </c>
    </row>
    <row r="31" spans="1:18" ht="20.25" customHeight="1" x14ac:dyDescent="0.2">
      <c r="A31" s="248" t="s">
        <v>277</v>
      </c>
      <c r="B31" s="587">
        <f t="shared" ref="B31:C36" si="8">P46</f>
        <v>1405</v>
      </c>
      <c r="C31" s="651">
        <f t="shared" si="8"/>
        <v>9.9223163841807904E-2</v>
      </c>
      <c r="E31" s="1066" t="s">
        <v>257</v>
      </c>
      <c r="F31" s="1067"/>
      <c r="G31" s="601">
        <f t="shared" si="7"/>
        <v>305</v>
      </c>
      <c r="H31" s="612">
        <f t="shared" si="6"/>
        <v>36</v>
      </c>
      <c r="J31" s="581" t="s">
        <v>211</v>
      </c>
      <c r="K31" s="582">
        <f>'２-Ⅳ'!B10</f>
        <v>648</v>
      </c>
      <c r="L31" s="582">
        <f>'２-Ⅳ'!F10</f>
        <v>10</v>
      </c>
      <c r="M31" s="582">
        <f>'２-Ⅳ'!G10</f>
        <v>36</v>
      </c>
      <c r="N31" s="576"/>
      <c r="O31" s="583" t="s">
        <v>391</v>
      </c>
      <c r="P31" s="582">
        <f>'6-Ⅰ⑤'!G16</f>
        <v>4788</v>
      </c>
      <c r="Q31" s="582">
        <f>'6-Ⅰ⑤'!G4</f>
        <v>78</v>
      </c>
      <c r="R31" s="582">
        <f>'6-Ⅰ⑤'!G6</f>
        <v>460</v>
      </c>
    </row>
    <row r="32" spans="1:18" ht="20.25" customHeight="1" x14ac:dyDescent="0.2">
      <c r="A32" s="248" t="s">
        <v>490</v>
      </c>
      <c r="B32" s="587">
        <f t="shared" si="8"/>
        <v>2679</v>
      </c>
      <c r="C32" s="651">
        <f t="shared" si="8"/>
        <v>0.18919491525423729</v>
      </c>
      <c r="E32" s="1066" t="s">
        <v>83</v>
      </c>
      <c r="F32" s="1067"/>
      <c r="G32" s="601">
        <f t="shared" si="7"/>
        <v>153</v>
      </c>
      <c r="H32" s="612">
        <f t="shared" si="6"/>
        <v>36</v>
      </c>
      <c r="J32" s="581" t="s">
        <v>212</v>
      </c>
      <c r="K32" s="582">
        <f>'２-Ⅳ'!B11</f>
        <v>980</v>
      </c>
      <c r="L32" s="582">
        <f>'２-Ⅳ'!F11</f>
        <v>9</v>
      </c>
      <c r="M32" s="582">
        <f>'２-Ⅳ'!G11</f>
        <v>67</v>
      </c>
      <c r="N32" s="576"/>
      <c r="O32" s="583" t="s">
        <v>392</v>
      </c>
      <c r="P32" s="582">
        <f>'6-Ⅰ⑤'!H16</f>
        <v>165</v>
      </c>
      <c r="Q32" s="582">
        <f>'6-Ⅰ⑤'!H4</f>
        <v>5</v>
      </c>
      <c r="R32" s="582">
        <f>'6-Ⅰ⑤'!H6</f>
        <v>16</v>
      </c>
    </row>
    <row r="33" spans="1:18" ht="20.25" customHeight="1" x14ac:dyDescent="0.2">
      <c r="A33" s="248" t="s">
        <v>491</v>
      </c>
      <c r="B33" s="587">
        <f t="shared" si="8"/>
        <v>5705</v>
      </c>
      <c r="C33" s="651">
        <f t="shared" si="8"/>
        <v>0.4028954802259887</v>
      </c>
      <c r="E33" s="1066" t="s">
        <v>258</v>
      </c>
      <c r="F33" s="1067"/>
      <c r="G33" s="601">
        <f t="shared" si="7"/>
        <v>43</v>
      </c>
      <c r="H33" s="612">
        <f t="shared" si="6"/>
        <v>10</v>
      </c>
      <c r="J33" s="581" t="s">
        <v>213</v>
      </c>
      <c r="K33" s="582">
        <f>'２-Ⅳ'!B12</f>
        <v>741</v>
      </c>
      <c r="L33" s="582">
        <f>'２-Ⅳ'!F12</f>
        <v>6</v>
      </c>
      <c r="M33" s="582">
        <f>'２-Ⅳ'!G12</f>
        <v>42</v>
      </c>
      <c r="N33" s="576"/>
      <c r="O33" s="583" t="s">
        <v>393</v>
      </c>
      <c r="P33" s="582">
        <f>'6-Ⅰ⑤'!I16</f>
        <v>1959</v>
      </c>
      <c r="Q33" s="582">
        <f>'6-Ⅰ⑤'!I4</f>
        <v>23</v>
      </c>
      <c r="R33" s="582">
        <f>'6-Ⅰ⑤'!I6</f>
        <v>159</v>
      </c>
    </row>
    <row r="34" spans="1:18" ht="20.25" customHeight="1" x14ac:dyDescent="0.2">
      <c r="A34" s="248" t="s">
        <v>492</v>
      </c>
      <c r="B34" s="587">
        <f t="shared" si="8"/>
        <v>3298</v>
      </c>
      <c r="C34" s="651">
        <f t="shared" si="8"/>
        <v>0.23290960451977402</v>
      </c>
      <c r="E34" s="1066" t="s">
        <v>123</v>
      </c>
      <c r="F34" s="1067"/>
      <c r="G34" s="601">
        <f t="shared" si="7"/>
        <v>40</v>
      </c>
      <c r="H34" s="612">
        <f t="shared" si="6"/>
        <v>3</v>
      </c>
      <c r="J34" s="581" t="s">
        <v>214</v>
      </c>
      <c r="K34" s="582">
        <f>'２-Ⅳ'!B13</f>
        <v>650</v>
      </c>
      <c r="L34" s="582">
        <f>'２-Ⅳ'!F13</f>
        <v>2</v>
      </c>
      <c r="M34" s="582">
        <f>'２-Ⅳ'!G13</f>
        <v>49</v>
      </c>
      <c r="N34" s="576"/>
      <c r="O34" s="583" t="s">
        <v>262</v>
      </c>
      <c r="P34" s="617">
        <f>'6-Ⅰ⑤'!J16</f>
        <v>14160</v>
      </c>
      <c r="Q34" s="582">
        <f>'6-Ⅰ⑤'!J4</f>
        <v>398</v>
      </c>
      <c r="R34" s="582">
        <f>'6-Ⅰ⑤'!J6</f>
        <v>1405</v>
      </c>
    </row>
    <row r="35" spans="1:18" ht="20.25" customHeight="1" thickBot="1" x14ac:dyDescent="0.25">
      <c r="A35" s="590" t="s">
        <v>493</v>
      </c>
      <c r="B35" s="591">
        <f t="shared" si="8"/>
        <v>675</v>
      </c>
      <c r="C35" s="652">
        <f t="shared" si="8"/>
        <v>4.7669491525423727E-2</v>
      </c>
      <c r="E35" s="1074" t="s">
        <v>375</v>
      </c>
      <c r="F35" s="1075"/>
      <c r="G35" s="601">
        <f t="shared" si="7"/>
        <v>82</v>
      </c>
      <c r="H35" s="612">
        <f t="shared" si="6"/>
        <v>9</v>
      </c>
      <c r="J35" s="581" t="s">
        <v>215</v>
      </c>
      <c r="K35" s="582">
        <f>'２-Ⅳ'!B14</f>
        <v>519</v>
      </c>
      <c r="L35" s="582">
        <f>'２-Ⅳ'!F14</f>
        <v>3</v>
      </c>
      <c r="M35" s="582">
        <f>'２-Ⅳ'!G14</f>
        <v>39</v>
      </c>
      <c r="N35" s="576"/>
      <c r="O35" s="576"/>
      <c r="P35" s="576"/>
      <c r="Q35" s="576"/>
      <c r="R35" s="576"/>
    </row>
    <row r="36" spans="1:18" ht="20.25" customHeight="1" thickTop="1" thickBot="1" x14ac:dyDescent="0.25">
      <c r="A36" s="614" t="s">
        <v>11</v>
      </c>
      <c r="B36" s="618">
        <f t="shared" si="8"/>
        <v>14160</v>
      </c>
      <c r="C36" s="619">
        <f t="shared" si="8"/>
        <v>1</v>
      </c>
      <c r="E36" s="1078" t="s">
        <v>636</v>
      </c>
      <c r="F36" s="1079"/>
      <c r="G36" s="653">
        <f t="shared" ref="G36" si="9">K60</f>
        <v>0</v>
      </c>
      <c r="H36" s="654">
        <f t="shared" ref="H36" si="10">SUM(L60:M60)</f>
        <v>0</v>
      </c>
      <c r="J36" s="581" t="s">
        <v>216</v>
      </c>
      <c r="K36" s="582">
        <f>'２-Ⅳ'!B15</f>
        <v>447</v>
      </c>
      <c r="L36" s="582">
        <f>'２-Ⅳ'!F15</f>
        <v>0</v>
      </c>
      <c r="M36" s="582">
        <f>'２-Ⅳ'!G15</f>
        <v>32</v>
      </c>
      <c r="N36" s="576"/>
      <c r="O36" s="576"/>
      <c r="P36" s="576"/>
      <c r="Q36" s="576"/>
      <c r="R36" s="576"/>
    </row>
    <row r="37" spans="1:18" ht="20.25" customHeight="1" thickTop="1" x14ac:dyDescent="0.2">
      <c r="A37" s="173"/>
      <c r="B37" s="173"/>
      <c r="C37" s="615"/>
      <c r="E37" s="620" t="s">
        <v>11</v>
      </c>
      <c r="F37" s="621"/>
      <c r="G37" s="622">
        <f t="shared" ref="G37" si="11">K61</f>
        <v>14160</v>
      </c>
      <c r="H37" s="623">
        <f t="shared" ref="H37" si="12">SUM(L61:M61)</f>
        <v>1803</v>
      </c>
      <c r="J37" s="581" t="s">
        <v>217</v>
      </c>
      <c r="K37" s="582">
        <f>'２-Ⅳ'!B16</f>
        <v>334</v>
      </c>
      <c r="L37" s="582">
        <f>'２-Ⅳ'!F16</f>
        <v>3</v>
      </c>
      <c r="M37" s="582">
        <f>'２-Ⅳ'!G16</f>
        <v>27</v>
      </c>
      <c r="N37" s="576"/>
      <c r="O37" s="576"/>
      <c r="P37" s="576"/>
      <c r="Q37" s="576"/>
      <c r="R37" s="576"/>
    </row>
    <row r="38" spans="1:18" ht="20.25" customHeight="1" x14ac:dyDescent="0.2">
      <c r="J38" s="581" t="s">
        <v>218</v>
      </c>
      <c r="K38" s="582">
        <f>'２-Ⅳ'!B17</f>
        <v>252</v>
      </c>
      <c r="L38" s="582">
        <f>'２-Ⅳ'!F17</f>
        <v>1</v>
      </c>
      <c r="M38" s="582">
        <f>'２-Ⅳ'!G17</f>
        <v>20</v>
      </c>
      <c r="N38" s="576"/>
      <c r="O38" s="576"/>
      <c r="P38" s="576"/>
      <c r="Q38" s="576"/>
      <c r="R38" s="576"/>
    </row>
    <row r="39" spans="1:18" ht="20.25" customHeight="1" x14ac:dyDescent="0.2">
      <c r="A39" s="572" t="s">
        <v>638</v>
      </c>
      <c r="J39" s="581" t="s">
        <v>219</v>
      </c>
      <c r="K39" s="582">
        <f>'２-Ⅳ'!B18</f>
        <v>254</v>
      </c>
      <c r="L39" s="582">
        <f>'２-Ⅳ'!F18</f>
        <v>1</v>
      </c>
      <c r="M39" s="582">
        <f>'２-Ⅳ'!G18</f>
        <v>19</v>
      </c>
      <c r="N39" s="576"/>
      <c r="O39" s="576"/>
      <c r="P39" s="576"/>
      <c r="Q39" s="576"/>
      <c r="R39" s="576"/>
    </row>
    <row r="40" spans="1:18" ht="20.25" customHeight="1" x14ac:dyDescent="0.2">
      <c r="J40" s="581" t="s">
        <v>220</v>
      </c>
      <c r="K40" s="582">
        <f>'２-Ⅳ'!B19</f>
        <v>1240</v>
      </c>
      <c r="L40" s="582">
        <f>'２-Ⅳ'!F19</f>
        <v>12</v>
      </c>
      <c r="M40" s="582">
        <f>'２-Ⅳ'!G19</f>
        <v>67</v>
      </c>
      <c r="N40" s="576"/>
      <c r="O40" s="576"/>
      <c r="P40" s="576"/>
      <c r="Q40" s="576"/>
      <c r="R40" s="576"/>
    </row>
    <row r="41" spans="1:18" ht="20.25" customHeight="1" thickBot="1" x14ac:dyDescent="0.25">
      <c r="A41" s="638" t="s">
        <v>266</v>
      </c>
      <c r="B41" s="638" t="s">
        <v>619</v>
      </c>
      <c r="C41" s="638" t="s">
        <v>275</v>
      </c>
      <c r="E41" s="1076" t="s">
        <v>620</v>
      </c>
      <c r="F41" s="1077"/>
      <c r="G41" s="639" t="s">
        <v>619</v>
      </c>
      <c r="H41" s="639" t="s">
        <v>275</v>
      </c>
      <c r="J41" s="581" t="s">
        <v>61</v>
      </c>
      <c r="K41" s="582">
        <f>'２-Ⅳ'!B20</f>
        <v>765</v>
      </c>
      <c r="L41" s="582">
        <f>'２-Ⅳ'!F20</f>
        <v>4</v>
      </c>
      <c r="M41" s="582">
        <f>'２-Ⅳ'!G20</f>
        <v>27</v>
      </c>
      <c r="N41" s="576"/>
      <c r="O41" s="576"/>
      <c r="P41" s="576"/>
      <c r="Q41" s="576"/>
      <c r="R41" s="576"/>
    </row>
    <row r="42" spans="1:18" ht="20.25" customHeight="1" thickTop="1" x14ac:dyDescent="0.2">
      <c r="A42" s="585" t="s">
        <v>621</v>
      </c>
      <c r="B42" s="586">
        <f t="shared" ref="B42:B53" si="13">K67</f>
        <v>3</v>
      </c>
      <c r="C42" s="586">
        <f t="shared" ref="C42:C53" si="14">L67+M67</f>
        <v>0</v>
      </c>
      <c r="E42" s="1070" t="s">
        <v>622</v>
      </c>
      <c r="F42" s="1071"/>
      <c r="G42" s="587">
        <f t="shared" ref="G42:G50" si="15">P88</f>
        <v>869</v>
      </c>
      <c r="H42" s="588">
        <f t="shared" ref="H42:H50" si="16">Q88+R88</f>
        <v>55</v>
      </c>
      <c r="J42" s="581" t="s">
        <v>262</v>
      </c>
      <c r="K42" s="582">
        <f>'２-Ⅳ'!B21</f>
        <v>14160</v>
      </c>
      <c r="L42" s="582">
        <f>'２-Ⅳ'!F21</f>
        <v>398</v>
      </c>
      <c r="M42" s="582">
        <f>'２-Ⅳ'!G21</f>
        <v>1405</v>
      </c>
      <c r="N42" s="576"/>
      <c r="O42" s="576"/>
      <c r="P42" s="576"/>
      <c r="Q42" s="576"/>
      <c r="R42" s="576"/>
    </row>
    <row r="43" spans="1:18" ht="20.25" customHeight="1" x14ac:dyDescent="0.2">
      <c r="A43" s="248" t="s">
        <v>3</v>
      </c>
      <c r="B43" s="587">
        <f t="shared" si="13"/>
        <v>43</v>
      </c>
      <c r="C43" s="587">
        <f t="shared" si="14"/>
        <v>5</v>
      </c>
      <c r="E43" s="1070" t="s">
        <v>623</v>
      </c>
      <c r="F43" s="1071"/>
      <c r="G43" s="587">
        <f t="shared" si="15"/>
        <v>979</v>
      </c>
      <c r="H43" s="588">
        <f t="shared" si="16"/>
        <v>43</v>
      </c>
      <c r="J43" s="576"/>
      <c r="K43" s="576"/>
      <c r="L43" s="576"/>
      <c r="M43" s="576"/>
      <c r="N43" s="576"/>
      <c r="O43" s="576"/>
      <c r="P43" s="576"/>
      <c r="Q43" s="576"/>
      <c r="R43" s="576"/>
    </row>
    <row r="44" spans="1:18" ht="20.25" customHeight="1" thickBot="1" x14ac:dyDescent="0.25">
      <c r="A44" s="248" t="s">
        <v>4</v>
      </c>
      <c r="B44" s="587">
        <f t="shared" si="13"/>
        <v>179</v>
      </c>
      <c r="C44" s="587">
        <f t="shared" si="14"/>
        <v>27</v>
      </c>
      <c r="E44" s="1070" t="s">
        <v>624</v>
      </c>
      <c r="F44" s="1071"/>
      <c r="G44" s="587">
        <f t="shared" si="15"/>
        <v>628</v>
      </c>
      <c r="H44" s="588">
        <f t="shared" si="16"/>
        <v>62</v>
      </c>
      <c r="J44" s="624" t="s">
        <v>641</v>
      </c>
      <c r="K44" s="575" t="s">
        <v>640</v>
      </c>
      <c r="L44" s="613" t="s">
        <v>28</v>
      </c>
      <c r="M44" s="613" t="s">
        <v>29</v>
      </c>
      <c r="N44" s="576"/>
      <c r="O44" s="625" t="s">
        <v>642</v>
      </c>
      <c r="P44" s="625" t="s">
        <v>643</v>
      </c>
      <c r="Q44" s="625" t="s">
        <v>226</v>
      </c>
      <c r="R44" s="576"/>
    </row>
    <row r="45" spans="1:18" ht="20.25" customHeight="1" thickTop="1" x14ac:dyDescent="0.2">
      <c r="A45" s="248" t="s">
        <v>5</v>
      </c>
      <c r="B45" s="587">
        <f t="shared" si="13"/>
        <v>486</v>
      </c>
      <c r="C45" s="587">
        <f t="shared" si="14"/>
        <v>40</v>
      </c>
      <c r="E45" s="1070" t="s">
        <v>625</v>
      </c>
      <c r="F45" s="1071"/>
      <c r="G45" s="587">
        <f t="shared" si="15"/>
        <v>535</v>
      </c>
      <c r="H45" s="588">
        <f t="shared" si="16"/>
        <v>74</v>
      </c>
      <c r="J45" s="626" t="s">
        <v>407</v>
      </c>
      <c r="K45" s="582">
        <f>'２-Ⅲ'!C5</f>
        <v>4059</v>
      </c>
      <c r="L45" s="582">
        <f>'２-Ⅲ'!H5</f>
        <v>55</v>
      </c>
      <c r="M45" s="582">
        <f>'２-Ⅲ'!I5</f>
        <v>222</v>
      </c>
      <c r="N45" s="576"/>
      <c r="O45" s="627" t="s">
        <v>28</v>
      </c>
      <c r="P45" s="628">
        <f>'２-Ⅴ'!B5</f>
        <v>398</v>
      </c>
      <c r="Q45" s="629">
        <f>'２-Ⅴ'!C5</f>
        <v>2.8107344632768361E-2</v>
      </c>
      <c r="R45" s="576"/>
    </row>
    <row r="46" spans="1:18" ht="20.25" customHeight="1" x14ac:dyDescent="0.2">
      <c r="A46" s="248" t="s">
        <v>6</v>
      </c>
      <c r="B46" s="587">
        <f t="shared" si="13"/>
        <v>1375</v>
      </c>
      <c r="C46" s="587">
        <f t="shared" si="14"/>
        <v>92</v>
      </c>
      <c r="E46" s="1070" t="s">
        <v>626</v>
      </c>
      <c r="F46" s="1071"/>
      <c r="G46" s="587">
        <f t="shared" si="15"/>
        <v>681</v>
      </c>
      <c r="H46" s="588">
        <f t="shared" si="16"/>
        <v>53</v>
      </c>
      <c r="J46" s="630" t="s">
        <v>408</v>
      </c>
      <c r="K46" s="582">
        <f>'２-Ⅲ'!C6</f>
        <v>2086</v>
      </c>
      <c r="L46" s="582">
        <f>'２-Ⅲ'!H6</f>
        <v>23</v>
      </c>
      <c r="M46" s="582">
        <f>'２-Ⅲ'!I6</f>
        <v>92</v>
      </c>
      <c r="N46" s="576"/>
      <c r="O46" s="626" t="s">
        <v>29</v>
      </c>
      <c r="P46" s="631">
        <f>'２-Ⅴ'!B6</f>
        <v>1405</v>
      </c>
      <c r="Q46" s="632">
        <f>'２-Ⅴ'!C6</f>
        <v>9.9223163841807904E-2</v>
      </c>
      <c r="R46" s="576"/>
    </row>
    <row r="47" spans="1:18" ht="20.25" customHeight="1" x14ac:dyDescent="0.2">
      <c r="A47" s="248" t="s">
        <v>7</v>
      </c>
      <c r="B47" s="587">
        <f t="shared" si="13"/>
        <v>1488</v>
      </c>
      <c r="C47" s="587">
        <f t="shared" si="14"/>
        <v>125</v>
      </c>
      <c r="E47" s="1070" t="s">
        <v>627</v>
      </c>
      <c r="F47" s="1071"/>
      <c r="G47" s="587">
        <f t="shared" si="15"/>
        <v>3095</v>
      </c>
      <c r="H47" s="588">
        <f t="shared" si="16"/>
        <v>244</v>
      </c>
      <c r="J47" s="630" t="s">
        <v>409</v>
      </c>
      <c r="K47" s="582">
        <f>'２-Ⅲ'!C7</f>
        <v>284</v>
      </c>
      <c r="L47" s="582">
        <f>'２-Ⅲ'!H7</f>
        <v>3</v>
      </c>
      <c r="M47" s="582">
        <f>'２-Ⅲ'!I7</f>
        <v>9</v>
      </c>
      <c r="N47" s="576"/>
      <c r="O47" s="626" t="s">
        <v>30</v>
      </c>
      <c r="P47" s="631">
        <f>'２-Ⅴ'!B7</f>
        <v>2679</v>
      </c>
      <c r="Q47" s="632">
        <f>'２-Ⅴ'!C7</f>
        <v>0.18919491525423729</v>
      </c>
      <c r="R47" s="576"/>
    </row>
    <row r="48" spans="1:18" ht="20.25" customHeight="1" x14ac:dyDescent="0.2">
      <c r="A48" s="248" t="s">
        <v>8</v>
      </c>
      <c r="B48" s="587">
        <f t="shared" si="13"/>
        <v>2029</v>
      </c>
      <c r="C48" s="587">
        <f t="shared" si="14"/>
        <v>165</v>
      </c>
      <c r="E48" s="1070" t="s">
        <v>484</v>
      </c>
      <c r="F48" s="1071"/>
      <c r="G48" s="587">
        <f t="shared" si="15"/>
        <v>0</v>
      </c>
      <c r="H48" s="588">
        <f t="shared" si="16"/>
        <v>0</v>
      </c>
      <c r="J48" s="649" t="s">
        <v>644</v>
      </c>
      <c r="K48" s="582">
        <f>'２-Ⅲ'!C8</f>
        <v>1689</v>
      </c>
      <c r="L48" s="582">
        <f>'２-Ⅲ'!H8</f>
        <v>29</v>
      </c>
      <c r="M48" s="582">
        <f>'２-Ⅲ'!I8</f>
        <v>121</v>
      </c>
      <c r="N48" s="576"/>
      <c r="O48" s="626" t="s">
        <v>31</v>
      </c>
      <c r="P48" s="631">
        <f>'２-Ⅴ'!B8</f>
        <v>5705</v>
      </c>
      <c r="Q48" s="632">
        <f>'２-Ⅴ'!C8</f>
        <v>0.4028954802259887</v>
      </c>
      <c r="R48" s="576"/>
    </row>
    <row r="49" spans="1:18" ht="20.25" customHeight="1" thickBot="1" x14ac:dyDescent="0.25">
      <c r="A49" s="248" t="s">
        <v>9</v>
      </c>
      <c r="B49" s="587">
        <f t="shared" si="13"/>
        <v>1709</v>
      </c>
      <c r="C49" s="587">
        <f t="shared" si="14"/>
        <v>106</v>
      </c>
      <c r="E49" s="1070" t="s">
        <v>485</v>
      </c>
      <c r="F49" s="1071"/>
      <c r="G49" s="587">
        <f t="shared" si="15"/>
        <v>979</v>
      </c>
      <c r="H49" s="589">
        <f t="shared" si="16"/>
        <v>42</v>
      </c>
      <c r="J49" s="626" t="s">
        <v>20</v>
      </c>
      <c r="K49" s="582">
        <f>'２-Ⅲ'!C9</f>
        <v>755</v>
      </c>
      <c r="L49" s="582">
        <f>'２-Ⅲ'!H9</f>
        <v>42</v>
      </c>
      <c r="M49" s="582">
        <f>'２-Ⅲ'!I9</f>
        <v>198</v>
      </c>
      <c r="N49" s="576"/>
      <c r="O49" s="626" t="s">
        <v>32</v>
      </c>
      <c r="P49" s="631">
        <f>'２-Ⅴ'!B9</f>
        <v>3298</v>
      </c>
      <c r="Q49" s="632">
        <f>'２-Ⅴ'!C9</f>
        <v>0.23290960451977402</v>
      </c>
      <c r="R49" s="576"/>
    </row>
    <row r="50" spans="1:18" ht="20.25" customHeight="1" thickTop="1" thickBot="1" x14ac:dyDescent="0.25">
      <c r="A50" s="590" t="s">
        <v>10</v>
      </c>
      <c r="B50" s="591">
        <f t="shared" si="13"/>
        <v>454</v>
      </c>
      <c r="C50" s="591">
        <f t="shared" si="14"/>
        <v>13</v>
      </c>
      <c r="E50" s="640" t="s">
        <v>11</v>
      </c>
      <c r="F50" s="641"/>
      <c r="G50" s="886">
        <f t="shared" si="15"/>
        <v>7766</v>
      </c>
      <c r="H50" s="642">
        <f t="shared" si="16"/>
        <v>573</v>
      </c>
      <c r="J50" s="626" t="s">
        <v>21</v>
      </c>
      <c r="K50" s="582">
        <f>'２-Ⅲ'!C10</f>
        <v>6731</v>
      </c>
      <c r="L50" s="582">
        <f>'２-Ⅲ'!H10</f>
        <v>157</v>
      </c>
      <c r="M50" s="582">
        <f>'２-Ⅲ'!I10</f>
        <v>595</v>
      </c>
      <c r="N50" s="576"/>
      <c r="O50" s="633" t="s">
        <v>33</v>
      </c>
      <c r="P50" s="634">
        <f>'２-Ⅴ'!B10</f>
        <v>675</v>
      </c>
      <c r="Q50" s="635">
        <f>'２-Ⅴ'!C10</f>
        <v>4.7669491525423727E-2</v>
      </c>
      <c r="R50" s="576"/>
    </row>
    <row r="51" spans="1:18" ht="20.25" customHeight="1" thickTop="1" thickBot="1" x14ac:dyDescent="0.25">
      <c r="A51" s="643" t="s">
        <v>11</v>
      </c>
      <c r="B51" s="884">
        <f t="shared" si="13"/>
        <v>7766</v>
      </c>
      <c r="C51" s="884">
        <f t="shared" si="14"/>
        <v>573</v>
      </c>
      <c r="E51" s="173"/>
      <c r="F51" s="173"/>
      <c r="G51" s="596"/>
      <c r="H51" s="597"/>
      <c r="J51" s="626" t="s">
        <v>22</v>
      </c>
      <c r="K51" s="582">
        <f>'２-Ⅲ'!C11</f>
        <v>1633</v>
      </c>
      <c r="L51" s="582">
        <f>'２-Ⅲ'!H11</f>
        <v>99</v>
      </c>
      <c r="M51" s="582">
        <f>'２-Ⅲ'!I11</f>
        <v>248</v>
      </c>
      <c r="N51" s="576"/>
      <c r="O51" s="636" t="s">
        <v>262</v>
      </c>
      <c r="P51" s="628">
        <f>'２-Ⅴ'!B11</f>
        <v>14160</v>
      </c>
      <c r="Q51" s="637">
        <f>'２-Ⅴ'!C11</f>
        <v>1</v>
      </c>
      <c r="R51" s="576"/>
    </row>
    <row r="52" spans="1:18" ht="20.25" customHeight="1" thickTop="1" x14ac:dyDescent="0.2">
      <c r="A52" s="599" t="s">
        <v>628</v>
      </c>
      <c r="B52" s="600">
        <f t="shared" si="13"/>
        <v>2862</v>
      </c>
      <c r="C52" s="600">
        <f t="shared" si="14"/>
        <v>217</v>
      </c>
      <c r="E52" s="173"/>
      <c r="F52" s="173"/>
      <c r="G52" s="596"/>
      <c r="H52" s="597"/>
      <c r="J52" s="626" t="s">
        <v>253</v>
      </c>
      <c r="K52" s="582">
        <f>'２-Ⅲ'!C12</f>
        <v>263</v>
      </c>
      <c r="L52" s="582">
        <f>'２-Ⅲ'!H12</f>
        <v>20</v>
      </c>
      <c r="M52" s="582">
        <f>'２-Ⅲ'!I12</f>
        <v>53</v>
      </c>
      <c r="N52" s="576"/>
      <c r="O52" s="576"/>
      <c r="P52" s="576"/>
      <c r="Q52" s="576"/>
      <c r="R52" s="576"/>
    </row>
    <row r="53" spans="1:18" ht="20.25" customHeight="1" x14ac:dyDescent="0.2">
      <c r="A53" s="248" t="s">
        <v>629</v>
      </c>
      <c r="B53" s="601">
        <f t="shared" si="13"/>
        <v>4904</v>
      </c>
      <c r="C53" s="601">
        <f t="shared" si="14"/>
        <v>356</v>
      </c>
      <c r="J53" s="626" t="s">
        <v>254</v>
      </c>
      <c r="K53" s="582">
        <f>'２-Ⅲ'!C13</f>
        <v>58</v>
      </c>
      <c r="L53" s="582">
        <f>'２-Ⅲ'!H13</f>
        <v>0</v>
      </c>
      <c r="M53" s="582">
        <f>'２-Ⅲ'!I13</f>
        <v>4</v>
      </c>
      <c r="N53" s="576"/>
      <c r="O53" s="576"/>
      <c r="P53" s="576"/>
      <c r="Q53" s="576"/>
      <c r="R53" s="576"/>
    </row>
    <row r="54" spans="1:18" ht="20.25" customHeight="1" x14ac:dyDescent="0.2">
      <c r="J54" s="626" t="s">
        <v>259</v>
      </c>
      <c r="K54" s="582">
        <f>'２-Ⅲ'!C14</f>
        <v>38</v>
      </c>
      <c r="L54" s="582">
        <f>'２-Ⅲ'!H14</f>
        <v>1</v>
      </c>
      <c r="M54" s="582">
        <f>'２-Ⅲ'!I14</f>
        <v>15</v>
      </c>
      <c r="N54" s="576"/>
      <c r="O54" s="576"/>
      <c r="P54" s="576"/>
      <c r="Q54" s="576"/>
      <c r="R54" s="576"/>
    </row>
    <row r="55" spans="1:18" ht="20.25" customHeight="1" x14ac:dyDescent="0.2">
      <c r="J55" s="626" t="s">
        <v>637</v>
      </c>
      <c r="K55" s="582">
        <f>'２-Ⅲ'!C15</f>
        <v>305</v>
      </c>
      <c r="L55" s="582">
        <f>'２-Ⅲ'!H15</f>
        <v>6</v>
      </c>
      <c r="M55" s="582">
        <f>'２-Ⅲ'!I15</f>
        <v>30</v>
      </c>
      <c r="N55" s="576"/>
      <c r="O55" s="576"/>
      <c r="P55" s="576"/>
      <c r="Q55" s="576"/>
      <c r="R55" s="576"/>
    </row>
    <row r="56" spans="1:18" ht="20.25" customHeight="1" thickBot="1" x14ac:dyDescent="0.25">
      <c r="A56" s="638" t="s">
        <v>635</v>
      </c>
      <c r="B56" s="638" t="s">
        <v>619</v>
      </c>
      <c r="C56" s="638" t="s">
        <v>1</v>
      </c>
      <c r="E56" s="1082" t="s">
        <v>81</v>
      </c>
      <c r="F56" s="1083"/>
      <c r="G56" s="639" t="s">
        <v>619</v>
      </c>
      <c r="H56" s="639" t="s">
        <v>275</v>
      </c>
      <c r="J56" s="626" t="s">
        <v>23</v>
      </c>
      <c r="K56" s="582">
        <f>'２-Ⅲ'!C16</f>
        <v>153</v>
      </c>
      <c r="L56" s="582">
        <f>'２-Ⅲ'!H16</f>
        <v>12</v>
      </c>
      <c r="M56" s="582">
        <f>'２-Ⅲ'!I16</f>
        <v>24</v>
      </c>
      <c r="N56" s="576"/>
      <c r="O56" s="576"/>
      <c r="P56" s="576"/>
      <c r="Q56" s="576"/>
      <c r="R56" s="576"/>
    </row>
    <row r="57" spans="1:18" ht="20.25" customHeight="1" thickTop="1" x14ac:dyDescent="0.2">
      <c r="A57" s="599" t="s">
        <v>276</v>
      </c>
      <c r="B57" s="616">
        <f t="shared" ref="B57:C63" si="17">P107</f>
        <v>68</v>
      </c>
      <c r="C57" s="650">
        <f t="shared" si="17"/>
        <v>8.7561164048416181E-3</v>
      </c>
      <c r="E57" s="1066" t="s">
        <v>120</v>
      </c>
      <c r="F57" s="1067"/>
      <c r="G57" s="604">
        <f t="shared" ref="G57:G73" si="18">K107</f>
        <v>1944</v>
      </c>
      <c r="H57" s="601">
        <f t="shared" ref="H57:H73" si="19">SUM(L107:M107)</f>
        <v>90</v>
      </c>
      <c r="J57" s="626" t="s">
        <v>260</v>
      </c>
      <c r="K57" s="582">
        <f>'２-Ⅲ'!C17</f>
        <v>43</v>
      </c>
      <c r="L57" s="582">
        <f>'２-Ⅲ'!H17</f>
        <v>4</v>
      </c>
      <c r="M57" s="582">
        <f>'２-Ⅲ'!I17</f>
        <v>6</v>
      </c>
      <c r="N57" s="576"/>
      <c r="O57" s="576"/>
      <c r="P57" s="576"/>
      <c r="Q57" s="576"/>
      <c r="R57" s="576"/>
    </row>
    <row r="58" spans="1:18" ht="20.25" customHeight="1" x14ac:dyDescent="0.2">
      <c r="A58" s="248" t="s">
        <v>277</v>
      </c>
      <c r="B58" s="587">
        <f t="shared" si="17"/>
        <v>505</v>
      </c>
      <c r="C58" s="651">
        <f t="shared" si="17"/>
        <v>6.5027040947720841E-2</v>
      </c>
      <c r="E58" s="605"/>
      <c r="F58" s="606" t="s">
        <v>121</v>
      </c>
      <c r="G58" s="607">
        <f t="shared" si="18"/>
        <v>988</v>
      </c>
      <c r="H58" s="607">
        <f t="shared" si="19"/>
        <v>29</v>
      </c>
      <c r="J58" s="626" t="s">
        <v>67</v>
      </c>
      <c r="K58" s="582">
        <f>'２-Ⅲ'!C18</f>
        <v>40</v>
      </c>
      <c r="L58" s="582">
        <f>'２-Ⅲ'!H18</f>
        <v>0</v>
      </c>
      <c r="M58" s="582">
        <f>'２-Ⅲ'!I18</f>
        <v>3</v>
      </c>
      <c r="N58" s="576"/>
      <c r="O58" s="576"/>
      <c r="P58" s="576"/>
      <c r="Q58" s="576"/>
      <c r="R58" s="576"/>
    </row>
    <row r="59" spans="1:18" ht="20.25" customHeight="1" x14ac:dyDescent="0.2">
      <c r="A59" s="248" t="s">
        <v>490</v>
      </c>
      <c r="B59" s="587">
        <f t="shared" si="17"/>
        <v>1203</v>
      </c>
      <c r="C59" s="651">
        <f t="shared" si="17"/>
        <v>0.15490600051506567</v>
      </c>
      <c r="E59" s="605"/>
      <c r="F59" s="608" t="s">
        <v>106</v>
      </c>
      <c r="G59" s="664">
        <f t="shared" si="18"/>
        <v>149</v>
      </c>
      <c r="H59" s="664">
        <f t="shared" si="19"/>
        <v>5</v>
      </c>
      <c r="J59" s="626" t="s">
        <v>18</v>
      </c>
      <c r="K59" s="582">
        <f>'２-Ⅲ'!C19</f>
        <v>82</v>
      </c>
      <c r="L59" s="582">
        <f>'２-Ⅲ'!H19</f>
        <v>2</v>
      </c>
      <c r="M59" s="582">
        <f>'２-Ⅲ'!I19</f>
        <v>7</v>
      </c>
      <c r="N59" s="576"/>
      <c r="O59" s="576"/>
      <c r="P59" s="576"/>
      <c r="Q59" s="576"/>
      <c r="R59" s="576"/>
    </row>
    <row r="60" spans="1:18" ht="20.25" customHeight="1" x14ac:dyDescent="0.2">
      <c r="A60" s="248" t="s">
        <v>491</v>
      </c>
      <c r="B60" s="587">
        <f t="shared" si="17"/>
        <v>3518</v>
      </c>
      <c r="C60" s="651">
        <f t="shared" si="17"/>
        <v>0.45300025753283546</v>
      </c>
      <c r="E60" s="609"/>
      <c r="F60" s="610" t="s">
        <v>19</v>
      </c>
      <c r="G60" s="665">
        <f t="shared" si="18"/>
        <v>807</v>
      </c>
      <c r="H60" s="665">
        <f t="shared" si="19"/>
        <v>56</v>
      </c>
      <c r="J60" s="583" t="s">
        <v>375</v>
      </c>
      <c r="K60" s="582">
        <f>'２-Ⅲ'!C20</f>
        <v>0</v>
      </c>
      <c r="L60" s="582">
        <f>'２-Ⅲ'!H20</f>
        <v>0</v>
      </c>
      <c r="M60" s="582">
        <f>'２-Ⅲ'!I20</f>
        <v>0</v>
      </c>
      <c r="N60" s="576"/>
      <c r="O60" s="576"/>
      <c r="P60" s="576"/>
      <c r="Q60" s="576"/>
      <c r="R60" s="576"/>
    </row>
    <row r="61" spans="1:18" ht="20.25" customHeight="1" x14ac:dyDescent="0.2">
      <c r="A61" s="248" t="s">
        <v>492</v>
      </c>
      <c r="B61" s="587">
        <f t="shared" si="17"/>
        <v>2029</v>
      </c>
      <c r="C61" s="651">
        <f t="shared" si="17"/>
        <v>0.26126706155034768</v>
      </c>
      <c r="E61" s="1066" t="s">
        <v>251</v>
      </c>
      <c r="F61" s="1067"/>
      <c r="G61" s="601">
        <f t="shared" si="18"/>
        <v>274</v>
      </c>
      <c r="H61" s="612">
        <f t="shared" si="19"/>
        <v>38</v>
      </c>
      <c r="J61" s="583" t="s">
        <v>262</v>
      </c>
      <c r="K61" s="582">
        <f>'２-Ⅲ'!C21</f>
        <v>14160</v>
      </c>
      <c r="L61" s="582">
        <f>'２-Ⅲ'!H21</f>
        <v>398</v>
      </c>
      <c r="M61" s="582">
        <f>'２-Ⅲ'!I21</f>
        <v>1405</v>
      </c>
    </row>
    <row r="62" spans="1:18" ht="20.25" customHeight="1" thickBot="1" x14ac:dyDescent="0.25">
      <c r="A62" s="590" t="s">
        <v>493</v>
      </c>
      <c r="B62" s="591">
        <f t="shared" si="17"/>
        <v>443</v>
      </c>
      <c r="C62" s="652">
        <f t="shared" si="17"/>
        <v>5.704352304918877E-2</v>
      </c>
      <c r="E62" s="1066" t="s">
        <v>73</v>
      </c>
      <c r="F62" s="1067"/>
      <c r="G62" s="601">
        <f t="shared" si="18"/>
        <v>4616</v>
      </c>
      <c r="H62" s="612">
        <f t="shared" si="19"/>
        <v>331</v>
      </c>
    </row>
    <row r="63" spans="1:18" ht="20.25" customHeight="1" thickTop="1" x14ac:dyDescent="0.2">
      <c r="A63" s="644" t="s">
        <v>11</v>
      </c>
      <c r="B63" s="645">
        <f t="shared" si="17"/>
        <v>7766</v>
      </c>
      <c r="C63" s="646">
        <f t="shared" si="17"/>
        <v>1</v>
      </c>
      <c r="E63" s="1066" t="s">
        <v>76</v>
      </c>
      <c r="F63" s="1067"/>
      <c r="G63" s="601">
        <f t="shared" si="18"/>
        <v>580</v>
      </c>
      <c r="H63" s="612">
        <f t="shared" si="19"/>
        <v>78</v>
      </c>
    </row>
    <row r="64" spans="1:18" ht="20.25" customHeight="1" x14ac:dyDescent="0.2">
      <c r="E64" s="1066" t="s">
        <v>24</v>
      </c>
      <c r="F64" s="1067"/>
      <c r="G64" s="601">
        <f t="shared" si="18"/>
        <v>72</v>
      </c>
      <c r="H64" s="612">
        <f t="shared" si="19"/>
        <v>12</v>
      </c>
    </row>
    <row r="65" spans="1:18" ht="20.25" customHeight="1" x14ac:dyDescent="0.2">
      <c r="E65" s="1066" t="s">
        <v>25</v>
      </c>
      <c r="F65" s="1067"/>
      <c r="G65" s="601">
        <f t="shared" si="18"/>
        <v>4</v>
      </c>
      <c r="H65" s="612">
        <f t="shared" si="19"/>
        <v>1</v>
      </c>
      <c r="J65" s="574" t="s">
        <v>645</v>
      </c>
    </row>
    <row r="66" spans="1:18" ht="20.25" customHeight="1" x14ac:dyDescent="0.2">
      <c r="E66" s="1066" t="s">
        <v>256</v>
      </c>
      <c r="F66" s="1067"/>
      <c r="G66" s="601">
        <f t="shared" si="18"/>
        <v>11</v>
      </c>
      <c r="H66" s="612">
        <f t="shared" si="19"/>
        <v>2</v>
      </c>
      <c r="J66" s="575"/>
      <c r="K66" s="575" t="s">
        <v>640</v>
      </c>
      <c r="L66" s="575" t="s">
        <v>28</v>
      </c>
      <c r="M66" s="575" t="s">
        <v>29</v>
      </c>
      <c r="N66" s="576"/>
      <c r="O66" s="577"/>
      <c r="P66" s="578" t="s">
        <v>640</v>
      </c>
      <c r="Q66" s="575" t="s">
        <v>28</v>
      </c>
      <c r="R66" s="575" t="s">
        <v>29</v>
      </c>
    </row>
    <row r="67" spans="1:18" ht="20.25" customHeight="1" x14ac:dyDescent="0.2">
      <c r="E67" s="1066" t="s">
        <v>257</v>
      </c>
      <c r="F67" s="1067"/>
      <c r="G67" s="601">
        <f t="shared" si="18"/>
        <v>149</v>
      </c>
      <c r="H67" s="612">
        <f t="shared" si="19"/>
        <v>10</v>
      </c>
      <c r="J67" s="581" t="s">
        <v>2</v>
      </c>
      <c r="K67" s="582">
        <f>'３-Ⅰ'!B5</f>
        <v>3</v>
      </c>
      <c r="L67" s="582">
        <f>'３-Ⅰ'!F5</f>
        <v>0</v>
      </c>
      <c r="M67" s="582">
        <f>'３-Ⅰ'!G5</f>
        <v>0</v>
      </c>
      <c r="N67" s="576"/>
      <c r="O67" s="583" t="s">
        <v>300</v>
      </c>
      <c r="P67" s="584">
        <v>0</v>
      </c>
      <c r="Q67" s="584">
        <v>0</v>
      </c>
      <c r="R67" s="583"/>
    </row>
    <row r="68" spans="1:18" ht="20.25" customHeight="1" x14ac:dyDescent="0.2">
      <c r="E68" s="1066" t="s">
        <v>83</v>
      </c>
      <c r="F68" s="1067"/>
      <c r="G68" s="601">
        <f t="shared" si="18"/>
        <v>39</v>
      </c>
      <c r="H68" s="612">
        <f t="shared" si="19"/>
        <v>2</v>
      </c>
      <c r="J68" s="581" t="s">
        <v>3</v>
      </c>
      <c r="K68" s="582">
        <f>'３-Ⅰ'!B6</f>
        <v>43</v>
      </c>
      <c r="L68" s="582">
        <f>'３-Ⅰ'!F6</f>
        <v>0</v>
      </c>
      <c r="M68" s="582">
        <f>'３-Ⅰ'!G6</f>
        <v>5</v>
      </c>
      <c r="N68" s="576"/>
      <c r="O68" s="583" t="s">
        <v>301</v>
      </c>
      <c r="P68" s="584">
        <v>0</v>
      </c>
      <c r="Q68" s="584">
        <v>0</v>
      </c>
      <c r="R68" s="583"/>
    </row>
    <row r="69" spans="1:18" ht="20.25" customHeight="1" x14ac:dyDescent="0.2">
      <c r="E69" s="1066" t="s">
        <v>258</v>
      </c>
      <c r="F69" s="1067"/>
      <c r="G69" s="601">
        <f t="shared" si="18"/>
        <v>12</v>
      </c>
      <c r="H69" s="612">
        <f t="shared" si="19"/>
        <v>4</v>
      </c>
      <c r="J69" s="581" t="s">
        <v>4</v>
      </c>
      <c r="K69" s="582">
        <f>'３-Ⅰ'!B7</f>
        <v>179</v>
      </c>
      <c r="L69" s="582">
        <f>'３-Ⅰ'!F7</f>
        <v>3</v>
      </c>
      <c r="M69" s="582">
        <f>'３-Ⅰ'!G7</f>
        <v>24</v>
      </c>
      <c r="N69" s="576"/>
      <c r="O69" s="583" t="s">
        <v>302</v>
      </c>
      <c r="P69" s="584">
        <v>0</v>
      </c>
      <c r="Q69" s="584">
        <v>0</v>
      </c>
      <c r="R69" s="583"/>
    </row>
    <row r="70" spans="1:18" ht="20.25" customHeight="1" x14ac:dyDescent="0.2">
      <c r="E70" s="1066" t="s">
        <v>123</v>
      </c>
      <c r="F70" s="1067"/>
      <c r="G70" s="601">
        <f t="shared" si="18"/>
        <v>27</v>
      </c>
      <c r="H70" s="612">
        <f t="shared" si="19"/>
        <v>1</v>
      </c>
      <c r="J70" s="581" t="s">
        <v>5</v>
      </c>
      <c r="K70" s="582">
        <f>'３-Ⅰ'!B8</f>
        <v>486</v>
      </c>
      <c r="L70" s="582">
        <f>'３-Ⅰ'!F8</f>
        <v>6</v>
      </c>
      <c r="M70" s="582">
        <f>'３-Ⅰ'!G8</f>
        <v>34</v>
      </c>
      <c r="N70" s="576"/>
      <c r="O70" s="583" t="s">
        <v>303</v>
      </c>
      <c r="P70" s="584">
        <v>0</v>
      </c>
      <c r="Q70" s="584">
        <v>0</v>
      </c>
      <c r="R70" s="583"/>
    </row>
    <row r="71" spans="1:18" ht="20.25" customHeight="1" x14ac:dyDescent="0.2">
      <c r="E71" s="1074" t="s">
        <v>636</v>
      </c>
      <c r="F71" s="1075"/>
      <c r="G71" s="601">
        <f t="shared" si="18"/>
        <v>38</v>
      </c>
      <c r="H71" s="612">
        <f t="shared" si="19"/>
        <v>4</v>
      </c>
      <c r="J71" s="581" t="s">
        <v>6</v>
      </c>
      <c r="K71" s="582">
        <f>'３-Ⅰ'!B9</f>
        <v>1375</v>
      </c>
      <c r="L71" s="582">
        <f>'３-Ⅰ'!F9</f>
        <v>12</v>
      </c>
      <c r="M71" s="582">
        <f>'３-Ⅰ'!G9</f>
        <v>80</v>
      </c>
      <c r="N71" s="576"/>
      <c r="O71" s="583" t="s">
        <v>304</v>
      </c>
      <c r="P71" s="584">
        <v>0</v>
      </c>
      <c r="Q71" s="584">
        <v>0</v>
      </c>
      <c r="R71" s="583"/>
    </row>
    <row r="72" spans="1:18" ht="20.25" customHeight="1" thickBot="1" x14ac:dyDescent="0.25">
      <c r="E72" s="1078" t="s">
        <v>375</v>
      </c>
      <c r="F72" s="1079"/>
      <c r="G72" s="653">
        <f t="shared" si="18"/>
        <v>0</v>
      </c>
      <c r="H72" s="654">
        <f t="shared" si="19"/>
        <v>0</v>
      </c>
      <c r="J72" s="581" t="s">
        <v>7</v>
      </c>
      <c r="K72" s="582">
        <f>'３-Ⅰ'!B10</f>
        <v>1488</v>
      </c>
      <c r="L72" s="582">
        <f>'３-Ⅰ'!F10</f>
        <v>10</v>
      </c>
      <c r="M72" s="582">
        <f>'３-Ⅰ'!G10</f>
        <v>115</v>
      </c>
      <c r="N72" s="576"/>
      <c r="O72" s="583" t="s">
        <v>10</v>
      </c>
      <c r="P72" s="584">
        <v>0</v>
      </c>
      <c r="Q72" s="584">
        <v>0</v>
      </c>
      <c r="R72" s="583"/>
    </row>
    <row r="73" spans="1:18" ht="20.25" customHeight="1" thickTop="1" thickBot="1" x14ac:dyDescent="0.25">
      <c r="A73" s="173"/>
      <c r="B73" s="173"/>
      <c r="C73" s="615"/>
      <c r="E73" s="1080" t="s">
        <v>11</v>
      </c>
      <c r="F73" s="1081"/>
      <c r="G73" s="881">
        <f t="shared" si="18"/>
        <v>7766</v>
      </c>
      <c r="H73" s="882">
        <f t="shared" si="19"/>
        <v>573</v>
      </c>
      <c r="J73" s="581" t="s">
        <v>8</v>
      </c>
      <c r="K73" s="582">
        <f>'３-Ⅰ'!B11</f>
        <v>2029</v>
      </c>
      <c r="L73" s="582">
        <f>'３-Ⅰ'!F11</f>
        <v>22</v>
      </c>
      <c r="M73" s="582">
        <f>'３-Ⅰ'!G11</f>
        <v>143</v>
      </c>
      <c r="N73" s="576"/>
      <c r="O73" s="583" t="s">
        <v>262</v>
      </c>
      <c r="P73" s="584">
        <v>0</v>
      </c>
      <c r="Q73" s="584">
        <v>0</v>
      </c>
      <c r="R73" s="583"/>
    </row>
    <row r="74" spans="1:18" ht="20.25" customHeight="1" thickTop="1" x14ac:dyDescent="0.2">
      <c r="J74" s="581" t="s">
        <v>9</v>
      </c>
      <c r="K74" s="582">
        <f>'３-Ⅰ'!B12</f>
        <v>1709</v>
      </c>
      <c r="L74" s="582">
        <f>'３-Ⅰ'!F12</f>
        <v>14</v>
      </c>
      <c r="M74" s="582">
        <f>'３-Ⅰ'!G12</f>
        <v>92</v>
      </c>
      <c r="N74" s="576"/>
      <c r="O74" s="576"/>
      <c r="P74" s="576"/>
      <c r="Q74" s="576"/>
      <c r="R74" s="576"/>
    </row>
    <row r="75" spans="1:18" ht="20.25" customHeight="1" x14ac:dyDescent="0.2">
      <c r="J75" s="581" t="s">
        <v>10</v>
      </c>
      <c r="K75" s="582">
        <f>'３-Ⅰ'!B13</f>
        <v>454</v>
      </c>
      <c r="L75" s="582">
        <f>'３-Ⅰ'!F13</f>
        <v>1</v>
      </c>
      <c r="M75" s="582">
        <f>'３-Ⅰ'!G13</f>
        <v>12</v>
      </c>
      <c r="N75" s="576"/>
      <c r="O75" s="576"/>
      <c r="P75" s="576"/>
      <c r="Q75" s="576"/>
      <c r="R75" s="576"/>
    </row>
    <row r="76" spans="1:18" ht="20.25" customHeight="1" x14ac:dyDescent="0.2">
      <c r="J76" s="581" t="s">
        <v>262</v>
      </c>
      <c r="K76" s="582">
        <f>'３-Ⅰ'!B14</f>
        <v>7766</v>
      </c>
      <c r="L76" s="582">
        <f>'３-Ⅰ'!F14</f>
        <v>68</v>
      </c>
      <c r="M76" s="582">
        <f>'３-Ⅰ'!G14</f>
        <v>505</v>
      </c>
      <c r="N76" s="576"/>
      <c r="O76" s="576"/>
      <c r="P76" s="576"/>
      <c r="Q76" s="576"/>
      <c r="R76" s="576"/>
    </row>
    <row r="77" spans="1:18" ht="20.25" customHeight="1" x14ac:dyDescent="0.2">
      <c r="J77" s="581" t="s">
        <v>306</v>
      </c>
      <c r="K77" s="582">
        <f>'３-Ⅰ'!B15</f>
        <v>2862</v>
      </c>
      <c r="L77" s="582">
        <f>'３-Ⅰ'!F15</f>
        <v>25</v>
      </c>
      <c r="M77" s="582">
        <f>'３-Ⅰ'!G15</f>
        <v>192</v>
      </c>
      <c r="N77" s="598"/>
      <c r="O77" s="598"/>
      <c r="P77" s="598"/>
      <c r="Q77" s="598"/>
      <c r="R77" s="598"/>
    </row>
    <row r="78" spans="1:18" ht="20.25" customHeight="1" x14ac:dyDescent="0.2">
      <c r="J78" s="581" t="s">
        <v>307</v>
      </c>
      <c r="K78" s="582">
        <f>'３-Ⅰ'!B16</f>
        <v>4904</v>
      </c>
      <c r="L78" s="582">
        <f>'３-Ⅰ'!F16</f>
        <v>43</v>
      </c>
      <c r="M78" s="582">
        <f>'３-Ⅰ'!G16</f>
        <v>313</v>
      </c>
      <c r="N78" s="598"/>
      <c r="O78" s="598"/>
      <c r="P78" s="598"/>
      <c r="Q78" s="598"/>
      <c r="R78" s="598"/>
    </row>
    <row r="79" spans="1:18" ht="20.25" customHeight="1" x14ac:dyDescent="0.2">
      <c r="J79" s="598"/>
      <c r="K79" s="598"/>
      <c r="L79" s="598"/>
      <c r="M79" s="598"/>
      <c r="N79" s="598"/>
      <c r="O79" s="598"/>
      <c r="P79" s="598"/>
      <c r="Q79" s="598"/>
      <c r="R79" s="598"/>
    </row>
    <row r="80" spans="1:18" ht="20.25" customHeight="1" x14ac:dyDescent="0.2"/>
    <row r="81" spans="10:18" ht="20.25" customHeight="1" x14ac:dyDescent="0.2"/>
    <row r="82" spans="10:18" ht="20.25" customHeight="1" x14ac:dyDescent="0.2"/>
    <row r="83" spans="10:18" ht="20.25" customHeight="1" x14ac:dyDescent="0.2"/>
    <row r="84" spans="10:18" ht="20.25" customHeight="1" x14ac:dyDescent="0.2"/>
    <row r="85" spans="10:18" ht="20.25" customHeight="1" x14ac:dyDescent="0.2"/>
    <row r="86" spans="10:18" ht="20.25" customHeight="1" x14ac:dyDescent="0.2"/>
    <row r="87" spans="10:18" ht="20.25" customHeight="1" x14ac:dyDescent="0.2">
      <c r="J87" s="575"/>
      <c r="K87" s="575" t="s">
        <v>640</v>
      </c>
      <c r="L87" s="613" t="s">
        <v>28</v>
      </c>
      <c r="M87" s="613" t="s">
        <v>29</v>
      </c>
      <c r="N87" s="576"/>
      <c r="O87" s="577"/>
      <c r="P87" s="578" t="s">
        <v>640</v>
      </c>
      <c r="Q87" s="575" t="s">
        <v>28</v>
      </c>
      <c r="R87" s="575" t="s">
        <v>29</v>
      </c>
    </row>
    <row r="88" spans="10:18" ht="20.25" customHeight="1" x14ac:dyDescent="0.2">
      <c r="J88" s="581" t="s">
        <v>60</v>
      </c>
      <c r="K88" s="582">
        <f>'２-Ⅳ'!B67</f>
        <v>0</v>
      </c>
      <c r="L88" s="582">
        <f>'２-Ⅳ'!F67</f>
        <v>0</v>
      </c>
      <c r="M88" s="582">
        <f>'２-Ⅳ'!G67</f>
        <v>0</v>
      </c>
      <c r="N88" s="576"/>
      <c r="O88" s="583" t="s">
        <v>386</v>
      </c>
      <c r="P88" s="582">
        <f>'6-Ⅰ⑤'!B37</f>
        <v>869</v>
      </c>
      <c r="Q88" s="582">
        <f>'6-Ⅰ⑤'!B25</f>
        <v>9</v>
      </c>
      <c r="R88" s="582">
        <f>'6-Ⅰ⑤'!B27</f>
        <v>46</v>
      </c>
    </row>
    <row r="89" spans="10:18" ht="20.25" customHeight="1" x14ac:dyDescent="0.2">
      <c r="J89" s="581" t="s">
        <v>207</v>
      </c>
      <c r="K89" s="582">
        <f>'２-Ⅳ'!B68</f>
        <v>0</v>
      </c>
      <c r="L89" s="582">
        <f>'２-Ⅳ'!F68</f>
        <v>0</v>
      </c>
      <c r="M89" s="582">
        <f>'２-Ⅳ'!G68</f>
        <v>0</v>
      </c>
      <c r="N89" s="576"/>
      <c r="O89" s="583" t="s">
        <v>387</v>
      </c>
      <c r="P89" s="582">
        <f>'6-Ⅰ⑤'!C37</f>
        <v>979</v>
      </c>
      <c r="Q89" s="582">
        <f>'6-Ⅰ⑤'!C25</f>
        <v>7</v>
      </c>
      <c r="R89" s="582">
        <f>'6-Ⅰ⑤'!C27</f>
        <v>36</v>
      </c>
    </row>
    <row r="90" spans="10:18" ht="20.25" customHeight="1" x14ac:dyDescent="0.2">
      <c r="J90" s="581" t="s">
        <v>208</v>
      </c>
      <c r="K90" s="582">
        <f>'２-Ⅳ'!B69</f>
        <v>0</v>
      </c>
      <c r="L90" s="582">
        <f>'２-Ⅳ'!F69</f>
        <v>0</v>
      </c>
      <c r="M90" s="582">
        <f>'２-Ⅳ'!G69</f>
        <v>0</v>
      </c>
      <c r="N90" s="576"/>
      <c r="O90" s="583" t="s">
        <v>388</v>
      </c>
      <c r="P90" s="582">
        <f>'6-Ⅰ⑤'!D37</f>
        <v>628</v>
      </c>
      <c r="Q90" s="582">
        <f>'6-Ⅰ⑤'!D25</f>
        <v>18</v>
      </c>
      <c r="R90" s="582">
        <f>'6-Ⅰ⑤'!D27</f>
        <v>44</v>
      </c>
    </row>
    <row r="91" spans="10:18" ht="20.25" customHeight="1" x14ac:dyDescent="0.2">
      <c r="J91" s="581" t="s">
        <v>209</v>
      </c>
      <c r="K91" s="582">
        <f>'２-Ⅳ'!B70</f>
        <v>0</v>
      </c>
      <c r="L91" s="582">
        <f>'２-Ⅳ'!F70</f>
        <v>0</v>
      </c>
      <c r="M91" s="582">
        <f>'２-Ⅳ'!G70</f>
        <v>0</v>
      </c>
      <c r="N91" s="576"/>
      <c r="O91" s="583" t="s">
        <v>389</v>
      </c>
      <c r="P91" s="582">
        <f>'6-Ⅰ⑤'!E37</f>
        <v>535</v>
      </c>
      <c r="Q91" s="582">
        <f>'6-Ⅰ⑤'!E25</f>
        <v>10</v>
      </c>
      <c r="R91" s="582">
        <f>'6-Ⅰ⑤'!E27</f>
        <v>64</v>
      </c>
    </row>
    <row r="92" spans="10:18" ht="20.25" customHeight="1" x14ac:dyDescent="0.2">
      <c r="J92" s="581" t="s">
        <v>210</v>
      </c>
      <c r="K92" s="582">
        <f>'２-Ⅳ'!B71</f>
        <v>0</v>
      </c>
      <c r="L92" s="582">
        <f>'２-Ⅳ'!F71</f>
        <v>0</v>
      </c>
      <c r="M92" s="582">
        <f>'２-Ⅳ'!G71</f>
        <v>0</v>
      </c>
      <c r="N92" s="576"/>
      <c r="O92" s="583" t="s">
        <v>390</v>
      </c>
      <c r="P92" s="582">
        <f>'6-Ⅰ⑤'!F37</f>
        <v>681</v>
      </c>
      <c r="Q92" s="582">
        <f>'6-Ⅰ⑤'!F25</f>
        <v>9</v>
      </c>
      <c r="R92" s="582">
        <f>'6-Ⅰ⑤'!F27</f>
        <v>44</v>
      </c>
    </row>
    <row r="93" spans="10:18" ht="20.25" customHeight="1" x14ac:dyDescent="0.2">
      <c r="J93" s="581" t="s">
        <v>211</v>
      </c>
      <c r="K93" s="582">
        <f>'２-Ⅳ'!B72</f>
        <v>0</v>
      </c>
      <c r="L93" s="582">
        <f>'２-Ⅳ'!F72</f>
        <v>0</v>
      </c>
      <c r="M93" s="582">
        <f>'２-Ⅳ'!G72</f>
        <v>0</v>
      </c>
      <c r="N93" s="576"/>
      <c r="O93" s="583" t="s">
        <v>391</v>
      </c>
      <c r="P93" s="582">
        <f>'6-Ⅰ⑤'!G37</f>
        <v>3095</v>
      </c>
      <c r="Q93" s="582">
        <f>'6-Ⅰ⑤'!G25</f>
        <v>13</v>
      </c>
      <c r="R93" s="582">
        <f>'6-Ⅰ⑤'!G27</f>
        <v>231</v>
      </c>
    </row>
    <row r="94" spans="10:18" ht="20.25" customHeight="1" x14ac:dyDescent="0.2">
      <c r="J94" s="581" t="s">
        <v>212</v>
      </c>
      <c r="K94" s="582">
        <f>'２-Ⅳ'!B73</f>
        <v>0</v>
      </c>
      <c r="L94" s="582">
        <f>'２-Ⅳ'!F73</f>
        <v>0</v>
      </c>
      <c r="M94" s="582">
        <f>'２-Ⅳ'!G73</f>
        <v>0</v>
      </c>
      <c r="N94" s="576"/>
      <c r="O94" s="583" t="s">
        <v>392</v>
      </c>
      <c r="P94" s="582">
        <f>'6-Ⅰ⑤'!H37</f>
        <v>0</v>
      </c>
      <c r="Q94" s="582">
        <f>'6-Ⅰ⑤'!H25</f>
        <v>0</v>
      </c>
      <c r="R94" s="582">
        <f>'6-Ⅰ⑤'!H27</f>
        <v>0</v>
      </c>
    </row>
    <row r="95" spans="10:18" ht="20.25" customHeight="1" x14ac:dyDescent="0.2">
      <c r="J95" s="581" t="s">
        <v>213</v>
      </c>
      <c r="K95" s="582">
        <f>'２-Ⅳ'!B74</f>
        <v>0</v>
      </c>
      <c r="L95" s="582">
        <f>'２-Ⅳ'!F74</f>
        <v>0</v>
      </c>
      <c r="M95" s="582">
        <f>'２-Ⅳ'!G74</f>
        <v>0</v>
      </c>
      <c r="N95" s="576"/>
      <c r="O95" s="583" t="s">
        <v>393</v>
      </c>
      <c r="P95" s="582">
        <f>'6-Ⅰ⑤'!I37</f>
        <v>979</v>
      </c>
      <c r="Q95" s="582">
        <f>'6-Ⅰ⑤'!I25</f>
        <v>2</v>
      </c>
      <c r="R95" s="582">
        <f>'6-Ⅰ⑤'!I27</f>
        <v>40</v>
      </c>
    </row>
    <row r="96" spans="10:18" ht="20.25" customHeight="1" x14ac:dyDescent="0.2">
      <c r="J96" s="581" t="s">
        <v>214</v>
      </c>
      <c r="K96" s="582">
        <f>'２-Ⅳ'!B75</f>
        <v>0</v>
      </c>
      <c r="L96" s="582">
        <f>'２-Ⅳ'!F75</f>
        <v>0</v>
      </c>
      <c r="M96" s="582">
        <f>'２-Ⅳ'!G75</f>
        <v>0</v>
      </c>
      <c r="N96" s="576"/>
      <c r="O96" s="583" t="s">
        <v>262</v>
      </c>
      <c r="P96" s="617">
        <f>'6-Ⅰ⑤'!J37</f>
        <v>7766</v>
      </c>
      <c r="Q96" s="582">
        <f>'6-Ⅰ⑤'!J25</f>
        <v>68</v>
      </c>
      <c r="R96" s="582">
        <f>'6-Ⅰ⑤'!J27</f>
        <v>505</v>
      </c>
    </row>
    <row r="97" spans="10:18" ht="20.25" customHeight="1" x14ac:dyDescent="0.2">
      <c r="J97" s="581" t="s">
        <v>215</v>
      </c>
      <c r="K97" s="582">
        <f>'２-Ⅳ'!B76</f>
        <v>0</v>
      </c>
      <c r="L97" s="582">
        <f>'２-Ⅳ'!F76</f>
        <v>0</v>
      </c>
      <c r="M97" s="582">
        <f>'２-Ⅳ'!G76</f>
        <v>0</v>
      </c>
      <c r="N97" s="576"/>
      <c r="O97" s="576"/>
      <c r="P97" s="576"/>
      <c r="Q97" s="576"/>
      <c r="R97" s="576"/>
    </row>
    <row r="98" spans="10:18" ht="20.25" customHeight="1" x14ac:dyDescent="0.2">
      <c r="J98" s="581" t="s">
        <v>216</v>
      </c>
      <c r="K98" s="582">
        <f>'２-Ⅳ'!B77</f>
        <v>0</v>
      </c>
      <c r="L98" s="582">
        <f>'２-Ⅳ'!F77</f>
        <v>0</v>
      </c>
      <c r="M98" s="582">
        <f>'２-Ⅳ'!G77</f>
        <v>0</v>
      </c>
      <c r="N98" s="576"/>
      <c r="O98" s="576"/>
      <c r="P98" s="576"/>
      <c r="Q98" s="576"/>
      <c r="R98" s="576"/>
    </row>
    <row r="99" spans="10:18" ht="20.25" customHeight="1" x14ac:dyDescent="0.2">
      <c r="J99" s="581" t="s">
        <v>217</v>
      </c>
      <c r="K99" s="582">
        <f>'２-Ⅳ'!B78</f>
        <v>0</v>
      </c>
      <c r="L99" s="582">
        <f>'２-Ⅳ'!F78</f>
        <v>0</v>
      </c>
      <c r="M99" s="582">
        <f>'２-Ⅳ'!G78</f>
        <v>0</v>
      </c>
      <c r="N99" s="576"/>
      <c r="O99" s="576"/>
      <c r="P99" s="576"/>
      <c r="Q99" s="576"/>
      <c r="R99" s="576"/>
    </row>
    <row r="100" spans="10:18" ht="13.5" customHeight="1" x14ac:dyDescent="0.2">
      <c r="J100" s="581" t="s">
        <v>218</v>
      </c>
      <c r="K100" s="582">
        <f>'２-Ⅳ'!B79</f>
        <v>0</v>
      </c>
      <c r="L100" s="582">
        <f>'２-Ⅳ'!F79</f>
        <v>0</v>
      </c>
      <c r="M100" s="582">
        <f>'２-Ⅳ'!G79</f>
        <v>0</v>
      </c>
      <c r="N100" s="576"/>
      <c r="O100" s="576"/>
      <c r="P100" s="576"/>
      <c r="Q100" s="576"/>
      <c r="R100" s="576"/>
    </row>
    <row r="101" spans="10:18" ht="13.5" customHeight="1" x14ac:dyDescent="0.2">
      <c r="J101" s="581" t="s">
        <v>219</v>
      </c>
      <c r="K101" s="582">
        <f>'２-Ⅳ'!B80</f>
        <v>0</v>
      </c>
      <c r="L101" s="582">
        <f>'２-Ⅳ'!F80</f>
        <v>0</v>
      </c>
      <c r="M101" s="582">
        <f>'２-Ⅳ'!G80</f>
        <v>0</v>
      </c>
      <c r="N101" s="576"/>
      <c r="O101" s="576"/>
      <c r="P101" s="576"/>
      <c r="Q101" s="576"/>
      <c r="R101" s="576"/>
    </row>
    <row r="102" spans="10:18" ht="13.5" customHeight="1" x14ac:dyDescent="0.2">
      <c r="J102" s="581" t="s">
        <v>220</v>
      </c>
      <c r="K102" s="582">
        <f>'２-Ⅳ'!B81</f>
        <v>0</v>
      </c>
      <c r="L102" s="582">
        <f>'２-Ⅳ'!F81</f>
        <v>0</v>
      </c>
      <c r="M102" s="582">
        <f>'２-Ⅳ'!G81</f>
        <v>0</v>
      </c>
      <c r="N102" s="576"/>
      <c r="O102" s="576"/>
      <c r="P102" s="576"/>
      <c r="Q102" s="576"/>
      <c r="R102" s="576"/>
    </row>
    <row r="103" spans="10:18" ht="13.5" customHeight="1" x14ac:dyDescent="0.2">
      <c r="J103" s="581" t="s">
        <v>61</v>
      </c>
      <c r="K103" s="582">
        <f>'２-Ⅳ'!B82</f>
        <v>0</v>
      </c>
      <c r="L103" s="582">
        <f>'２-Ⅳ'!F82</f>
        <v>0</v>
      </c>
      <c r="M103" s="582">
        <f>'２-Ⅳ'!G82</f>
        <v>0</v>
      </c>
      <c r="N103" s="576"/>
      <c r="O103" s="576"/>
      <c r="P103" s="576"/>
      <c r="Q103" s="576"/>
      <c r="R103" s="576"/>
    </row>
    <row r="104" spans="10:18" ht="13.5" customHeight="1" x14ac:dyDescent="0.2">
      <c r="J104" s="581" t="s">
        <v>262</v>
      </c>
      <c r="K104" s="582">
        <f>'２-Ⅳ'!B83</f>
        <v>0</v>
      </c>
      <c r="L104" s="582">
        <f>'２-Ⅳ'!F83</f>
        <v>0</v>
      </c>
      <c r="M104" s="582">
        <f>'２-Ⅳ'!G83</f>
        <v>0</v>
      </c>
      <c r="N104" s="576"/>
      <c r="O104" s="576"/>
      <c r="P104" s="576"/>
      <c r="Q104" s="576"/>
      <c r="R104" s="576"/>
    </row>
    <row r="105" spans="10:18" ht="13.5" customHeight="1" x14ac:dyDescent="0.2">
      <c r="J105" s="576"/>
      <c r="K105" s="576"/>
      <c r="L105" s="576"/>
      <c r="M105" s="576"/>
      <c r="N105" s="576"/>
      <c r="O105" s="576"/>
      <c r="P105" s="576"/>
      <c r="Q105" s="576"/>
      <c r="R105" s="576"/>
    </row>
    <row r="106" spans="10:18" ht="13.5" customHeight="1" x14ac:dyDescent="0.2">
      <c r="J106" s="624" t="s">
        <v>641</v>
      </c>
      <c r="K106" s="575" t="s">
        <v>640</v>
      </c>
      <c r="L106" s="613" t="s">
        <v>28</v>
      </c>
      <c r="M106" s="613" t="s">
        <v>29</v>
      </c>
      <c r="N106" s="576"/>
      <c r="O106" s="578" t="s">
        <v>642</v>
      </c>
      <c r="P106" s="578" t="s">
        <v>643</v>
      </c>
      <c r="Q106" s="578" t="s">
        <v>226</v>
      </c>
      <c r="R106" s="576"/>
    </row>
    <row r="107" spans="10:18" ht="13.5" customHeight="1" x14ac:dyDescent="0.2">
      <c r="J107" s="626" t="s">
        <v>407</v>
      </c>
      <c r="K107" s="582">
        <f>'３-Ⅲ'!C5</f>
        <v>1944</v>
      </c>
      <c r="L107" s="582">
        <f>'３-Ⅲ'!H5</f>
        <v>11</v>
      </c>
      <c r="M107" s="582">
        <f>'３-Ⅲ'!I5</f>
        <v>79</v>
      </c>
      <c r="N107" s="576"/>
      <c r="O107" s="626" t="s">
        <v>28</v>
      </c>
      <c r="P107" s="631">
        <f>'３-Ⅳ'!B5</f>
        <v>68</v>
      </c>
      <c r="Q107" s="647">
        <f>'３-Ⅳ'!C5</f>
        <v>8.7561164048416181E-3</v>
      </c>
      <c r="R107" s="576"/>
    </row>
    <row r="108" spans="10:18" ht="13.5" customHeight="1" x14ac:dyDescent="0.2">
      <c r="J108" s="630" t="s">
        <v>408</v>
      </c>
      <c r="K108" s="582">
        <f>'３-Ⅲ'!C6</f>
        <v>988</v>
      </c>
      <c r="L108" s="582">
        <f>'３-Ⅲ'!H6</f>
        <v>5</v>
      </c>
      <c r="M108" s="582">
        <f>'３-Ⅲ'!I6</f>
        <v>24</v>
      </c>
      <c r="N108" s="576"/>
      <c r="O108" s="626" t="s">
        <v>29</v>
      </c>
      <c r="P108" s="631">
        <f>'３-Ⅳ'!B6</f>
        <v>505</v>
      </c>
      <c r="Q108" s="647">
        <f>'３-Ⅳ'!C6</f>
        <v>6.5027040947720841E-2</v>
      </c>
      <c r="R108" s="576"/>
    </row>
    <row r="109" spans="10:18" ht="13.5" customHeight="1" x14ac:dyDescent="0.2">
      <c r="J109" s="630" t="s">
        <v>409</v>
      </c>
      <c r="K109" s="582">
        <f>'３-Ⅲ'!C7</f>
        <v>149</v>
      </c>
      <c r="L109" s="582">
        <f>'３-Ⅲ'!H7</f>
        <v>1</v>
      </c>
      <c r="M109" s="582">
        <f>'３-Ⅲ'!I7</f>
        <v>4</v>
      </c>
      <c r="N109" s="576"/>
      <c r="O109" s="626" t="s">
        <v>30</v>
      </c>
      <c r="P109" s="631">
        <f>'３-Ⅳ'!B7</f>
        <v>1203</v>
      </c>
      <c r="Q109" s="647">
        <f>'３-Ⅳ'!C7</f>
        <v>0.15490600051506567</v>
      </c>
      <c r="R109" s="576"/>
    </row>
    <row r="110" spans="10:18" ht="13.5" customHeight="1" x14ac:dyDescent="0.2">
      <c r="J110" s="649" t="s">
        <v>644</v>
      </c>
      <c r="K110" s="582">
        <f>'３-Ⅲ'!C8</f>
        <v>807</v>
      </c>
      <c r="L110" s="582">
        <f>'３-Ⅲ'!H8</f>
        <v>5</v>
      </c>
      <c r="M110" s="582">
        <f>'３-Ⅲ'!I8</f>
        <v>51</v>
      </c>
      <c r="N110" s="576"/>
      <c r="O110" s="626" t="s">
        <v>31</v>
      </c>
      <c r="P110" s="631">
        <f>'３-Ⅳ'!B8</f>
        <v>3518</v>
      </c>
      <c r="Q110" s="647">
        <f>'３-Ⅳ'!C8</f>
        <v>0.45300025753283546</v>
      </c>
      <c r="R110" s="576"/>
    </row>
    <row r="111" spans="10:18" ht="13.5" customHeight="1" x14ac:dyDescent="0.2">
      <c r="J111" s="626" t="s">
        <v>20</v>
      </c>
      <c r="K111" s="582">
        <f>'３-Ⅲ'!C9</f>
        <v>274</v>
      </c>
      <c r="L111" s="582">
        <f>'３-Ⅲ'!H9</f>
        <v>4</v>
      </c>
      <c r="M111" s="582">
        <f>'３-Ⅲ'!I9</f>
        <v>34</v>
      </c>
      <c r="N111" s="576"/>
      <c r="O111" s="626" t="s">
        <v>32</v>
      </c>
      <c r="P111" s="631">
        <f>'３-Ⅳ'!B9</f>
        <v>2029</v>
      </c>
      <c r="Q111" s="647">
        <f>'３-Ⅳ'!C9</f>
        <v>0.26126706155034768</v>
      </c>
      <c r="R111" s="576"/>
    </row>
    <row r="112" spans="10:18" ht="13.5" customHeight="1" x14ac:dyDescent="0.2">
      <c r="J112" s="626" t="s">
        <v>21</v>
      </c>
      <c r="K112" s="582">
        <f>'３-Ⅲ'!C10</f>
        <v>4616</v>
      </c>
      <c r="L112" s="582">
        <f>'３-Ⅲ'!H10</f>
        <v>44</v>
      </c>
      <c r="M112" s="582">
        <f>'３-Ⅲ'!I10</f>
        <v>287</v>
      </c>
      <c r="N112" s="576"/>
      <c r="O112" s="626" t="s">
        <v>33</v>
      </c>
      <c r="P112" s="631">
        <f>'３-Ⅳ'!B10</f>
        <v>443</v>
      </c>
      <c r="Q112" s="647">
        <f>'３-Ⅳ'!C10</f>
        <v>5.704352304918877E-2</v>
      </c>
      <c r="R112" s="576"/>
    </row>
    <row r="113" spans="10:18" ht="13.5" customHeight="1" x14ac:dyDescent="0.2">
      <c r="J113" s="626" t="s">
        <v>22</v>
      </c>
      <c r="K113" s="582">
        <f>'３-Ⅲ'!C11</f>
        <v>580</v>
      </c>
      <c r="L113" s="582">
        <f>'３-Ⅲ'!H11</f>
        <v>7</v>
      </c>
      <c r="M113" s="582">
        <f>'３-Ⅲ'!I11</f>
        <v>71</v>
      </c>
      <c r="N113" s="576"/>
      <c r="O113" s="648" t="s">
        <v>262</v>
      </c>
      <c r="P113" s="631">
        <f>'３-Ⅳ'!B11</f>
        <v>7766</v>
      </c>
      <c r="Q113" s="647">
        <f>'３-Ⅳ'!C11</f>
        <v>1</v>
      </c>
      <c r="R113" s="576"/>
    </row>
    <row r="114" spans="10:18" ht="13.5" customHeight="1" x14ac:dyDescent="0.2">
      <c r="J114" s="626" t="s">
        <v>253</v>
      </c>
      <c r="K114" s="582">
        <f>'３-Ⅲ'!C12</f>
        <v>72</v>
      </c>
      <c r="L114" s="582">
        <f>'３-Ⅲ'!H12</f>
        <v>1</v>
      </c>
      <c r="M114" s="582">
        <f>'３-Ⅲ'!I12</f>
        <v>11</v>
      </c>
      <c r="N114" s="576"/>
      <c r="O114" s="576"/>
      <c r="P114" s="576"/>
      <c r="Q114" s="576"/>
      <c r="R114" s="576"/>
    </row>
    <row r="115" spans="10:18" ht="13.5" customHeight="1" x14ac:dyDescent="0.2">
      <c r="J115" s="626" t="s">
        <v>254</v>
      </c>
      <c r="K115" s="582">
        <f>'３-Ⅲ'!C13</f>
        <v>4</v>
      </c>
      <c r="L115" s="582">
        <f>'３-Ⅲ'!H13</f>
        <v>0</v>
      </c>
      <c r="M115" s="582">
        <f>'３-Ⅲ'!I13</f>
        <v>1</v>
      </c>
      <c r="N115" s="576"/>
      <c r="O115" s="576"/>
      <c r="P115" s="576"/>
      <c r="Q115" s="576"/>
      <c r="R115" s="576"/>
    </row>
    <row r="116" spans="10:18" ht="13.5" customHeight="1" x14ac:dyDescent="0.2">
      <c r="J116" s="626" t="s">
        <v>259</v>
      </c>
      <c r="K116" s="582">
        <f>'３-Ⅲ'!C14</f>
        <v>11</v>
      </c>
      <c r="L116" s="582">
        <f>'３-Ⅲ'!H14</f>
        <v>0</v>
      </c>
      <c r="M116" s="582">
        <f>'３-Ⅲ'!I14</f>
        <v>2</v>
      </c>
      <c r="N116" s="576"/>
      <c r="O116" s="576"/>
      <c r="P116" s="576"/>
      <c r="Q116" s="576"/>
      <c r="R116" s="576"/>
    </row>
    <row r="117" spans="10:18" ht="13.5" customHeight="1" x14ac:dyDescent="0.2">
      <c r="J117" s="626" t="s">
        <v>637</v>
      </c>
      <c r="K117" s="582">
        <f>'３-Ⅲ'!C15</f>
        <v>149</v>
      </c>
      <c r="L117" s="582">
        <f>'３-Ⅲ'!H15</f>
        <v>0</v>
      </c>
      <c r="M117" s="582">
        <f>'３-Ⅲ'!I15</f>
        <v>10</v>
      </c>
      <c r="N117" s="576"/>
      <c r="O117" s="576"/>
      <c r="P117" s="576"/>
      <c r="Q117" s="576"/>
      <c r="R117" s="576"/>
    </row>
    <row r="118" spans="10:18" ht="13.5" customHeight="1" x14ac:dyDescent="0.2">
      <c r="J118" s="626" t="s">
        <v>23</v>
      </c>
      <c r="K118" s="582">
        <f>'３-Ⅲ'!C16</f>
        <v>39</v>
      </c>
      <c r="L118" s="582">
        <f>'３-Ⅲ'!H16</f>
        <v>0</v>
      </c>
      <c r="M118" s="582">
        <f>'３-Ⅲ'!I16</f>
        <v>2</v>
      </c>
      <c r="N118" s="576"/>
      <c r="O118" s="576"/>
      <c r="P118" s="576"/>
      <c r="Q118" s="576"/>
      <c r="R118" s="576"/>
    </row>
    <row r="119" spans="10:18" ht="13.5" customHeight="1" x14ac:dyDescent="0.2">
      <c r="J119" s="626" t="s">
        <v>260</v>
      </c>
      <c r="K119" s="582">
        <f>'３-Ⅲ'!C17</f>
        <v>12</v>
      </c>
      <c r="L119" s="582">
        <f>'３-Ⅲ'!H17</f>
        <v>1</v>
      </c>
      <c r="M119" s="582">
        <f>'３-Ⅲ'!I17</f>
        <v>3</v>
      </c>
      <c r="N119" s="576"/>
      <c r="O119" s="576"/>
      <c r="P119" s="576"/>
      <c r="Q119" s="576"/>
      <c r="R119" s="576"/>
    </row>
    <row r="120" spans="10:18" ht="13.5" customHeight="1" x14ac:dyDescent="0.2">
      <c r="J120" s="626" t="s">
        <v>67</v>
      </c>
      <c r="K120" s="582">
        <f>'３-Ⅲ'!C18</f>
        <v>27</v>
      </c>
      <c r="L120" s="582">
        <f>'３-Ⅲ'!H18</f>
        <v>0</v>
      </c>
      <c r="M120" s="582">
        <f>'３-Ⅲ'!I18</f>
        <v>1</v>
      </c>
      <c r="N120" s="576"/>
      <c r="O120" s="576"/>
      <c r="P120" s="576"/>
      <c r="Q120" s="576"/>
      <c r="R120" s="576"/>
    </row>
    <row r="121" spans="10:18" ht="13.5" customHeight="1" x14ac:dyDescent="0.2">
      <c r="J121" s="626" t="s">
        <v>18</v>
      </c>
      <c r="K121" s="582">
        <f>'３-Ⅲ'!C19</f>
        <v>38</v>
      </c>
      <c r="L121" s="582">
        <f>'３-Ⅲ'!H19</f>
        <v>0</v>
      </c>
      <c r="M121" s="582">
        <f>'３-Ⅲ'!I19</f>
        <v>4</v>
      </c>
      <c r="N121" s="576"/>
      <c r="O121" s="576"/>
      <c r="P121" s="576"/>
      <c r="Q121" s="576"/>
      <c r="R121" s="576"/>
    </row>
    <row r="122" spans="10:18" ht="13.5" customHeight="1" x14ac:dyDescent="0.2">
      <c r="J122" s="583" t="s">
        <v>375</v>
      </c>
      <c r="K122" s="582">
        <f>'３-Ⅲ'!C20</f>
        <v>0</v>
      </c>
      <c r="L122" s="582">
        <f>'３-Ⅲ'!H20</f>
        <v>0</v>
      </c>
      <c r="M122" s="582">
        <f>'３-Ⅲ'!I20</f>
        <v>0</v>
      </c>
      <c r="N122" s="576"/>
      <c r="O122" s="576"/>
      <c r="P122" s="576"/>
      <c r="Q122" s="576"/>
      <c r="R122" s="576"/>
    </row>
    <row r="123" spans="10:18" ht="13.5" customHeight="1" x14ac:dyDescent="0.2">
      <c r="J123" s="583" t="s">
        <v>262</v>
      </c>
      <c r="K123" s="582">
        <f>'３-Ⅲ'!C21</f>
        <v>7766</v>
      </c>
      <c r="L123" s="582">
        <f>'３-Ⅲ'!H21</f>
        <v>68</v>
      </c>
      <c r="M123" s="582">
        <f>'３-Ⅲ'!I21</f>
        <v>505</v>
      </c>
    </row>
  </sheetData>
  <mergeCells count="47">
    <mergeCell ref="E70:F70"/>
    <mergeCell ref="E71:F71"/>
    <mergeCell ref="E36:F36"/>
    <mergeCell ref="E72:F72"/>
    <mergeCell ref="E73:F73"/>
    <mergeCell ref="E64:F64"/>
    <mergeCell ref="E65:F65"/>
    <mergeCell ref="E66:F66"/>
    <mergeCell ref="E67:F67"/>
    <mergeCell ref="E68:F68"/>
    <mergeCell ref="E69:F69"/>
    <mergeCell ref="E49:F49"/>
    <mergeCell ref="E56:F56"/>
    <mergeCell ref="E57:F57"/>
    <mergeCell ref="E61:F61"/>
    <mergeCell ref="E62:F62"/>
    <mergeCell ref="E63:F63"/>
    <mergeCell ref="E43:F43"/>
    <mergeCell ref="E44:F44"/>
    <mergeCell ref="E45:F45"/>
    <mergeCell ref="E46:F46"/>
    <mergeCell ref="E47:F47"/>
    <mergeCell ref="E48:F48"/>
    <mergeCell ref="E42:F42"/>
    <mergeCell ref="E26:F26"/>
    <mergeCell ref="E27:F27"/>
    <mergeCell ref="E28:F28"/>
    <mergeCell ref="E29:F29"/>
    <mergeCell ref="E30:F30"/>
    <mergeCell ref="E31:F31"/>
    <mergeCell ref="E32:F32"/>
    <mergeCell ref="E33:F33"/>
    <mergeCell ref="E34:F34"/>
    <mergeCell ref="E35:F35"/>
    <mergeCell ref="E41:F41"/>
    <mergeCell ref="E25:F25"/>
    <mergeCell ref="E3:F3"/>
    <mergeCell ref="E4:F4"/>
    <mergeCell ref="E5:F5"/>
    <mergeCell ref="E6:F6"/>
    <mergeCell ref="E7:F7"/>
    <mergeCell ref="E8:F8"/>
    <mergeCell ref="E9:F9"/>
    <mergeCell ref="E10:F10"/>
    <mergeCell ref="E11:F11"/>
    <mergeCell ref="E20:F20"/>
    <mergeCell ref="E21:F21"/>
  </mergeCells>
  <phoneticPr fontId="2"/>
  <pageMargins left="0.44507575757575757" right="0.32196969696969696" top="0.60606060606060608" bottom="0.51136363636363635" header="0.3" footer="0.3"/>
  <pageSetup paperSize="9" scale="89" fitToHeight="0" orientation="portrait" r:id="rId1"/>
  <headerFooter>
    <oddHeader>&amp;C&amp;"游ゴシック,太字"&amp;14R6年度　大阪府の在院患者の状況&amp;R&amp;"游ゴシック,標準"&amp;10R6.6.30時点</oddHeader>
    <oddFooter>&amp;R&amp;"メイリオ,レギュラー"&amp;10&amp;F</oddFooter>
  </headerFooter>
  <rowBreaks count="1" manualBreakCount="1">
    <brk id="37" max="7" man="1"/>
  </rowBreaks>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5">
    <tabColor theme="7" tint="-0.249977111117893"/>
  </sheetPr>
  <dimension ref="L4:R51"/>
  <sheetViews>
    <sheetView view="pageBreakPreview" zoomScale="90" zoomScaleNormal="100" zoomScaleSheetLayoutView="90" zoomScalePageLayoutView="110" workbookViewId="0"/>
  </sheetViews>
  <sheetFormatPr defaultRowHeight="13.5" customHeight="1" x14ac:dyDescent="0.2"/>
  <cols>
    <col min="10" max="10" width="6.44140625" customWidth="1"/>
    <col min="11" max="11" width="7.21875" customWidth="1"/>
    <col min="12" max="12" width="8.88671875" hidden="1" customWidth="1"/>
    <col min="13" max="13" width="18.21875" hidden="1" customWidth="1"/>
    <col min="14" max="14" width="9.44140625" hidden="1" customWidth="1"/>
    <col min="15" max="17" width="9.109375" hidden="1" customWidth="1"/>
    <col min="18" max="18" width="8.88671875" hidden="1" customWidth="1"/>
  </cols>
  <sheetData>
    <row r="4" spans="13:18" ht="13.5" customHeight="1" x14ac:dyDescent="0.2">
      <c r="M4" s="320"/>
      <c r="N4" s="320" t="s">
        <v>349</v>
      </c>
      <c r="O4" s="320" t="s">
        <v>114</v>
      </c>
      <c r="P4" s="320" t="s">
        <v>116</v>
      </c>
      <c r="Q4" s="320" t="s">
        <v>12</v>
      </c>
      <c r="R4" s="321"/>
    </row>
    <row r="5" spans="13:18" ht="13.5" customHeight="1" x14ac:dyDescent="0.2">
      <c r="M5" s="322" t="s">
        <v>2</v>
      </c>
      <c r="N5" s="351">
        <f>IFERROR(VLOOKUP($M5,年齢区分[#All],2,FALSE),0)</f>
        <v>166</v>
      </c>
      <c r="O5" s="351">
        <f>IFERROR(VLOOKUP($M5,年齢区分＿寛解[#All],2,FALSE),0)</f>
        <v>7</v>
      </c>
      <c r="P5" s="351">
        <f>IFERROR(VLOOKUP($M5,年齢区分＿院内寛解[#All],2,FALSE),0)</f>
        <v>23</v>
      </c>
      <c r="Q5" s="352">
        <f>SUM(O5:P5)</f>
        <v>30</v>
      </c>
      <c r="R5" s="321"/>
    </row>
    <row r="6" spans="13:18" ht="13.5" customHeight="1" x14ac:dyDescent="0.2">
      <c r="M6" s="322" t="s">
        <v>3</v>
      </c>
      <c r="N6" s="351">
        <f>IFERROR(VLOOKUP($M6,年齢区分[#All],2,FALSE),0)</f>
        <v>342</v>
      </c>
      <c r="O6" s="351">
        <f>IFERROR(VLOOKUP($M6,年齢区分＿寛解[#All],2,FALSE),0)</f>
        <v>24</v>
      </c>
      <c r="P6" s="351">
        <f>IFERROR(VLOOKUP($M6,年齢区分＿院内寛解[#All],2,FALSE),0)</f>
        <v>73</v>
      </c>
      <c r="Q6" s="352">
        <f t="shared" ref="Q6:Q13" si="0">SUM(O6:P6)</f>
        <v>97</v>
      </c>
      <c r="R6" s="321"/>
    </row>
    <row r="7" spans="13:18" ht="13.5" customHeight="1" x14ac:dyDescent="0.2">
      <c r="M7" s="322" t="s">
        <v>4</v>
      </c>
      <c r="N7" s="351">
        <f>IFERROR(VLOOKUP($M7,年齢区分[#All],2,FALSE),0)</f>
        <v>512</v>
      </c>
      <c r="O7" s="351">
        <f>IFERROR(VLOOKUP($M7,年齢区分＿寛解[#All],2,FALSE),0)</f>
        <v>29</v>
      </c>
      <c r="P7" s="351">
        <f>IFERROR(VLOOKUP($M7,年齢区分＿院内寛解[#All],2,FALSE),0)</f>
        <v>93</v>
      </c>
      <c r="Q7" s="352">
        <f t="shared" si="0"/>
        <v>122</v>
      </c>
      <c r="R7" s="321"/>
    </row>
    <row r="8" spans="13:18" ht="13.5" customHeight="1" x14ac:dyDescent="0.2">
      <c r="M8" s="322" t="s">
        <v>5</v>
      </c>
      <c r="N8" s="351">
        <f>IFERROR(VLOOKUP($M8,年齢区分[#All],2,FALSE),0)</f>
        <v>1052</v>
      </c>
      <c r="O8" s="351">
        <f>IFERROR(VLOOKUP($M8,年齢区分＿寛解[#All],2,FALSE),0)</f>
        <v>55</v>
      </c>
      <c r="P8" s="351">
        <f>IFERROR(VLOOKUP($M8,年齢区分＿院内寛解[#All],2,FALSE),0)</f>
        <v>148</v>
      </c>
      <c r="Q8" s="352">
        <f t="shared" si="0"/>
        <v>203</v>
      </c>
      <c r="R8" s="321"/>
    </row>
    <row r="9" spans="13:18" ht="13.5" customHeight="1" x14ac:dyDescent="0.2">
      <c r="M9" s="322" t="s">
        <v>6</v>
      </c>
      <c r="N9" s="351">
        <f>IFERROR(VLOOKUP($M9,年齢区分[#All],2,FALSE),0)</f>
        <v>2378</v>
      </c>
      <c r="O9" s="351">
        <f>IFERROR(VLOOKUP($M9,年齢区分＿寛解[#All],2,FALSE),0)</f>
        <v>81</v>
      </c>
      <c r="P9" s="351">
        <f>IFERROR(VLOOKUP($M9,年齢区分＿院内寛解[#All],2,FALSE),0)</f>
        <v>279</v>
      </c>
      <c r="Q9" s="352">
        <f t="shared" si="0"/>
        <v>360</v>
      </c>
      <c r="R9" s="321"/>
    </row>
    <row r="10" spans="13:18" ht="13.5" customHeight="1" x14ac:dyDescent="0.2">
      <c r="M10" s="322" t="s">
        <v>7</v>
      </c>
      <c r="N10" s="351">
        <f>IFERROR(VLOOKUP($M10,年齢区分[#All],2,FALSE),0)</f>
        <v>2348</v>
      </c>
      <c r="O10" s="351">
        <f>IFERROR(VLOOKUP($M10,年齢区分＿寛解[#All],2,FALSE),0)</f>
        <v>73</v>
      </c>
      <c r="P10" s="351">
        <f>IFERROR(VLOOKUP($M10,年齢区分＿院内寛解[#All],2,FALSE),0)</f>
        <v>251</v>
      </c>
      <c r="Q10" s="352">
        <f t="shared" si="0"/>
        <v>324</v>
      </c>
      <c r="R10" s="321"/>
    </row>
    <row r="11" spans="13:18" ht="13.5" customHeight="1" x14ac:dyDescent="0.2">
      <c r="M11" s="322" t="s">
        <v>8</v>
      </c>
      <c r="N11" s="351">
        <f>IFERROR(VLOOKUP($M11,年齢区分[#All],2,FALSE),0)</f>
        <v>3361</v>
      </c>
      <c r="O11" s="351">
        <f>IFERROR(VLOOKUP($M11,年齢区分＿寛解[#All],2,FALSE),0)</f>
        <v>71</v>
      </c>
      <c r="P11" s="351">
        <f>IFERROR(VLOOKUP($M11,年齢区分＿院内寛解[#All],2,FALSE),0)</f>
        <v>279</v>
      </c>
      <c r="Q11" s="352">
        <f t="shared" si="0"/>
        <v>350</v>
      </c>
      <c r="R11" s="321"/>
    </row>
    <row r="12" spans="13:18" ht="13.5" customHeight="1" x14ac:dyDescent="0.2">
      <c r="M12" s="322" t="s">
        <v>9</v>
      </c>
      <c r="N12" s="351">
        <f>IFERROR(VLOOKUP($M12,年齢区分[#All],2,FALSE),0)</f>
        <v>3230</v>
      </c>
      <c r="O12" s="351">
        <f>IFERROR(VLOOKUP($M12,年齢区分＿寛解[#All],2,FALSE),0)</f>
        <v>53</v>
      </c>
      <c r="P12" s="351">
        <f>IFERROR(VLOOKUP($M12,年齢区分＿院内寛解[#All],2,FALSE),0)</f>
        <v>218</v>
      </c>
      <c r="Q12" s="352">
        <f t="shared" si="0"/>
        <v>271</v>
      </c>
      <c r="R12" s="321"/>
    </row>
    <row r="13" spans="13:18" ht="13.5" customHeight="1" x14ac:dyDescent="0.2">
      <c r="M13" s="322" t="s">
        <v>10</v>
      </c>
      <c r="N13" s="351">
        <f>IFERROR(VLOOKUP($M13,年齢区分[#All],2,FALSE),0)</f>
        <v>770</v>
      </c>
      <c r="O13" s="351">
        <f>IFERROR(VLOOKUP($M13,年齢区分＿寛解[#All],2,FALSE),0)</f>
        <v>5</v>
      </c>
      <c r="P13" s="351">
        <f>IFERROR(VLOOKUP($M13,年齢区分＿院内寛解[#All],2,FALSE),0)</f>
        <v>40</v>
      </c>
      <c r="Q13" s="352">
        <f t="shared" si="0"/>
        <v>45</v>
      </c>
      <c r="R13" s="321"/>
    </row>
    <row r="14" spans="13:18" ht="13.5" customHeight="1" x14ac:dyDescent="0.2">
      <c r="M14" s="890" t="s">
        <v>375</v>
      </c>
      <c r="N14" s="351">
        <f>IFERROR(VLOOKUP($M14,年齢区分[#All],2,FALSE),0)</f>
        <v>1</v>
      </c>
      <c r="O14" s="351">
        <f>IFERROR(VLOOKUP($M14,年齢区分＿寛解[#All],2,FALSE),0)</f>
        <v>0</v>
      </c>
      <c r="P14" s="351">
        <f>IFERROR(VLOOKUP($M14,年齢区分＿院内寛解[#All],2,FALSE),0)</f>
        <v>0</v>
      </c>
      <c r="Q14" s="351">
        <f>IFERROR(VLOOKUP($M14,年齢区分[#All],2,FALSE),0)</f>
        <v>1</v>
      </c>
      <c r="R14" s="321"/>
    </row>
    <row r="15" spans="13:18" ht="13.5" customHeight="1" x14ac:dyDescent="0.2">
      <c r="M15" s="321"/>
      <c r="N15" s="321"/>
      <c r="O15" s="321"/>
      <c r="P15" s="321"/>
      <c r="Q15" s="321"/>
      <c r="R15" s="321"/>
    </row>
    <row r="16" spans="13:18" ht="13.5" customHeight="1" x14ac:dyDescent="0.2">
      <c r="M16" s="321"/>
      <c r="N16" s="321"/>
      <c r="O16" s="321"/>
      <c r="P16" s="321"/>
      <c r="Q16" s="321"/>
      <c r="R16" s="321"/>
    </row>
    <row r="17" spans="13:18" ht="13.5" customHeight="1" x14ac:dyDescent="0.2">
      <c r="M17" s="321"/>
      <c r="N17" s="321"/>
      <c r="O17" s="321"/>
      <c r="P17" s="321"/>
      <c r="Q17" s="321"/>
      <c r="R17" s="321"/>
    </row>
    <row r="18" spans="13:18" ht="13.5" customHeight="1" x14ac:dyDescent="0.2">
      <c r="M18" s="321"/>
      <c r="N18" s="321"/>
      <c r="O18" s="321"/>
      <c r="P18" s="321"/>
      <c r="Q18" s="321"/>
      <c r="R18" s="321"/>
    </row>
    <row r="19" spans="13:18" ht="13.5" customHeight="1" x14ac:dyDescent="0.2">
      <c r="M19" s="321"/>
      <c r="N19" s="321"/>
      <c r="O19" s="321"/>
      <c r="P19" s="321"/>
      <c r="Q19" s="321"/>
      <c r="R19" s="321"/>
    </row>
    <row r="20" spans="13:18" ht="13.5" customHeight="1" x14ac:dyDescent="0.2">
      <c r="M20" s="321"/>
      <c r="N20" s="321"/>
      <c r="O20" s="321"/>
      <c r="P20" s="321"/>
      <c r="Q20" s="321"/>
      <c r="R20" s="321"/>
    </row>
    <row r="21" spans="13:18" ht="13.5" customHeight="1" x14ac:dyDescent="0.2">
      <c r="M21" s="321"/>
      <c r="N21" s="321"/>
      <c r="O21" s="321"/>
      <c r="P21" s="321"/>
      <c r="Q21" s="321"/>
      <c r="R21" s="321"/>
    </row>
    <row r="22" spans="13:18" ht="13.5" customHeight="1" x14ac:dyDescent="0.2">
      <c r="M22" s="321"/>
      <c r="N22" s="321"/>
      <c r="O22" s="321"/>
      <c r="P22" s="321"/>
      <c r="Q22" s="321"/>
      <c r="R22" s="321"/>
    </row>
    <row r="23" spans="13:18" ht="13.5" customHeight="1" x14ac:dyDescent="0.2">
      <c r="M23" s="321"/>
      <c r="N23" s="321"/>
      <c r="O23" s="321"/>
      <c r="P23" s="321"/>
      <c r="Q23" s="321"/>
      <c r="R23" s="321"/>
    </row>
    <row r="24" spans="13:18" ht="13.5" customHeight="1" x14ac:dyDescent="0.2">
      <c r="M24" s="323"/>
      <c r="N24" s="324" t="s">
        <v>349</v>
      </c>
      <c r="O24" s="324" t="s">
        <v>114</v>
      </c>
      <c r="P24" s="324" t="s">
        <v>116</v>
      </c>
      <c r="Q24" s="324" t="s">
        <v>351</v>
      </c>
      <c r="R24" s="321"/>
    </row>
    <row r="25" spans="13:18" ht="13.5" customHeight="1" x14ac:dyDescent="0.2">
      <c r="M25" s="322" t="s">
        <v>2</v>
      </c>
      <c r="N25" s="353">
        <f>IFERROR(VLOOKUP($M25,年齢区分＿1年以上[#All],2,FALSE),0)</f>
        <v>3</v>
      </c>
      <c r="O25" s="353">
        <f>IFERROR(VLOOKUP($M25,年齢区分＿1年以上＿寛解[#All],2,FALSE),0)</f>
        <v>0</v>
      </c>
      <c r="P25" s="353">
        <f>IFERROR(VLOOKUP($M25,年齢区分＿1年以上＿院内寛解[#All],2,FALSE),0)</f>
        <v>0</v>
      </c>
      <c r="Q25" s="352">
        <f>SUM(O25:P25)</f>
        <v>0</v>
      </c>
      <c r="R25" s="321"/>
    </row>
    <row r="26" spans="13:18" ht="13.5" customHeight="1" x14ac:dyDescent="0.2">
      <c r="M26" s="322" t="s">
        <v>3</v>
      </c>
      <c r="N26" s="353">
        <f>IFERROR(VLOOKUP($M26,年齢区分＿1年以上[#All],2,FALSE),0)</f>
        <v>43</v>
      </c>
      <c r="O26" s="353">
        <f>IFERROR(VLOOKUP($M26,年齢区分＿1年以上＿寛解[#All],2,FALSE),0)</f>
        <v>0</v>
      </c>
      <c r="P26" s="353">
        <f>IFERROR(VLOOKUP($M26,年齢区分＿1年以上＿院内寛解[#All],2,FALSE),0)</f>
        <v>5</v>
      </c>
      <c r="Q26" s="352">
        <f t="shared" ref="Q26:Q33" si="1">SUM(O26:P26)</f>
        <v>5</v>
      </c>
      <c r="R26" s="321"/>
    </row>
    <row r="27" spans="13:18" ht="13.5" customHeight="1" x14ac:dyDescent="0.2">
      <c r="M27" s="322" t="s">
        <v>4</v>
      </c>
      <c r="N27" s="353">
        <f>IFERROR(VLOOKUP($M27,年齢区分＿1年以上[#All],2,FALSE),0)</f>
        <v>179</v>
      </c>
      <c r="O27" s="353">
        <f>IFERROR(VLOOKUP($M27,年齢区分＿1年以上＿寛解[#All],2,FALSE),0)</f>
        <v>3</v>
      </c>
      <c r="P27" s="353">
        <f>IFERROR(VLOOKUP($M27,年齢区分＿1年以上＿院内寛解[#All],2,FALSE),0)</f>
        <v>24</v>
      </c>
      <c r="Q27" s="352">
        <f t="shared" si="1"/>
        <v>27</v>
      </c>
      <c r="R27" s="321"/>
    </row>
    <row r="28" spans="13:18" ht="13.5" customHeight="1" x14ac:dyDescent="0.2">
      <c r="M28" s="322" t="s">
        <v>5</v>
      </c>
      <c r="N28" s="353">
        <f>IFERROR(VLOOKUP($M28,年齢区分＿1年以上[#All],2,FALSE),0)</f>
        <v>486</v>
      </c>
      <c r="O28" s="353">
        <f>IFERROR(VLOOKUP($M28,年齢区分＿1年以上＿寛解[#All],2,FALSE),0)</f>
        <v>6</v>
      </c>
      <c r="P28" s="353">
        <f>IFERROR(VLOOKUP($M28,年齢区分＿1年以上＿院内寛解[#All],2,FALSE),0)</f>
        <v>34</v>
      </c>
      <c r="Q28" s="352">
        <f t="shared" si="1"/>
        <v>40</v>
      </c>
      <c r="R28" s="321"/>
    </row>
    <row r="29" spans="13:18" ht="13.5" customHeight="1" x14ac:dyDescent="0.2">
      <c r="M29" s="322" t="s">
        <v>6</v>
      </c>
      <c r="N29" s="353">
        <f>IFERROR(VLOOKUP($M29,年齢区分＿1年以上[#All],2,FALSE),0)</f>
        <v>1375</v>
      </c>
      <c r="O29" s="353">
        <f>IFERROR(VLOOKUP($M29,年齢区分＿1年以上＿寛解[#All],2,FALSE),0)</f>
        <v>12</v>
      </c>
      <c r="P29" s="353">
        <f>IFERROR(VLOOKUP($M29,年齢区分＿1年以上＿院内寛解[#All],2,FALSE),0)</f>
        <v>80</v>
      </c>
      <c r="Q29" s="352">
        <f t="shared" si="1"/>
        <v>92</v>
      </c>
      <c r="R29" s="321"/>
    </row>
    <row r="30" spans="13:18" ht="13.5" customHeight="1" x14ac:dyDescent="0.2">
      <c r="M30" s="322" t="s">
        <v>7</v>
      </c>
      <c r="N30" s="353">
        <f>IFERROR(VLOOKUP($M30,年齢区分＿1年以上[#All],2,FALSE),0)</f>
        <v>1488</v>
      </c>
      <c r="O30" s="353">
        <f>IFERROR(VLOOKUP($M30,年齢区分＿1年以上＿寛解[#All],2,FALSE),0)</f>
        <v>10</v>
      </c>
      <c r="P30" s="353">
        <f>IFERROR(VLOOKUP($M30,年齢区分＿1年以上＿院内寛解[#All],2,FALSE),0)</f>
        <v>115</v>
      </c>
      <c r="Q30" s="352">
        <f t="shared" si="1"/>
        <v>125</v>
      </c>
      <c r="R30" s="321"/>
    </row>
    <row r="31" spans="13:18" ht="13.5" customHeight="1" x14ac:dyDescent="0.2">
      <c r="M31" s="322" t="s">
        <v>8</v>
      </c>
      <c r="N31" s="353">
        <f>IFERROR(VLOOKUP($M31,年齢区分＿1年以上[#All],2,FALSE),0)</f>
        <v>2029</v>
      </c>
      <c r="O31" s="353">
        <f>IFERROR(VLOOKUP($M31,年齢区分＿1年以上＿寛解[#All],2,FALSE),0)</f>
        <v>22</v>
      </c>
      <c r="P31" s="353">
        <f>IFERROR(VLOOKUP($M31,年齢区分＿1年以上＿院内寛解[#All],2,FALSE),0)</f>
        <v>143</v>
      </c>
      <c r="Q31" s="352">
        <f t="shared" si="1"/>
        <v>165</v>
      </c>
      <c r="R31" s="321"/>
    </row>
    <row r="32" spans="13:18" ht="13.5" customHeight="1" x14ac:dyDescent="0.2">
      <c r="M32" s="322" t="s">
        <v>9</v>
      </c>
      <c r="N32" s="353">
        <f>IFERROR(VLOOKUP($M32,年齢区分＿1年以上[#All],2,FALSE),0)</f>
        <v>1709</v>
      </c>
      <c r="O32" s="353">
        <f>IFERROR(VLOOKUP($M32,年齢区分＿1年以上＿寛解[#All],2,FALSE),0)</f>
        <v>14</v>
      </c>
      <c r="P32" s="353">
        <f>IFERROR(VLOOKUP($M32,年齢区分＿1年以上＿院内寛解[#All],2,FALSE),0)</f>
        <v>92</v>
      </c>
      <c r="Q32" s="352">
        <f t="shared" si="1"/>
        <v>106</v>
      </c>
      <c r="R32" s="321"/>
    </row>
    <row r="33" spans="13:18" ht="13.5" customHeight="1" x14ac:dyDescent="0.2">
      <c r="M33" s="322" t="s">
        <v>10</v>
      </c>
      <c r="N33" s="353">
        <f>IFERROR(VLOOKUP($M33,年齢区分＿1年以上[#All],2,FALSE),0)</f>
        <v>454</v>
      </c>
      <c r="O33" s="353">
        <f>IFERROR(VLOOKUP($M33,年齢区分＿1年以上＿寛解[#All],2,FALSE),0)</f>
        <v>1</v>
      </c>
      <c r="P33" s="353">
        <f>IFERROR(VLOOKUP($M33,年齢区分＿1年以上＿院内寛解[#All],2,FALSE),0)</f>
        <v>12</v>
      </c>
      <c r="Q33" s="352">
        <f t="shared" si="1"/>
        <v>13</v>
      </c>
      <c r="R33" s="321"/>
    </row>
    <row r="34" spans="13:18" ht="13.5" customHeight="1" x14ac:dyDescent="0.2">
      <c r="M34" s="321"/>
      <c r="N34" s="321"/>
      <c r="O34" s="321"/>
      <c r="P34" s="321"/>
      <c r="Q34" s="321"/>
      <c r="R34" s="321"/>
    </row>
    <row r="35" spans="13:18" ht="13.5" customHeight="1" x14ac:dyDescent="0.2">
      <c r="M35" s="321"/>
      <c r="N35" s="321"/>
      <c r="O35" s="321"/>
      <c r="P35" s="321"/>
      <c r="Q35" s="321"/>
      <c r="R35" s="321"/>
    </row>
    <row r="36" spans="13:18" ht="13.5" customHeight="1" x14ac:dyDescent="0.2">
      <c r="M36" s="321"/>
      <c r="N36" s="321"/>
      <c r="O36" s="321"/>
      <c r="P36" s="321"/>
      <c r="Q36" s="321"/>
      <c r="R36" s="321"/>
    </row>
    <row r="37" spans="13:18" ht="13.5" customHeight="1" x14ac:dyDescent="0.2">
      <c r="M37" s="321"/>
      <c r="N37" s="321"/>
      <c r="O37" s="321"/>
      <c r="P37" s="321"/>
      <c r="Q37" s="321"/>
      <c r="R37" s="321"/>
    </row>
    <row r="38" spans="13:18" ht="13.5" customHeight="1" x14ac:dyDescent="0.2">
      <c r="M38" s="321"/>
      <c r="N38" s="321"/>
      <c r="O38" s="321"/>
      <c r="P38" s="321"/>
      <c r="Q38" s="321"/>
      <c r="R38" s="321"/>
    </row>
    <row r="39" spans="13:18" ht="13.5" customHeight="1" x14ac:dyDescent="0.2">
      <c r="M39" s="321"/>
      <c r="N39" s="321"/>
      <c r="O39" s="321"/>
      <c r="P39" s="321"/>
      <c r="Q39" s="321"/>
      <c r="R39" s="321"/>
    </row>
    <row r="40" spans="13:18" ht="13.5" customHeight="1" x14ac:dyDescent="0.2">
      <c r="M40" s="321"/>
      <c r="N40" s="321"/>
      <c r="O40" s="321"/>
      <c r="P40" s="321"/>
      <c r="Q40" s="321"/>
      <c r="R40" s="321"/>
    </row>
    <row r="41" spans="13:18" ht="13.5" customHeight="1" x14ac:dyDescent="0.2">
      <c r="M41" s="321"/>
      <c r="N41" s="321"/>
      <c r="O41" s="321"/>
      <c r="P41" s="321"/>
      <c r="Q41" s="321"/>
      <c r="R41" s="321"/>
    </row>
    <row r="42" spans="13:18" ht="13.5" customHeight="1" x14ac:dyDescent="0.2">
      <c r="M42" s="321"/>
      <c r="N42" s="321"/>
      <c r="O42" s="321"/>
      <c r="P42" s="321"/>
      <c r="Q42" s="321"/>
      <c r="R42" s="321"/>
    </row>
    <row r="43" spans="13:18" ht="13.5" customHeight="1" x14ac:dyDescent="0.2">
      <c r="M43" s="321"/>
      <c r="N43" s="321"/>
      <c r="O43" s="321"/>
      <c r="P43" s="321"/>
      <c r="Q43" s="321"/>
      <c r="R43" s="321"/>
    </row>
    <row r="44" spans="13:18" ht="13.5" customHeight="1" x14ac:dyDescent="0.2">
      <c r="M44" s="321"/>
      <c r="N44" s="321"/>
      <c r="O44" s="321"/>
      <c r="P44" s="321"/>
      <c r="Q44" s="321"/>
      <c r="R44" s="321"/>
    </row>
    <row r="45" spans="13:18" ht="13.5" customHeight="1" x14ac:dyDescent="0.2">
      <c r="M45" s="326"/>
      <c r="N45" s="327" t="s">
        <v>349</v>
      </c>
      <c r="O45" s="327" t="s">
        <v>350</v>
      </c>
      <c r="P45" s="321"/>
      <c r="Q45" s="321"/>
      <c r="R45" s="321"/>
    </row>
    <row r="46" spans="13:18" ht="13.5" customHeight="1" x14ac:dyDescent="0.2">
      <c r="M46" s="328" t="s">
        <v>300</v>
      </c>
      <c r="N46" s="325">
        <f>IFERROR(VLOOKUP($M46,年齢区分＿65歳以上[#All],2,FALSE),0)</f>
        <v>1132</v>
      </c>
      <c r="O46" s="325">
        <f>IFERROR(VLOOKUP($M46,年齢区分＿65歳以上＿寛解・院内寛解[#All],2,FALSE),0)</f>
        <v>166</v>
      </c>
      <c r="P46" s="321"/>
      <c r="Q46" s="321"/>
      <c r="R46" s="321"/>
    </row>
    <row r="47" spans="13:18" ht="13.5" customHeight="1" x14ac:dyDescent="0.2">
      <c r="M47" s="328" t="s">
        <v>301</v>
      </c>
      <c r="N47" s="325">
        <f>IFERROR(VLOOKUP($M47,年齢区分＿65歳以上[#All],2,FALSE),0)</f>
        <v>1540</v>
      </c>
      <c r="O47" s="325">
        <f>IFERROR(VLOOKUP($M47,年齢区分＿65歳以上＿寛解・院内寛解[#All],2,FALSE),0)</f>
        <v>184</v>
      </c>
      <c r="P47" s="321"/>
      <c r="Q47" s="321"/>
      <c r="R47" s="321"/>
    </row>
    <row r="48" spans="13:18" ht="13.5" customHeight="1" x14ac:dyDescent="0.2">
      <c r="M48" s="328" t="s">
        <v>302</v>
      </c>
      <c r="N48" s="325">
        <f>IFERROR(VLOOKUP($M48,年齢区分＿65歳以上[#All],2,FALSE),0)</f>
        <v>1821</v>
      </c>
      <c r="O48" s="325">
        <f>IFERROR(VLOOKUP($M48,年齢区分＿65歳以上＿寛解・院内寛解[#All],2,FALSE),0)</f>
        <v>166</v>
      </c>
      <c r="P48" s="321"/>
      <c r="Q48" s="321"/>
      <c r="R48" s="321"/>
    </row>
    <row r="49" spans="13:18" ht="13.5" customHeight="1" x14ac:dyDescent="0.2">
      <c r="M49" s="328" t="s">
        <v>303</v>
      </c>
      <c r="N49" s="325">
        <f>IFERROR(VLOOKUP($M49,年齢区分＿65歳以上[#All],2,FALSE),0)</f>
        <v>1833</v>
      </c>
      <c r="O49" s="325">
        <f>IFERROR(VLOOKUP($M49,年齢区分＿65歳以上＿寛解・院内寛解[#All],2,FALSE),0)</f>
        <v>164</v>
      </c>
      <c r="P49" s="321"/>
      <c r="Q49" s="321"/>
      <c r="R49" s="321"/>
    </row>
    <row r="50" spans="13:18" ht="13.5" customHeight="1" x14ac:dyDescent="0.2">
      <c r="M50" s="328" t="s">
        <v>304</v>
      </c>
      <c r="N50" s="325">
        <f>IFERROR(VLOOKUP($M50,年齢区分＿65歳以上[#All],2,FALSE),0)</f>
        <v>1397</v>
      </c>
      <c r="O50" s="325">
        <f>IFERROR(VLOOKUP($M50,年齢区分＿65歳以上＿寛解・院内寛解[#All],2,FALSE),0)</f>
        <v>107</v>
      </c>
      <c r="P50" s="321"/>
      <c r="Q50" s="321"/>
      <c r="R50" s="321"/>
    </row>
    <row r="51" spans="13:18" ht="13.5" customHeight="1" x14ac:dyDescent="0.2">
      <c r="M51" s="328" t="s">
        <v>10</v>
      </c>
      <c r="N51" s="325">
        <f>IFERROR(VLOOKUP($M51,年齢区分＿65歳以上[#All],2,FALSE),0)</f>
        <v>770</v>
      </c>
      <c r="O51" s="325">
        <f>IFERROR(VLOOKUP($M51,年齢区分＿65歳以上＿寛解・院内寛解[#All],2,FALSE),0)</f>
        <v>45</v>
      </c>
      <c r="P51" s="321"/>
      <c r="Q51" s="321"/>
      <c r="R51" s="321"/>
    </row>
  </sheetData>
  <phoneticPr fontId="2"/>
  <pageMargins left="0.44270833333333331" right="0.41666666666666669" top="0.60606060606060608" bottom="0.51136363636363635" header="0.3" footer="0.3"/>
  <pageSetup paperSize="9" scale="98" orientation="portrait" r:id="rId1"/>
  <headerFooter>
    <oddHeader>&amp;C&amp;"游ゴシック,太字"&amp;14R6年度　大阪府の在院患者の状況&amp;R&amp;"游ゴシック,標準"&amp;10R6.6.30時点</oddHeader>
    <oddFooter>&amp;R&amp;"メイリオ,レギュラー"&amp;10&amp;F</oddFooter>
  </headerFooter>
  <drawing r:id="rId2"/>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6">
    <tabColor theme="7" tint="-0.249977111117893"/>
  </sheetPr>
  <dimension ref="M4:AC58"/>
  <sheetViews>
    <sheetView view="pageBreakPreview" zoomScale="120" zoomScaleNormal="100" zoomScaleSheetLayoutView="120" workbookViewId="0"/>
  </sheetViews>
  <sheetFormatPr defaultRowHeight="13.5" customHeight="1" x14ac:dyDescent="0.2"/>
  <cols>
    <col min="10" max="10" width="6.44140625" customWidth="1"/>
    <col min="11" max="11" width="7.21875" customWidth="1"/>
    <col min="13" max="13" width="4.109375" hidden="1" customWidth="1"/>
    <col min="14" max="14" width="35.88671875" hidden="1" customWidth="1"/>
    <col min="15" max="15" width="9.44140625" hidden="1" customWidth="1"/>
    <col min="16" max="18" width="9.109375" hidden="1" customWidth="1"/>
    <col min="19" max="25" width="0" hidden="1" customWidth="1"/>
  </cols>
  <sheetData>
    <row r="4" spans="13:29" ht="13.5" customHeight="1" x14ac:dyDescent="0.2">
      <c r="M4" s="354"/>
      <c r="N4" s="355"/>
      <c r="O4" s="320" t="s">
        <v>0</v>
      </c>
      <c r="P4" s="320" t="s">
        <v>114</v>
      </c>
      <c r="Q4" s="320" t="s">
        <v>116</v>
      </c>
      <c r="R4" s="320" t="s">
        <v>12</v>
      </c>
      <c r="S4" s="321"/>
      <c r="T4" s="321"/>
      <c r="U4" s="321"/>
      <c r="V4" s="321"/>
      <c r="W4" s="321"/>
      <c r="X4" s="321"/>
      <c r="Y4" s="321"/>
      <c r="Z4" s="321"/>
      <c r="AA4" s="321"/>
      <c r="AB4" s="321"/>
      <c r="AC4" s="321"/>
    </row>
    <row r="5" spans="13:29" ht="13.5" customHeight="1" x14ac:dyDescent="0.2">
      <c r="M5" s="1090" t="s">
        <v>120</v>
      </c>
      <c r="N5" s="1091"/>
      <c r="O5" s="352">
        <f>'２-Ⅲ'!C5</f>
        <v>4059</v>
      </c>
      <c r="P5" s="353">
        <f>'２-Ⅲ'!H5</f>
        <v>55</v>
      </c>
      <c r="Q5" s="352">
        <f>'２-Ⅲ'!I5</f>
        <v>222</v>
      </c>
      <c r="R5" s="352">
        <f t="shared" ref="R5:R16" si="0">SUM(P5:Q5)</f>
        <v>277</v>
      </c>
      <c r="S5" s="321"/>
      <c r="T5" s="356" t="s">
        <v>352</v>
      </c>
      <c r="U5" s="356" t="s">
        <v>295</v>
      </c>
      <c r="V5" s="321"/>
      <c r="W5" s="321"/>
      <c r="X5" s="321"/>
      <c r="Y5" s="321"/>
      <c r="Z5" s="321"/>
      <c r="AA5" s="321"/>
      <c r="AB5" s="321"/>
      <c r="AC5" s="321"/>
    </row>
    <row r="6" spans="13:29" ht="13.5" customHeight="1" x14ac:dyDescent="0.2">
      <c r="M6" s="1084" t="s">
        <v>20</v>
      </c>
      <c r="N6" s="1088"/>
      <c r="O6" s="353">
        <f>'２-Ⅲ'!C9</f>
        <v>755</v>
      </c>
      <c r="P6" s="353">
        <f>'２-Ⅲ'!H9</f>
        <v>42</v>
      </c>
      <c r="Q6" s="353">
        <f>'２-Ⅲ'!I9</f>
        <v>198</v>
      </c>
      <c r="R6" s="352">
        <f t="shared" si="0"/>
        <v>240</v>
      </c>
      <c r="S6" s="321"/>
      <c r="T6" s="356" t="s">
        <v>353</v>
      </c>
      <c r="U6" s="356" t="s">
        <v>284</v>
      </c>
      <c r="V6" s="321"/>
      <c r="W6" s="321"/>
      <c r="X6" s="321"/>
      <c r="Y6" s="321"/>
      <c r="Z6" s="321"/>
      <c r="AA6" s="321"/>
      <c r="AB6" s="321"/>
      <c r="AC6" s="321"/>
    </row>
    <row r="7" spans="13:29" ht="13.5" customHeight="1" x14ac:dyDescent="0.2">
      <c r="M7" s="1084" t="s">
        <v>73</v>
      </c>
      <c r="N7" s="1088"/>
      <c r="O7" s="353">
        <f>'２-Ⅲ'!C10</f>
        <v>6731</v>
      </c>
      <c r="P7" s="353">
        <f>'２-Ⅲ'!H10</f>
        <v>157</v>
      </c>
      <c r="Q7" s="353">
        <f>'２-Ⅲ'!I10</f>
        <v>595</v>
      </c>
      <c r="R7" s="352">
        <f t="shared" si="0"/>
        <v>752</v>
      </c>
      <c r="S7" s="321"/>
      <c r="T7" s="356" t="s">
        <v>315</v>
      </c>
      <c r="U7" s="356" t="s">
        <v>285</v>
      </c>
      <c r="V7" s="321"/>
      <c r="W7" s="321"/>
      <c r="X7" s="321"/>
      <c r="Y7" s="321"/>
      <c r="Z7" s="321"/>
      <c r="AA7" s="321"/>
      <c r="AB7" s="321"/>
      <c r="AC7" s="321"/>
    </row>
    <row r="8" spans="13:29" ht="13.5" customHeight="1" x14ac:dyDescent="0.2">
      <c r="M8" s="1084" t="s">
        <v>22</v>
      </c>
      <c r="N8" s="1088"/>
      <c r="O8" s="353">
        <f>'２-Ⅲ'!C11</f>
        <v>1633</v>
      </c>
      <c r="P8" s="353">
        <f>'２-Ⅲ'!H11</f>
        <v>99</v>
      </c>
      <c r="Q8" s="353">
        <f>'２-Ⅲ'!I11</f>
        <v>248</v>
      </c>
      <c r="R8" s="352">
        <f t="shared" si="0"/>
        <v>347</v>
      </c>
      <c r="S8" s="321"/>
      <c r="T8" s="356" t="s">
        <v>316</v>
      </c>
      <c r="U8" s="356" t="s">
        <v>286</v>
      </c>
      <c r="V8" s="321"/>
      <c r="W8" s="321"/>
      <c r="X8" s="321"/>
      <c r="Y8" s="321"/>
      <c r="Z8" s="321"/>
      <c r="AA8" s="321"/>
      <c r="AB8" s="321"/>
      <c r="AC8" s="321"/>
    </row>
    <row r="9" spans="13:29" ht="13.5" customHeight="1" x14ac:dyDescent="0.2">
      <c r="M9" s="1084" t="s">
        <v>24</v>
      </c>
      <c r="N9" s="1088"/>
      <c r="O9" s="353">
        <f>'２-Ⅲ'!C12</f>
        <v>263</v>
      </c>
      <c r="P9" s="353">
        <f>'２-Ⅲ'!H12</f>
        <v>20</v>
      </c>
      <c r="Q9" s="353">
        <f>'２-Ⅲ'!I12</f>
        <v>53</v>
      </c>
      <c r="R9" s="352">
        <f t="shared" si="0"/>
        <v>73</v>
      </c>
      <c r="S9" s="321"/>
      <c r="T9" s="356" t="s">
        <v>317</v>
      </c>
      <c r="U9" s="356" t="s">
        <v>312</v>
      </c>
      <c r="V9" s="321"/>
      <c r="W9" s="321"/>
      <c r="X9" s="321"/>
      <c r="Y9" s="321"/>
      <c r="Z9" s="321"/>
      <c r="AA9" s="321"/>
      <c r="AB9" s="321"/>
      <c r="AC9" s="321"/>
    </row>
    <row r="10" spans="13:29" ht="13.5" customHeight="1" x14ac:dyDescent="0.2">
      <c r="M10" s="1084" t="s">
        <v>25</v>
      </c>
      <c r="N10" s="1088"/>
      <c r="O10" s="353">
        <f>'２-Ⅲ'!C13</f>
        <v>58</v>
      </c>
      <c r="P10" s="353">
        <f>'２-Ⅲ'!H13</f>
        <v>0</v>
      </c>
      <c r="Q10" s="353">
        <f>'２-Ⅲ'!I13</f>
        <v>4</v>
      </c>
      <c r="R10" s="352">
        <f t="shared" si="0"/>
        <v>4</v>
      </c>
      <c r="S10" s="321"/>
      <c r="T10" s="356" t="s">
        <v>318</v>
      </c>
      <c r="U10" s="356" t="s">
        <v>313</v>
      </c>
      <c r="V10" s="321"/>
      <c r="W10" s="321"/>
      <c r="X10" s="321"/>
      <c r="Y10" s="321"/>
      <c r="Z10" s="321"/>
      <c r="AA10" s="321"/>
      <c r="AB10" s="321"/>
      <c r="AC10" s="321"/>
    </row>
    <row r="11" spans="13:29" ht="13.5" customHeight="1" x14ac:dyDescent="0.2">
      <c r="M11" s="1084" t="s">
        <v>256</v>
      </c>
      <c r="N11" s="1088"/>
      <c r="O11" s="353">
        <f>'２-Ⅲ'!C14</f>
        <v>38</v>
      </c>
      <c r="P11" s="353">
        <f>'２-Ⅲ'!H14</f>
        <v>1</v>
      </c>
      <c r="Q11" s="353">
        <f>'２-Ⅲ'!I14</f>
        <v>15</v>
      </c>
      <c r="R11" s="352">
        <f t="shared" si="0"/>
        <v>16</v>
      </c>
      <c r="S11" s="321"/>
      <c r="T11" s="356" t="s">
        <v>319</v>
      </c>
      <c r="U11" s="356" t="s">
        <v>287</v>
      </c>
      <c r="V11" s="321"/>
      <c r="W11" s="321"/>
      <c r="X11" s="321"/>
      <c r="Y11" s="321"/>
      <c r="Z11" s="321"/>
      <c r="AA11" s="321"/>
      <c r="AB11" s="321"/>
      <c r="AC11" s="321"/>
    </row>
    <row r="12" spans="13:29" ht="13.5" customHeight="1" x14ac:dyDescent="0.2">
      <c r="M12" s="1084" t="s">
        <v>257</v>
      </c>
      <c r="N12" s="1088"/>
      <c r="O12" s="353">
        <f>'２-Ⅲ'!C15</f>
        <v>305</v>
      </c>
      <c r="P12" s="353">
        <f>'２-Ⅲ'!H15</f>
        <v>6</v>
      </c>
      <c r="Q12" s="353">
        <f>'２-Ⅲ'!I15</f>
        <v>30</v>
      </c>
      <c r="R12" s="352">
        <f t="shared" si="0"/>
        <v>36</v>
      </c>
      <c r="S12" s="321"/>
      <c r="T12" s="356" t="s">
        <v>320</v>
      </c>
      <c r="U12" s="356" t="s">
        <v>288</v>
      </c>
      <c r="V12" s="321"/>
      <c r="W12" s="321"/>
      <c r="X12" s="321"/>
      <c r="Y12" s="321"/>
      <c r="Z12" s="321"/>
      <c r="AA12" s="321"/>
      <c r="AB12" s="321"/>
      <c r="AC12" s="321"/>
    </row>
    <row r="13" spans="13:29" ht="13.5" customHeight="1" x14ac:dyDescent="0.2">
      <c r="M13" s="1084" t="s">
        <v>23</v>
      </c>
      <c r="N13" s="1088"/>
      <c r="O13" s="353">
        <f>'２-Ⅲ'!C16</f>
        <v>153</v>
      </c>
      <c r="P13" s="353">
        <f>'２-Ⅲ'!H16</f>
        <v>12</v>
      </c>
      <c r="Q13" s="353">
        <f>'２-Ⅲ'!I16</f>
        <v>24</v>
      </c>
      <c r="R13" s="352">
        <f t="shared" si="0"/>
        <v>36</v>
      </c>
      <c r="S13" s="321"/>
      <c r="T13" s="356" t="s">
        <v>321</v>
      </c>
      <c r="U13" s="356" t="s">
        <v>289</v>
      </c>
      <c r="V13" s="321"/>
      <c r="W13" s="321"/>
      <c r="X13" s="321"/>
      <c r="Y13" s="321"/>
      <c r="Z13" s="321"/>
      <c r="AA13" s="321"/>
      <c r="AB13" s="321"/>
      <c r="AC13" s="321"/>
    </row>
    <row r="14" spans="13:29" ht="13.5" customHeight="1" x14ac:dyDescent="0.2">
      <c r="M14" s="1084" t="s">
        <v>258</v>
      </c>
      <c r="N14" s="1089"/>
      <c r="O14" s="353">
        <f>'２-Ⅲ'!C17</f>
        <v>43</v>
      </c>
      <c r="P14" s="353">
        <f>'２-Ⅲ'!H17</f>
        <v>4</v>
      </c>
      <c r="Q14" s="353">
        <f>'２-Ⅲ'!I17</f>
        <v>6</v>
      </c>
      <c r="R14" s="352">
        <f t="shared" si="0"/>
        <v>10</v>
      </c>
      <c r="S14" s="321"/>
      <c r="T14" s="356" t="s">
        <v>322</v>
      </c>
      <c r="U14" s="356" t="s">
        <v>290</v>
      </c>
      <c r="V14" s="321"/>
      <c r="W14" s="321"/>
      <c r="X14" s="321"/>
      <c r="Y14" s="321"/>
      <c r="Z14" s="321"/>
      <c r="AA14" s="321"/>
      <c r="AB14" s="321"/>
      <c r="AC14" s="321"/>
    </row>
    <row r="15" spans="13:29" ht="13.5" customHeight="1" x14ac:dyDescent="0.2">
      <c r="M15" s="1084" t="s">
        <v>123</v>
      </c>
      <c r="N15" s="1085"/>
      <c r="O15" s="353">
        <f>'２-Ⅲ'!C18</f>
        <v>40</v>
      </c>
      <c r="P15" s="353">
        <f>'２-Ⅲ'!H18</f>
        <v>0</v>
      </c>
      <c r="Q15" s="353">
        <f>'２-Ⅲ'!I18</f>
        <v>3</v>
      </c>
      <c r="R15" s="352">
        <f t="shared" si="0"/>
        <v>3</v>
      </c>
      <c r="S15" s="321"/>
      <c r="T15" s="356" t="s">
        <v>354</v>
      </c>
      <c r="U15" s="356" t="s">
        <v>291</v>
      </c>
      <c r="V15" s="321"/>
      <c r="W15" s="321"/>
      <c r="X15" s="321"/>
      <c r="Y15" s="321"/>
      <c r="Z15" s="321"/>
      <c r="AA15" s="321"/>
      <c r="AB15" s="321"/>
      <c r="AC15" s="321"/>
    </row>
    <row r="16" spans="13:29" ht="13.5" customHeight="1" x14ac:dyDescent="0.2">
      <c r="M16" s="1086" t="s">
        <v>18</v>
      </c>
      <c r="N16" s="1087"/>
      <c r="O16" s="353">
        <f>'２-Ⅲ'!C19</f>
        <v>82</v>
      </c>
      <c r="P16" s="353">
        <f>'２-Ⅲ'!H19</f>
        <v>2</v>
      </c>
      <c r="Q16" s="353">
        <f>'２-Ⅲ'!I19</f>
        <v>7</v>
      </c>
      <c r="R16" s="352">
        <f t="shared" si="0"/>
        <v>9</v>
      </c>
      <c r="S16" s="321"/>
      <c r="T16" s="356" t="s">
        <v>103</v>
      </c>
      <c r="U16" s="356" t="s">
        <v>296</v>
      </c>
      <c r="V16" s="321"/>
      <c r="W16" s="321"/>
      <c r="X16" s="321"/>
      <c r="Y16" s="321"/>
      <c r="Z16" s="321"/>
      <c r="AA16" s="321"/>
      <c r="AB16" s="321"/>
      <c r="AC16" s="321"/>
    </row>
    <row r="17" spans="13:29" ht="13.5" customHeight="1" x14ac:dyDescent="0.2">
      <c r="M17" s="321"/>
      <c r="N17" s="321"/>
      <c r="O17" s="321"/>
      <c r="P17" s="321"/>
      <c r="Q17" s="321"/>
      <c r="R17" s="321"/>
      <c r="S17" s="321"/>
      <c r="T17" s="321"/>
      <c r="U17" s="356" t="s">
        <v>292</v>
      </c>
      <c r="V17" s="321"/>
      <c r="W17" s="321"/>
      <c r="X17" s="321"/>
      <c r="Y17" s="321"/>
      <c r="Z17" s="321"/>
      <c r="AA17" s="321"/>
      <c r="AB17" s="321"/>
      <c r="AC17" s="321"/>
    </row>
    <row r="18" spans="13:29" ht="13.5" customHeight="1" x14ac:dyDescent="0.2">
      <c r="M18" s="321"/>
      <c r="N18" s="321"/>
      <c r="O18" s="321"/>
      <c r="P18" s="321"/>
      <c r="Q18" s="321"/>
      <c r="R18" s="321"/>
      <c r="S18" s="321"/>
      <c r="T18" s="321"/>
      <c r="U18" s="356" t="s">
        <v>293</v>
      </c>
      <c r="V18" s="321"/>
      <c r="W18" s="321"/>
      <c r="X18" s="321"/>
      <c r="Y18" s="321"/>
      <c r="Z18" s="321"/>
      <c r="AA18" s="321"/>
      <c r="AB18" s="321"/>
      <c r="AC18" s="321"/>
    </row>
    <row r="19" spans="13:29" ht="13.5" customHeight="1" x14ac:dyDescent="0.2">
      <c r="M19" s="321"/>
      <c r="N19" s="321"/>
      <c r="O19" s="321"/>
      <c r="P19" s="321"/>
      <c r="Q19" s="321"/>
      <c r="R19" s="321"/>
      <c r="S19" s="321"/>
      <c r="T19" s="321"/>
      <c r="U19" s="356" t="s">
        <v>297</v>
      </c>
      <c r="V19" s="321"/>
      <c r="W19" s="321"/>
      <c r="X19" s="321"/>
      <c r="Y19" s="321"/>
      <c r="Z19" s="321"/>
      <c r="AA19" s="321"/>
      <c r="AB19" s="321"/>
      <c r="AC19" s="321"/>
    </row>
    <row r="20" spans="13:29" ht="13.5" customHeight="1" x14ac:dyDescent="0.2">
      <c r="M20" s="321"/>
      <c r="N20" s="321"/>
      <c r="O20" s="321"/>
      <c r="P20" s="321"/>
      <c r="Q20" s="321"/>
      <c r="R20" s="321"/>
      <c r="S20" s="321"/>
      <c r="T20" s="321"/>
      <c r="U20" s="356" t="s">
        <v>294</v>
      </c>
      <c r="V20" s="321"/>
      <c r="W20" s="321"/>
      <c r="X20" s="321"/>
      <c r="Y20" s="321"/>
      <c r="Z20" s="321"/>
      <c r="AA20" s="321"/>
      <c r="AB20" s="321"/>
      <c r="AC20" s="321"/>
    </row>
    <row r="21" spans="13:29" ht="13.5" customHeight="1" x14ac:dyDescent="0.2">
      <c r="M21" s="321"/>
      <c r="N21" s="321"/>
      <c r="O21" s="321"/>
      <c r="P21" s="321"/>
      <c r="Q21" s="321"/>
      <c r="R21" s="321"/>
      <c r="S21" s="321"/>
      <c r="T21" s="321"/>
      <c r="U21" s="356" t="s">
        <v>18</v>
      </c>
      <c r="V21" s="321"/>
      <c r="W21" s="321"/>
      <c r="X21" s="321"/>
      <c r="Y21" s="321"/>
      <c r="Z21" s="321"/>
      <c r="AA21" s="321"/>
      <c r="AB21" s="321"/>
      <c r="AC21" s="321"/>
    </row>
    <row r="22" spans="13:29" ht="13.5" customHeight="1" x14ac:dyDescent="0.2">
      <c r="M22" s="321"/>
      <c r="N22" s="321"/>
      <c r="O22" s="321"/>
      <c r="P22" s="321"/>
      <c r="Q22" s="321"/>
      <c r="R22" s="321"/>
      <c r="S22" s="321"/>
      <c r="T22" s="321"/>
      <c r="U22" s="321"/>
      <c r="V22" s="321"/>
      <c r="W22" s="321"/>
      <c r="X22" s="321"/>
      <c r="Y22" s="321"/>
      <c r="Z22" s="321"/>
      <c r="AA22" s="321"/>
      <c r="AB22" s="321"/>
      <c r="AC22" s="321"/>
    </row>
    <row r="23" spans="13:29" ht="13.5" customHeight="1" x14ac:dyDescent="0.2">
      <c r="M23" s="357"/>
      <c r="N23" s="358"/>
      <c r="O23" s="359" t="s">
        <v>0</v>
      </c>
      <c r="P23" s="359" t="s">
        <v>114</v>
      </c>
      <c r="Q23" s="359" t="s">
        <v>116</v>
      </c>
      <c r="R23" s="359" t="s">
        <v>12</v>
      </c>
      <c r="S23" s="321"/>
      <c r="T23" s="321"/>
      <c r="U23" s="321"/>
      <c r="V23" s="321"/>
      <c r="W23" s="321"/>
      <c r="X23" s="321"/>
      <c r="Y23" s="321"/>
      <c r="Z23" s="321"/>
      <c r="AA23" s="321"/>
      <c r="AB23" s="321"/>
      <c r="AC23" s="321"/>
    </row>
    <row r="24" spans="13:29" ht="13.5" customHeight="1" x14ac:dyDescent="0.2">
      <c r="M24" s="1090" t="s">
        <v>120</v>
      </c>
      <c r="N24" s="1091"/>
      <c r="O24" s="352">
        <f>'３-Ⅲ'!C5</f>
        <v>1944</v>
      </c>
      <c r="P24" s="353">
        <f>'３-Ⅲ'!H5</f>
        <v>11</v>
      </c>
      <c r="Q24" s="352">
        <f>'３-Ⅲ'!I5</f>
        <v>79</v>
      </c>
      <c r="R24" s="352">
        <f t="shared" ref="R24:R35" si="1">SUM(P24:Q24)</f>
        <v>90</v>
      </c>
      <c r="S24" s="321"/>
      <c r="T24" s="321"/>
      <c r="U24" s="321"/>
      <c r="V24" s="321"/>
      <c r="W24" s="321"/>
      <c r="X24" s="321"/>
      <c r="Y24" s="321"/>
      <c r="Z24" s="321"/>
      <c r="AA24" s="321"/>
      <c r="AB24" s="321"/>
      <c r="AC24" s="321"/>
    </row>
    <row r="25" spans="13:29" ht="13.5" customHeight="1" x14ac:dyDescent="0.2">
      <c r="M25" s="1084" t="s">
        <v>20</v>
      </c>
      <c r="N25" s="1088"/>
      <c r="O25" s="353">
        <f>'３-Ⅲ'!C9</f>
        <v>274</v>
      </c>
      <c r="P25" s="353">
        <f>'３-Ⅲ'!H9</f>
        <v>4</v>
      </c>
      <c r="Q25" s="352">
        <f>'３-Ⅲ'!I9</f>
        <v>34</v>
      </c>
      <c r="R25" s="352">
        <f t="shared" si="1"/>
        <v>38</v>
      </c>
      <c r="S25" s="321"/>
      <c r="T25" s="321"/>
      <c r="U25" s="321"/>
      <c r="V25" s="321"/>
      <c r="W25" s="321"/>
      <c r="X25" s="321"/>
      <c r="Y25" s="321"/>
      <c r="Z25" s="321"/>
      <c r="AA25" s="321"/>
      <c r="AB25" s="321"/>
      <c r="AC25" s="321"/>
    </row>
    <row r="26" spans="13:29" ht="13.5" customHeight="1" x14ac:dyDescent="0.2">
      <c r="M26" s="1084" t="s">
        <v>73</v>
      </c>
      <c r="N26" s="1088"/>
      <c r="O26" s="353">
        <f>'３-Ⅲ'!C10</f>
        <v>4616</v>
      </c>
      <c r="P26" s="353">
        <f>'３-Ⅲ'!H10</f>
        <v>44</v>
      </c>
      <c r="Q26" s="352">
        <f>'３-Ⅲ'!I10</f>
        <v>287</v>
      </c>
      <c r="R26" s="352">
        <f t="shared" si="1"/>
        <v>331</v>
      </c>
      <c r="S26" s="321"/>
      <c r="T26" s="321"/>
      <c r="U26" s="321"/>
      <c r="V26" s="321"/>
      <c r="W26" s="321"/>
      <c r="X26" s="321"/>
      <c r="Y26" s="321"/>
      <c r="Z26" s="321"/>
      <c r="AA26" s="321"/>
      <c r="AB26" s="321"/>
      <c r="AC26" s="321"/>
    </row>
    <row r="27" spans="13:29" ht="13.5" customHeight="1" x14ac:dyDescent="0.2">
      <c r="M27" s="1084" t="s">
        <v>22</v>
      </c>
      <c r="N27" s="1088"/>
      <c r="O27" s="353">
        <f>'３-Ⅲ'!C11</f>
        <v>580</v>
      </c>
      <c r="P27" s="353">
        <f>'３-Ⅲ'!H11</f>
        <v>7</v>
      </c>
      <c r="Q27" s="352">
        <f>'３-Ⅲ'!I11</f>
        <v>71</v>
      </c>
      <c r="R27" s="352">
        <f t="shared" si="1"/>
        <v>78</v>
      </c>
      <c r="S27" s="321"/>
      <c r="T27" s="321"/>
      <c r="U27" s="321"/>
      <c r="V27" s="321"/>
      <c r="W27" s="321"/>
      <c r="X27" s="321"/>
      <c r="Y27" s="321"/>
      <c r="Z27" s="321"/>
      <c r="AA27" s="321"/>
      <c r="AB27" s="321"/>
      <c r="AC27" s="321"/>
    </row>
    <row r="28" spans="13:29" ht="13.5" customHeight="1" x14ac:dyDescent="0.2">
      <c r="M28" s="1084" t="s">
        <v>24</v>
      </c>
      <c r="N28" s="1088"/>
      <c r="O28" s="353">
        <f>'３-Ⅲ'!C12</f>
        <v>72</v>
      </c>
      <c r="P28" s="353">
        <f>'３-Ⅲ'!H12</f>
        <v>1</v>
      </c>
      <c r="Q28" s="352">
        <f>'３-Ⅲ'!I12</f>
        <v>11</v>
      </c>
      <c r="R28" s="352">
        <f t="shared" si="1"/>
        <v>12</v>
      </c>
      <c r="S28" s="321"/>
      <c r="T28" s="321"/>
      <c r="U28" s="321"/>
      <c r="V28" s="321"/>
      <c r="W28" s="321"/>
      <c r="X28" s="321"/>
      <c r="Y28" s="321"/>
      <c r="Z28" s="321"/>
      <c r="AA28" s="321"/>
      <c r="AB28" s="321"/>
      <c r="AC28" s="321"/>
    </row>
    <row r="29" spans="13:29" ht="13.5" customHeight="1" x14ac:dyDescent="0.2">
      <c r="M29" s="1084" t="s">
        <v>25</v>
      </c>
      <c r="N29" s="1088"/>
      <c r="O29" s="353">
        <f>'３-Ⅲ'!C13</f>
        <v>4</v>
      </c>
      <c r="P29" s="353">
        <f>'３-Ⅲ'!H13</f>
        <v>0</v>
      </c>
      <c r="Q29" s="352">
        <f>'３-Ⅲ'!I13</f>
        <v>1</v>
      </c>
      <c r="R29" s="352">
        <f t="shared" si="1"/>
        <v>1</v>
      </c>
      <c r="S29" s="321"/>
      <c r="T29" s="321"/>
      <c r="U29" s="321"/>
      <c r="V29" s="321"/>
      <c r="W29" s="321"/>
      <c r="X29" s="321"/>
      <c r="Y29" s="321"/>
      <c r="Z29" s="321"/>
      <c r="AA29" s="321"/>
      <c r="AB29" s="321"/>
      <c r="AC29" s="321"/>
    </row>
    <row r="30" spans="13:29" ht="13.5" customHeight="1" x14ac:dyDescent="0.2">
      <c r="M30" s="1084" t="s">
        <v>256</v>
      </c>
      <c r="N30" s="1088"/>
      <c r="O30" s="353">
        <f>'３-Ⅲ'!C14</f>
        <v>11</v>
      </c>
      <c r="P30" s="353">
        <f>'３-Ⅲ'!H14</f>
        <v>0</v>
      </c>
      <c r="Q30" s="352">
        <f>'３-Ⅲ'!I14</f>
        <v>2</v>
      </c>
      <c r="R30" s="352">
        <f t="shared" si="1"/>
        <v>2</v>
      </c>
      <c r="S30" s="321"/>
      <c r="T30" s="321"/>
      <c r="U30" s="321"/>
      <c r="V30" s="321"/>
      <c r="W30" s="321"/>
      <c r="X30" s="321"/>
      <c r="Y30" s="321"/>
      <c r="Z30" s="321"/>
      <c r="AA30" s="321"/>
      <c r="AB30" s="321"/>
      <c r="AC30" s="321"/>
    </row>
    <row r="31" spans="13:29" ht="13.5" customHeight="1" x14ac:dyDescent="0.2">
      <c r="M31" s="1084" t="s">
        <v>257</v>
      </c>
      <c r="N31" s="1088"/>
      <c r="O31" s="353">
        <f>'３-Ⅲ'!C15</f>
        <v>149</v>
      </c>
      <c r="P31" s="353">
        <f>'３-Ⅲ'!H15</f>
        <v>0</v>
      </c>
      <c r="Q31" s="352">
        <f>'３-Ⅲ'!I15</f>
        <v>10</v>
      </c>
      <c r="R31" s="352">
        <f t="shared" si="1"/>
        <v>10</v>
      </c>
      <c r="S31" s="321"/>
      <c r="T31" s="321"/>
      <c r="U31" s="321"/>
      <c r="V31" s="321"/>
      <c r="W31" s="321"/>
      <c r="X31" s="321"/>
      <c r="Y31" s="321"/>
      <c r="Z31" s="321"/>
      <c r="AA31" s="321"/>
      <c r="AB31" s="321"/>
      <c r="AC31" s="321"/>
    </row>
    <row r="32" spans="13:29" ht="13.5" customHeight="1" x14ac:dyDescent="0.2">
      <c r="M32" s="1084" t="s">
        <v>23</v>
      </c>
      <c r="N32" s="1088"/>
      <c r="O32" s="353">
        <f>'３-Ⅲ'!C16</f>
        <v>39</v>
      </c>
      <c r="P32" s="353">
        <f>'３-Ⅲ'!H16</f>
        <v>0</v>
      </c>
      <c r="Q32" s="352">
        <f>'３-Ⅲ'!I16</f>
        <v>2</v>
      </c>
      <c r="R32" s="352">
        <f t="shared" si="1"/>
        <v>2</v>
      </c>
      <c r="S32" s="321"/>
      <c r="T32" s="321"/>
      <c r="U32" s="321"/>
      <c r="V32" s="321"/>
      <c r="W32" s="321"/>
      <c r="X32" s="321"/>
      <c r="Y32" s="321"/>
      <c r="Z32" s="321"/>
      <c r="AA32" s="321"/>
      <c r="AB32" s="321"/>
      <c r="AC32" s="321"/>
    </row>
    <row r="33" spans="13:29" ht="13.5" customHeight="1" x14ac:dyDescent="0.2">
      <c r="M33" s="1084" t="s">
        <v>258</v>
      </c>
      <c r="N33" s="1089"/>
      <c r="O33" s="353">
        <f>'３-Ⅲ'!C17</f>
        <v>12</v>
      </c>
      <c r="P33" s="353">
        <f>'３-Ⅲ'!H17</f>
        <v>1</v>
      </c>
      <c r="Q33" s="352">
        <f>'３-Ⅲ'!I17</f>
        <v>3</v>
      </c>
      <c r="R33" s="352">
        <f t="shared" si="1"/>
        <v>4</v>
      </c>
      <c r="S33" s="321"/>
      <c r="T33" s="321"/>
      <c r="U33" s="321"/>
      <c r="V33" s="321"/>
      <c r="W33" s="321"/>
      <c r="X33" s="321"/>
      <c r="Y33" s="321"/>
      <c r="Z33" s="321"/>
      <c r="AA33" s="321"/>
      <c r="AB33" s="321"/>
      <c r="AC33" s="321"/>
    </row>
    <row r="34" spans="13:29" ht="13.5" customHeight="1" x14ac:dyDescent="0.2">
      <c r="M34" s="1084" t="s">
        <v>123</v>
      </c>
      <c r="N34" s="1085"/>
      <c r="O34" s="353">
        <f>'３-Ⅲ'!C18</f>
        <v>27</v>
      </c>
      <c r="P34" s="353">
        <f>'３-Ⅲ'!H18</f>
        <v>0</v>
      </c>
      <c r="Q34" s="352">
        <f>'３-Ⅲ'!I18</f>
        <v>1</v>
      </c>
      <c r="R34" s="352">
        <f t="shared" si="1"/>
        <v>1</v>
      </c>
      <c r="S34" s="321"/>
      <c r="T34" s="321"/>
      <c r="U34" s="321"/>
      <c r="V34" s="321"/>
      <c r="W34" s="321"/>
      <c r="X34" s="321"/>
      <c r="Y34" s="321"/>
      <c r="Z34" s="321"/>
      <c r="AA34" s="321"/>
      <c r="AB34" s="321"/>
      <c r="AC34" s="321"/>
    </row>
    <row r="35" spans="13:29" ht="13.5" customHeight="1" x14ac:dyDescent="0.2">
      <c r="M35" s="1086" t="s">
        <v>18</v>
      </c>
      <c r="N35" s="1087"/>
      <c r="O35" s="353">
        <f>'３-Ⅲ'!C19</f>
        <v>38</v>
      </c>
      <c r="P35" s="353">
        <f>'３-Ⅲ'!H19</f>
        <v>0</v>
      </c>
      <c r="Q35" s="352">
        <f>'３-Ⅲ'!I19</f>
        <v>4</v>
      </c>
      <c r="R35" s="352">
        <f t="shared" si="1"/>
        <v>4</v>
      </c>
      <c r="S35" s="321"/>
      <c r="T35" s="321"/>
      <c r="U35" s="321"/>
      <c r="V35" s="321"/>
      <c r="W35" s="321"/>
      <c r="X35" s="321"/>
      <c r="Y35" s="321"/>
      <c r="Z35" s="321"/>
      <c r="AA35" s="321"/>
      <c r="AB35" s="321"/>
      <c r="AC35" s="321"/>
    </row>
    <row r="36" spans="13:29" ht="13.5" customHeight="1" x14ac:dyDescent="0.2">
      <c r="M36" s="321"/>
      <c r="N36" s="321"/>
      <c r="O36" s="321"/>
      <c r="P36" s="321"/>
      <c r="Q36" s="321"/>
      <c r="R36" s="321"/>
      <c r="S36" s="321"/>
      <c r="T36" s="321"/>
      <c r="U36" s="321"/>
      <c r="V36" s="321"/>
      <c r="W36" s="321"/>
      <c r="X36" s="321"/>
      <c r="Y36" s="321"/>
      <c r="Z36" s="321"/>
      <c r="AA36" s="321"/>
      <c r="AB36" s="321"/>
      <c r="AC36" s="321"/>
    </row>
    <row r="37" spans="13:29" ht="13.5" customHeight="1" x14ac:dyDescent="0.2">
      <c r="M37" s="321"/>
      <c r="N37" s="321"/>
      <c r="O37" s="321"/>
      <c r="P37" s="321"/>
      <c r="Q37" s="321"/>
      <c r="R37" s="321"/>
      <c r="S37" s="321"/>
      <c r="T37" s="321"/>
      <c r="U37" s="321"/>
      <c r="V37" s="321"/>
      <c r="W37" s="321"/>
      <c r="X37" s="321"/>
      <c r="Y37" s="321"/>
      <c r="Z37" s="321"/>
      <c r="AA37" s="321"/>
      <c r="AB37" s="321"/>
      <c r="AC37" s="321"/>
    </row>
    <row r="38" spans="13:29" ht="13.5" customHeight="1" x14ac:dyDescent="0.2">
      <c r="M38" s="321"/>
      <c r="N38" s="321"/>
      <c r="O38" s="321"/>
      <c r="P38" s="321"/>
      <c r="Q38" s="321"/>
      <c r="R38" s="321"/>
      <c r="S38" s="321"/>
      <c r="T38" s="321"/>
      <c r="U38" s="321"/>
      <c r="V38" s="321"/>
      <c r="W38" s="321"/>
      <c r="X38" s="321"/>
      <c r="Y38" s="321"/>
      <c r="Z38" s="321"/>
      <c r="AA38" s="321"/>
      <c r="AB38" s="321"/>
      <c r="AC38" s="321"/>
    </row>
    <row r="39" spans="13:29" ht="13.5" customHeight="1" x14ac:dyDescent="0.2">
      <c r="M39" s="321"/>
      <c r="N39" s="321"/>
      <c r="O39" s="321"/>
      <c r="P39" s="321"/>
      <c r="Q39" s="321"/>
      <c r="R39" s="321"/>
      <c r="S39" s="321"/>
      <c r="T39" s="321"/>
      <c r="U39" s="321"/>
      <c r="V39" s="321"/>
      <c r="W39" s="321"/>
      <c r="X39" s="321"/>
      <c r="Y39" s="321"/>
      <c r="Z39" s="321"/>
      <c r="AA39" s="321"/>
      <c r="AB39" s="321"/>
      <c r="AC39" s="321"/>
    </row>
    <row r="40" spans="13:29" ht="13.5" customHeight="1" x14ac:dyDescent="0.2">
      <c r="M40" s="321"/>
      <c r="N40" s="321"/>
      <c r="O40" s="321"/>
      <c r="P40" s="321"/>
      <c r="Q40" s="321"/>
      <c r="R40" s="321"/>
      <c r="S40" s="321"/>
      <c r="T40" s="321"/>
      <c r="U40" s="321"/>
      <c r="V40" s="321"/>
      <c r="W40" s="321"/>
      <c r="X40" s="321"/>
      <c r="Y40" s="321"/>
      <c r="Z40" s="321"/>
      <c r="AA40" s="321"/>
      <c r="AB40" s="321"/>
      <c r="AC40" s="321"/>
    </row>
    <row r="41" spans="13:29" ht="13.5" customHeight="1" x14ac:dyDescent="0.2">
      <c r="M41" s="321"/>
      <c r="N41" s="321"/>
      <c r="O41" s="321"/>
      <c r="P41" s="321"/>
      <c r="Q41" s="321"/>
      <c r="R41" s="321"/>
      <c r="S41" s="321"/>
      <c r="T41" s="321"/>
      <c r="U41" s="321"/>
      <c r="V41" s="321"/>
      <c r="W41" s="321"/>
      <c r="X41" s="321"/>
      <c r="Y41" s="321"/>
      <c r="Z41" s="321"/>
      <c r="AA41" s="321"/>
      <c r="AB41" s="321"/>
      <c r="AC41" s="321"/>
    </row>
    <row r="42" spans="13:29" ht="13.5" customHeight="1" x14ac:dyDescent="0.2">
      <c r="M42" s="321"/>
      <c r="N42" s="321"/>
      <c r="O42" s="321"/>
      <c r="P42" s="321"/>
      <c r="Q42" s="321"/>
      <c r="R42" s="321"/>
      <c r="S42" s="321"/>
      <c r="T42" s="321"/>
      <c r="U42" s="321"/>
      <c r="V42" s="321"/>
      <c r="W42" s="321"/>
      <c r="X42" s="321"/>
      <c r="Y42" s="321"/>
      <c r="Z42" s="321"/>
      <c r="AA42" s="321"/>
      <c r="AB42" s="321"/>
      <c r="AC42" s="321"/>
    </row>
    <row r="43" spans="13:29" ht="13.5" customHeight="1" x14ac:dyDescent="0.2">
      <c r="M43" s="321"/>
      <c r="N43" s="321"/>
      <c r="O43" s="321"/>
      <c r="P43" s="321"/>
      <c r="Q43" s="321"/>
      <c r="R43" s="321"/>
      <c r="S43" s="321"/>
      <c r="T43" s="321"/>
      <c r="U43" s="321"/>
      <c r="V43" s="321"/>
      <c r="W43" s="321"/>
      <c r="X43" s="321"/>
      <c r="Y43" s="321"/>
      <c r="Z43" s="321"/>
      <c r="AA43" s="321"/>
      <c r="AB43" s="321"/>
      <c r="AC43" s="321"/>
    </row>
    <row r="44" spans="13:29" ht="13.5" customHeight="1" x14ac:dyDescent="0.2">
      <c r="M44" s="321"/>
      <c r="N44" s="321"/>
      <c r="O44" s="321"/>
      <c r="P44" s="321"/>
      <c r="Q44" s="321"/>
      <c r="R44" s="321"/>
      <c r="S44" s="321"/>
      <c r="T44" s="321"/>
      <c r="U44" s="321"/>
      <c r="V44" s="321"/>
      <c r="W44" s="321"/>
      <c r="X44" s="321"/>
      <c r="Y44" s="321"/>
      <c r="Z44" s="321"/>
      <c r="AA44" s="321"/>
      <c r="AB44" s="321"/>
      <c r="AC44" s="321"/>
    </row>
    <row r="45" spans="13:29" ht="13.5" customHeight="1" x14ac:dyDescent="0.2">
      <c r="M45" s="360"/>
      <c r="N45" s="361"/>
      <c r="O45" s="362" t="s">
        <v>0</v>
      </c>
      <c r="P45" s="363" t="s">
        <v>350</v>
      </c>
      <c r="Q45" s="364"/>
      <c r="R45" s="365"/>
      <c r="S45" s="321"/>
      <c r="T45" s="321"/>
      <c r="U45" s="321"/>
      <c r="V45" s="321"/>
      <c r="W45" s="321"/>
      <c r="X45" s="321"/>
      <c r="Y45" s="321"/>
      <c r="Z45" s="321"/>
      <c r="AA45" s="321"/>
      <c r="AB45" s="321"/>
      <c r="AC45" s="321"/>
    </row>
    <row r="46" spans="13:29" ht="13.5" customHeight="1" x14ac:dyDescent="0.2">
      <c r="M46" s="1090" t="s">
        <v>120</v>
      </c>
      <c r="N46" s="1091"/>
      <c r="O46" s="352">
        <f>'４-Ⅲ'!D6</f>
        <v>3755</v>
      </c>
      <c r="P46" s="353">
        <f>'４-Ⅲ'!D27</f>
        <v>249</v>
      </c>
      <c r="Q46" s="366"/>
      <c r="R46" s="367"/>
      <c r="S46" s="321"/>
      <c r="T46" s="321"/>
      <c r="U46" s="321"/>
      <c r="V46" s="321"/>
      <c r="W46" s="321"/>
      <c r="X46" s="321"/>
      <c r="Y46" s="321"/>
      <c r="Z46" s="321"/>
      <c r="AA46" s="321"/>
      <c r="AB46" s="321"/>
      <c r="AC46" s="321"/>
    </row>
    <row r="47" spans="13:29" ht="13.5" customHeight="1" x14ac:dyDescent="0.2">
      <c r="M47" s="1084" t="s">
        <v>20</v>
      </c>
      <c r="N47" s="1088"/>
      <c r="O47" s="353">
        <f>'４-Ⅲ'!D10</f>
        <v>350</v>
      </c>
      <c r="P47" s="353">
        <f>'４-Ⅲ'!D31</f>
        <v>89</v>
      </c>
      <c r="Q47" s="366"/>
      <c r="R47" s="367"/>
      <c r="S47" s="321"/>
      <c r="T47" s="321"/>
      <c r="U47" s="321"/>
      <c r="V47" s="321"/>
      <c r="W47" s="321"/>
      <c r="X47" s="321"/>
      <c r="Y47" s="321"/>
      <c r="Z47" s="321"/>
      <c r="AA47" s="321"/>
      <c r="AB47" s="321"/>
      <c r="AC47" s="321"/>
    </row>
    <row r="48" spans="13:29" ht="13.5" customHeight="1" x14ac:dyDescent="0.2">
      <c r="M48" s="1084" t="s">
        <v>73</v>
      </c>
      <c r="N48" s="1088"/>
      <c r="O48" s="353">
        <f>'４-Ⅲ'!D11</f>
        <v>3126</v>
      </c>
      <c r="P48" s="353">
        <f>'４-Ⅲ'!D32</f>
        <v>293</v>
      </c>
      <c r="Q48" s="366"/>
      <c r="R48" s="367"/>
      <c r="S48" s="321"/>
      <c r="T48" s="321"/>
      <c r="U48" s="321"/>
      <c r="V48" s="321"/>
      <c r="W48" s="321"/>
      <c r="X48" s="321"/>
      <c r="Y48" s="321"/>
      <c r="Z48" s="321"/>
      <c r="AA48" s="321"/>
      <c r="AB48" s="321"/>
      <c r="AC48" s="321"/>
    </row>
    <row r="49" spans="13:29" ht="13.5" customHeight="1" x14ac:dyDescent="0.2">
      <c r="M49" s="1084" t="s">
        <v>22</v>
      </c>
      <c r="N49" s="1088"/>
      <c r="O49" s="353">
        <f>'４-Ⅲ'!D12</f>
        <v>1002</v>
      </c>
      <c r="P49" s="353">
        <f>'４-Ⅲ'!D33</f>
        <v>163</v>
      </c>
      <c r="Q49" s="366"/>
      <c r="R49" s="367"/>
      <c r="S49" s="321"/>
      <c r="T49" s="321"/>
      <c r="U49" s="321"/>
      <c r="V49" s="321"/>
      <c r="W49" s="321"/>
      <c r="X49" s="321"/>
      <c r="Y49" s="321"/>
      <c r="Z49" s="321"/>
      <c r="AA49" s="321"/>
      <c r="AB49" s="321"/>
      <c r="AC49" s="321"/>
    </row>
    <row r="50" spans="13:29" ht="13.5" customHeight="1" x14ac:dyDescent="0.2">
      <c r="M50" s="1084" t="s">
        <v>24</v>
      </c>
      <c r="N50" s="1088"/>
      <c r="O50" s="353">
        <f>'４-Ⅲ'!D13</f>
        <v>101</v>
      </c>
      <c r="P50" s="353">
        <f>'４-Ⅲ'!D34</f>
        <v>21</v>
      </c>
      <c r="Q50" s="366"/>
      <c r="R50" s="367"/>
      <c r="S50" s="321"/>
      <c r="T50" s="321"/>
      <c r="U50" s="321"/>
      <c r="V50" s="321"/>
      <c r="W50" s="321"/>
      <c r="X50" s="321"/>
      <c r="Y50" s="321"/>
      <c r="Z50" s="321"/>
      <c r="AA50" s="321"/>
      <c r="AB50" s="321"/>
      <c r="AC50" s="321"/>
    </row>
    <row r="51" spans="13:29" ht="13.5" customHeight="1" x14ac:dyDescent="0.2">
      <c r="M51" s="1084" t="s">
        <v>25</v>
      </c>
      <c r="N51" s="1088"/>
      <c r="O51" s="353">
        <f>'４-Ⅲ'!D14</f>
        <v>6</v>
      </c>
      <c r="P51" s="353">
        <f>'４-Ⅲ'!D35</f>
        <v>0</v>
      </c>
      <c r="Q51" s="366"/>
      <c r="R51" s="367"/>
      <c r="S51" s="321"/>
      <c r="T51" s="321"/>
      <c r="U51" s="321"/>
      <c r="V51" s="321"/>
      <c r="W51" s="321"/>
      <c r="X51" s="321"/>
      <c r="Y51" s="321"/>
      <c r="Z51" s="321"/>
      <c r="AA51" s="321"/>
      <c r="AB51" s="321"/>
      <c r="AC51" s="321"/>
    </row>
    <row r="52" spans="13:29" ht="13.5" customHeight="1" x14ac:dyDescent="0.2">
      <c r="M52" s="1084" t="s">
        <v>256</v>
      </c>
      <c r="N52" s="1088"/>
      <c r="O52" s="353">
        <f>'４-Ⅲ'!D15</f>
        <v>7</v>
      </c>
      <c r="P52" s="353">
        <f>'４-Ⅲ'!D36</f>
        <v>4</v>
      </c>
      <c r="Q52" s="366"/>
      <c r="R52" s="367"/>
      <c r="S52" s="321"/>
      <c r="T52" s="321"/>
      <c r="U52" s="321"/>
      <c r="V52" s="321"/>
      <c r="W52" s="321"/>
      <c r="X52" s="321"/>
      <c r="Y52" s="321"/>
      <c r="Z52" s="321"/>
      <c r="AA52" s="321"/>
      <c r="AB52" s="321"/>
      <c r="AC52" s="321"/>
    </row>
    <row r="53" spans="13:29" ht="13.5" customHeight="1" x14ac:dyDescent="0.2">
      <c r="M53" s="1084" t="s">
        <v>257</v>
      </c>
      <c r="N53" s="1088"/>
      <c r="O53" s="353">
        <f>'４-Ⅲ'!D16</f>
        <v>56</v>
      </c>
      <c r="P53" s="353">
        <f>'４-Ⅲ'!D37</f>
        <v>3</v>
      </c>
      <c r="Q53" s="366"/>
      <c r="R53" s="367"/>
      <c r="S53" s="321"/>
      <c r="T53" s="321"/>
      <c r="U53" s="321"/>
      <c r="V53" s="321"/>
      <c r="W53" s="321"/>
      <c r="X53" s="321"/>
      <c r="Y53" s="321"/>
      <c r="Z53" s="321"/>
      <c r="AA53" s="321"/>
      <c r="AB53" s="321"/>
      <c r="AC53" s="321"/>
    </row>
    <row r="54" spans="13:29" ht="13.5" customHeight="1" x14ac:dyDescent="0.2">
      <c r="M54" s="1084" t="s">
        <v>23</v>
      </c>
      <c r="N54" s="1088"/>
      <c r="O54" s="353">
        <f>'４-Ⅲ'!D17</f>
        <v>9</v>
      </c>
      <c r="P54" s="353">
        <f>'４-Ⅲ'!D38</f>
        <v>1</v>
      </c>
      <c r="Q54" s="366"/>
      <c r="R54" s="367"/>
      <c r="S54" s="321"/>
      <c r="T54" s="321"/>
      <c r="U54" s="321"/>
      <c r="V54" s="321"/>
      <c r="W54" s="321"/>
      <c r="X54" s="321"/>
      <c r="Y54" s="321"/>
      <c r="Z54" s="321"/>
      <c r="AA54" s="321"/>
      <c r="AB54" s="321"/>
      <c r="AC54" s="321"/>
    </row>
    <row r="55" spans="13:29" ht="13.5" customHeight="1" x14ac:dyDescent="0.2">
      <c r="M55" s="1084" t="s">
        <v>258</v>
      </c>
      <c r="N55" s="1089"/>
      <c r="O55" s="353">
        <f>'４-Ⅲ'!D18</f>
        <v>11</v>
      </c>
      <c r="P55" s="353">
        <f>'４-Ⅲ'!D39</f>
        <v>3</v>
      </c>
      <c r="Q55" s="366"/>
      <c r="R55" s="367"/>
      <c r="S55" s="321"/>
      <c r="T55" s="321"/>
      <c r="U55" s="321"/>
      <c r="V55" s="321"/>
      <c r="W55" s="321"/>
      <c r="X55" s="321"/>
      <c r="Y55" s="321"/>
      <c r="Z55" s="321"/>
      <c r="AA55" s="321"/>
      <c r="AB55" s="321"/>
      <c r="AC55" s="321"/>
    </row>
    <row r="56" spans="13:29" ht="13.5" customHeight="1" x14ac:dyDescent="0.2">
      <c r="M56" s="1084" t="s">
        <v>123</v>
      </c>
      <c r="N56" s="1085"/>
      <c r="O56" s="353">
        <f>'４-Ⅲ'!D19</f>
        <v>19</v>
      </c>
      <c r="P56" s="353">
        <f>'４-Ⅲ'!D40</f>
        <v>2</v>
      </c>
      <c r="Q56" s="366"/>
      <c r="R56" s="367"/>
      <c r="S56" s="321"/>
      <c r="T56" s="321"/>
      <c r="U56" s="321"/>
      <c r="V56" s="321"/>
      <c r="W56" s="321"/>
      <c r="X56" s="321"/>
      <c r="Y56" s="321"/>
      <c r="Z56" s="321"/>
      <c r="AA56" s="321"/>
      <c r="AB56" s="321"/>
      <c r="AC56" s="321"/>
    </row>
    <row r="57" spans="13:29" ht="13.5" customHeight="1" x14ac:dyDescent="0.2">
      <c r="M57" s="1086" t="s">
        <v>18</v>
      </c>
      <c r="N57" s="1087"/>
      <c r="O57" s="353">
        <f>'４-Ⅲ'!D20</f>
        <v>51</v>
      </c>
      <c r="P57" s="353">
        <f>'４-Ⅲ'!D41</f>
        <v>4</v>
      </c>
      <c r="Q57" s="366"/>
      <c r="R57" s="367"/>
      <c r="S57" s="321"/>
      <c r="T57" s="321"/>
      <c r="U57" s="321"/>
      <c r="V57" s="321"/>
      <c r="W57" s="321"/>
      <c r="X57" s="321"/>
      <c r="Y57" s="321"/>
      <c r="Z57" s="321"/>
      <c r="AA57" s="321"/>
      <c r="AB57" s="321"/>
      <c r="AC57" s="321"/>
    </row>
    <row r="58" spans="13:29" ht="13.5" customHeight="1" x14ac:dyDescent="0.2">
      <c r="M58" s="321"/>
      <c r="N58" s="321"/>
      <c r="O58" s="321"/>
      <c r="P58" s="321"/>
      <c r="Q58" s="321"/>
      <c r="R58" s="321"/>
      <c r="S58" s="321"/>
      <c r="T58" s="321"/>
      <c r="U58" s="321"/>
      <c r="V58" s="321"/>
      <c r="W58" s="321"/>
      <c r="X58" s="321"/>
      <c r="Y58" s="321"/>
      <c r="Z58" s="321"/>
      <c r="AA58" s="321"/>
      <c r="AB58" s="321"/>
      <c r="AC58" s="321"/>
    </row>
  </sheetData>
  <mergeCells count="36">
    <mergeCell ref="M5:N5"/>
    <mergeCell ref="M27:N27"/>
    <mergeCell ref="M6:N6"/>
    <mergeCell ref="M7:N7"/>
    <mergeCell ref="M8:N8"/>
    <mergeCell ref="M9:N9"/>
    <mergeCell ref="M10:N10"/>
    <mergeCell ref="M11:N11"/>
    <mergeCell ref="M14:N14"/>
    <mergeCell ref="M15:N15"/>
    <mergeCell ref="M16:N16"/>
    <mergeCell ref="M12:N12"/>
    <mergeCell ref="M13:N13"/>
    <mergeCell ref="M24:N24"/>
    <mergeCell ref="M25:N25"/>
    <mergeCell ref="M26:N26"/>
    <mergeCell ref="M49:N49"/>
    <mergeCell ref="M28:N28"/>
    <mergeCell ref="M29:N29"/>
    <mergeCell ref="M30:N30"/>
    <mergeCell ref="M31:N31"/>
    <mergeCell ref="M32:N32"/>
    <mergeCell ref="M33:N33"/>
    <mergeCell ref="M34:N34"/>
    <mergeCell ref="M35:N35"/>
    <mergeCell ref="M46:N46"/>
    <mergeCell ref="M47:N47"/>
    <mergeCell ref="M48:N48"/>
    <mergeCell ref="M56:N56"/>
    <mergeCell ref="M57:N57"/>
    <mergeCell ref="M50:N50"/>
    <mergeCell ref="M51:N51"/>
    <mergeCell ref="M52:N52"/>
    <mergeCell ref="M53:N53"/>
    <mergeCell ref="M54:N54"/>
    <mergeCell ref="M55:N55"/>
  </mergeCells>
  <phoneticPr fontId="2"/>
  <pageMargins left="0.44270833333333331" right="0.41666666666666669" top="0.60606060606060608" bottom="0.51136363636363635" header="0.3" footer="0.3"/>
  <pageSetup paperSize="9" scale="99" orientation="portrait" r:id="rId1"/>
  <headerFooter>
    <oddHeader>&amp;C&amp;"游ゴシック,太字"&amp;14R6年度　大阪府の在院患者の状況&amp;R&amp;"游ゴシック,標準"&amp;10R6.6.30時点</oddHeader>
    <oddFooter>&amp;R&amp;"メイリオ,レギュラー"&amp;10&amp;F</oddFooter>
  </headerFooter>
  <drawing r:id="rId2"/>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27">
    <tabColor theme="7" tint="-0.249977111117893"/>
  </sheetPr>
  <dimension ref="L1:Q12"/>
  <sheetViews>
    <sheetView view="pageBreakPreview" zoomScale="90" zoomScaleNormal="100" zoomScaleSheetLayoutView="90" zoomScalePageLayoutView="110" workbookViewId="0"/>
  </sheetViews>
  <sheetFormatPr defaultColWidth="9" defaultRowHeight="17.399999999999999" x14ac:dyDescent="0.2"/>
  <cols>
    <col min="1" max="11" width="9.44140625" style="1" customWidth="1"/>
    <col min="12" max="12" width="26" style="1" hidden="1" customWidth="1"/>
    <col min="13" max="17" width="11.6640625" style="1" hidden="1" customWidth="1"/>
    <col min="18" max="16384" width="9" style="1"/>
  </cols>
  <sheetData>
    <row r="1" spans="12:17" x14ac:dyDescent="0.2">
      <c r="L1" s="9" t="s">
        <v>329</v>
      </c>
      <c r="M1" s="9"/>
      <c r="N1" s="9"/>
      <c r="O1" s="9"/>
      <c r="P1" s="9"/>
      <c r="Q1" s="9"/>
    </row>
    <row r="2" spans="12:17" x14ac:dyDescent="0.2">
      <c r="L2" s="9"/>
      <c r="M2" s="368" t="s">
        <v>0</v>
      </c>
      <c r="N2" s="368"/>
      <c r="O2" s="368"/>
      <c r="P2" s="369" t="s">
        <v>1</v>
      </c>
      <c r="Q2" s="12"/>
    </row>
    <row r="3" spans="12:17" s="106" customFormat="1" x14ac:dyDescent="0.2">
      <c r="L3" s="370" t="s">
        <v>278</v>
      </c>
      <c r="M3" s="371" t="s">
        <v>156</v>
      </c>
      <c r="N3" s="372" t="s">
        <v>88</v>
      </c>
      <c r="O3" s="372" t="s">
        <v>62</v>
      </c>
      <c r="P3" s="371" t="s">
        <v>156</v>
      </c>
      <c r="Q3" s="372" t="s">
        <v>88</v>
      </c>
    </row>
    <row r="4" spans="12:17" x14ac:dyDescent="0.2">
      <c r="L4" s="373" t="s">
        <v>69</v>
      </c>
      <c r="M4" s="374">
        <f>O4-N4</f>
        <v>2805</v>
      </c>
      <c r="N4" s="374">
        <f>'４-Ⅳ'!B23</f>
        <v>3589</v>
      </c>
      <c r="O4" s="374">
        <f>'２-Ⅳ'!B22</f>
        <v>6394</v>
      </c>
      <c r="P4" s="375">
        <f>IFERROR(M4/$O4,0)</f>
        <v>0.43869252424147637</v>
      </c>
      <c r="Q4" s="375">
        <f>IFERROR(N4/$O4,)</f>
        <v>0.56130747575852358</v>
      </c>
    </row>
    <row r="5" spans="12:17" x14ac:dyDescent="0.2">
      <c r="L5" s="373" t="s">
        <v>326</v>
      </c>
      <c r="M5" s="374">
        <f t="shared" ref="M5:M7" si="0">O5-N5</f>
        <v>1260</v>
      </c>
      <c r="N5" s="374">
        <f>'４-Ⅳ'!B24</f>
        <v>2695</v>
      </c>
      <c r="O5" s="374">
        <f>'２-Ⅳ'!B23</f>
        <v>3955</v>
      </c>
      <c r="P5" s="375">
        <f>IFERROR(M5/$O5,0)</f>
        <v>0.31858407079646017</v>
      </c>
      <c r="Q5" s="375">
        <f t="shared" ref="Q5:Q12" si="1">IFERROR(N5/$O5,)</f>
        <v>0.68141592920353977</v>
      </c>
    </row>
    <row r="6" spans="12:17" x14ac:dyDescent="0.2">
      <c r="L6" s="373" t="s">
        <v>327</v>
      </c>
      <c r="M6" s="374">
        <f t="shared" si="0"/>
        <v>754</v>
      </c>
      <c r="N6" s="374">
        <f>'４-Ⅳ'!B25</f>
        <v>1052</v>
      </c>
      <c r="O6" s="374">
        <f>'２-Ⅳ'!B24</f>
        <v>1806</v>
      </c>
      <c r="P6" s="375">
        <f t="shared" ref="P6:P12" si="2">IFERROR(M6/$O6,0)</f>
        <v>0.41749723145071982</v>
      </c>
      <c r="Q6" s="375">
        <f t="shared" si="1"/>
        <v>0.58250276854928018</v>
      </c>
    </row>
    <row r="7" spans="12:17" x14ac:dyDescent="0.2">
      <c r="L7" s="373" t="s">
        <v>72</v>
      </c>
      <c r="M7" s="374">
        <f t="shared" si="0"/>
        <v>848</v>
      </c>
      <c r="N7" s="374">
        <f>'４-Ⅳ'!B26</f>
        <v>1157</v>
      </c>
      <c r="O7" s="374">
        <f>'２-Ⅳ'!B25</f>
        <v>2005</v>
      </c>
      <c r="P7" s="375">
        <f t="shared" si="2"/>
        <v>0.42294264339152121</v>
      </c>
      <c r="Q7" s="375">
        <f t="shared" si="1"/>
        <v>0.57705735660847879</v>
      </c>
    </row>
    <row r="8" spans="12:17" x14ac:dyDescent="0.2">
      <c r="L8" s="372" t="s">
        <v>328</v>
      </c>
      <c r="M8" s="371" t="s">
        <v>156</v>
      </c>
      <c r="N8" s="372" t="s">
        <v>88</v>
      </c>
      <c r="O8" s="372" t="s">
        <v>62</v>
      </c>
      <c r="P8" s="371" t="s">
        <v>156</v>
      </c>
      <c r="Q8" s="372" t="s">
        <v>88</v>
      </c>
    </row>
    <row r="9" spans="12:17" x14ac:dyDescent="0.2">
      <c r="L9" s="373" t="s">
        <v>69</v>
      </c>
      <c r="M9" s="374">
        <f>O9-N9</f>
        <v>754</v>
      </c>
      <c r="N9" s="374">
        <f>'４-Ⅳ'!D23</f>
        <v>476</v>
      </c>
      <c r="O9" s="374">
        <f>'２-Ⅳ'!H22</f>
        <v>1230</v>
      </c>
      <c r="P9" s="375">
        <f>IFERROR(M9/$O9,0)</f>
        <v>0.61300813008130084</v>
      </c>
      <c r="Q9" s="375">
        <f t="shared" si="1"/>
        <v>0.38699186991869916</v>
      </c>
    </row>
    <row r="10" spans="12:17" x14ac:dyDescent="0.2">
      <c r="L10" s="373" t="s">
        <v>326</v>
      </c>
      <c r="M10" s="374">
        <f t="shared" ref="M10:M12" si="3">O10-N10</f>
        <v>116</v>
      </c>
      <c r="N10" s="374">
        <f>'４-Ⅳ'!D24</f>
        <v>202</v>
      </c>
      <c r="O10" s="374">
        <f>'２-Ⅳ'!H23</f>
        <v>318</v>
      </c>
      <c r="P10" s="375">
        <f t="shared" si="2"/>
        <v>0.36477987421383645</v>
      </c>
      <c r="Q10" s="375">
        <f t="shared" si="1"/>
        <v>0.63522012578616349</v>
      </c>
    </row>
    <row r="11" spans="12:17" x14ac:dyDescent="0.2">
      <c r="L11" s="373" t="s">
        <v>327</v>
      </c>
      <c r="M11" s="374">
        <f t="shared" si="3"/>
        <v>59</v>
      </c>
      <c r="N11" s="374">
        <f>'４-Ⅳ'!D25</f>
        <v>86</v>
      </c>
      <c r="O11" s="374">
        <f>'２-Ⅳ'!H24</f>
        <v>145</v>
      </c>
      <c r="P11" s="375">
        <f t="shared" si="2"/>
        <v>0.40689655172413791</v>
      </c>
      <c r="Q11" s="375">
        <f t="shared" si="1"/>
        <v>0.59310344827586203</v>
      </c>
    </row>
    <row r="12" spans="12:17" x14ac:dyDescent="0.2">
      <c r="L12" s="373" t="s">
        <v>72</v>
      </c>
      <c r="M12" s="374">
        <f t="shared" si="3"/>
        <v>42</v>
      </c>
      <c r="N12" s="374">
        <f>'４-Ⅳ'!D26</f>
        <v>68</v>
      </c>
      <c r="O12" s="374">
        <f>'２-Ⅳ'!H25</f>
        <v>110</v>
      </c>
      <c r="P12" s="375">
        <f t="shared" si="2"/>
        <v>0.38181818181818183</v>
      </c>
      <c r="Q12" s="375">
        <f t="shared" si="1"/>
        <v>0.61818181818181817</v>
      </c>
    </row>
  </sheetData>
  <phoneticPr fontId="2"/>
  <pageMargins left="0.44270833333333331" right="0.41666666666666669" top="0.60606060606060608" bottom="0.51136363636363635" header="0.3" footer="0.3"/>
  <pageSetup paperSize="9" orientation="portrait" r:id="rId1"/>
  <headerFooter>
    <oddHeader>&amp;C&amp;"游ゴシック,太字"&amp;14R6年度　大阪府の在院患者の状況&amp;R&amp;"游ゴシック,標準"&amp;10R6.6.30時点</oddHeader>
    <oddFooter>&amp;R&amp;"メイリオ,レギュラー"&amp;10&amp;F</oddFooter>
  </headerFooter>
  <drawing r:id="rId2"/>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1">
    <tabColor theme="7" tint="-0.249977111117893"/>
  </sheetPr>
  <dimension ref="L1:Q24"/>
  <sheetViews>
    <sheetView view="pageBreakPreview" zoomScaleNormal="100" zoomScaleSheetLayoutView="100" zoomScalePageLayoutView="110" workbookViewId="0"/>
  </sheetViews>
  <sheetFormatPr defaultColWidth="9" defaultRowHeight="17.399999999999999" x14ac:dyDescent="0.2"/>
  <cols>
    <col min="1" max="11" width="9.44140625" style="1" customWidth="1"/>
    <col min="12" max="12" width="26" style="1" hidden="1" customWidth="1"/>
    <col min="13" max="17" width="11.6640625" style="1" hidden="1" customWidth="1"/>
    <col min="18" max="16384" width="9" style="1"/>
  </cols>
  <sheetData>
    <row r="1" spans="12:17" x14ac:dyDescent="0.2">
      <c r="L1" s="9" t="s">
        <v>329</v>
      </c>
      <c r="M1" s="9"/>
      <c r="N1" s="9"/>
      <c r="O1" s="9"/>
      <c r="P1" s="9"/>
      <c r="Q1" s="9"/>
    </row>
    <row r="2" spans="12:17" x14ac:dyDescent="0.2">
      <c r="L2" s="9"/>
      <c r="M2" s="368" t="s">
        <v>0</v>
      </c>
      <c r="N2" s="368"/>
      <c r="O2" s="368"/>
      <c r="P2" s="369" t="s">
        <v>1</v>
      </c>
      <c r="Q2" s="12"/>
    </row>
    <row r="3" spans="12:17" s="106" customFormat="1" x14ac:dyDescent="0.2">
      <c r="L3" s="370" t="s">
        <v>367</v>
      </c>
      <c r="M3" s="371" t="s">
        <v>306</v>
      </c>
      <c r="N3" s="389" t="s">
        <v>307</v>
      </c>
      <c r="O3" s="389" t="s">
        <v>368</v>
      </c>
      <c r="P3" s="371" t="s">
        <v>306</v>
      </c>
      <c r="Q3" s="389" t="s">
        <v>307</v>
      </c>
    </row>
    <row r="4" spans="12:17" x14ac:dyDescent="0.2">
      <c r="L4" s="373" t="s">
        <v>358</v>
      </c>
      <c r="M4" s="374">
        <f>O4-N4</f>
        <v>2805</v>
      </c>
      <c r="N4" s="374">
        <f>'４-Ⅳ'!B23</f>
        <v>3589</v>
      </c>
      <c r="O4" s="374">
        <f>'２-Ⅳ'!B22</f>
        <v>6394</v>
      </c>
      <c r="P4" s="375">
        <f>IFERROR(M4/$O4,0)</f>
        <v>0.43869252424147637</v>
      </c>
      <c r="Q4" s="375">
        <f>IFERROR(N4/$O4,)</f>
        <v>0.56130747575852358</v>
      </c>
    </row>
    <row r="5" spans="12:17" x14ac:dyDescent="0.2">
      <c r="L5" s="373" t="s">
        <v>359</v>
      </c>
      <c r="M5" s="374">
        <f>O5-N5</f>
        <v>1260</v>
      </c>
      <c r="N5" s="374">
        <f>'４-Ⅳ'!B24</f>
        <v>2695</v>
      </c>
      <c r="O5" s="374">
        <f>'２-Ⅳ'!B23</f>
        <v>3955</v>
      </c>
      <c r="P5" s="375">
        <f>IFERROR(M5/$O5,0)</f>
        <v>0.31858407079646017</v>
      </c>
      <c r="Q5" s="375">
        <f>IFERROR(N5/$O5,)</f>
        <v>0.68141592920353977</v>
      </c>
    </row>
    <row r="6" spans="12:17" x14ac:dyDescent="0.2">
      <c r="L6" s="373" t="s">
        <v>360</v>
      </c>
      <c r="M6" s="374">
        <f>O6-N6</f>
        <v>754</v>
      </c>
      <c r="N6" s="374">
        <f>'４-Ⅳ'!B25</f>
        <v>1052</v>
      </c>
      <c r="O6" s="374">
        <f>'２-Ⅳ'!B24</f>
        <v>1806</v>
      </c>
      <c r="P6" s="375">
        <f>IFERROR(M6/$O6,0)</f>
        <v>0.41749723145071982</v>
      </c>
      <c r="Q6" s="375">
        <f>IFERROR(N6/$O6,)</f>
        <v>0.58250276854928018</v>
      </c>
    </row>
    <row r="7" spans="12:17" x14ac:dyDescent="0.2">
      <c r="L7" s="373" t="s">
        <v>361</v>
      </c>
      <c r="M7" s="374">
        <f>O7-N7</f>
        <v>848</v>
      </c>
      <c r="N7" s="374">
        <f>'４-Ⅳ'!B26</f>
        <v>1157</v>
      </c>
      <c r="O7" s="374">
        <f>'２-Ⅳ'!B25</f>
        <v>2005</v>
      </c>
      <c r="P7" s="375">
        <f>IFERROR(M7/$O7,0)</f>
        <v>0.42294264339152121</v>
      </c>
      <c r="Q7" s="375">
        <f>IFERROR(N7/$O7,)</f>
        <v>0.57705735660847879</v>
      </c>
    </row>
    <row r="8" spans="12:17" x14ac:dyDescent="0.2">
      <c r="L8" s="389" t="s">
        <v>369</v>
      </c>
      <c r="M8" s="371" t="s">
        <v>306</v>
      </c>
      <c r="N8" s="389" t="s">
        <v>307</v>
      </c>
      <c r="O8" s="389" t="s">
        <v>368</v>
      </c>
      <c r="P8" s="371" t="s">
        <v>306</v>
      </c>
      <c r="Q8" s="389" t="s">
        <v>307</v>
      </c>
    </row>
    <row r="9" spans="12:17" x14ac:dyDescent="0.2">
      <c r="L9" s="373" t="s">
        <v>358</v>
      </c>
      <c r="M9" s="374">
        <f>O9-N9</f>
        <v>754</v>
      </c>
      <c r="N9" s="374">
        <f>'４-Ⅳ'!D23</f>
        <v>476</v>
      </c>
      <c r="O9" s="374">
        <f>'２-Ⅳ'!H22</f>
        <v>1230</v>
      </c>
      <c r="P9" s="375">
        <f>IFERROR(M9/$O9,0)</f>
        <v>0.61300813008130084</v>
      </c>
      <c r="Q9" s="375">
        <f>IFERROR(N9/$O9,)</f>
        <v>0.38699186991869916</v>
      </c>
    </row>
    <row r="10" spans="12:17" x14ac:dyDescent="0.2">
      <c r="L10" s="373" t="s">
        <v>359</v>
      </c>
      <c r="M10" s="374">
        <f>O10-N10</f>
        <v>116</v>
      </c>
      <c r="N10" s="374">
        <f>'４-Ⅳ'!D24</f>
        <v>202</v>
      </c>
      <c r="O10" s="374">
        <f>'２-Ⅳ'!H23</f>
        <v>318</v>
      </c>
      <c r="P10" s="375">
        <f>IFERROR(M10/$O10,0)</f>
        <v>0.36477987421383645</v>
      </c>
      <c r="Q10" s="375">
        <f>IFERROR(N10/$O10,)</f>
        <v>0.63522012578616349</v>
      </c>
    </row>
    <row r="11" spans="12:17" x14ac:dyDescent="0.2">
      <c r="L11" s="373" t="s">
        <v>360</v>
      </c>
      <c r="M11" s="374">
        <f>O11-N11</f>
        <v>59</v>
      </c>
      <c r="N11" s="374">
        <f>'４-Ⅳ'!D25</f>
        <v>86</v>
      </c>
      <c r="O11" s="374">
        <f>'２-Ⅳ'!H24</f>
        <v>145</v>
      </c>
      <c r="P11" s="375">
        <f>IFERROR(M11/$O11,0)</f>
        <v>0.40689655172413791</v>
      </c>
      <c r="Q11" s="375">
        <f>IFERROR(N11/$O11,)</f>
        <v>0.59310344827586203</v>
      </c>
    </row>
    <row r="12" spans="12:17" x14ac:dyDescent="0.2">
      <c r="L12" s="373" t="s">
        <v>361</v>
      </c>
      <c r="M12" s="374">
        <f>O12-N12</f>
        <v>42</v>
      </c>
      <c r="N12" s="374">
        <f>'４-Ⅳ'!D26</f>
        <v>68</v>
      </c>
      <c r="O12" s="374">
        <f>'２-Ⅳ'!H25</f>
        <v>110</v>
      </c>
      <c r="P12" s="375">
        <f>IFERROR(M12/$O12,0)</f>
        <v>0.38181818181818183</v>
      </c>
      <c r="Q12" s="375">
        <f>IFERROR(N12/$O12,)</f>
        <v>0.61818181818181817</v>
      </c>
    </row>
    <row r="17" spans="12:17" x14ac:dyDescent="0.2">
      <c r="L17" s="9" t="s">
        <v>329</v>
      </c>
      <c r="M17" s="9"/>
      <c r="N17" s="9"/>
      <c r="O17" s="9"/>
      <c r="P17" s="9"/>
      <c r="Q17" s="9"/>
    </row>
    <row r="18" spans="12:17" x14ac:dyDescent="0.2">
      <c r="L18" s="9"/>
      <c r="M18" s="368" t="s">
        <v>0</v>
      </c>
      <c r="N18" s="368"/>
      <c r="O18" s="368"/>
      <c r="P18" s="369" t="s">
        <v>1</v>
      </c>
      <c r="Q18" s="12"/>
    </row>
    <row r="19" spans="12:17" x14ac:dyDescent="0.2">
      <c r="L19" s="370" t="s">
        <v>278</v>
      </c>
      <c r="M19" s="371" t="s">
        <v>156</v>
      </c>
      <c r="N19" s="389" t="s">
        <v>88</v>
      </c>
      <c r="O19" s="389" t="s">
        <v>62</v>
      </c>
      <c r="P19" s="371" t="s">
        <v>156</v>
      </c>
      <c r="Q19" s="389" t="s">
        <v>88</v>
      </c>
    </row>
    <row r="20" spans="12:17" x14ac:dyDescent="0.2">
      <c r="L20" s="373" t="s">
        <v>69</v>
      </c>
      <c r="M20" s="374">
        <f>M4</f>
        <v>2805</v>
      </c>
      <c r="N20" s="374">
        <f>N4</f>
        <v>3589</v>
      </c>
      <c r="O20" s="374">
        <f>SUM(M20:N20)</f>
        <v>6394</v>
      </c>
      <c r="P20" s="375">
        <f>IFERROR(M20/$O20,0)</f>
        <v>0.43869252424147637</v>
      </c>
      <c r="Q20" s="375">
        <f>IFERROR(N20/$O20,)</f>
        <v>0.56130747575852358</v>
      </c>
    </row>
    <row r="21" spans="12:17" x14ac:dyDescent="0.2">
      <c r="L21" s="373" t="s">
        <v>370</v>
      </c>
      <c r="M21" s="374">
        <f>SUM(M5:M7)</f>
        <v>2862</v>
      </c>
      <c r="N21" s="374">
        <f>SUM(N5:N7)</f>
        <v>4904</v>
      </c>
      <c r="O21" s="374">
        <f>SUM(M21:N21)</f>
        <v>7766</v>
      </c>
      <c r="P21" s="375">
        <f>IFERROR(M21/$O21,0)</f>
        <v>0.36852948750965747</v>
      </c>
      <c r="Q21" s="375">
        <f>IFERROR(N21/$O21,)</f>
        <v>0.63147051249034247</v>
      </c>
    </row>
    <row r="22" spans="12:17" x14ac:dyDescent="0.2">
      <c r="L22" s="389" t="s">
        <v>328</v>
      </c>
      <c r="M22" s="371" t="s">
        <v>156</v>
      </c>
      <c r="N22" s="389" t="s">
        <v>88</v>
      </c>
      <c r="O22" s="389" t="s">
        <v>62</v>
      </c>
      <c r="P22" s="371" t="s">
        <v>156</v>
      </c>
      <c r="Q22" s="389" t="s">
        <v>88</v>
      </c>
    </row>
    <row r="23" spans="12:17" x14ac:dyDescent="0.2">
      <c r="L23" s="373" t="s">
        <v>69</v>
      </c>
      <c r="M23" s="374">
        <f>M9</f>
        <v>754</v>
      </c>
      <c r="N23" s="374">
        <f>N9</f>
        <v>476</v>
      </c>
      <c r="O23" s="374">
        <f t="shared" ref="O23:O24" si="0">SUM(M23:N23)</f>
        <v>1230</v>
      </c>
      <c r="P23" s="375">
        <f>IFERROR(M23/$O23,0)</f>
        <v>0.61300813008130084</v>
      </c>
      <c r="Q23" s="375">
        <f>IFERROR(N23/$O23,)</f>
        <v>0.38699186991869916</v>
      </c>
    </row>
    <row r="24" spans="12:17" x14ac:dyDescent="0.2">
      <c r="L24" s="373" t="s">
        <v>370</v>
      </c>
      <c r="M24" s="374">
        <f>SUM(M10:M12)</f>
        <v>217</v>
      </c>
      <c r="N24" s="374">
        <f>SUM(N10:N12)</f>
        <v>356</v>
      </c>
      <c r="O24" s="374">
        <f t="shared" si="0"/>
        <v>573</v>
      </c>
      <c r="P24" s="375">
        <f>IFERROR(M24/$O24,0)</f>
        <v>0.37870855148342059</v>
      </c>
      <c r="Q24" s="375">
        <f>IFERROR(N24/$O24,)</f>
        <v>0.62129144851657936</v>
      </c>
    </row>
  </sheetData>
  <phoneticPr fontId="2"/>
  <pageMargins left="0.44270833333333331" right="0.41666666666666669" top="0.60606060606060608" bottom="0.51136363636363635" header="0.3" footer="0.3"/>
  <pageSetup paperSize="9" orientation="portrait" r:id="rId1"/>
  <headerFooter>
    <oddHeader>&amp;C&amp;"游ゴシック,太字"&amp;14R6年度　大阪府の在院患者の状況&amp;R&amp;"游ゴシック,標準"&amp;10R6.6.30時点</oddHeader>
    <oddFooter>&amp;R&amp;"メイリオ,レギュラー"&amp;10&amp;F</oddFooter>
  </headerFooter>
  <drawing r:id="rId2"/>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8">
    <tabColor theme="7" tint="-0.249977111117893"/>
  </sheetPr>
  <dimension ref="B1:S34"/>
  <sheetViews>
    <sheetView showWhiteSpace="0" view="pageBreakPreview" zoomScale="80" zoomScaleNormal="70" zoomScaleSheetLayoutView="80" zoomScalePageLayoutView="80" workbookViewId="0"/>
  </sheetViews>
  <sheetFormatPr defaultColWidth="9" defaultRowHeight="28.5" customHeight="1" x14ac:dyDescent="0.2"/>
  <cols>
    <col min="1" max="1" width="4.77734375" style="1" customWidth="1"/>
    <col min="2" max="2" width="11.109375" style="310" customWidth="1"/>
    <col min="3" max="3" width="38.21875" style="1" customWidth="1"/>
    <col min="4" max="4" width="12.33203125" style="1" customWidth="1"/>
    <col min="5" max="5" width="38.21875" style="1" customWidth="1"/>
    <col min="6" max="6" width="12.33203125" style="1" customWidth="1"/>
    <col min="7" max="7" width="7.109375" style="1" customWidth="1"/>
    <col min="8" max="8" width="30.88671875" style="1" hidden="1" customWidth="1"/>
    <col min="9" max="9" width="11" style="1" hidden="1" customWidth="1"/>
    <col min="10" max="10" width="9.44140625" style="1" hidden="1" customWidth="1"/>
    <col min="11" max="13" width="9" style="1" hidden="1" customWidth="1"/>
    <col min="14" max="14" width="9.109375" style="1" hidden="1" customWidth="1"/>
    <col min="15" max="15" width="28.44140625" style="1" hidden="1" customWidth="1"/>
    <col min="16" max="16" width="9.6640625" style="1" hidden="1" customWidth="1"/>
    <col min="17" max="19" width="9" style="1" hidden="1" customWidth="1"/>
    <col min="20" max="20" width="0" style="1" hidden="1" customWidth="1"/>
    <col min="21" max="16384" width="9" style="1"/>
  </cols>
  <sheetData>
    <row r="1" spans="2:19" ht="88.5" customHeight="1" x14ac:dyDescent="0.2">
      <c r="H1" s="9" t="s">
        <v>348</v>
      </c>
      <c r="I1" s="9"/>
      <c r="J1" s="9"/>
      <c r="K1" s="9"/>
      <c r="L1" s="9"/>
      <c r="M1" s="9"/>
      <c r="N1" s="9"/>
      <c r="O1" s="9"/>
      <c r="P1" s="9"/>
      <c r="Q1" s="9"/>
      <c r="R1" s="9"/>
      <c r="S1" s="9"/>
    </row>
    <row r="2" spans="2:19" ht="63" customHeight="1" thickBot="1" x14ac:dyDescent="0.25">
      <c r="B2" s="1093" t="s">
        <v>341</v>
      </c>
      <c r="C2" s="1093"/>
      <c r="H2" s="376" t="s">
        <v>345</v>
      </c>
      <c r="I2" s="1092" t="s">
        <v>330</v>
      </c>
      <c r="J2" s="1092"/>
      <c r="K2" s="1092" t="s">
        <v>331</v>
      </c>
      <c r="L2" s="1092"/>
      <c r="M2" s="9"/>
      <c r="N2" s="9"/>
      <c r="O2" s="9"/>
      <c r="P2" s="9"/>
      <c r="Q2" s="9"/>
      <c r="R2" s="9"/>
      <c r="S2" s="9"/>
    </row>
    <row r="3" spans="2:19" ht="72" customHeight="1" x14ac:dyDescent="0.2">
      <c r="B3" s="313"/>
      <c r="C3" s="1094" t="str">
        <f>"全在院患者（"&amp;$I$9&amp;"人)中"</f>
        <v>全在院患者（1751人)中</v>
      </c>
      <c r="D3" s="1094"/>
      <c r="E3" s="1094" t="str">
        <f>"在院1年以上寛解・院内寛解群（"&amp;$K$9&amp;"人)中"</f>
        <v>在院1年以上寛解・院内寛解群（336人)中</v>
      </c>
      <c r="F3" s="1095"/>
      <c r="H3" s="377" t="s">
        <v>338</v>
      </c>
      <c r="I3" s="378">
        <f>'２-Ⅵ'!B5</f>
        <v>1982</v>
      </c>
      <c r="J3" s="375">
        <f>'２-Ⅵ'!C5</f>
        <v>0.13997175141242937</v>
      </c>
      <c r="K3" s="374">
        <f>'３-Ⅴ'!H5</f>
        <v>344</v>
      </c>
      <c r="L3" s="375">
        <f>'３-Ⅴ'!I5</f>
        <v>0.6003490401396161</v>
      </c>
      <c r="M3" s="9"/>
      <c r="N3" s="9"/>
      <c r="O3" s="9"/>
      <c r="P3" s="9"/>
      <c r="Q3" s="9"/>
      <c r="R3" s="9"/>
      <c r="S3" s="9"/>
    </row>
    <row r="4" spans="2:19" ht="72" customHeight="1" x14ac:dyDescent="0.2">
      <c r="B4" s="314">
        <v>1</v>
      </c>
      <c r="C4" s="311" t="str">
        <f>INDEX($H$15:$H$34,MATCH(B4,$M$15:$M$34,0))</f>
        <v>現実認識が乏しい</v>
      </c>
      <c r="D4" s="312">
        <f>LARGE($J$15:$J$34,B4)</f>
        <v>0.46544831524842945</v>
      </c>
      <c r="E4" s="311" t="str">
        <f>INDEX($H$15:$H$34,MATCH(B4,$N$15:$N$34,0))</f>
        <v>退院意欲が乏しい</v>
      </c>
      <c r="F4" s="315">
        <f>LARGE($L$15:$L$34,B4)</f>
        <v>0.47916666666666669</v>
      </c>
      <c r="H4" s="377" t="s">
        <v>339</v>
      </c>
      <c r="I4" s="378">
        <f>'２-Ⅵ'!B6</f>
        <v>10522</v>
      </c>
      <c r="J4" s="375">
        <f>'２-Ⅵ'!C6</f>
        <v>0.74307909604519773</v>
      </c>
      <c r="K4" s="374">
        <f>'３-Ⅴ'!H6</f>
        <v>174</v>
      </c>
      <c r="L4" s="375">
        <f>'３-Ⅴ'!I6</f>
        <v>0.30366492146596857</v>
      </c>
      <c r="M4" s="9"/>
      <c r="N4" s="9"/>
      <c r="O4" s="9"/>
      <c r="P4" s="9"/>
      <c r="Q4" s="9"/>
      <c r="R4" s="9"/>
      <c r="S4" s="9"/>
    </row>
    <row r="5" spans="2:19" ht="72" customHeight="1" x14ac:dyDescent="0.2">
      <c r="B5" s="314">
        <v>2</v>
      </c>
      <c r="C5" s="311" t="str">
        <f>INDEX($H$15:$H$34,MATCH(B5,$M$15:$M$34,0))</f>
        <v>退院意欲が乏しい</v>
      </c>
      <c r="D5" s="312">
        <f>LARGE($J$15:$J$34,B5)</f>
        <v>0.40719588806396345</v>
      </c>
      <c r="E5" s="311" t="str">
        <f>INDEX($H$15:$H$34,MATCH(B5,$N$15:$N$34,0))</f>
        <v>現実認識が乏しい</v>
      </c>
      <c r="F5" s="315">
        <f>LARGE($L$15:$L$34,B5)</f>
        <v>0.3125</v>
      </c>
      <c r="H5" s="373" t="s">
        <v>36</v>
      </c>
      <c r="I5" s="378">
        <f>'２-Ⅵ'!B7</f>
        <v>1656</v>
      </c>
      <c r="J5" s="375">
        <f>'２-Ⅵ'!C7</f>
        <v>0.11694915254237288</v>
      </c>
      <c r="K5" s="374">
        <f>'３-Ⅴ'!H7</f>
        <v>55</v>
      </c>
      <c r="L5" s="375">
        <f>'３-Ⅴ'!I7</f>
        <v>9.5986038394415357E-2</v>
      </c>
      <c r="M5" s="9"/>
      <c r="N5" s="9"/>
      <c r="O5" s="9"/>
      <c r="P5" s="9"/>
      <c r="Q5" s="9"/>
      <c r="R5" s="9"/>
      <c r="S5" s="9"/>
    </row>
    <row r="6" spans="2:19" ht="72" customHeight="1" x14ac:dyDescent="0.2">
      <c r="B6" s="314">
        <v>3</v>
      </c>
      <c r="C6" s="311" t="str">
        <f>INDEX($H$15:$H$34,MATCH(B6,$M$15:$M$34,0))</f>
        <v>病状は落ち着いているが、ときどき不安定な病状が見られ、そのことが退院を阻害する要因になっている</v>
      </c>
      <c r="D6" s="312">
        <f>LARGE($J$15:$J$34,B6)</f>
        <v>0.34723015419760139</v>
      </c>
      <c r="E6" s="311" t="str">
        <f>INDEX($H$15:$H$34,MATCH(B6,$N$15:$N$34,0))</f>
        <v>家事（食事・洗濯・金銭管理など）ができない</v>
      </c>
      <c r="F6" s="315">
        <f>LARGE($L$15:$L$34,B6)</f>
        <v>0.27083333333333331</v>
      </c>
      <c r="H6" s="373" t="s">
        <v>12</v>
      </c>
      <c r="I6" s="378">
        <f>'２-Ⅵ'!B8</f>
        <v>14160</v>
      </c>
      <c r="J6" s="375">
        <f>'２-Ⅵ'!C8</f>
        <v>1</v>
      </c>
      <c r="K6" s="374">
        <f>'３-Ⅴ'!H8</f>
        <v>573</v>
      </c>
      <c r="L6" s="375">
        <f>'３-Ⅴ'!I8</f>
        <v>1</v>
      </c>
      <c r="M6" s="9"/>
      <c r="N6" s="9"/>
      <c r="O6" s="9"/>
      <c r="P6" s="9"/>
      <c r="Q6" s="9"/>
      <c r="R6" s="9"/>
      <c r="S6" s="9"/>
    </row>
    <row r="7" spans="2:19" ht="72" customHeight="1" x14ac:dyDescent="0.2">
      <c r="B7" s="314">
        <v>4</v>
      </c>
      <c r="C7" s="311" t="str">
        <f>INDEX($H$15:$H$34,MATCH(B7,$M$15:$M$34,0))</f>
        <v>住まいの確保ができない</v>
      </c>
      <c r="D7" s="312">
        <f>LARGE($J$15:$J$34,B7)</f>
        <v>0.33066818960593947</v>
      </c>
      <c r="E7" s="311" t="str">
        <f>INDEX($H$15:$H$34,MATCH(B7,$N$15:$N$34,0))</f>
        <v>病状は落ち着いているが、ときどき不安定な病状が見られ、そのことが退院を阻害する要因になっている</v>
      </c>
      <c r="F7" s="315">
        <f>LARGE($L$15:$L$34,B7)</f>
        <v>0.26785714285714285</v>
      </c>
      <c r="H7" s="9"/>
      <c r="I7" s="9"/>
      <c r="J7" s="379"/>
      <c r="K7" s="9"/>
      <c r="L7" s="9"/>
      <c r="M7" s="9"/>
      <c r="N7" s="9"/>
      <c r="O7" s="9"/>
      <c r="P7" s="9"/>
      <c r="Q7" s="9"/>
      <c r="R7" s="9"/>
      <c r="S7" s="9"/>
    </row>
    <row r="8" spans="2:19" ht="72" customHeight="1" thickBot="1" x14ac:dyDescent="0.25">
      <c r="B8" s="316">
        <v>5</v>
      </c>
      <c r="C8" s="317" t="str">
        <f>INDEX($H$15:$H$34,MATCH(B8,$M$15:$M$34,0))</f>
        <v>家事（食事・洗濯・金銭管理など）ができない</v>
      </c>
      <c r="D8" s="318">
        <f>LARGE($J$15:$J$34,B8)</f>
        <v>0.32838378069674473</v>
      </c>
      <c r="E8" s="317" t="str">
        <f>INDEX($H$15:$H$34,MATCH(B8,$N$15:$N$34,0))</f>
        <v>住まいの確保ができない</v>
      </c>
      <c r="F8" s="319">
        <f>LARGE($L$15:$L$34,B8)</f>
        <v>0.26190476190476192</v>
      </c>
      <c r="H8" s="380" t="s">
        <v>346</v>
      </c>
      <c r="I8" s="1092" t="s">
        <v>330</v>
      </c>
      <c r="J8" s="1092"/>
      <c r="K8" s="1092" t="s">
        <v>331</v>
      </c>
      <c r="L8" s="1092"/>
      <c r="M8" s="9"/>
      <c r="N8" s="9"/>
      <c r="O8" s="376" t="s">
        <v>347</v>
      </c>
      <c r="P8" s="1092" t="s">
        <v>330</v>
      </c>
      <c r="Q8" s="1092"/>
      <c r="R8" s="1092" t="s">
        <v>331</v>
      </c>
      <c r="S8" s="1092"/>
    </row>
    <row r="9" spans="2:19" ht="63" customHeight="1" x14ac:dyDescent="0.2">
      <c r="H9" s="373" t="s">
        <v>34</v>
      </c>
      <c r="I9" s="378">
        <f>'２-Ⅵ'!B14</f>
        <v>1751</v>
      </c>
      <c r="J9" s="375">
        <f>'２-Ⅵ'!C14</f>
        <v>0.88345105953582237</v>
      </c>
      <c r="K9" s="378">
        <f>'３-Ⅴ'!H14</f>
        <v>336</v>
      </c>
      <c r="L9" s="375">
        <f>'３-Ⅴ'!I14</f>
        <v>0.97674418604651159</v>
      </c>
      <c r="M9" s="9"/>
      <c r="N9" s="9"/>
      <c r="O9" s="377" t="s">
        <v>343</v>
      </c>
      <c r="P9" s="378">
        <f>I4</f>
        <v>10522</v>
      </c>
      <c r="Q9" s="375">
        <f>IFERROR(P9/$P$13,0)</f>
        <v>0.74307909604519773</v>
      </c>
      <c r="R9" s="374">
        <f>K4</f>
        <v>174</v>
      </c>
      <c r="S9" s="375">
        <f>IFERROR(R9/$R$13,0)</f>
        <v>0.30366492146596857</v>
      </c>
    </row>
    <row r="10" spans="2:19" ht="63" customHeight="1" x14ac:dyDescent="0.2">
      <c r="H10" s="373" t="s">
        <v>340</v>
      </c>
      <c r="I10" s="378">
        <f>'２-Ⅵ'!B15</f>
        <v>231</v>
      </c>
      <c r="J10" s="375">
        <f>'２-Ⅵ'!C15</f>
        <v>0.1165489404641776</v>
      </c>
      <c r="K10" s="378">
        <f>'３-Ⅴ'!H15</f>
        <v>8</v>
      </c>
      <c r="L10" s="375">
        <f>'３-Ⅴ'!I15</f>
        <v>2.3255813953488372E-2</v>
      </c>
      <c r="M10" s="9"/>
      <c r="N10" s="9"/>
      <c r="O10" s="373" t="s">
        <v>344</v>
      </c>
      <c r="P10" s="378">
        <f>I5</f>
        <v>1656</v>
      </c>
      <c r="Q10" s="375">
        <f t="shared" ref="Q10:Q13" si="0">IFERROR(P10/$P$13,0)</f>
        <v>0.11694915254237288</v>
      </c>
      <c r="R10" s="374">
        <f>K5</f>
        <v>55</v>
      </c>
      <c r="S10" s="375">
        <f t="shared" ref="S10:S13" si="1">IFERROR(R10/$R$13,0)</f>
        <v>9.5986038394415357E-2</v>
      </c>
    </row>
    <row r="11" spans="2:19" ht="63" customHeight="1" x14ac:dyDescent="0.2">
      <c r="H11" s="373" t="s">
        <v>12</v>
      </c>
      <c r="I11" s="378">
        <f>'２-Ⅵ'!B16</f>
        <v>1982</v>
      </c>
      <c r="J11" s="375">
        <f>'２-Ⅵ'!C16</f>
        <v>1</v>
      </c>
      <c r="K11" s="378">
        <f>'３-Ⅴ'!H16</f>
        <v>344</v>
      </c>
      <c r="L11" s="375">
        <f>'３-Ⅴ'!I16</f>
        <v>1</v>
      </c>
      <c r="M11" s="9"/>
      <c r="N11" s="9"/>
      <c r="O11" s="373" t="s">
        <v>34</v>
      </c>
      <c r="P11" s="378">
        <f>I9</f>
        <v>1751</v>
      </c>
      <c r="Q11" s="375">
        <f t="shared" si="0"/>
        <v>0.12365819209039548</v>
      </c>
      <c r="R11" s="374">
        <f>K9</f>
        <v>336</v>
      </c>
      <c r="S11" s="375">
        <f t="shared" si="1"/>
        <v>0.58638743455497377</v>
      </c>
    </row>
    <row r="12" spans="2:19" ht="63" customHeight="1" x14ac:dyDescent="0.2">
      <c r="H12" s="9"/>
      <c r="I12" s="9"/>
      <c r="J12" s="9"/>
      <c r="K12" s="9"/>
      <c r="L12" s="9"/>
      <c r="M12" s="9"/>
      <c r="N12" s="9"/>
      <c r="O12" s="373" t="s">
        <v>340</v>
      </c>
      <c r="P12" s="378">
        <f>I10</f>
        <v>231</v>
      </c>
      <c r="Q12" s="375">
        <f t="shared" si="0"/>
        <v>1.6313559322033898E-2</v>
      </c>
      <c r="R12" s="374">
        <f>K10</f>
        <v>8</v>
      </c>
      <c r="S12" s="375">
        <f t="shared" si="1"/>
        <v>1.3961605584642234E-2</v>
      </c>
    </row>
    <row r="13" spans="2:19" ht="63" customHeight="1" x14ac:dyDescent="0.2">
      <c r="H13" s="9"/>
      <c r="I13" s="9"/>
      <c r="J13" s="9"/>
      <c r="K13" s="9"/>
      <c r="L13" s="9"/>
      <c r="M13" s="9"/>
      <c r="N13" s="9"/>
      <c r="O13" s="373" t="s">
        <v>12</v>
      </c>
      <c r="P13" s="374">
        <f>SUM(P9:P12)</f>
        <v>14160</v>
      </c>
      <c r="Q13" s="375">
        <f t="shared" si="0"/>
        <v>1</v>
      </c>
      <c r="R13" s="374">
        <f>SUM(R9:R12)</f>
        <v>573</v>
      </c>
      <c r="S13" s="375">
        <f t="shared" si="1"/>
        <v>1</v>
      </c>
    </row>
    <row r="14" spans="2:19" ht="63" customHeight="1" x14ac:dyDescent="0.2">
      <c r="H14" s="370"/>
      <c r="I14" s="1092" t="s">
        <v>330</v>
      </c>
      <c r="J14" s="1092"/>
      <c r="K14" s="1092" t="s">
        <v>331</v>
      </c>
      <c r="L14" s="1092"/>
      <c r="M14" s="368" t="s">
        <v>342</v>
      </c>
      <c r="N14" s="368" t="s">
        <v>342</v>
      </c>
      <c r="O14" s="9"/>
      <c r="P14" s="9"/>
      <c r="Q14" s="9"/>
      <c r="R14" s="9"/>
      <c r="S14" s="9"/>
    </row>
    <row r="15" spans="2:19" s="106" customFormat="1" ht="63" customHeight="1" x14ac:dyDescent="0.2">
      <c r="B15" s="310"/>
      <c r="H15" s="381" t="s">
        <v>332</v>
      </c>
      <c r="I15" s="378">
        <f>'２-Ⅵ'!B23</f>
        <v>608</v>
      </c>
      <c r="J15" s="375">
        <f>'２-Ⅵ'!C23</f>
        <v>0.34723015419760139</v>
      </c>
      <c r="K15" s="378">
        <f>'３-Ⅴ'!H23</f>
        <v>90</v>
      </c>
      <c r="L15" s="375">
        <f>'３-Ⅴ'!I23</f>
        <v>0.26785714285714285</v>
      </c>
      <c r="M15" s="382">
        <f>_xlfn.RANK.EQ(J15,$J$15:$J$34)+COUNTIF($J$15:J15,J15)-1</f>
        <v>3</v>
      </c>
      <c r="N15" s="382">
        <f>_xlfn.RANK.EQ(L15,$L$15:$L$34)+COUNTIF($L$15:L15,L15)-1</f>
        <v>4</v>
      </c>
      <c r="O15" s="368"/>
      <c r="P15" s="368"/>
      <c r="Q15" s="368"/>
      <c r="R15" s="368"/>
      <c r="S15" s="368"/>
    </row>
    <row r="16" spans="2:19" ht="63" customHeight="1" x14ac:dyDescent="0.2">
      <c r="H16" s="383" t="s">
        <v>66</v>
      </c>
      <c r="I16" s="378">
        <f>'２-Ⅵ'!B24</f>
        <v>454</v>
      </c>
      <c r="J16" s="375">
        <f>'２-Ⅵ'!C24</f>
        <v>0.25928041119360368</v>
      </c>
      <c r="K16" s="378">
        <f>'３-Ⅴ'!H24</f>
        <v>54</v>
      </c>
      <c r="L16" s="375">
        <f>'３-Ⅴ'!I24</f>
        <v>0.16071428571428573</v>
      </c>
      <c r="M16" s="382">
        <f>_xlfn.RANK.EQ(J16,$J$15:$J$34)+COUNTIF($J$15:J16,J16)-1</f>
        <v>7</v>
      </c>
      <c r="N16" s="382">
        <f>_xlfn.RANK.EQ(L16,$L$15:$L$34)+COUNTIF($L$15:L16,L16)-1</f>
        <v>9</v>
      </c>
      <c r="O16" s="9"/>
      <c r="P16" s="9"/>
      <c r="Q16" s="9"/>
      <c r="R16" s="9"/>
      <c r="S16" s="9"/>
    </row>
    <row r="17" spans="8:19" ht="63" customHeight="1" x14ac:dyDescent="0.2">
      <c r="H17" s="383" t="s">
        <v>38</v>
      </c>
      <c r="I17" s="378">
        <f>'２-Ⅵ'!B25</f>
        <v>61</v>
      </c>
      <c r="J17" s="375">
        <f>'２-Ⅵ'!C25</f>
        <v>3.4837235865219876E-2</v>
      </c>
      <c r="K17" s="378">
        <f>'３-Ⅴ'!H25</f>
        <v>6</v>
      </c>
      <c r="L17" s="375">
        <f>'３-Ⅴ'!I25</f>
        <v>1.7857142857142856E-2</v>
      </c>
      <c r="M17" s="382">
        <f>_xlfn.RANK.EQ(J17,$J$15:$J$34)+COUNTIF($J$15:J17,J17)-1</f>
        <v>17</v>
      </c>
      <c r="N17" s="382">
        <f>_xlfn.RANK.EQ(L17,$L$15:$L$34)+COUNTIF($L$15:L17,L17)-1</f>
        <v>18</v>
      </c>
      <c r="O17" s="9"/>
      <c r="P17" s="9"/>
      <c r="Q17" s="9"/>
      <c r="R17" s="9"/>
      <c r="S17" s="9"/>
    </row>
    <row r="18" spans="8:19" ht="63" customHeight="1" x14ac:dyDescent="0.2">
      <c r="H18" s="383" t="s">
        <v>39</v>
      </c>
      <c r="I18" s="378">
        <f>'２-Ⅵ'!B26</f>
        <v>713</v>
      </c>
      <c r="J18" s="375">
        <f>'２-Ⅵ'!C26</f>
        <v>0.40719588806396345</v>
      </c>
      <c r="K18" s="378">
        <f>'３-Ⅴ'!H26</f>
        <v>161</v>
      </c>
      <c r="L18" s="375">
        <f>'３-Ⅴ'!I26</f>
        <v>0.47916666666666669</v>
      </c>
      <c r="M18" s="382">
        <f>_xlfn.RANK.EQ(J18,$J$15:$J$34)+COUNTIF($J$15:J18,J18)-1</f>
        <v>2</v>
      </c>
      <c r="N18" s="382">
        <f>_xlfn.RANK.EQ(L18,$L$15:$L$34)+COUNTIF($L$15:L18,L18)-1</f>
        <v>1</v>
      </c>
      <c r="O18" s="9"/>
      <c r="P18" s="9"/>
      <c r="Q18" s="9"/>
      <c r="R18" s="9"/>
      <c r="S18" s="9"/>
    </row>
    <row r="19" spans="8:19" ht="63" customHeight="1" x14ac:dyDescent="0.2">
      <c r="H19" s="383" t="s">
        <v>40</v>
      </c>
      <c r="I19" s="378">
        <f>'２-Ⅵ'!B27</f>
        <v>815</v>
      </c>
      <c r="J19" s="375">
        <f>'２-Ⅵ'!C27</f>
        <v>0.46544831524842945</v>
      </c>
      <c r="K19" s="378">
        <f>'３-Ⅴ'!H27</f>
        <v>105</v>
      </c>
      <c r="L19" s="375">
        <f>'３-Ⅴ'!I27</f>
        <v>0.3125</v>
      </c>
      <c r="M19" s="382">
        <f>_xlfn.RANK.EQ(J19,$J$15:$J$34)+COUNTIF($J$15:J19,J19)-1</f>
        <v>1</v>
      </c>
      <c r="N19" s="382">
        <f>_xlfn.RANK.EQ(L19,$L$15:$L$34)+COUNTIF($L$15:L19,L19)-1</f>
        <v>2</v>
      </c>
      <c r="O19" s="9"/>
      <c r="P19" s="9"/>
      <c r="Q19" s="9"/>
      <c r="R19" s="9"/>
      <c r="S19" s="9"/>
    </row>
    <row r="20" spans="8:19" ht="63" customHeight="1" x14ac:dyDescent="0.2">
      <c r="H20" s="383" t="s">
        <v>333</v>
      </c>
      <c r="I20" s="378">
        <f>'２-Ⅵ'!B28</f>
        <v>522</v>
      </c>
      <c r="J20" s="375">
        <f>'２-Ⅵ'!C28</f>
        <v>0.29811536264991434</v>
      </c>
      <c r="K20" s="378">
        <f>'３-Ⅴ'!H28</f>
        <v>87</v>
      </c>
      <c r="L20" s="375">
        <f>'３-Ⅴ'!I28</f>
        <v>0.25892857142857145</v>
      </c>
      <c r="M20" s="382">
        <f>_xlfn.RANK.EQ(J20,$J$15:$J$34)+COUNTIF($J$15:J20,J20)-1</f>
        <v>6</v>
      </c>
      <c r="N20" s="382">
        <f>_xlfn.RANK.EQ(L20,$L$15:$L$34)+COUNTIF($L$15:L20,L20)-1</f>
        <v>6</v>
      </c>
      <c r="O20" s="9"/>
      <c r="P20" s="9"/>
      <c r="Q20" s="9"/>
      <c r="R20" s="9"/>
      <c r="S20" s="9"/>
    </row>
    <row r="21" spans="8:19" ht="63" customHeight="1" x14ac:dyDescent="0.2">
      <c r="H21" s="383" t="s">
        <v>42</v>
      </c>
      <c r="I21" s="378">
        <f>'２-Ⅵ'!B29</f>
        <v>135</v>
      </c>
      <c r="J21" s="375">
        <f>'２-Ⅵ'!C29</f>
        <v>7.7098800685322669E-2</v>
      </c>
      <c r="K21" s="378">
        <f>'３-Ⅴ'!H29</f>
        <v>9</v>
      </c>
      <c r="L21" s="375">
        <f>'３-Ⅴ'!I29</f>
        <v>2.6785714285714284E-2</v>
      </c>
      <c r="M21" s="382">
        <f>_xlfn.RANK.EQ(J21,$J$15:$J$34)+COUNTIF($J$15:J21,J21)-1</f>
        <v>13</v>
      </c>
      <c r="N21" s="382">
        <f>_xlfn.RANK.EQ(L21,$L$15:$L$34)+COUNTIF($L$15:L21,L21)-1</f>
        <v>15</v>
      </c>
      <c r="O21" s="9"/>
      <c r="P21" s="9"/>
      <c r="Q21" s="9"/>
      <c r="R21" s="9"/>
      <c r="S21" s="9"/>
    </row>
    <row r="22" spans="8:19" ht="63" customHeight="1" x14ac:dyDescent="0.2">
      <c r="H22" s="383" t="s">
        <v>334</v>
      </c>
      <c r="I22" s="378">
        <f>'２-Ⅵ'!B30</f>
        <v>575</v>
      </c>
      <c r="J22" s="375">
        <f>'２-Ⅵ'!C30</f>
        <v>0.32838378069674473</v>
      </c>
      <c r="K22" s="378">
        <f>'３-Ⅴ'!H30</f>
        <v>91</v>
      </c>
      <c r="L22" s="375">
        <f>'３-Ⅴ'!I30</f>
        <v>0.27083333333333331</v>
      </c>
      <c r="M22" s="382">
        <f>_xlfn.RANK.EQ(J22,$J$15:$J$34)+COUNTIF($J$15:J22,J22)-1</f>
        <v>5</v>
      </c>
      <c r="N22" s="382">
        <f>_xlfn.RANK.EQ(L22,$L$15:$L$34)+COUNTIF($L$15:L22,L22)-1</f>
        <v>3</v>
      </c>
      <c r="O22" s="9"/>
      <c r="P22" s="9"/>
      <c r="Q22" s="9"/>
      <c r="R22" s="9"/>
      <c r="S22" s="9"/>
    </row>
    <row r="23" spans="8:19" ht="63" customHeight="1" x14ac:dyDescent="0.2">
      <c r="H23" s="383" t="s">
        <v>335</v>
      </c>
      <c r="I23" s="378">
        <f>'２-Ⅵ'!B31</f>
        <v>397</v>
      </c>
      <c r="J23" s="375">
        <f>'２-Ⅵ'!C31</f>
        <v>0.22672758423757852</v>
      </c>
      <c r="K23" s="378">
        <f>'３-Ⅴ'!H31</f>
        <v>65</v>
      </c>
      <c r="L23" s="375">
        <f>'３-Ⅴ'!I31</f>
        <v>0.19345238095238096</v>
      </c>
      <c r="M23" s="382">
        <f>_xlfn.RANK.EQ(J23,$J$15:$J$34)+COUNTIF($J$15:J23,J23)-1</f>
        <v>8</v>
      </c>
      <c r="N23" s="382">
        <f>_xlfn.RANK.EQ(L23,$L$15:$L$34)+COUNTIF($L$15:L23,L23)-1</f>
        <v>8</v>
      </c>
      <c r="O23" s="9"/>
      <c r="P23" s="9"/>
      <c r="Q23" s="9"/>
      <c r="R23" s="9"/>
      <c r="S23" s="9"/>
    </row>
    <row r="24" spans="8:19" ht="63" customHeight="1" x14ac:dyDescent="0.2">
      <c r="H24" s="383" t="s">
        <v>336</v>
      </c>
      <c r="I24" s="378">
        <f>'２-Ⅵ'!B32</f>
        <v>302</v>
      </c>
      <c r="J24" s="375">
        <f>'２-Ⅵ'!C32</f>
        <v>0.1724728726442033</v>
      </c>
      <c r="K24" s="378">
        <f>'３-Ⅴ'!H32</f>
        <v>68</v>
      </c>
      <c r="L24" s="375">
        <f>'３-Ⅴ'!I32</f>
        <v>0.20238095238095238</v>
      </c>
      <c r="M24" s="382">
        <f>_xlfn.RANK.EQ(J24,$J$15:$J$34)+COUNTIF($J$15:J24,J24)-1</f>
        <v>9</v>
      </c>
      <c r="N24" s="382">
        <f>_xlfn.RANK.EQ(L24,$L$15:$L$34)+COUNTIF($L$15:L24,L24)-1</f>
        <v>7</v>
      </c>
      <c r="O24" s="9"/>
      <c r="P24" s="9"/>
      <c r="Q24" s="9"/>
      <c r="R24" s="9"/>
      <c r="S24" s="9"/>
    </row>
    <row r="25" spans="8:19" ht="63" customHeight="1" x14ac:dyDescent="0.2">
      <c r="H25" s="383" t="s">
        <v>46</v>
      </c>
      <c r="I25" s="378">
        <f>'２-Ⅵ'!B33</f>
        <v>579</v>
      </c>
      <c r="J25" s="375">
        <f>'２-Ⅵ'!C33</f>
        <v>0.33066818960593947</v>
      </c>
      <c r="K25" s="378">
        <f>'３-Ⅴ'!H33</f>
        <v>88</v>
      </c>
      <c r="L25" s="375">
        <f>'３-Ⅴ'!I33</f>
        <v>0.26190476190476192</v>
      </c>
      <c r="M25" s="382">
        <f>_xlfn.RANK.EQ(J25,$J$15:$J$34)+COUNTIF($J$15:J25,J25)-1</f>
        <v>4</v>
      </c>
      <c r="N25" s="382">
        <f>_xlfn.RANK.EQ(L25,$L$15:$L$34)+COUNTIF($L$15:L25,L25)-1</f>
        <v>5</v>
      </c>
      <c r="O25" s="9"/>
      <c r="P25" s="9"/>
      <c r="Q25" s="9"/>
      <c r="R25" s="9"/>
      <c r="S25" s="9"/>
    </row>
    <row r="26" spans="8:19" ht="63" customHeight="1" x14ac:dyDescent="0.2">
      <c r="H26" s="383" t="s">
        <v>47</v>
      </c>
      <c r="I26" s="378">
        <f>'２-Ⅵ'!B34</f>
        <v>116</v>
      </c>
      <c r="J26" s="375">
        <f>'２-Ⅵ'!C34</f>
        <v>6.6247858366647636E-2</v>
      </c>
      <c r="K26" s="378">
        <f>'３-Ⅴ'!H34</f>
        <v>19</v>
      </c>
      <c r="L26" s="375">
        <f>'３-Ⅴ'!I34</f>
        <v>5.6547619047619048E-2</v>
      </c>
      <c r="M26" s="382">
        <f>_xlfn.RANK.EQ(J26,$J$15:$J$34)+COUNTIF($J$15:J26,J26)-1</f>
        <v>15</v>
      </c>
      <c r="N26" s="382">
        <f>_xlfn.RANK.EQ(L26,$L$15:$L$34)+COUNTIF($L$15:L26,L26)-1</f>
        <v>13</v>
      </c>
      <c r="O26" s="9"/>
      <c r="P26" s="9"/>
      <c r="Q26" s="9"/>
      <c r="R26" s="9"/>
      <c r="S26" s="9"/>
    </row>
    <row r="27" spans="8:19" ht="63" customHeight="1" x14ac:dyDescent="0.2">
      <c r="H27" s="383" t="s">
        <v>48</v>
      </c>
      <c r="I27" s="378">
        <f>'２-Ⅵ'!B35</f>
        <v>73</v>
      </c>
      <c r="J27" s="375">
        <f>'２-Ⅵ'!C35</f>
        <v>4.1690462592804109E-2</v>
      </c>
      <c r="K27" s="378">
        <f>'３-Ⅴ'!H35</f>
        <v>5</v>
      </c>
      <c r="L27" s="375">
        <f>'３-Ⅴ'!I35</f>
        <v>1.488095238095238E-2</v>
      </c>
      <c r="M27" s="382">
        <f>_xlfn.RANK.EQ(J27,$J$15:$J$34)+COUNTIF($J$15:J27,J27)-1</f>
        <v>16</v>
      </c>
      <c r="N27" s="382">
        <f>_xlfn.RANK.EQ(L27,$L$15:$L$34)+COUNTIF($L$15:L27,L27)-1</f>
        <v>19</v>
      </c>
      <c r="O27" s="9"/>
      <c r="P27" s="9"/>
      <c r="Q27" s="9"/>
      <c r="R27" s="9"/>
      <c r="S27" s="9"/>
    </row>
    <row r="28" spans="8:19" ht="63" customHeight="1" x14ac:dyDescent="0.2">
      <c r="H28" s="383" t="s">
        <v>49</v>
      </c>
      <c r="I28" s="378">
        <f>'２-Ⅵ'!B36</f>
        <v>13</v>
      </c>
      <c r="J28" s="375">
        <f>'２-Ⅵ'!C36</f>
        <v>7.4243289548829245E-3</v>
      </c>
      <c r="K28" s="378">
        <f>'３-Ⅴ'!H36</f>
        <v>0</v>
      </c>
      <c r="L28" s="375">
        <f>'３-Ⅴ'!I36</f>
        <v>0</v>
      </c>
      <c r="M28" s="382">
        <f>_xlfn.RANK.EQ(J28,$J$15:$J$34)+COUNTIF($J$15:J28,J28)-1</f>
        <v>20</v>
      </c>
      <c r="N28" s="382">
        <f>_xlfn.RANK.EQ(L28,$L$15:$L$34)+COUNTIF($L$15:L28,L28)-1</f>
        <v>20</v>
      </c>
      <c r="O28" s="9"/>
      <c r="P28" s="9"/>
      <c r="Q28" s="9"/>
      <c r="R28" s="9"/>
      <c r="S28" s="9"/>
    </row>
    <row r="29" spans="8:19" ht="63" customHeight="1" x14ac:dyDescent="0.2">
      <c r="H29" s="383" t="s">
        <v>50</v>
      </c>
      <c r="I29" s="378">
        <f>'２-Ⅵ'!B37</f>
        <v>160</v>
      </c>
      <c r="J29" s="375">
        <f>'２-Ⅵ'!C37</f>
        <v>9.1376356367789832E-2</v>
      </c>
      <c r="K29" s="378">
        <f>'３-Ⅴ'!H37</f>
        <v>31</v>
      </c>
      <c r="L29" s="375">
        <f>'３-Ⅴ'!I37</f>
        <v>9.2261904761904767E-2</v>
      </c>
      <c r="M29" s="382">
        <f>_xlfn.RANK.EQ(J29,$J$15:$J$34)+COUNTIF($J$15:J29,J29)-1</f>
        <v>12</v>
      </c>
      <c r="N29" s="382">
        <f>_xlfn.RANK.EQ(L29,$L$15:$L$34)+COUNTIF($L$15:L29,L29)-1</f>
        <v>11</v>
      </c>
      <c r="O29" s="9"/>
      <c r="P29" s="9"/>
      <c r="Q29" s="9"/>
      <c r="R29" s="9"/>
      <c r="S29" s="9"/>
    </row>
    <row r="30" spans="8:19" ht="63" customHeight="1" x14ac:dyDescent="0.2">
      <c r="H30" s="383" t="s">
        <v>51</v>
      </c>
      <c r="I30" s="378">
        <f>'２-Ⅵ'!B38</f>
        <v>161</v>
      </c>
      <c r="J30" s="375">
        <f>'２-Ⅵ'!C38</f>
        <v>9.1947458595088516E-2</v>
      </c>
      <c r="K30" s="378">
        <f>'３-Ⅴ'!H38</f>
        <v>32</v>
      </c>
      <c r="L30" s="375">
        <f>'３-Ⅴ'!I38</f>
        <v>9.5238095238095233E-2</v>
      </c>
      <c r="M30" s="382">
        <f>_xlfn.RANK.EQ(J30,$J$15:$J$34)+COUNTIF($J$15:J30,J30)-1</f>
        <v>11</v>
      </c>
      <c r="N30" s="382">
        <f>_xlfn.RANK.EQ(L30,$L$15:$L$34)+COUNTIF($L$15:L30,L30)-1</f>
        <v>10</v>
      </c>
      <c r="O30" s="9"/>
      <c r="P30" s="9"/>
      <c r="Q30" s="9"/>
      <c r="R30" s="9"/>
      <c r="S30" s="9"/>
    </row>
    <row r="31" spans="8:19" ht="63" customHeight="1" x14ac:dyDescent="0.2">
      <c r="H31" s="383" t="s">
        <v>337</v>
      </c>
      <c r="I31" s="378">
        <f>'２-Ⅵ'!B39</f>
        <v>34</v>
      </c>
      <c r="J31" s="375">
        <f>'２-Ⅵ'!C39</f>
        <v>1.9417475728155338E-2</v>
      </c>
      <c r="K31" s="378">
        <f>'３-Ⅴ'!H39</f>
        <v>9</v>
      </c>
      <c r="L31" s="375">
        <f>'３-Ⅴ'!I39</f>
        <v>2.6785714285714284E-2</v>
      </c>
      <c r="M31" s="382">
        <f>_xlfn.RANK.EQ(J31,$J$15:$J$34)+COUNTIF($J$15:J31,J31)-1</f>
        <v>19</v>
      </c>
      <c r="N31" s="382">
        <f>_xlfn.RANK.EQ(L31,$L$15:$L$34)+COUNTIF($L$15:L31,L31)-1</f>
        <v>16</v>
      </c>
      <c r="O31" s="9"/>
      <c r="P31" s="9"/>
      <c r="Q31" s="9"/>
      <c r="R31" s="9"/>
      <c r="S31" s="9"/>
    </row>
    <row r="32" spans="8:19" ht="63" customHeight="1" x14ac:dyDescent="0.2">
      <c r="H32" s="383" t="s">
        <v>380</v>
      </c>
      <c r="I32" s="378">
        <f>'２-Ⅵ'!B40</f>
        <v>242</v>
      </c>
      <c r="J32" s="375">
        <f>'２-Ⅵ'!C40</f>
        <v>0.13820673900628214</v>
      </c>
      <c r="K32" s="378">
        <f>'３-Ⅴ'!H40</f>
        <v>31</v>
      </c>
      <c r="L32" s="375">
        <f>'３-Ⅴ'!I40</f>
        <v>9.2261904761904767E-2</v>
      </c>
      <c r="M32" s="382">
        <f>_xlfn.RANK.EQ(J32,$J$15:$J$34)+COUNTIF($J$15:J32,J32)-1</f>
        <v>10</v>
      </c>
      <c r="N32" s="382">
        <f>_xlfn.RANK.EQ(L32,$L$15:$L$34)+COUNTIF($L$15:L32,L32)-1</f>
        <v>12</v>
      </c>
      <c r="O32" s="9"/>
      <c r="P32" s="9"/>
      <c r="Q32" s="9"/>
      <c r="R32" s="9"/>
      <c r="S32" s="9"/>
    </row>
    <row r="33" spans="8:14" ht="65.25" customHeight="1" x14ac:dyDescent="0.2">
      <c r="H33" s="383" t="s">
        <v>381</v>
      </c>
      <c r="I33" s="378">
        <f>'２-Ⅵ'!B41</f>
        <v>126</v>
      </c>
      <c r="J33" s="375">
        <f>'２-Ⅵ'!C41</f>
        <v>7.1958880639634501E-2</v>
      </c>
      <c r="K33" s="378">
        <f>'３-Ⅴ'!H41</f>
        <v>11</v>
      </c>
      <c r="L33" s="375">
        <f>'３-Ⅴ'!I41</f>
        <v>3.273809523809524E-2</v>
      </c>
      <c r="M33" s="382">
        <f>_xlfn.RANK.EQ(J33,$J$15:$J$34)+COUNTIF($J$15:J33,J33)-1</f>
        <v>14</v>
      </c>
      <c r="N33" s="382">
        <f>_xlfn.RANK.EQ(L33,$L$15:$L$34)+COUNTIF($L$15:L33,L33)-1</f>
        <v>14</v>
      </c>
    </row>
    <row r="34" spans="8:14" ht="35.25" customHeight="1" x14ac:dyDescent="0.2">
      <c r="H34" s="383" t="s">
        <v>53</v>
      </c>
      <c r="I34" s="378">
        <f>'２-Ⅵ'!B42</f>
        <v>51</v>
      </c>
      <c r="J34" s="375">
        <f>'２-Ⅵ'!C42</f>
        <v>2.9126213592233011E-2</v>
      </c>
      <c r="K34" s="378">
        <f>'３-Ⅴ'!H42</f>
        <v>8</v>
      </c>
      <c r="L34" s="375">
        <f>'３-Ⅴ'!I42</f>
        <v>2.3809523809523808E-2</v>
      </c>
      <c r="M34" s="382">
        <f>_xlfn.RANK.EQ(J34,$J$15:$J$34)+COUNTIF($J$15:J34,J34)-1</f>
        <v>18</v>
      </c>
      <c r="N34" s="382">
        <f>_xlfn.RANK.EQ(L34,$L$15:$L$34)+COUNTIF($L$15:L34,L34)-1</f>
        <v>17</v>
      </c>
    </row>
  </sheetData>
  <mergeCells count="11">
    <mergeCell ref="P8:Q8"/>
    <mergeCell ref="R8:S8"/>
    <mergeCell ref="I14:J14"/>
    <mergeCell ref="K14:L14"/>
    <mergeCell ref="B2:C2"/>
    <mergeCell ref="I2:J2"/>
    <mergeCell ref="K2:L2"/>
    <mergeCell ref="C3:D3"/>
    <mergeCell ref="E3:F3"/>
    <mergeCell ref="I8:J8"/>
    <mergeCell ref="K8:L8"/>
  </mergeCells>
  <phoneticPr fontId="2"/>
  <pageMargins left="0.44270833333333331" right="0.41666666666666669" top="0.60606060606060608" bottom="0.51136363636363635" header="0.3" footer="0.3"/>
  <pageSetup paperSize="9" scale="76" orientation="portrait" r:id="rId1"/>
  <headerFooter>
    <oddHeader>&amp;C&amp;"游ゴシック,太字"&amp;14R6年度　大阪府の在院患者の状況&amp;R&amp;"游ゴシック,標準"&amp;10R6.6.30時点</oddHeader>
    <oddFooter>&amp;R&amp;"メイリオ,レギュラー"&amp;10&amp;F</oddFooter>
  </headerFooter>
  <rowBreaks count="1" manualBreakCount="1">
    <brk id="9" max="6" man="1"/>
  </rowBreaks>
  <colBreaks count="1" manualBreakCount="1">
    <brk id="7" max="1048575" man="1"/>
  </colBreaks>
  <drawing r:id="rId2"/>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29">
    <tabColor theme="7" tint="-0.249977111117893"/>
  </sheetPr>
  <dimension ref="K3:O67"/>
  <sheetViews>
    <sheetView view="pageBreakPreview" zoomScale="90" zoomScaleNormal="100" zoomScaleSheetLayoutView="90" workbookViewId="0"/>
  </sheetViews>
  <sheetFormatPr defaultRowHeight="18" customHeight="1" x14ac:dyDescent="0.2"/>
  <cols>
    <col min="1" max="9" width="9.88671875" customWidth="1"/>
    <col min="11" max="11" width="34.44140625" hidden="1" customWidth="1"/>
    <col min="12" max="12" width="0" hidden="1" customWidth="1"/>
    <col min="13" max="13" width="11.109375" hidden="1" customWidth="1"/>
    <col min="14" max="15" width="0" hidden="1" customWidth="1"/>
  </cols>
  <sheetData>
    <row r="3" spans="11:13" ht="18" customHeight="1" x14ac:dyDescent="0.2">
      <c r="K3" s="328"/>
      <c r="L3" s="328" t="s">
        <v>306</v>
      </c>
      <c r="M3" s="328" t="s">
        <v>307</v>
      </c>
    </row>
    <row r="4" spans="11:13" ht="18" customHeight="1" x14ac:dyDescent="0.2">
      <c r="K4" s="384" t="s">
        <v>355</v>
      </c>
      <c r="L4" s="334">
        <f>'5-Ⅰ①'!D14</f>
        <v>0.3888888888888889</v>
      </c>
      <c r="M4" s="334">
        <f>'5-Ⅰ①'!F14</f>
        <v>0.3242530755711775</v>
      </c>
    </row>
    <row r="5" spans="11:13" ht="18" customHeight="1" x14ac:dyDescent="0.2">
      <c r="K5" s="384" t="s">
        <v>224</v>
      </c>
      <c r="L5" s="334">
        <f>'5-Ⅰ①'!D15</f>
        <v>0.26633986928104575</v>
      </c>
      <c r="M5" s="334">
        <f>'5-Ⅰ①'!F15</f>
        <v>0.25483304042179261</v>
      </c>
    </row>
    <row r="6" spans="11:13" ht="18" customHeight="1" x14ac:dyDescent="0.2">
      <c r="K6" s="384" t="s">
        <v>38</v>
      </c>
      <c r="L6" s="334">
        <f>'5-Ⅰ①'!D16</f>
        <v>6.2091503267973858E-2</v>
      </c>
      <c r="M6" s="334">
        <f>'5-Ⅰ①'!F16</f>
        <v>2.0210896309314587E-2</v>
      </c>
    </row>
    <row r="7" spans="11:13" ht="18" customHeight="1" x14ac:dyDescent="0.2">
      <c r="K7" s="384" t="s">
        <v>39</v>
      </c>
      <c r="L7" s="334">
        <f>'5-Ⅰ①'!D17</f>
        <v>0.35294117647058826</v>
      </c>
      <c r="M7" s="334">
        <f>'5-Ⅰ①'!F17</f>
        <v>0.43673110720562391</v>
      </c>
    </row>
    <row r="8" spans="11:13" ht="18" customHeight="1" x14ac:dyDescent="0.2">
      <c r="K8" s="384" t="s">
        <v>40</v>
      </c>
      <c r="L8" s="334">
        <f>'5-Ⅰ①'!D18</f>
        <v>0.47222222222222221</v>
      </c>
      <c r="M8" s="334">
        <f>'5-Ⅰ①'!F18</f>
        <v>0.46133567662565905</v>
      </c>
    </row>
    <row r="9" spans="11:13" ht="18" customHeight="1" x14ac:dyDescent="0.2">
      <c r="K9" s="384" t="s">
        <v>41</v>
      </c>
      <c r="L9" s="334">
        <f>'5-Ⅰ①'!D19</f>
        <v>0.31045751633986929</v>
      </c>
      <c r="M9" s="334">
        <f>'5-Ⅰ①'!F19</f>
        <v>0.29086115992970124</v>
      </c>
    </row>
    <row r="10" spans="11:13" ht="18" customHeight="1" x14ac:dyDescent="0.2">
      <c r="K10" s="384" t="s">
        <v>42</v>
      </c>
      <c r="L10" s="334">
        <f>'5-Ⅰ①'!D20</f>
        <v>0.10457516339869281</v>
      </c>
      <c r="M10" s="334">
        <f>'5-Ⅰ①'!F20</f>
        <v>6.1511423550087874E-2</v>
      </c>
    </row>
    <row r="11" spans="11:13" ht="18" customHeight="1" x14ac:dyDescent="0.2">
      <c r="K11" s="384" t="s">
        <v>43</v>
      </c>
      <c r="L11" s="334">
        <f>'5-Ⅰ①'!D21</f>
        <v>0.28594771241830064</v>
      </c>
      <c r="M11" s="334">
        <f>'5-Ⅰ①'!F21</f>
        <v>0.35149384885764501</v>
      </c>
    </row>
    <row r="12" spans="11:13" ht="18" customHeight="1" x14ac:dyDescent="0.2">
      <c r="K12" s="384" t="s">
        <v>357</v>
      </c>
      <c r="L12" s="334">
        <f>'5-Ⅰ①'!D22</f>
        <v>0.20751633986928106</v>
      </c>
      <c r="M12" s="334">
        <f>'5-Ⅰ①'!F22</f>
        <v>0.23637961335676624</v>
      </c>
    </row>
    <row r="13" spans="11:13" ht="18" customHeight="1" x14ac:dyDescent="0.2">
      <c r="K13" s="385" t="s">
        <v>356</v>
      </c>
      <c r="L13" s="334">
        <f>'5-Ⅰ①'!D23</f>
        <v>0.15196078431372548</v>
      </c>
      <c r="M13" s="334">
        <f>'5-Ⅰ①'!F23</f>
        <v>0.18365553602811951</v>
      </c>
    </row>
    <row r="14" spans="11:13" ht="18" customHeight="1" x14ac:dyDescent="0.2">
      <c r="K14" s="384" t="s">
        <v>46</v>
      </c>
      <c r="L14" s="334">
        <f>'5-Ⅰ①'!D24</f>
        <v>0.33823529411764708</v>
      </c>
      <c r="M14" s="334">
        <f>'5-Ⅰ①'!F24</f>
        <v>0.32688927943760981</v>
      </c>
    </row>
    <row r="15" spans="11:13" ht="18" customHeight="1" x14ac:dyDescent="0.2">
      <c r="K15" s="384" t="s">
        <v>47</v>
      </c>
      <c r="L15" s="334">
        <f>'5-Ⅰ①'!D25</f>
        <v>5.8823529411764705E-2</v>
      </c>
      <c r="M15" s="334">
        <f>'5-Ⅰ①'!F25</f>
        <v>7.0298769771529004E-2</v>
      </c>
    </row>
    <row r="16" spans="11:13" ht="18" customHeight="1" x14ac:dyDescent="0.2">
      <c r="K16" s="384" t="s">
        <v>48</v>
      </c>
      <c r="L16" s="334">
        <f>'5-Ⅰ①'!D26</f>
        <v>4.4117647058823532E-2</v>
      </c>
      <c r="M16" s="334">
        <f>'5-Ⅰ①'!F26</f>
        <v>4.0421792618629174E-2</v>
      </c>
    </row>
    <row r="17" spans="11:13" ht="18" customHeight="1" x14ac:dyDescent="0.2">
      <c r="K17" s="384" t="s">
        <v>49</v>
      </c>
      <c r="L17" s="334">
        <f>'5-Ⅰ①'!D27</f>
        <v>9.8039215686274508E-3</v>
      </c>
      <c r="M17" s="334">
        <f>'5-Ⅰ①'!F27</f>
        <v>6.1511423550087872E-3</v>
      </c>
    </row>
    <row r="18" spans="11:13" ht="18" customHeight="1" x14ac:dyDescent="0.2">
      <c r="K18" s="384" t="s">
        <v>50</v>
      </c>
      <c r="L18" s="334">
        <f>'5-Ⅰ①'!D28</f>
        <v>8.1699346405228759E-2</v>
      </c>
      <c r="M18" s="334">
        <f>'5-Ⅰ①'!F28</f>
        <v>9.6660808435852369E-2</v>
      </c>
    </row>
    <row r="19" spans="11:13" ht="18" customHeight="1" x14ac:dyDescent="0.2">
      <c r="K19" s="384" t="s">
        <v>51</v>
      </c>
      <c r="L19" s="334">
        <f>'5-Ⅰ①'!D29</f>
        <v>9.9673202614379092E-2</v>
      </c>
      <c r="M19" s="334">
        <f>'5-Ⅰ①'!F29</f>
        <v>8.7873462214411252E-2</v>
      </c>
    </row>
    <row r="20" spans="11:13" ht="18" customHeight="1" x14ac:dyDescent="0.2">
      <c r="K20" s="384" t="s">
        <v>337</v>
      </c>
      <c r="L20" s="334">
        <f>'5-Ⅰ①'!D30</f>
        <v>2.2875816993464051E-2</v>
      </c>
      <c r="M20" s="334">
        <f>'5-Ⅰ①'!F30</f>
        <v>1.7574692442882251E-2</v>
      </c>
    </row>
    <row r="21" spans="11:13" ht="18" customHeight="1" x14ac:dyDescent="0.2">
      <c r="K21" s="520" t="s">
        <v>380</v>
      </c>
      <c r="L21" s="334">
        <f>'5-Ⅰ①'!D31</f>
        <v>7.8431372549019607E-2</v>
      </c>
      <c r="M21" s="334">
        <f>'5-Ⅰ①'!F31</f>
        <v>0.17047451669595781</v>
      </c>
    </row>
    <row r="22" spans="11:13" ht="18" customHeight="1" x14ac:dyDescent="0.2">
      <c r="K22" s="520" t="s">
        <v>381</v>
      </c>
      <c r="L22" s="334">
        <f>'5-Ⅰ①'!D32</f>
        <v>3.9215686274509803E-2</v>
      </c>
      <c r="M22" s="334">
        <f>'5-Ⅰ①'!F32</f>
        <v>8.9630931458699478E-2</v>
      </c>
    </row>
    <row r="23" spans="11:13" ht="18" customHeight="1" x14ac:dyDescent="0.2">
      <c r="K23" s="520" t="s">
        <v>53</v>
      </c>
      <c r="L23" s="334">
        <f>'5-Ⅰ①'!D33</f>
        <v>3.1045751633986929E-2</v>
      </c>
      <c r="M23" s="334">
        <f>'5-Ⅰ①'!F33</f>
        <v>2.8119507908611598E-2</v>
      </c>
    </row>
    <row r="47" spans="11:15" ht="18" customHeight="1" x14ac:dyDescent="0.2">
      <c r="K47" s="1"/>
      <c r="L47" s="335" t="s">
        <v>358</v>
      </c>
      <c r="M47" s="336" t="s">
        <v>359</v>
      </c>
      <c r="N47" s="336" t="s">
        <v>360</v>
      </c>
      <c r="O47" s="335" t="s">
        <v>361</v>
      </c>
    </row>
    <row r="48" spans="11:15" ht="18" customHeight="1" x14ac:dyDescent="0.2">
      <c r="K48" s="337" t="s">
        <v>355</v>
      </c>
      <c r="L48" s="334">
        <f>'５-Ⅰ②'!D14</f>
        <v>0.35893155258764609</v>
      </c>
      <c r="M48" s="334">
        <f>'５-Ⅰ②'!F14</f>
        <v>0.32358003442340794</v>
      </c>
      <c r="N48" s="334">
        <f>'５-Ⅰ②'!H14</f>
        <v>0.36861313868613138</v>
      </c>
      <c r="O48" s="334">
        <f>'５-Ⅰ②'!J14</f>
        <v>0.35016835016835018</v>
      </c>
    </row>
    <row r="49" spans="11:15" ht="18" customHeight="1" x14ac:dyDescent="0.2">
      <c r="K49" s="337" t="s">
        <v>224</v>
      </c>
      <c r="L49" s="334">
        <f>'５-Ⅰ②'!D15</f>
        <v>0.23372287145242071</v>
      </c>
      <c r="M49" s="334">
        <f>'５-Ⅰ②'!F15</f>
        <v>0.25989672977624784</v>
      </c>
      <c r="N49" s="334">
        <f>'５-Ⅰ②'!H15</f>
        <v>0.31386861313868614</v>
      </c>
      <c r="O49" s="334">
        <f>'５-Ⅰ②'!J15</f>
        <v>0.25925925925925924</v>
      </c>
    </row>
    <row r="50" spans="11:15" ht="18" customHeight="1" x14ac:dyDescent="0.2">
      <c r="K50" s="337" t="s">
        <v>38</v>
      </c>
      <c r="L50" s="334">
        <f>'５-Ⅰ②'!D16</f>
        <v>3.6727879799666109E-2</v>
      </c>
      <c r="M50" s="334">
        <f>'５-Ⅰ②'!F16</f>
        <v>3.7865748709122203E-2</v>
      </c>
      <c r="N50" s="334">
        <f>'５-Ⅰ②'!H16</f>
        <v>3.2846715328467155E-2</v>
      </c>
      <c r="O50" s="334">
        <f>'５-Ⅰ②'!J16</f>
        <v>2.6936026936026935E-2</v>
      </c>
    </row>
    <row r="51" spans="11:15" ht="18" customHeight="1" x14ac:dyDescent="0.2">
      <c r="K51" s="337" t="s">
        <v>39</v>
      </c>
      <c r="L51" s="334">
        <f>'５-Ⅰ②'!D17</f>
        <v>0.26377295492487479</v>
      </c>
      <c r="M51" s="334">
        <f>'５-Ⅰ②'!F17</f>
        <v>0.3889845094664372</v>
      </c>
      <c r="N51" s="334">
        <f>'５-Ⅰ②'!H17</f>
        <v>0.52189781021897808</v>
      </c>
      <c r="O51" s="334">
        <f>'５-Ⅰ②'!J17</f>
        <v>0.6262626262626263</v>
      </c>
    </row>
    <row r="52" spans="11:15" ht="18" customHeight="1" x14ac:dyDescent="0.2">
      <c r="K52" s="337" t="s">
        <v>40</v>
      </c>
      <c r="L52" s="334">
        <f>'５-Ⅰ②'!D18</f>
        <v>0.39899833055091821</v>
      </c>
      <c r="M52" s="334">
        <f>'５-Ⅰ②'!F18</f>
        <v>0.44234079173838209</v>
      </c>
      <c r="N52" s="334">
        <f>'５-Ⅰ②'!H18</f>
        <v>0.54379562043795615</v>
      </c>
      <c r="O52" s="334">
        <f>'５-Ⅰ②'!J18</f>
        <v>0.57239057239057234</v>
      </c>
    </row>
    <row r="53" spans="11:15" ht="18" customHeight="1" x14ac:dyDescent="0.2">
      <c r="K53" s="337" t="s">
        <v>41</v>
      </c>
      <c r="L53" s="334">
        <f>'５-Ⅰ②'!D19</f>
        <v>0.25542570951585974</v>
      </c>
      <c r="M53" s="334">
        <f>'５-Ⅰ②'!F19</f>
        <v>0.27710843373493976</v>
      </c>
      <c r="N53" s="334">
        <f>'５-Ⅰ②'!H19</f>
        <v>0.34671532846715331</v>
      </c>
      <c r="O53" s="334">
        <f>'５-Ⅰ②'!J19</f>
        <v>0.38047138047138046</v>
      </c>
    </row>
    <row r="54" spans="11:15" ht="18" customHeight="1" x14ac:dyDescent="0.2">
      <c r="K54" s="337" t="s">
        <v>42</v>
      </c>
      <c r="L54" s="334">
        <f>'５-Ⅰ②'!D20</f>
        <v>7.6794657762938229E-2</v>
      </c>
      <c r="M54" s="334">
        <f>'５-Ⅰ②'!F20</f>
        <v>6.3683304647160072E-2</v>
      </c>
      <c r="N54" s="334">
        <f>'５-Ⅰ②'!H20</f>
        <v>8.3941605839416053E-2</v>
      </c>
      <c r="O54" s="334">
        <f>'５-Ⅰ②'!J20</f>
        <v>9.7643097643097643E-2</v>
      </c>
    </row>
    <row r="55" spans="11:15" ht="18" customHeight="1" x14ac:dyDescent="0.2">
      <c r="K55" s="337" t="s">
        <v>43</v>
      </c>
      <c r="L55" s="334">
        <f>'５-Ⅰ②'!D21</f>
        <v>0.29716193656093487</v>
      </c>
      <c r="M55" s="334">
        <f>'５-Ⅰ②'!F21</f>
        <v>0.3098106712564544</v>
      </c>
      <c r="N55" s="334">
        <f>'５-Ⅰ②'!H21</f>
        <v>0.38686131386861317</v>
      </c>
      <c r="O55" s="334">
        <f>'５-Ⅰ②'!J21</f>
        <v>0.37373737373737376</v>
      </c>
    </row>
    <row r="56" spans="11:15" ht="18" customHeight="1" x14ac:dyDescent="0.2">
      <c r="K56" s="337" t="s">
        <v>357</v>
      </c>
      <c r="L56" s="334">
        <f>'５-Ⅰ②'!D22</f>
        <v>0.19198664440734559</v>
      </c>
      <c r="M56" s="334">
        <f>'５-Ⅰ②'!F22</f>
        <v>0.19793459552495696</v>
      </c>
      <c r="N56" s="334">
        <f>'５-Ⅰ②'!H22</f>
        <v>0.24817518248175183</v>
      </c>
      <c r="O56" s="334">
        <f>'５-Ⅰ②'!J22</f>
        <v>0.33333333333333331</v>
      </c>
    </row>
    <row r="57" spans="11:15" ht="18" customHeight="1" x14ac:dyDescent="0.2">
      <c r="K57" s="338" t="s">
        <v>356</v>
      </c>
      <c r="L57" s="334">
        <f>'５-Ⅰ②'!D23</f>
        <v>0.12186978297161936</v>
      </c>
      <c r="M57" s="334">
        <f>'５-Ⅰ②'!F23</f>
        <v>0.1944922547332186</v>
      </c>
      <c r="N57" s="334">
        <f>'５-Ⅰ②'!H23</f>
        <v>0.21167883211678831</v>
      </c>
      <c r="O57" s="334">
        <f>'５-Ⅰ②'!J23</f>
        <v>0.19528619528619529</v>
      </c>
    </row>
    <row r="58" spans="11:15" ht="18" customHeight="1" x14ac:dyDescent="0.2">
      <c r="K58" s="337" t="s">
        <v>46</v>
      </c>
      <c r="L58" s="334">
        <f>'５-Ⅰ②'!D24</f>
        <v>0.42904841402337229</v>
      </c>
      <c r="M58" s="334">
        <f>'５-Ⅰ②'!F24</f>
        <v>0.32702237521514632</v>
      </c>
      <c r="N58" s="334">
        <f>'５-Ⅰ②'!H24</f>
        <v>0.21167883211678831</v>
      </c>
      <c r="O58" s="334">
        <f>'５-Ⅰ②'!J24</f>
        <v>0.24915824915824916</v>
      </c>
    </row>
    <row r="59" spans="11:15" ht="18" customHeight="1" x14ac:dyDescent="0.2">
      <c r="K59" s="337" t="s">
        <v>47</v>
      </c>
      <c r="L59" s="334">
        <f>'５-Ⅰ②'!D25</f>
        <v>8.0133555926544239E-2</v>
      </c>
      <c r="M59" s="334">
        <f>'５-Ⅰ②'!F25</f>
        <v>7.7452667814113599E-2</v>
      </c>
      <c r="N59" s="334">
        <f>'５-Ⅰ②'!H25</f>
        <v>4.0145985401459854E-2</v>
      </c>
      <c r="O59" s="334">
        <f>'５-Ⅰ②'!J25</f>
        <v>4.0404040404040407E-2</v>
      </c>
    </row>
    <row r="60" spans="11:15" ht="18" customHeight="1" x14ac:dyDescent="0.2">
      <c r="K60" s="337" t="s">
        <v>48</v>
      </c>
      <c r="L60" s="334">
        <f>'５-Ⅰ②'!D26</f>
        <v>5.6761268781302172E-2</v>
      </c>
      <c r="M60" s="334">
        <f>'５-Ⅰ②'!F26</f>
        <v>3.2702237521514632E-2</v>
      </c>
      <c r="N60" s="334">
        <f>'５-Ⅰ②'!H26</f>
        <v>3.2846715328467155E-2</v>
      </c>
      <c r="O60" s="334">
        <f>'５-Ⅰ②'!J26</f>
        <v>3.7037037037037035E-2</v>
      </c>
    </row>
    <row r="61" spans="11:15" ht="18" customHeight="1" x14ac:dyDescent="0.2">
      <c r="K61" s="337" t="s">
        <v>49</v>
      </c>
      <c r="L61" s="334">
        <f>'５-Ⅰ②'!D27</f>
        <v>1.5025041736227046E-2</v>
      </c>
      <c r="M61" s="334">
        <f>'５-Ⅰ②'!F27</f>
        <v>6.8846815834767644E-3</v>
      </c>
      <c r="N61" s="334">
        <f>'５-Ⅰ②'!H27</f>
        <v>0</v>
      </c>
      <c r="O61" s="334">
        <f>'５-Ⅰ②'!J27</f>
        <v>0</v>
      </c>
    </row>
    <row r="62" spans="11:15" ht="18" customHeight="1" x14ac:dyDescent="0.2">
      <c r="K62" s="337" t="s">
        <v>50</v>
      </c>
      <c r="L62" s="334">
        <f>'５-Ⅰ②'!D28</f>
        <v>8.5141903171953262E-2</v>
      </c>
      <c r="M62" s="334">
        <f>'５-Ⅰ②'!F28</f>
        <v>0.10499139414802065</v>
      </c>
      <c r="N62" s="334">
        <f>'５-Ⅰ②'!H28</f>
        <v>9.1240875912408759E-2</v>
      </c>
      <c r="O62" s="334">
        <f>'５-Ⅰ②'!J28</f>
        <v>7.7441077441077436E-2</v>
      </c>
    </row>
    <row r="63" spans="11:15" ht="18" customHeight="1" x14ac:dyDescent="0.2">
      <c r="K63" s="337" t="s">
        <v>51</v>
      </c>
      <c r="L63" s="334">
        <f>'５-Ⅰ②'!D29</f>
        <v>0.1001669449081803</v>
      </c>
      <c r="M63" s="334">
        <f>'５-Ⅰ②'!F29</f>
        <v>7.4010327022375214E-2</v>
      </c>
      <c r="N63" s="334">
        <f>'５-Ⅰ②'!H29</f>
        <v>9.1240875912408759E-2</v>
      </c>
      <c r="O63" s="334">
        <f>'５-Ⅰ②'!J29</f>
        <v>0.1111111111111111</v>
      </c>
    </row>
    <row r="64" spans="11:15" ht="18" customHeight="1" x14ac:dyDescent="0.2">
      <c r="K64" s="337" t="s">
        <v>337</v>
      </c>
      <c r="L64" s="334">
        <f>'５-Ⅰ②'!D30</f>
        <v>2.6711185308848081E-2</v>
      </c>
      <c r="M64" s="334">
        <f>'５-Ⅰ②'!F30</f>
        <v>2.0654044750430294E-2</v>
      </c>
      <c r="N64" s="334">
        <f>'５-Ⅰ②'!H30</f>
        <v>7.2992700729927005E-3</v>
      </c>
      <c r="O64" s="334">
        <f>'５-Ⅰ②'!J30</f>
        <v>1.3468013468013467E-2</v>
      </c>
    </row>
    <row r="65" spans="11:15" ht="18" customHeight="1" x14ac:dyDescent="0.2">
      <c r="K65" s="337" t="s">
        <v>380</v>
      </c>
      <c r="L65" s="334">
        <f>'５-Ⅰ②'!D31</f>
        <v>0.1285475792988314</v>
      </c>
      <c r="M65" s="334">
        <f>'５-Ⅰ②'!F31</f>
        <v>0.15662650602409639</v>
      </c>
      <c r="N65" s="334">
        <f>'５-Ⅰ②'!H31</f>
        <v>0.12773722627737227</v>
      </c>
      <c r="O65" s="334">
        <f>'５-Ⅰ②'!J31</f>
        <v>0.13131313131313133</v>
      </c>
    </row>
    <row r="66" spans="11:15" ht="18" customHeight="1" x14ac:dyDescent="0.2">
      <c r="K66" s="223" t="s">
        <v>381</v>
      </c>
      <c r="L66" s="334">
        <f>'５-Ⅰ②'!D32</f>
        <v>7.178631051752922E-2</v>
      </c>
      <c r="M66" s="334">
        <f>'５-Ⅰ②'!F32</f>
        <v>8.9500860585197933E-2</v>
      </c>
      <c r="N66" s="334">
        <f>'５-Ⅰ②'!H32</f>
        <v>5.1094890510948905E-2</v>
      </c>
      <c r="O66" s="334">
        <f>'５-Ⅰ②'!J32</f>
        <v>5.7239057239057242E-2</v>
      </c>
    </row>
    <row r="67" spans="11:15" ht="18" customHeight="1" x14ac:dyDescent="0.2">
      <c r="K67" s="223" t="s">
        <v>53</v>
      </c>
      <c r="L67" s="334">
        <f>'５-Ⅰ②'!D33</f>
        <v>3.5058430717863104E-2</v>
      </c>
      <c r="M67" s="334">
        <f>'５-Ⅰ②'!F33</f>
        <v>2.7538726333907058E-2</v>
      </c>
      <c r="N67" s="334">
        <f>'５-Ⅰ②'!H33</f>
        <v>3.2846715328467155E-2</v>
      </c>
      <c r="O67" s="334">
        <f>'５-Ⅰ②'!J33</f>
        <v>1.6835016835016835E-2</v>
      </c>
    </row>
  </sheetData>
  <phoneticPr fontId="2"/>
  <pageMargins left="0.44270833333333331" right="0.41666666666666669" top="0.60606060606060608" bottom="0.51136363636363635" header="0.3" footer="0.3"/>
  <pageSetup paperSize="9" orientation="portrait" r:id="rId1"/>
  <headerFooter>
    <oddHeader>&amp;C&amp;"游ゴシック,太字"&amp;14R6年度　大阪府の在院患者の状況&amp;R&amp;"游ゴシック,標準"&amp;10R6.6.30時点</oddHeader>
    <oddFooter>&amp;R&amp;"メイリオ,レギュラー"&amp;10&amp;F</oddFooter>
  </headerFooter>
  <rowBreaks count="1" manualBreakCount="1">
    <brk id="44" max="8" man="1"/>
  </rowBreaks>
  <drawing r:id="rId2"/>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tabColor theme="7" tint="-0.249977111117893"/>
  </sheetPr>
  <dimension ref="K3:O67"/>
  <sheetViews>
    <sheetView view="pageBreakPreview" zoomScale="90" zoomScaleNormal="100" zoomScaleSheetLayoutView="90" workbookViewId="0"/>
  </sheetViews>
  <sheetFormatPr defaultRowHeight="18" customHeight="1" x14ac:dyDescent="0.2"/>
  <cols>
    <col min="1" max="9" width="9.88671875" customWidth="1"/>
    <col min="11" max="11" width="34.44140625" hidden="1" customWidth="1"/>
    <col min="12" max="12" width="0" hidden="1" customWidth="1"/>
    <col min="13" max="13" width="11.109375" hidden="1" customWidth="1"/>
    <col min="14" max="15" width="0" hidden="1" customWidth="1"/>
  </cols>
  <sheetData>
    <row r="3" spans="11:13" ht="18" customHeight="1" x14ac:dyDescent="0.2">
      <c r="K3" s="328"/>
      <c r="L3" s="328" t="s">
        <v>306</v>
      </c>
      <c r="M3" s="328" t="s">
        <v>307</v>
      </c>
    </row>
    <row r="4" spans="11:13" ht="18" customHeight="1" x14ac:dyDescent="0.2">
      <c r="K4" s="384" t="s">
        <v>355</v>
      </c>
      <c r="L4" s="334">
        <f>'5-Ⅰ①'!D48</f>
        <v>0.32692307692307693</v>
      </c>
      <c r="M4" s="334">
        <f>'5-Ⅰ①'!F48</f>
        <v>0.24390243902439024</v>
      </c>
    </row>
    <row r="5" spans="11:13" ht="18" customHeight="1" x14ac:dyDescent="0.2">
      <c r="K5" s="384" t="s">
        <v>224</v>
      </c>
      <c r="L5" s="334">
        <f>'5-Ⅰ①'!D49</f>
        <v>0.13942307692307693</v>
      </c>
      <c r="M5" s="334">
        <f>'5-Ⅰ①'!F49</f>
        <v>0.1524390243902439</v>
      </c>
    </row>
    <row r="6" spans="11:13" ht="18" customHeight="1" x14ac:dyDescent="0.2">
      <c r="K6" s="384" t="s">
        <v>38</v>
      </c>
      <c r="L6" s="334">
        <f>'5-Ⅰ①'!D50</f>
        <v>2.8846153846153848E-2</v>
      </c>
      <c r="M6" s="334">
        <f>'5-Ⅰ①'!F50</f>
        <v>1.2195121951219513E-2</v>
      </c>
    </row>
    <row r="7" spans="11:13" ht="18" customHeight="1" x14ac:dyDescent="0.2">
      <c r="K7" s="384" t="s">
        <v>39</v>
      </c>
      <c r="L7" s="334">
        <f>'5-Ⅰ①'!D51</f>
        <v>0.26442307692307693</v>
      </c>
      <c r="M7" s="334">
        <f>'5-Ⅰ①'!F51</f>
        <v>0.44207317073170732</v>
      </c>
    </row>
    <row r="8" spans="11:13" ht="18" customHeight="1" x14ac:dyDescent="0.2">
      <c r="K8" s="384" t="s">
        <v>40</v>
      </c>
      <c r="L8" s="334">
        <f>'5-Ⅰ①'!D52</f>
        <v>0.25</v>
      </c>
      <c r="M8" s="334">
        <f>'5-Ⅰ①'!F52</f>
        <v>0.29878048780487804</v>
      </c>
    </row>
    <row r="9" spans="11:13" ht="18" customHeight="1" x14ac:dyDescent="0.2">
      <c r="K9" s="384" t="s">
        <v>41</v>
      </c>
      <c r="L9" s="334">
        <f>'5-Ⅰ①'!D53</f>
        <v>0.26923076923076922</v>
      </c>
      <c r="M9" s="334">
        <f>'5-Ⅰ①'!F53</f>
        <v>0.21646341463414634</v>
      </c>
    </row>
    <row r="10" spans="11:13" ht="18" customHeight="1" x14ac:dyDescent="0.2">
      <c r="K10" s="384" t="s">
        <v>42</v>
      </c>
      <c r="L10" s="334">
        <f>'5-Ⅰ①'!D54</f>
        <v>3.8461538461538464E-2</v>
      </c>
      <c r="M10" s="334">
        <f>'5-Ⅰ①'!F54</f>
        <v>2.1341463414634148E-2</v>
      </c>
    </row>
    <row r="11" spans="11:13" ht="18" customHeight="1" x14ac:dyDescent="0.2">
      <c r="K11" s="384" t="s">
        <v>43</v>
      </c>
      <c r="L11" s="334">
        <f>'5-Ⅰ①'!D55</f>
        <v>0.20192307692307693</v>
      </c>
      <c r="M11" s="334">
        <f>'5-Ⅰ①'!F55</f>
        <v>0.26219512195121952</v>
      </c>
    </row>
    <row r="12" spans="11:13" ht="18" customHeight="1" x14ac:dyDescent="0.2">
      <c r="K12" s="384" t="s">
        <v>357</v>
      </c>
      <c r="L12" s="334">
        <f>'5-Ⅰ①'!D56</f>
        <v>0.16346153846153846</v>
      </c>
      <c r="M12" s="334">
        <f>'5-Ⅰ①'!F56</f>
        <v>0.20121951219512196</v>
      </c>
    </row>
    <row r="13" spans="11:13" ht="18" customHeight="1" x14ac:dyDescent="0.2">
      <c r="K13" s="385" t="s">
        <v>356</v>
      </c>
      <c r="L13" s="334">
        <f>'5-Ⅰ①'!D57</f>
        <v>0.12980769230769232</v>
      </c>
      <c r="M13" s="334">
        <f>'5-Ⅰ①'!F57</f>
        <v>0.18292682926829268</v>
      </c>
    </row>
    <row r="14" spans="11:13" ht="18" customHeight="1" x14ac:dyDescent="0.2">
      <c r="K14" s="384" t="s">
        <v>46</v>
      </c>
      <c r="L14" s="334">
        <f>'5-Ⅰ①'!D58</f>
        <v>0.37019230769230771</v>
      </c>
      <c r="M14" s="334">
        <f>'5-Ⅰ①'!F58</f>
        <v>0.3201219512195122</v>
      </c>
    </row>
    <row r="15" spans="11:13" ht="18" customHeight="1" x14ac:dyDescent="0.2">
      <c r="K15" s="384" t="s">
        <v>47</v>
      </c>
      <c r="L15" s="334">
        <f>'5-Ⅰ①'!D59</f>
        <v>5.2884615384615384E-2</v>
      </c>
      <c r="M15" s="334">
        <f>'5-Ⅰ①'!F59</f>
        <v>7.3170731707317069E-2</v>
      </c>
    </row>
    <row r="16" spans="11:13" ht="18" customHeight="1" x14ac:dyDescent="0.2">
      <c r="K16" s="384" t="s">
        <v>48</v>
      </c>
      <c r="L16" s="334">
        <f>'5-Ⅰ①'!D60</f>
        <v>1.4423076923076924E-2</v>
      </c>
      <c r="M16" s="334">
        <f>'5-Ⅰ①'!F60</f>
        <v>3.6585365853658534E-2</v>
      </c>
    </row>
    <row r="17" spans="11:13" ht="18" customHeight="1" x14ac:dyDescent="0.2">
      <c r="K17" s="384" t="s">
        <v>49</v>
      </c>
      <c r="L17" s="334">
        <f>'5-Ⅰ①'!D61</f>
        <v>0</v>
      </c>
      <c r="M17" s="334">
        <f>'5-Ⅰ①'!F61</f>
        <v>0</v>
      </c>
    </row>
    <row r="18" spans="11:13" ht="18" customHeight="1" x14ac:dyDescent="0.2">
      <c r="K18" s="384" t="s">
        <v>50</v>
      </c>
      <c r="L18" s="334">
        <f>'5-Ⅰ①'!D62</f>
        <v>5.7692307692307696E-2</v>
      </c>
      <c r="M18" s="334">
        <f>'5-Ⅰ①'!F62</f>
        <v>9.451219512195122E-2</v>
      </c>
    </row>
    <row r="19" spans="11:13" ht="18" customHeight="1" x14ac:dyDescent="0.2">
      <c r="K19" s="384" t="s">
        <v>51</v>
      </c>
      <c r="L19" s="334">
        <f>'5-Ⅰ①'!D63</f>
        <v>5.7692307692307696E-2</v>
      </c>
      <c r="M19" s="334">
        <f>'5-Ⅰ①'!F63</f>
        <v>0.10060975609756098</v>
      </c>
    </row>
    <row r="20" spans="11:13" ht="18" customHeight="1" x14ac:dyDescent="0.2">
      <c r="K20" s="384" t="s">
        <v>337</v>
      </c>
      <c r="L20" s="334">
        <f>'5-Ⅰ①'!D64</f>
        <v>3.3653846153846152E-2</v>
      </c>
      <c r="M20" s="334">
        <f>'5-Ⅰ①'!F64</f>
        <v>3.048780487804878E-2</v>
      </c>
    </row>
    <row r="21" spans="11:13" ht="18" customHeight="1" x14ac:dyDescent="0.2">
      <c r="K21" s="520" t="s">
        <v>380</v>
      </c>
      <c r="L21" s="334">
        <f>'5-Ⅰ①'!D65</f>
        <v>3.3653846153846152E-2</v>
      </c>
      <c r="M21" s="334">
        <f>'5-Ⅰ①'!F65</f>
        <v>0.13414634146341464</v>
      </c>
    </row>
    <row r="22" spans="11:13" ht="18" customHeight="1" x14ac:dyDescent="0.2">
      <c r="K22" s="520" t="s">
        <v>381</v>
      </c>
      <c r="L22" s="334">
        <f>'5-Ⅰ①'!D66</f>
        <v>1.4423076923076924E-2</v>
      </c>
      <c r="M22" s="334">
        <f>'5-Ⅰ①'!F66</f>
        <v>3.9634146341463415E-2</v>
      </c>
    </row>
    <row r="23" spans="11:13" ht="18" customHeight="1" x14ac:dyDescent="0.2">
      <c r="K23" s="520" t="s">
        <v>53</v>
      </c>
      <c r="L23" s="334">
        <f>'5-Ⅰ①'!D67</f>
        <v>2.8846153846153848E-2</v>
      </c>
      <c r="M23" s="334">
        <f>'5-Ⅰ①'!F67</f>
        <v>3.3536585365853661E-2</v>
      </c>
    </row>
    <row r="47" spans="11:15" ht="18" customHeight="1" x14ac:dyDescent="0.2">
      <c r="K47" s="396"/>
      <c r="L47" s="335" t="s">
        <v>358</v>
      </c>
      <c r="M47" s="336" t="s">
        <v>359</v>
      </c>
      <c r="N47" s="336" t="s">
        <v>360</v>
      </c>
      <c r="O47" s="335" t="s">
        <v>361</v>
      </c>
    </row>
    <row r="48" spans="11:15" ht="18" customHeight="1" x14ac:dyDescent="0.2">
      <c r="K48" s="337" t="s">
        <v>355</v>
      </c>
      <c r="L48" s="334">
        <f>'５-Ⅰ②'!D48</f>
        <v>0.29353233830845771</v>
      </c>
      <c r="M48" s="334">
        <f>'５-Ⅰ②'!F48</f>
        <v>0.23428571428571429</v>
      </c>
      <c r="N48" s="334">
        <f>'５-Ⅰ②'!H48</f>
        <v>0.27906976744186046</v>
      </c>
      <c r="O48" s="334">
        <f>'５-Ⅰ②'!J48</f>
        <v>0.33333333333333331</v>
      </c>
    </row>
    <row r="49" spans="11:15" ht="18" customHeight="1" x14ac:dyDescent="0.2">
      <c r="K49" s="337" t="s">
        <v>224</v>
      </c>
      <c r="L49" s="334">
        <f>'５-Ⅰ②'!D49</f>
        <v>0.12935323383084577</v>
      </c>
      <c r="M49" s="334">
        <f>'５-Ⅰ②'!F49</f>
        <v>0.15428571428571428</v>
      </c>
      <c r="N49" s="334"/>
      <c r="O49" s="334">
        <f>'５-Ⅰ②'!J49</f>
        <v>0.14666666666666667</v>
      </c>
    </row>
    <row r="50" spans="11:15" ht="18" customHeight="1" x14ac:dyDescent="0.2">
      <c r="K50" s="337" t="s">
        <v>38</v>
      </c>
      <c r="L50" s="334">
        <f>'５-Ⅰ②'!D50</f>
        <v>1.9900497512437811E-2</v>
      </c>
      <c r="M50" s="334">
        <f>'５-Ⅰ②'!F50</f>
        <v>2.8571428571428571E-2</v>
      </c>
      <c r="N50" s="334">
        <f>'５-Ⅰ②'!H50</f>
        <v>0</v>
      </c>
      <c r="O50" s="334">
        <f>'５-Ⅰ②'!J50</f>
        <v>1.3333333333333334E-2</v>
      </c>
    </row>
    <row r="51" spans="11:15" ht="18" customHeight="1" x14ac:dyDescent="0.2">
      <c r="K51" s="337" t="s">
        <v>39</v>
      </c>
      <c r="L51" s="334">
        <f>'５-Ⅰ②'!D51</f>
        <v>0.19402985074626866</v>
      </c>
      <c r="M51" s="334">
        <f>'５-Ⅰ②'!F51</f>
        <v>0.42857142857142855</v>
      </c>
      <c r="N51" s="334">
        <f>'５-Ⅰ②'!H51</f>
        <v>0.51162790697674421</v>
      </c>
      <c r="O51" s="334">
        <f>'５-Ⅰ②'!J51</f>
        <v>0.56000000000000005</v>
      </c>
    </row>
    <row r="52" spans="11:15" ht="18" customHeight="1" x14ac:dyDescent="0.2">
      <c r="K52" s="337" t="s">
        <v>40</v>
      </c>
      <c r="L52" s="334">
        <f>'５-Ⅰ②'!D52</f>
        <v>0.22885572139303484</v>
      </c>
      <c r="M52" s="334">
        <f>'５-Ⅰ②'!F52</f>
        <v>0.24</v>
      </c>
      <c r="N52" s="334">
        <f>'５-Ⅰ②'!H52</f>
        <v>0.43023255813953487</v>
      </c>
      <c r="O52" s="334">
        <f>'５-Ⅰ②'!J52</f>
        <v>0.34666666666666668</v>
      </c>
    </row>
    <row r="53" spans="11:15" ht="18" customHeight="1" x14ac:dyDescent="0.2">
      <c r="K53" s="337" t="s">
        <v>41</v>
      </c>
      <c r="L53" s="334">
        <f>'５-Ⅰ②'!D53</f>
        <v>0.20398009950248755</v>
      </c>
      <c r="M53" s="334">
        <f>'５-Ⅰ②'!F53</f>
        <v>0.24</v>
      </c>
      <c r="N53" s="334">
        <f>'５-Ⅰ②'!H53</f>
        <v>0.2558139534883721</v>
      </c>
      <c r="O53" s="334">
        <f>'５-Ⅰ②'!J53</f>
        <v>0.30666666666666664</v>
      </c>
    </row>
    <row r="54" spans="11:15" ht="18" customHeight="1" x14ac:dyDescent="0.2">
      <c r="K54" s="337" t="s">
        <v>42</v>
      </c>
      <c r="L54" s="334">
        <f>'５-Ⅰ②'!D54</f>
        <v>3.482587064676617E-2</v>
      </c>
      <c r="M54" s="334">
        <f>'５-Ⅰ②'!F54</f>
        <v>1.1428571428571429E-2</v>
      </c>
      <c r="N54" s="334">
        <f>'５-Ⅰ②'!H54</f>
        <v>3.4883720930232558E-2</v>
      </c>
      <c r="O54" s="334">
        <f>'５-Ⅰ②'!J54</f>
        <v>5.3333333333333337E-2</v>
      </c>
    </row>
    <row r="55" spans="11:15" ht="18" customHeight="1" x14ac:dyDescent="0.2">
      <c r="K55" s="337" t="s">
        <v>43</v>
      </c>
      <c r="L55" s="334">
        <f>'５-Ⅰ②'!D55</f>
        <v>0.18407960199004975</v>
      </c>
      <c r="M55" s="334">
        <f>'５-Ⅰ②'!F55</f>
        <v>0.22857142857142856</v>
      </c>
      <c r="N55" s="334">
        <f>'５-Ⅰ②'!H55</f>
        <v>0.31395348837209303</v>
      </c>
      <c r="O55" s="334">
        <f>'５-Ⅰ②'!J55</f>
        <v>0.32</v>
      </c>
    </row>
    <row r="56" spans="11:15" ht="18" customHeight="1" x14ac:dyDescent="0.2">
      <c r="K56" s="337" t="s">
        <v>357</v>
      </c>
      <c r="L56" s="334">
        <f>'５-Ⅰ②'!D56</f>
        <v>0.17910447761194029</v>
      </c>
      <c r="M56" s="334">
        <f>'５-Ⅰ②'!F56</f>
        <v>0.17714285714285713</v>
      </c>
      <c r="N56" s="334">
        <f>'５-Ⅰ②'!H56</f>
        <v>0.18604651162790697</v>
      </c>
      <c r="O56" s="334">
        <f>'５-Ⅰ②'!J56</f>
        <v>0.24</v>
      </c>
    </row>
    <row r="57" spans="11:15" ht="18" customHeight="1" x14ac:dyDescent="0.2">
      <c r="K57" s="338" t="s">
        <v>356</v>
      </c>
      <c r="L57" s="334">
        <f>'５-Ⅰ②'!D57</f>
        <v>9.4527363184079602E-2</v>
      </c>
      <c r="M57" s="334">
        <f>'５-Ⅰ②'!F57</f>
        <v>0.1657142857142857</v>
      </c>
      <c r="N57" s="334">
        <f>'５-Ⅰ②'!H57</f>
        <v>0.2441860465116279</v>
      </c>
      <c r="O57" s="334">
        <f>'５-Ⅰ②'!J57</f>
        <v>0.24</v>
      </c>
    </row>
    <row r="58" spans="11:15" ht="18" customHeight="1" x14ac:dyDescent="0.2">
      <c r="K58" s="337" t="s">
        <v>46</v>
      </c>
      <c r="L58" s="334">
        <f>'５-Ⅰ②'!D58</f>
        <v>0.46766169154228854</v>
      </c>
      <c r="M58" s="334">
        <f>'５-Ⅰ②'!F58</f>
        <v>0.32571428571428573</v>
      </c>
      <c r="N58" s="334">
        <f>'５-Ⅰ②'!H58</f>
        <v>0.16279069767441862</v>
      </c>
      <c r="O58" s="334">
        <f>'５-Ⅰ②'!J58</f>
        <v>0.22666666666666666</v>
      </c>
    </row>
    <row r="59" spans="11:15" ht="18" customHeight="1" x14ac:dyDescent="0.2">
      <c r="K59" s="337" t="s">
        <v>47</v>
      </c>
      <c r="L59" s="334">
        <f>'５-Ⅰ②'!D59</f>
        <v>7.9601990049751242E-2</v>
      </c>
      <c r="M59" s="334">
        <f>'５-Ⅰ②'!F59</f>
        <v>7.4285714285714288E-2</v>
      </c>
      <c r="N59" s="334">
        <f>'５-Ⅰ②'!H59</f>
        <v>3.4883720930232558E-2</v>
      </c>
      <c r="O59" s="334">
        <f>'５-Ⅰ②'!J59</f>
        <v>0.04</v>
      </c>
    </row>
    <row r="60" spans="11:15" ht="18" customHeight="1" x14ac:dyDescent="0.2">
      <c r="K60" s="337" t="s">
        <v>48</v>
      </c>
      <c r="L60" s="334">
        <f>'５-Ⅰ②'!D60</f>
        <v>4.975124378109453E-2</v>
      </c>
      <c r="M60" s="334">
        <f>'５-Ⅰ②'!F60</f>
        <v>1.1428571428571429E-2</v>
      </c>
      <c r="N60" s="334">
        <f>'５-Ⅰ②'!H60</f>
        <v>2.3255813953488372E-2</v>
      </c>
      <c r="O60" s="334">
        <f>'５-Ⅰ②'!J60</f>
        <v>1.3333333333333334E-2</v>
      </c>
    </row>
    <row r="61" spans="11:15" ht="18" customHeight="1" x14ac:dyDescent="0.2">
      <c r="K61" s="337" t="s">
        <v>49</v>
      </c>
      <c r="L61" s="334">
        <f>'５-Ⅰ②'!D61</f>
        <v>0</v>
      </c>
      <c r="M61" s="334">
        <f>'５-Ⅰ②'!F61</f>
        <v>0</v>
      </c>
      <c r="N61" s="334">
        <f>'５-Ⅰ②'!H61</f>
        <v>0</v>
      </c>
      <c r="O61" s="334">
        <f>'５-Ⅰ②'!J61</f>
        <v>0</v>
      </c>
    </row>
    <row r="62" spans="11:15" ht="18" customHeight="1" x14ac:dyDescent="0.2">
      <c r="K62" s="337" t="s">
        <v>50</v>
      </c>
      <c r="L62" s="334">
        <f>'５-Ⅰ②'!D62</f>
        <v>5.9701492537313432E-2</v>
      </c>
      <c r="M62" s="334">
        <f>'５-Ⅰ②'!F62</f>
        <v>8.5714285714285715E-2</v>
      </c>
      <c r="N62" s="334">
        <f>'５-Ⅰ②'!H62</f>
        <v>9.3023255813953487E-2</v>
      </c>
      <c r="O62" s="334">
        <f>'５-Ⅰ②'!J62</f>
        <v>0.10666666666666667</v>
      </c>
    </row>
    <row r="63" spans="11:15" ht="18" customHeight="1" x14ac:dyDescent="0.2">
      <c r="K63" s="337" t="s">
        <v>51</v>
      </c>
      <c r="L63" s="334">
        <f>'５-Ⅰ②'!D63</f>
        <v>6.4676616915422883E-2</v>
      </c>
      <c r="M63" s="334">
        <f>'５-Ⅰ②'!F63</f>
        <v>9.1428571428571428E-2</v>
      </c>
      <c r="N63" s="334">
        <f>'５-Ⅰ②'!H63</f>
        <v>0.11627906976744186</v>
      </c>
      <c r="O63" s="334">
        <f>'５-Ⅰ②'!J63</f>
        <v>0.08</v>
      </c>
    </row>
    <row r="64" spans="11:15" ht="18" customHeight="1" x14ac:dyDescent="0.2">
      <c r="K64" s="337" t="s">
        <v>337</v>
      </c>
      <c r="L64" s="334">
        <f>'５-Ⅰ②'!D64</f>
        <v>3.9800995024875621E-2</v>
      </c>
      <c r="M64" s="334">
        <f>'５-Ⅰ②'!F64</f>
        <v>3.4285714285714287E-2</v>
      </c>
      <c r="N64" s="334">
        <f>'５-Ⅰ②'!H64</f>
        <v>2.3255813953488372E-2</v>
      </c>
      <c r="O64" s="334">
        <f>'５-Ⅰ②'!J64</f>
        <v>1.3333333333333334E-2</v>
      </c>
    </row>
    <row r="65" spans="11:15" ht="18" customHeight="1" x14ac:dyDescent="0.2">
      <c r="K65" s="337" t="s">
        <v>380</v>
      </c>
      <c r="L65" s="334">
        <f>'５-Ⅰ②'!D65</f>
        <v>9.950248756218906E-2</v>
      </c>
      <c r="M65" s="334">
        <f>'５-Ⅰ②'!F65</f>
        <v>0.12</v>
      </c>
      <c r="N65" s="334">
        <f>'５-Ⅰ②'!H65</f>
        <v>5.8139534883720929E-2</v>
      </c>
      <c r="O65" s="334">
        <f>'５-Ⅰ②'!J65</f>
        <v>6.6666666666666666E-2</v>
      </c>
    </row>
    <row r="66" spans="11:15" ht="18" customHeight="1" x14ac:dyDescent="0.2">
      <c r="K66" s="223" t="s">
        <v>381</v>
      </c>
      <c r="L66" s="334">
        <f>'５-Ⅰ②'!D66</f>
        <v>2.4875621890547265E-2</v>
      </c>
      <c r="M66" s="334">
        <f>'５-Ⅰ②'!F66</f>
        <v>5.1428571428571428E-2</v>
      </c>
      <c r="N66" s="334">
        <f>'５-Ⅰ②'!H66</f>
        <v>1.1627906976744186E-2</v>
      </c>
      <c r="O66" s="334">
        <f>'５-Ⅰ②'!J66</f>
        <v>1.3333333333333334E-2</v>
      </c>
    </row>
    <row r="67" spans="11:15" ht="18" customHeight="1" x14ac:dyDescent="0.2">
      <c r="K67" s="223" t="s">
        <v>53</v>
      </c>
      <c r="L67" s="334">
        <f>'５-Ⅰ②'!D67</f>
        <v>4.4776119402985072E-2</v>
      </c>
      <c r="M67" s="334">
        <f>'５-Ⅰ②'!F67</f>
        <v>2.2857142857142857E-2</v>
      </c>
      <c r="N67" s="334">
        <f>'５-Ⅰ②'!H67</f>
        <v>3.4883720930232558E-2</v>
      </c>
      <c r="O67" s="334">
        <f>'５-Ⅰ②'!J67</f>
        <v>1.3333333333333334E-2</v>
      </c>
    </row>
  </sheetData>
  <phoneticPr fontId="2"/>
  <pageMargins left="0.44270833333333331" right="0.41666666666666669" top="0.60606060606060608" bottom="0.51136363636363635" header="0.3" footer="0.3"/>
  <pageSetup paperSize="9" orientation="portrait" r:id="rId1"/>
  <headerFooter>
    <oddHeader>&amp;C&amp;"游ゴシック,太字"&amp;14R6年度　大阪府の在院患者の状況&amp;R&amp;"游ゴシック,標準"&amp;10R6.6.30時点</oddHeader>
    <oddFooter>&amp;R&amp;"メイリオ,レギュラー"&amp;10&amp;F</oddFooter>
  </headerFooter>
  <rowBreaks count="1" manualBreakCount="1">
    <brk id="44" max="8" man="1"/>
  </rowBreaks>
  <drawing r:id="rId2"/>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6" tint="-0.249977111117893"/>
    <pageSetUpPr fitToPage="1"/>
  </sheetPr>
  <dimension ref="A1:U47"/>
  <sheetViews>
    <sheetView showGridLines="0" view="pageBreakPreview" zoomScale="80" zoomScaleNormal="100" zoomScaleSheetLayoutView="80" workbookViewId="0"/>
  </sheetViews>
  <sheetFormatPr defaultColWidth="9" defaultRowHeight="17.399999999999999" x14ac:dyDescent="0.2"/>
  <cols>
    <col min="1" max="1" width="22.77734375" style="1" bestFit="1" customWidth="1"/>
    <col min="2" max="2" width="9.33203125" style="1" customWidth="1"/>
    <col min="3" max="3" width="10.5546875" style="1" bestFit="1" customWidth="1"/>
    <col min="4" max="4" width="6.6640625" style="1" customWidth="1"/>
    <col min="5" max="5" width="22.77734375" style="1" bestFit="1" customWidth="1"/>
    <col min="6" max="8" width="9.33203125" style="1" customWidth="1"/>
    <col min="9" max="9" width="10.5546875" style="1" bestFit="1" customWidth="1"/>
    <col min="10" max="10" width="9" style="1"/>
    <col min="11" max="11" width="18.77734375" style="1" hidden="1" customWidth="1"/>
    <col min="12" max="12" width="10.21875" style="1" hidden="1" customWidth="1"/>
    <col min="13" max="13" width="9" style="1" hidden="1" customWidth="1"/>
    <col min="14" max="14" width="19.6640625" style="1" hidden="1" customWidth="1"/>
    <col min="15" max="15" width="9" style="1" hidden="1" customWidth="1"/>
    <col min="16" max="16" width="19.6640625" style="1" hidden="1" customWidth="1"/>
    <col min="17" max="17" width="10.21875" style="1" hidden="1" customWidth="1"/>
    <col min="18" max="19" width="9" style="1" hidden="1" customWidth="1"/>
    <col min="20" max="20" width="20.109375" style="1" hidden="1" customWidth="1"/>
    <col min="21" max="21" width="9" style="1" hidden="1" customWidth="1"/>
    <col min="22" max="22" width="0" style="1" hidden="1" customWidth="1"/>
    <col min="23" max="16384" width="9" style="1"/>
  </cols>
  <sheetData>
    <row r="1" spans="1:20" s="3" customFormat="1" ht="19.2" x14ac:dyDescent="0.2">
      <c r="A1" s="2" t="s">
        <v>124</v>
      </c>
    </row>
    <row r="2" spans="1:20" x14ac:dyDescent="0.2">
      <c r="A2" s="4"/>
      <c r="K2" s="55" t="s">
        <v>63</v>
      </c>
    </row>
    <row r="3" spans="1:20" s="3" customFormat="1" ht="19.8" thickBot="1" x14ac:dyDescent="0.25">
      <c r="A3" s="4" t="s">
        <v>13</v>
      </c>
      <c r="E3" s="4" t="s">
        <v>125</v>
      </c>
      <c r="F3" s="4"/>
      <c r="G3" s="4"/>
      <c r="K3" s="297" t="s">
        <v>299</v>
      </c>
      <c r="L3" s="339" t="s">
        <v>278</v>
      </c>
      <c r="N3" s="257" t="s">
        <v>299</v>
      </c>
      <c r="O3" s="339" t="s">
        <v>276</v>
      </c>
      <c r="P3" s="257" t="s">
        <v>299</v>
      </c>
      <c r="Q3" s="339" t="s">
        <v>277</v>
      </c>
    </row>
    <row r="4" spans="1:20" ht="18.600000000000001" thickTop="1" thickBot="1" x14ac:dyDescent="0.25">
      <c r="A4" s="580"/>
      <c r="B4" s="580" t="s">
        <v>0</v>
      </c>
      <c r="C4" s="580" t="s">
        <v>1</v>
      </c>
      <c r="D4" s="172"/>
      <c r="E4" s="580"/>
      <c r="F4" s="580" t="s">
        <v>126</v>
      </c>
      <c r="G4" s="733" t="s">
        <v>127</v>
      </c>
      <c r="H4" s="580" t="s">
        <v>12</v>
      </c>
      <c r="I4" s="580" t="s">
        <v>1</v>
      </c>
      <c r="K4" s="344" t="s">
        <v>372</v>
      </c>
      <c r="L4" s="34" t="s">
        <v>617</v>
      </c>
      <c r="N4" s="344" t="s">
        <v>372</v>
      </c>
      <c r="O4" s="34" t="s">
        <v>617</v>
      </c>
      <c r="P4" s="344" t="s">
        <v>372</v>
      </c>
      <c r="Q4" s="34" t="s">
        <v>617</v>
      </c>
    </row>
    <row r="5" spans="1:20" ht="18" thickTop="1" x14ac:dyDescent="0.2">
      <c r="A5" s="704" t="s">
        <v>128</v>
      </c>
      <c r="B5" s="713">
        <f>IFERROR(VLOOKUP($T5,在院期間[#All],2,FALSE),0)</f>
        <v>1771</v>
      </c>
      <c r="C5" s="706">
        <f>IFERROR(B5/B$21,"-")</f>
        <v>0.12507062146892656</v>
      </c>
      <c r="D5" s="172"/>
      <c r="E5" s="704" t="s">
        <v>128</v>
      </c>
      <c r="F5" s="713">
        <f>IFERROR(VLOOKUP($T5,在院期間＿寛解[#All],2,FALSE),0)</f>
        <v>128</v>
      </c>
      <c r="G5" s="713">
        <f>IFERROR(VLOOKUP($T5,在院期間＿院内寛解[#All],2,FALSE),0)</f>
        <v>270</v>
      </c>
      <c r="H5" s="707">
        <f>SUM(F5:G5)</f>
        <v>398</v>
      </c>
      <c r="I5" s="706">
        <f>IFERROR(H5/H$21,"-")</f>
        <v>0.22074320576816417</v>
      </c>
      <c r="K5" s="42" t="s">
        <v>182</v>
      </c>
      <c r="L5" s="58">
        <v>1771</v>
      </c>
      <c r="N5" s="42" t="s">
        <v>182</v>
      </c>
      <c r="O5" s="58">
        <v>128</v>
      </c>
      <c r="P5" s="42" t="s">
        <v>182</v>
      </c>
      <c r="Q5" s="58">
        <v>270</v>
      </c>
      <c r="T5" s="276" t="s">
        <v>182</v>
      </c>
    </row>
    <row r="6" spans="1:20" x14ac:dyDescent="0.2">
      <c r="A6" s="704" t="s">
        <v>129</v>
      </c>
      <c r="B6" s="713">
        <f>IFERROR(VLOOKUP($T6,在院期間[#All],2,FALSE),0)</f>
        <v>2121</v>
      </c>
      <c r="C6" s="706">
        <f t="shared" ref="C6:C20" si="0">IFERROR(B6/B$21,"-")</f>
        <v>0.14978813559322035</v>
      </c>
      <c r="D6" s="172"/>
      <c r="E6" s="704" t="s">
        <v>130</v>
      </c>
      <c r="F6" s="713">
        <f>IFERROR(VLOOKUP($T6,在院期間＿寛解[#All],2,FALSE),0)</f>
        <v>135</v>
      </c>
      <c r="G6" s="713">
        <f>IFERROR(VLOOKUP($T6,在院期間＿院内寛解[#All],2,FALSE),0)</f>
        <v>364</v>
      </c>
      <c r="H6" s="707">
        <f t="shared" ref="H6:H20" si="1">SUM(F6:G6)</f>
        <v>499</v>
      </c>
      <c r="I6" s="706">
        <f t="shared" ref="I6:I20" si="2">IFERROR(H6/H$21,"-")</f>
        <v>0.27676095396561284</v>
      </c>
      <c r="K6" s="42" t="s">
        <v>183</v>
      </c>
      <c r="L6" s="58">
        <v>2121</v>
      </c>
      <c r="N6" s="42" t="s">
        <v>183</v>
      </c>
      <c r="O6" s="269">
        <v>135</v>
      </c>
      <c r="P6" s="278" t="s">
        <v>183</v>
      </c>
      <c r="Q6" s="94">
        <v>364</v>
      </c>
      <c r="T6" s="276" t="s">
        <v>183</v>
      </c>
    </row>
    <row r="7" spans="1:20" x14ac:dyDescent="0.2">
      <c r="A7" s="704" t="s">
        <v>131</v>
      </c>
      <c r="B7" s="713">
        <f>IFERROR(VLOOKUP($T7,在院期間[#All],2,FALSE),0)</f>
        <v>1159</v>
      </c>
      <c r="C7" s="706">
        <f t="shared" si="0"/>
        <v>8.1850282485875711E-2</v>
      </c>
      <c r="D7" s="172"/>
      <c r="E7" s="704" t="s">
        <v>131</v>
      </c>
      <c r="F7" s="713">
        <f>IFERROR(VLOOKUP($T7,在院期間＿寛解[#All],2,FALSE),0)</f>
        <v>41</v>
      </c>
      <c r="G7" s="713">
        <f>IFERROR(VLOOKUP($T7,在院期間＿院内寛解[#All],2,FALSE),0)</f>
        <v>146</v>
      </c>
      <c r="H7" s="707">
        <f t="shared" si="1"/>
        <v>187</v>
      </c>
      <c r="I7" s="706">
        <f t="shared" si="2"/>
        <v>0.10371602884082086</v>
      </c>
      <c r="K7" s="42" t="s">
        <v>184</v>
      </c>
      <c r="L7" s="58">
        <v>1159</v>
      </c>
      <c r="N7" s="42" t="s">
        <v>184</v>
      </c>
      <c r="O7" s="269">
        <v>41</v>
      </c>
      <c r="P7" s="278" t="s">
        <v>184</v>
      </c>
      <c r="Q7" s="94">
        <v>146</v>
      </c>
      <c r="T7" s="277" t="s">
        <v>184</v>
      </c>
    </row>
    <row r="8" spans="1:20" x14ac:dyDescent="0.2">
      <c r="A8" s="704" t="s">
        <v>132</v>
      </c>
      <c r="B8" s="713">
        <f>IFERROR(VLOOKUP($T8,在院期間[#All],2,FALSE),0)</f>
        <v>1343</v>
      </c>
      <c r="C8" s="706">
        <f t="shared" si="0"/>
        <v>9.4844632768361581E-2</v>
      </c>
      <c r="D8" s="172"/>
      <c r="E8" s="704" t="s">
        <v>132</v>
      </c>
      <c r="F8" s="713">
        <f>IFERROR(VLOOKUP($T8,在院期間＿寛解[#All],2,FALSE),0)</f>
        <v>26</v>
      </c>
      <c r="G8" s="713">
        <f>IFERROR(VLOOKUP($T8,在院期間＿院内寛解[#All],2,FALSE),0)</f>
        <v>120</v>
      </c>
      <c r="H8" s="707">
        <f t="shared" si="1"/>
        <v>146</v>
      </c>
      <c r="I8" s="706">
        <f t="shared" si="2"/>
        <v>8.0976150859678311E-2</v>
      </c>
      <c r="K8" s="42" t="s">
        <v>185</v>
      </c>
      <c r="L8" s="58">
        <v>1343</v>
      </c>
      <c r="N8" s="42" t="s">
        <v>185</v>
      </c>
      <c r="O8" s="269">
        <v>26</v>
      </c>
      <c r="P8" s="278" t="s">
        <v>185</v>
      </c>
      <c r="Q8" s="94">
        <v>120</v>
      </c>
      <c r="T8" s="276" t="s">
        <v>185</v>
      </c>
    </row>
    <row r="9" spans="1:20" x14ac:dyDescent="0.2">
      <c r="A9" s="704" t="s">
        <v>133</v>
      </c>
      <c r="B9" s="713">
        <f>IFERROR(VLOOKUP($T9,在院期間[#All],2,FALSE),0)</f>
        <v>936</v>
      </c>
      <c r="C9" s="706">
        <f t="shared" si="0"/>
        <v>6.6101694915254236E-2</v>
      </c>
      <c r="D9" s="172"/>
      <c r="E9" s="704" t="s">
        <v>133</v>
      </c>
      <c r="F9" s="713">
        <f>IFERROR(VLOOKUP($T9,在院期間＿寛解[#All],2,FALSE),0)</f>
        <v>17</v>
      </c>
      <c r="G9" s="713">
        <f>IFERROR(VLOOKUP($T9,在院期間＿院内寛解[#All],2,FALSE),0)</f>
        <v>80</v>
      </c>
      <c r="H9" s="707">
        <f t="shared" si="1"/>
        <v>97</v>
      </c>
      <c r="I9" s="706">
        <f t="shared" si="2"/>
        <v>5.379922351636162E-2</v>
      </c>
      <c r="K9" s="42" t="s">
        <v>186</v>
      </c>
      <c r="L9" s="58">
        <v>936</v>
      </c>
      <c r="N9" s="42" t="s">
        <v>186</v>
      </c>
      <c r="O9" s="269">
        <v>17</v>
      </c>
      <c r="P9" s="278" t="s">
        <v>186</v>
      </c>
      <c r="Q9" s="94">
        <v>80</v>
      </c>
      <c r="T9" s="277" t="s">
        <v>186</v>
      </c>
    </row>
    <row r="10" spans="1:20" x14ac:dyDescent="0.2">
      <c r="A10" s="704" t="s">
        <v>134</v>
      </c>
      <c r="B10" s="713">
        <f>IFERROR(VLOOKUP($T10,在院期間[#All],2,FALSE),0)</f>
        <v>648</v>
      </c>
      <c r="C10" s="706">
        <f t="shared" si="0"/>
        <v>4.576271186440678E-2</v>
      </c>
      <c r="D10" s="172"/>
      <c r="E10" s="704" t="s">
        <v>134</v>
      </c>
      <c r="F10" s="713">
        <f>IFERROR(VLOOKUP($T10,在院期間＿寛解[#All],2,FALSE),0)</f>
        <v>10</v>
      </c>
      <c r="G10" s="713">
        <f>IFERROR(VLOOKUP($T10,在院期間＿院内寛解[#All],2,FALSE),0)</f>
        <v>36</v>
      </c>
      <c r="H10" s="707">
        <f t="shared" si="1"/>
        <v>46</v>
      </c>
      <c r="I10" s="706">
        <f t="shared" si="2"/>
        <v>2.5513033832501388E-2</v>
      </c>
      <c r="K10" s="42" t="s">
        <v>187</v>
      </c>
      <c r="L10" s="58">
        <v>648</v>
      </c>
      <c r="N10" s="42" t="s">
        <v>187</v>
      </c>
      <c r="O10" s="269">
        <v>10</v>
      </c>
      <c r="P10" s="278" t="s">
        <v>187</v>
      </c>
      <c r="Q10" s="94">
        <v>36</v>
      </c>
      <c r="T10" s="276" t="s">
        <v>187</v>
      </c>
    </row>
    <row r="11" spans="1:20" x14ac:dyDescent="0.2">
      <c r="A11" s="704" t="s">
        <v>135</v>
      </c>
      <c r="B11" s="713">
        <f>IFERROR(VLOOKUP($T11,在院期間[#All],2,FALSE),0)</f>
        <v>980</v>
      </c>
      <c r="C11" s="706">
        <f t="shared" si="0"/>
        <v>6.9209039548022599E-2</v>
      </c>
      <c r="D11" s="172"/>
      <c r="E11" s="704" t="s">
        <v>26</v>
      </c>
      <c r="F11" s="713">
        <f>IFERROR(VLOOKUP($T11,在院期間＿寛解[#All],2,FALSE),0)</f>
        <v>9</v>
      </c>
      <c r="G11" s="713">
        <f>IFERROR(VLOOKUP($T11,在院期間＿院内寛解[#All],2,FALSE),0)</f>
        <v>67</v>
      </c>
      <c r="H11" s="707">
        <f t="shared" si="1"/>
        <v>76</v>
      </c>
      <c r="I11" s="706">
        <f t="shared" si="2"/>
        <v>4.2151968940654462E-2</v>
      </c>
      <c r="K11" s="42" t="s">
        <v>188</v>
      </c>
      <c r="L11" s="58">
        <v>980</v>
      </c>
      <c r="N11" s="42" t="s">
        <v>188</v>
      </c>
      <c r="O11" s="269">
        <v>9</v>
      </c>
      <c r="P11" s="278" t="s">
        <v>188</v>
      </c>
      <c r="Q11" s="94">
        <v>67</v>
      </c>
      <c r="T11" s="277" t="s">
        <v>188</v>
      </c>
    </row>
    <row r="12" spans="1:20" x14ac:dyDescent="0.2">
      <c r="A12" s="704" t="s">
        <v>27</v>
      </c>
      <c r="B12" s="713">
        <f>IFERROR(VLOOKUP($T12,在院期間[#All],2,FALSE),0)</f>
        <v>741</v>
      </c>
      <c r="C12" s="706">
        <f t="shared" si="0"/>
        <v>5.2330508474576272E-2</v>
      </c>
      <c r="D12" s="172"/>
      <c r="E12" s="704" t="s">
        <v>27</v>
      </c>
      <c r="F12" s="713">
        <f>IFERROR(VLOOKUP($T12,在院期間＿寛解[#All],2,FALSE),0)</f>
        <v>6</v>
      </c>
      <c r="G12" s="713">
        <f>IFERROR(VLOOKUP($T12,在院期間＿院内寛解[#All],2,FALSE),0)</f>
        <v>42</v>
      </c>
      <c r="H12" s="707">
        <f t="shared" si="1"/>
        <v>48</v>
      </c>
      <c r="I12" s="706">
        <f t="shared" si="2"/>
        <v>2.6622296173044926E-2</v>
      </c>
      <c r="K12" s="42" t="s">
        <v>189</v>
      </c>
      <c r="L12" s="58">
        <v>741</v>
      </c>
      <c r="N12" s="42" t="s">
        <v>189</v>
      </c>
      <c r="O12" s="269">
        <v>6</v>
      </c>
      <c r="P12" s="278" t="s">
        <v>189</v>
      </c>
      <c r="Q12" s="94">
        <v>42</v>
      </c>
      <c r="T12" s="276" t="s">
        <v>189</v>
      </c>
    </row>
    <row r="13" spans="1:20" x14ac:dyDescent="0.2">
      <c r="A13" s="704" t="s">
        <v>136</v>
      </c>
      <c r="B13" s="713">
        <f>IFERROR(VLOOKUP($T13,在院期間[#All],2,FALSE),0)</f>
        <v>650</v>
      </c>
      <c r="C13" s="706">
        <f t="shared" si="0"/>
        <v>4.5903954802259887E-2</v>
      </c>
      <c r="D13" s="172"/>
      <c r="E13" s="704" t="s">
        <v>136</v>
      </c>
      <c r="F13" s="713">
        <f>IFERROR(VLOOKUP($T13,在院期間＿寛解[#All],2,FALSE),0)</f>
        <v>2</v>
      </c>
      <c r="G13" s="713">
        <f>IFERROR(VLOOKUP($T13,在院期間＿院内寛解[#All],2,FALSE),0)</f>
        <v>49</v>
      </c>
      <c r="H13" s="707">
        <f t="shared" si="1"/>
        <v>51</v>
      </c>
      <c r="I13" s="706">
        <f t="shared" si="2"/>
        <v>2.8286189683860232E-2</v>
      </c>
      <c r="K13" s="42" t="s">
        <v>190</v>
      </c>
      <c r="L13" s="58">
        <v>650</v>
      </c>
      <c r="N13" s="42" t="s">
        <v>190</v>
      </c>
      <c r="O13" s="269">
        <v>2</v>
      </c>
      <c r="P13" s="278" t="s">
        <v>190</v>
      </c>
      <c r="Q13" s="94">
        <v>49</v>
      </c>
      <c r="T13" s="277" t="s">
        <v>190</v>
      </c>
    </row>
    <row r="14" spans="1:20" x14ac:dyDescent="0.2">
      <c r="A14" s="704" t="s">
        <v>137</v>
      </c>
      <c r="B14" s="713">
        <f>IFERROR(VLOOKUP($T14,在院期間[#All],2,FALSE),0)</f>
        <v>519</v>
      </c>
      <c r="C14" s="706">
        <f t="shared" si="0"/>
        <v>3.6652542372881354E-2</v>
      </c>
      <c r="D14" s="172"/>
      <c r="E14" s="704" t="s">
        <v>137</v>
      </c>
      <c r="F14" s="713">
        <f>IFERROR(VLOOKUP($T14,在院期間＿寛解[#All],2,FALSE),0)</f>
        <v>3</v>
      </c>
      <c r="G14" s="713">
        <f>IFERROR(VLOOKUP($T14,在院期間＿院内寛解[#All],2,FALSE),0)</f>
        <v>39</v>
      </c>
      <c r="H14" s="707">
        <f t="shared" si="1"/>
        <v>42</v>
      </c>
      <c r="I14" s="706">
        <f t="shared" si="2"/>
        <v>2.329450915141431E-2</v>
      </c>
      <c r="K14" s="42" t="s">
        <v>191</v>
      </c>
      <c r="L14" s="58">
        <v>519</v>
      </c>
      <c r="N14" s="42" t="s">
        <v>191</v>
      </c>
      <c r="O14" s="269">
        <v>3</v>
      </c>
      <c r="P14" s="278" t="s">
        <v>191</v>
      </c>
      <c r="Q14" s="94">
        <v>39</v>
      </c>
      <c r="T14" s="276" t="s">
        <v>191</v>
      </c>
    </row>
    <row r="15" spans="1:20" x14ac:dyDescent="0.2">
      <c r="A15" s="704" t="s">
        <v>138</v>
      </c>
      <c r="B15" s="713">
        <f>IFERROR(VLOOKUP($T15,在院期間[#All],2,FALSE),0)</f>
        <v>447</v>
      </c>
      <c r="C15" s="706">
        <f t="shared" si="0"/>
        <v>3.1567796610169493E-2</v>
      </c>
      <c r="D15" s="172"/>
      <c r="E15" s="704" t="s">
        <v>138</v>
      </c>
      <c r="F15" s="713">
        <f>IFERROR(VLOOKUP($T15,在院期間＿寛解[#All],2,FALSE),0)</f>
        <v>0</v>
      </c>
      <c r="G15" s="713">
        <f>IFERROR(VLOOKUP($T15,在院期間＿院内寛解[#All],2,FALSE),0)</f>
        <v>32</v>
      </c>
      <c r="H15" s="707">
        <f t="shared" si="1"/>
        <v>32</v>
      </c>
      <c r="I15" s="706">
        <f t="shared" si="2"/>
        <v>1.7748197448696618E-2</v>
      </c>
      <c r="K15" s="42" t="s">
        <v>192</v>
      </c>
      <c r="L15" s="58">
        <v>447</v>
      </c>
      <c r="N15" s="42" t="s">
        <v>192</v>
      </c>
      <c r="O15" s="269">
        <v>0</v>
      </c>
      <c r="P15" s="278" t="s">
        <v>192</v>
      </c>
      <c r="Q15" s="94">
        <v>32</v>
      </c>
      <c r="T15" s="277" t="s">
        <v>192</v>
      </c>
    </row>
    <row r="16" spans="1:20" x14ac:dyDescent="0.2">
      <c r="A16" s="704" t="s">
        <v>139</v>
      </c>
      <c r="B16" s="713">
        <f>IFERROR(VLOOKUP($T16,在院期間[#All],2,FALSE),0)</f>
        <v>334</v>
      </c>
      <c r="C16" s="706">
        <f t="shared" si="0"/>
        <v>2.3587570621468927E-2</v>
      </c>
      <c r="D16" s="172"/>
      <c r="E16" s="704" t="s">
        <v>139</v>
      </c>
      <c r="F16" s="713">
        <f>IFERROR(VLOOKUP($T16,在院期間＿寛解[#All],2,FALSE),0)</f>
        <v>3</v>
      </c>
      <c r="G16" s="713">
        <f>IFERROR(VLOOKUP($T16,在院期間＿院内寛解[#All],2,FALSE),0)</f>
        <v>27</v>
      </c>
      <c r="H16" s="707">
        <f t="shared" si="1"/>
        <v>30</v>
      </c>
      <c r="I16" s="706">
        <f t="shared" si="2"/>
        <v>1.6638935108153077E-2</v>
      </c>
      <c r="K16" s="42" t="s">
        <v>193</v>
      </c>
      <c r="L16" s="58">
        <v>334</v>
      </c>
      <c r="N16" s="42" t="s">
        <v>193</v>
      </c>
      <c r="O16" s="269">
        <v>3</v>
      </c>
      <c r="P16" s="278" t="s">
        <v>193</v>
      </c>
      <c r="Q16" s="94">
        <v>27</v>
      </c>
      <c r="T16" s="276" t="s">
        <v>193</v>
      </c>
    </row>
    <row r="17" spans="1:20" x14ac:dyDescent="0.2">
      <c r="A17" s="704" t="s">
        <v>140</v>
      </c>
      <c r="B17" s="713">
        <f>IFERROR(VLOOKUP($T17,在院期間[#All],2,FALSE),0)</f>
        <v>252</v>
      </c>
      <c r="C17" s="706">
        <f t="shared" si="0"/>
        <v>1.7796610169491526E-2</v>
      </c>
      <c r="D17" s="172"/>
      <c r="E17" s="704" t="s">
        <v>140</v>
      </c>
      <c r="F17" s="713">
        <f>IFERROR(VLOOKUP($T17,在院期間＿寛解[#All],2,FALSE),0)</f>
        <v>1</v>
      </c>
      <c r="G17" s="713">
        <f>IFERROR(VLOOKUP($T17,在院期間＿院内寛解[#All],2,FALSE),0)</f>
        <v>20</v>
      </c>
      <c r="H17" s="707">
        <f t="shared" si="1"/>
        <v>21</v>
      </c>
      <c r="I17" s="706">
        <f t="shared" si="2"/>
        <v>1.1647254575707155E-2</v>
      </c>
      <c r="K17" s="42" t="s">
        <v>194</v>
      </c>
      <c r="L17" s="58">
        <v>252</v>
      </c>
      <c r="N17" s="42" t="s">
        <v>194</v>
      </c>
      <c r="O17" s="269">
        <v>1</v>
      </c>
      <c r="P17" s="278" t="s">
        <v>194</v>
      </c>
      <c r="Q17" s="94">
        <v>20</v>
      </c>
      <c r="T17" s="277" t="s">
        <v>194</v>
      </c>
    </row>
    <row r="18" spans="1:20" x14ac:dyDescent="0.2">
      <c r="A18" s="704" t="s">
        <v>141</v>
      </c>
      <c r="B18" s="713">
        <f>IFERROR(VLOOKUP($T18,在院期間[#All],2,FALSE),0)</f>
        <v>254</v>
      </c>
      <c r="C18" s="706">
        <f t="shared" si="0"/>
        <v>1.7937853107344633E-2</v>
      </c>
      <c r="D18" s="172"/>
      <c r="E18" s="704" t="s">
        <v>141</v>
      </c>
      <c r="F18" s="713">
        <f>IFERROR(VLOOKUP($T18,在院期間＿寛解[#All],2,FALSE),0)</f>
        <v>1</v>
      </c>
      <c r="G18" s="713">
        <f>IFERROR(VLOOKUP($T18,在院期間＿院内寛解[#All],2,FALSE),0)</f>
        <v>19</v>
      </c>
      <c r="H18" s="707">
        <f t="shared" si="1"/>
        <v>20</v>
      </c>
      <c r="I18" s="706">
        <f t="shared" si="2"/>
        <v>1.1092623405435386E-2</v>
      </c>
      <c r="K18" s="42" t="s">
        <v>195</v>
      </c>
      <c r="L18" s="58">
        <v>254</v>
      </c>
      <c r="N18" s="42" t="s">
        <v>195</v>
      </c>
      <c r="O18" s="269">
        <v>1</v>
      </c>
      <c r="P18" s="278" t="s">
        <v>195</v>
      </c>
      <c r="Q18" s="94">
        <v>19</v>
      </c>
      <c r="T18" s="276" t="s">
        <v>195</v>
      </c>
    </row>
    <row r="19" spans="1:20" x14ac:dyDescent="0.2">
      <c r="A19" s="704" t="s">
        <v>142</v>
      </c>
      <c r="B19" s="713">
        <f>IFERROR(VLOOKUP($T19,在院期間[#All],2,FALSE),0)</f>
        <v>1240</v>
      </c>
      <c r="C19" s="706">
        <f t="shared" si="0"/>
        <v>8.7570621468926552E-2</v>
      </c>
      <c r="D19" s="172"/>
      <c r="E19" s="704" t="s">
        <v>142</v>
      </c>
      <c r="F19" s="713">
        <f>IFERROR(VLOOKUP($T19,在院期間＿寛解[#All],2,FALSE),0)</f>
        <v>12</v>
      </c>
      <c r="G19" s="713">
        <f>IFERROR(VLOOKUP($T19,在院期間＿院内寛解[#All],2,FALSE),0)</f>
        <v>67</v>
      </c>
      <c r="H19" s="707">
        <f t="shared" si="1"/>
        <v>79</v>
      </c>
      <c r="I19" s="706">
        <f t="shared" si="2"/>
        <v>4.3815862451469775E-2</v>
      </c>
      <c r="K19" s="42" t="s">
        <v>196</v>
      </c>
      <c r="L19" s="58">
        <v>1240</v>
      </c>
      <c r="N19" s="42" t="s">
        <v>196</v>
      </c>
      <c r="O19" s="269">
        <v>12</v>
      </c>
      <c r="P19" s="278" t="s">
        <v>196</v>
      </c>
      <c r="Q19" s="94">
        <v>67</v>
      </c>
      <c r="T19" s="277" t="s">
        <v>196</v>
      </c>
    </row>
    <row r="20" spans="1:20" x14ac:dyDescent="0.2">
      <c r="A20" s="704" t="s">
        <v>143</v>
      </c>
      <c r="B20" s="713">
        <f>IFERROR(VLOOKUP($T20,在院期間[#All],2,FALSE),0)</f>
        <v>765</v>
      </c>
      <c r="C20" s="706">
        <f t="shared" si="0"/>
        <v>5.4025423728813561E-2</v>
      </c>
      <c r="D20" s="172"/>
      <c r="E20" s="704" t="s">
        <v>143</v>
      </c>
      <c r="F20" s="713">
        <f>IFERROR(VLOOKUP($T20,在院期間＿寛解[#All],2,FALSE),0)</f>
        <v>4</v>
      </c>
      <c r="G20" s="713">
        <f>IFERROR(VLOOKUP($T20,在院期間＿院内寛解[#All],2,FALSE),0)</f>
        <v>27</v>
      </c>
      <c r="H20" s="707">
        <f t="shared" si="1"/>
        <v>31</v>
      </c>
      <c r="I20" s="706">
        <f t="shared" si="2"/>
        <v>1.7193566278424846E-2</v>
      </c>
      <c r="K20" s="42" t="s">
        <v>197</v>
      </c>
      <c r="L20" s="58">
        <v>765</v>
      </c>
      <c r="N20" s="42" t="s">
        <v>197</v>
      </c>
      <c r="O20" s="269">
        <v>4</v>
      </c>
      <c r="P20" s="278" t="s">
        <v>197</v>
      </c>
      <c r="Q20" s="94">
        <v>27</v>
      </c>
      <c r="T20" s="276" t="s">
        <v>197</v>
      </c>
    </row>
    <row r="21" spans="1:20" x14ac:dyDescent="0.2">
      <c r="A21" s="708" t="s">
        <v>11</v>
      </c>
      <c r="B21" s="709">
        <f>SUM(B5:B20)</f>
        <v>14160</v>
      </c>
      <c r="C21" s="710">
        <f>SUM(C5:C20)</f>
        <v>1</v>
      </c>
      <c r="D21" s="172"/>
      <c r="E21" s="708" t="s">
        <v>11</v>
      </c>
      <c r="F21" s="709">
        <f>SUM(F5:F20)</f>
        <v>398</v>
      </c>
      <c r="G21" s="709">
        <f>SUM(G5:G20)</f>
        <v>1405</v>
      </c>
      <c r="H21" s="709">
        <f>SUM(H5:H20)</f>
        <v>1803</v>
      </c>
      <c r="I21" s="710">
        <f>SUM(I5:I20)</f>
        <v>0.99999999999999978</v>
      </c>
    </row>
    <row r="22" spans="1:20" x14ac:dyDescent="0.2">
      <c r="A22" s="704" t="s">
        <v>56</v>
      </c>
      <c r="B22" s="707">
        <f>SUM(B5:B8)</f>
        <v>6394</v>
      </c>
      <c r="C22" s="706">
        <f t="shared" ref="C22:C25" si="3">IFERROR(B22/B$21,"-")</f>
        <v>0.45155367231638416</v>
      </c>
      <c r="D22" s="172"/>
      <c r="E22" s="704" t="s">
        <v>56</v>
      </c>
      <c r="F22" s="707">
        <f>SUM(F5:F8)</f>
        <v>330</v>
      </c>
      <c r="G22" s="707">
        <f>SUM(G5:G8)</f>
        <v>900</v>
      </c>
      <c r="H22" s="707">
        <f>SUM(H5:H8)</f>
        <v>1230</v>
      </c>
      <c r="I22" s="706">
        <f t="shared" ref="I22:I25" si="4">IFERROR(H22/H$21,"-")</f>
        <v>0.68219633943427616</v>
      </c>
      <c r="K22" s="251"/>
      <c r="L22" s="21"/>
      <c r="M22" s="21"/>
      <c r="N22" s="251"/>
      <c r="O22" s="21"/>
      <c r="P22" s="21"/>
      <c r="Q22" s="21"/>
    </row>
    <row r="23" spans="1:20" x14ac:dyDescent="0.2">
      <c r="A23" s="704" t="s">
        <v>57</v>
      </c>
      <c r="B23" s="707">
        <f>SUM(B9:B13)</f>
        <v>3955</v>
      </c>
      <c r="C23" s="706">
        <f t="shared" si="3"/>
        <v>0.27930790960451979</v>
      </c>
      <c r="D23" s="172"/>
      <c r="E23" s="704" t="s">
        <v>57</v>
      </c>
      <c r="F23" s="707">
        <f>SUM(F9:F13)</f>
        <v>44</v>
      </c>
      <c r="G23" s="707">
        <f>SUM(G9:G13)</f>
        <v>274</v>
      </c>
      <c r="H23" s="707">
        <f>SUM(H9:H13)</f>
        <v>318</v>
      </c>
      <c r="I23" s="706">
        <f t="shared" si="4"/>
        <v>0.17637271214642264</v>
      </c>
      <c r="K23" s="252"/>
      <c r="L23" s="21"/>
      <c r="M23" s="21"/>
      <c r="N23" s="252"/>
      <c r="O23" s="21"/>
      <c r="P23" s="21"/>
      <c r="Q23" s="21"/>
    </row>
    <row r="24" spans="1:20" x14ac:dyDescent="0.2">
      <c r="A24" s="704" t="s">
        <v>58</v>
      </c>
      <c r="B24" s="707">
        <f>SUM(B14:B18)</f>
        <v>1806</v>
      </c>
      <c r="C24" s="706">
        <f t="shared" si="3"/>
        <v>0.12754237288135592</v>
      </c>
      <c r="D24" s="172"/>
      <c r="E24" s="704" t="s">
        <v>58</v>
      </c>
      <c r="F24" s="707">
        <f>SUM(F14:F18)</f>
        <v>8</v>
      </c>
      <c r="G24" s="707">
        <f>SUM(G14:G18)</f>
        <v>137</v>
      </c>
      <c r="H24" s="707">
        <f>SUM(H14:H18)</f>
        <v>145</v>
      </c>
      <c r="I24" s="706">
        <f t="shared" si="4"/>
        <v>8.0421519689406543E-2</v>
      </c>
      <c r="K24" s="252"/>
      <c r="L24" s="21"/>
      <c r="M24" s="21"/>
      <c r="N24" s="252"/>
      <c r="O24" s="21"/>
      <c r="P24" s="21"/>
      <c r="Q24" s="21"/>
    </row>
    <row r="25" spans="1:20" x14ac:dyDescent="0.2">
      <c r="A25" s="704" t="s">
        <v>59</v>
      </c>
      <c r="B25" s="707">
        <f>SUM(B19:B20)</f>
        <v>2005</v>
      </c>
      <c r="C25" s="706">
        <f t="shared" si="3"/>
        <v>0.14159604519774011</v>
      </c>
      <c r="D25" s="172"/>
      <c r="E25" s="704" t="s">
        <v>59</v>
      </c>
      <c r="F25" s="707">
        <f>SUM(F19:F20)</f>
        <v>16</v>
      </c>
      <c r="G25" s="707">
        <f>SUM(G19:G20)</f>
        <v>94</v>
      </c>
      <c r="H25" s="707">
        <f>SUM(H19:H20)</f>
        <v>110</v>
      </c>
      <c r="I25" s="706">
        <f t="shared" si="4"/>
        <v>6.1009428729894621E-2</v>
      </c>
      <c r="K25" s="251"/>
      <c r="L25" s="21"/>
      <c r="M25" s="21"/>
      <c r="N25" s="251"/>
      <c r="O25" s="21"/>
      <c r="P25" s="21"/>
      <c r="Q25" s="21"/>
    </row>
    <row r="28" spans="1:20" x14ac:dyDescent="0.2">
      <c r="E28" s="148"/>
    </row>
    <row r="29" spans="1:20" x14ac:dyDescent="0.2">
      <c r="A29" s="45"/>
      <c r="B29" s="46"/>
      <c r="C29" s="46"/>
      <c r="E29" s="45"/>
      <c r="F29" s="46"/>
      <c r="G29" s="46"/>
      <c r="I29" s="45"/>
      <c r="J29" s="46"/>
      <c r="K29" s="46"/>
    </row>
    <row r="30" spans="1:20" x14ac:dyDescent="0.2">
      <c r="A30" s="7"/>
      <c r="B30" s="8"/>
      <c r="C30" s="149"/>
      <c r="D30" s="21"/>
      <c r="E30" s="7"/>
      <c r="F30" s="8"/>
      <c r="G30" s="149"/>
      <c r="H30" s="21"/>
      <c r="I30" s="7"/>
      <c r="J30" s="8"/>
      <c r="K30" s="149"/>
      <c r="L30" s="21"/>
      <c r="M30" s="21"/>
      <c r="N30" s="21"/>
    </row>
    <row r="31" spans="1:20" x14ac:dyDescent="0.2">
      <c r="A31" s="7"/>
      <c r="B31" s="8"/>
      <c r="C31" s="149"/>
      <c r="D31" s="21"/>
      <c r="E31" s="7"/>
      <c r="F31" s="8"/>
      <c r="G31" s="149"/>
      <c r="H31" s="21"/>
      <c r="I31" s="7"/>
      <c r="J31" s="8"/>
      <c r="K31" s="149"/>
      <c r="L31" s="21"/>
      <c r="M31" s="21"/>
      <c r="N31" s="21"/>
    </row>
    <row r="32" spans="1:20" x14ac:dyDescent="0.2">
      <c r="A32" s="7"/>
      <c r="B32" s="8"/>
      <c r="C32" s="149"/>
      <c r="D32" s="21"/>
      <c r="E32" s="7"/>
      <c r="F32" s="8"/>
      <c r="G32" s="149"/>
      <c r="H32" s="21"/>
      <c r="I32" s="7"/>
      <c r="J32" s="8"/>
      <c r="K32" s="149"/>
      <c r="L32" s="21"/>
      <c r="M32" s="21"/>
      <c r="N32" s="21"/>
    </row>
    <row r="33" spans="1:14" x14ac:dyDescent="0.2">
      <c r="A33" s="7"/>
      <c r="B33" s="8"/>
      <c r="C33" s="149"/>
      <c r="D33" s="21"/>
      <c r="E33" s="7"/>
      <c r="F33" s="8"/>
      <c r="G33" s="149"/>
      <c r="H33" s="21"/>
      <c r="I33" s="7"/>
      <c r="J33" s="8"/>
      <c r="K33" s="149"/>
      <c r="L33" s="21"/>
      <c r="M33" s="21"/>
      <c r="N33" s="21"/>
    </row>
    <row r="34" spans="1:14" x14ac:dyDescent="0.2">
      <c r="A34" s="7"/>
      <c r="B34" s="8"/>
      <c r="C34" s="149"/>
      <c r="D34" s="21"/>
      <c r="E34" s="7"/>
      <c r="F34" s="8"/>
      <c r="G34" s="149"/>
      <c r="H34" s="21"/>
      <c r="I34" s="7"/>
      <c r="J34" s="8"/>
      <c r="K34" s="149"/>
      <c r="L34" s="21"/>
      <c r="M34" s="21"/>
      <c r="N34" s="21"/>
    </row>
    <row r="35" spans="1:14" x14ac:dyDescent="0.2">
      <c r="A35" s="7"/>
      <c r="B35" s="8"/>
      <c r="C35" s="149"/>
      <c r="D35" s="21"/>
      <c r="E35" s="7"/>
      <c r="F35" s="8"/>
      <c r="G35" s="149"/>
      <c r="H35" s="21"/>
      <c r="I35" s="7"/>
      <c r="J35" s="8"/>
      <c r="K35" s="149"/>
      <c r="L35" s="21"/>
      <c r="M35" s="21"/>
      <c r="N35" s="21"/>
    </row>
    <row r="36" spans="1:14" x14ac:dyDescent="0.2">
      <c r="A36" s="7"/>
      <c r="B36" s="8"/>
      <c r="C36" s="149"/>
      <c r="D36" s="21"/>
      <c r="E36" s="7"/>
      <c r="F36" s="8"/>
      <c r="G36" s="149"/>
      <c r="H36" s="21"/>
      <c r="I36" s="7"/>
      <c r="J36" s="8"/>
      <c r="K36" s="149"/>
      <c r="L36" s="21"/>
      <c r="M36" s="21"/>
      <c r="N36" s="21"/>
    </row>
    <row r="37" spans="1:14" x14ac:dyDescent="0.2">
      <c r="A37" s="7"/>
      <c r="B37" s="8"/>
      <c r="C37" s="149"/>
      <c r="D37" s="21"/>
      <c r="E37" s="7"/>
      <c r="F37" s="8"/>
      <c r="G37" s="149"/>
      <c r="H37" s="21"/>
      <c r="I37" s="7"/>
      <c r="J37" s="8"/>
      <c r="K37" s="149"/>
      <c r="L37" s="21"/>
      <c r="M37" s="21"/>
      <c r="N37" s="21"/>
    </row>
    <row r="38" spans="1:14" x14ac:dyDescent="0.2">
      <c r="A38" s="7"/>
      <c r="B38" s="8"/>
      <c r="C38" s="149"/>
      <c r="D38" s="21"/>
      <c r="E38" s="7"/>
      <c r="F38" s="8"/>
      <c r="G38" s="149"/>
      <c r="H38" s="21"/>
      <c r="I38" s="7"/>
      <c r="J38" s="8"/>
      <c r="K38" s="149"/>
      <c r="L38" s="21"/>
      <c r="M38" s="21"/>
      <c r="N38" s="21"/>
    </row>
    <row r="39" spans="1:14" x14ac:dyDescent="0.2">
      <c r="A39" s="7"/>
      <c r="B39" s="8"/>
      <c r="C39" s="149"/>
      <c r="D39" s="21"/>
      <c r="E39" s="7"/>
      <c r="F39" s="8"/>
      <c r="G39" s="149"/>
      <c r="H39" s="21"/>
      <c r="I39" s="7"/>
      <c r="J39" s="8"/>
      <c r="K39" s="149"/>
      <c r="L39" s="21"/>
      <c r="M39" s="21"/>
      <c r="N39" s="21"/>
    </row>
    <row r="40" spans="1:14" x14ac:dyDescent="0.2">
      <c r="A40" s="7"/>
      <c r="B40" s="8"/>
      <c r="C40" s="149"/>
      <c r="D40" s="21"/>
      <c r="E40" s="7"/>
      <c r="F40" s="8"/>
      <c r="G40" s="149"/>
      <c r="H40" s="21"/>
      <c r="I40" s="7"/>
      <c r="J40" s="8"/>
      <c r="K40" s="149"/>
      <c r="L40" s="21"/>
      <c r="M40" s="21"/>
      <c r="N40" s="21"/>
    </row>
    <row r="41" spans="1:14" x14ac:dyDescent="0.2">
      <c r="A41" s="7"/>
      <c r="B41" s="8"/>
      <c r="C41" s="149"/>
      <c r="D41" s="21"/>
      <c r="E41" s="7"/>
      <c r="F41" s="8"/>
      <c r="G41" s="149"/>
      <c r="H41" s="21"/>
      <c r="I41" s="7"/>
      <c r="J41" s="8"/>
      <c r="K41" s="149"/>
      <c r="L41" s="21"/>
      <c r="M41" s="21"/>
      <c r="N41" s="21"/>
    </row>
    <row r="42" spans="1:14" x14ac:dyDescent="0.2">
      <c r="A42" s="7"/>
      <c r="B42" s="8"/>
      <c r="C42" s="149"/>
      <c r="D42" s="21"/>
      <c r="E42" s="7"/>
      <c r="F42" s="8"/>
      <c r="G42" s="149"/>
      <c r="H42" s="21"/>
      <c r="I42" s="7"/>
      <c r="J42" s="8"/>
      <c r="K42" s="149"/>
      <c r="L42" s="21"/>
      <c r="M42" s="21"/>
      <c r="N42" s="21"/>
    </row>
    <row r="43" spans="1:14" x14ac:dyDescent="0.2">
      <c r="A43" s="7"/>
      <c r="B43" s="8"/>
      <c r="C43" s="149"/>
      <c r="D43" s="21"/>
      <c r="E43" s="7"/>
      <c r="F43" s="8"/>
      <c r="G43" s="149"/>
      <c r="H43" s="21"/>
      <c r="I43" s="7"/>
      <c r="J43" s="8"/>
      <c r="K43" s="149"/>
      <c r="L43" s="21"/>
      <c r="M43" s="21"/>
      <c r="N43" s="21"/>
    </row>
    <row r="44" spans="1:14" x14ac:dyDescent="0.2">
      <c r="A44" s="7"/>
      <c r="B44" s="8"/>
      <c r="C44" s="149"/>
      <c r="D44" s="21"/>
      <c r="E44" s="7"/>
      <c r="F44" s="8"/>
      <c r="G44" s="149"/>
      <c r="H44" s="21"/>
      <c r="I44" s="7"/>
      <c r="J44" s="8"/>
      <c r="K44" s="149"/>
      <c r="L44" s="21"/>
      <c r="M44" s="21"/>
      <c r="N44" s="21"/>
    </row>
    <row r="45" spans="1:14" x14ac:dyDescent="0.2">
      <c r="A45" s="37"/>
      <c r="B45" s="38"/>
      <c r="C45" s="110"/>
      <c r="E45" s="49"/>
      <c r="F45" s="50"/>
      <c r="G45" s="150"/>
      <c r="I45" s="37"/>
      <c r="J45" s="38"/>
      <c r="K45" s="110"/>
    </row>
    <row r="46" spans="1:14" x14ac:dyDescent="0.2">
      <c r="A46" s="49"/>
      <c r="B46" s="50"/>
      <c r="C46" s="150"/>
      <c r="D46" s="21"/>
      <c r="E46" s="21"/>
      <c r="F46" s="21"/>
      <c r="G46" s="21"/>
      <c r="H46" s="21"/>
      <c r="I46" s="49"/>
      <c r="J46" s="50"/>
      <c r="K46" s="150"/>
      <c r="L46" s="21"/>
      <c r="M46" s="21"/>
    </row>
    <row r="47" spans="1:14" x14ac:dyDescent="0.2">
      <c r="A47" s="21"/>
      <c r="B47" s="21"/>
      <c r="C47" s="21"/>
      <c r="D47" s="21"/>
      <c r="E47" s="21"/>
      <c r="F47" s="21"/>
      <c r="G47" s="21"/>
      <c r="H47" s="21"/>
      <c r="I47" s="21"/>
      <c r="J47" s="21"/>
      <c r="K47" s="21"/>
      <c r="L47" s="21"/>
      <c r="M47" s="21"/>
    </row>
  </sheetData>
  <phoneticPr fontId="2"/>
  <pageMargins left="0.70866141732283472" right="0.70866141732283472" top="0.74803149606299213" bottom="0.74803149606299213" header="0.31496062992125984" footer="0.31496062992125984"/>
  <pageSetup paperSize="11" scale="76" orientation="landscape" r:id="rId1"/>
  <colBreaks count="1" manualBreakCount="1">
    <brk id="4" max="24" man="1"/>
  </colBreaks>
  <drawing r:id="rId2"/>
  <mc:AlternateContent xmlns:mc="http://schemas.openxmlformats.org/markup-compatibility/2006">
    <mc:Choice Requires="v">
      <legacyDrawing r:id="rId3"/>
    </mc:Choice>
  </mc:AlternateContent>
  <controls>
    <control shapeId="20481" r:id="rId4" name="Button 1">
      <controlPr defaultSize="0" print="0" autoFill="0" autoPict="0" macro="[0]!データ削除4">
        <anchor moveWithCells="1" sizeWithCells="1">
          <from>
            <xdr:col>17</xdr:col>
            <xdr:colOff>563880</xdr:colOff>
            <xdr:row>2</xdr:row>
            <xdr:rowOff>220980</xdr:rowOff>
          </from>
          <to>
            <xdr:col>20</xdr:col>
            <xdr:colOff>335280</xdr:colOff>
            <xdr:row>4</xdr:row>
            <xdr:rowOff>182880</xdr:rowOff>
          </to>
        </anchor>
      </controlPr>
    </control>
  </controls>
  <tableParts count="3">
    <tablePart r:id="rId5"/>
    <tablePart r:id="rId6"/>
    <tablePart r:id="rId7"/>
  </tableParts>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6" tint="-0.249977111117893"/>
    <pageSetUpPr fitToPage="1"/>
  </sheetPr>
  <dimension ref="A1:G13"/>
  <sheetViews>
    <sheetView showGridLines="0" view="pageBreakPreview" zoomScaleNormal="100" zoomScaleSheetLayoutView="100" workbookViewId="0"/>
  </sheetViews>
  <sheetFormatPr defaultColWidth="9" defaultRowHeight="17.399999999999999" x14ac:dyDescent="0.2"/>
  <cols>
    <col min="1" max="1" width="13.6640625" style="1" customWidth="1"/>
    <col min="2" max="4" width="10.77734375" style="1" customWidth="1"/>
    <col min="5" max="5" width="11" style="1" hidden="1" customWidth="1"/>
    <col min="6" max="6" width="7.33203125" style="1" hidden="1" customWidth="1"/>
    <col min="7" max="7" width="5" style="1" hidden="1" customWidth="1"/>
    <col min="8" max="8" width="6.6640625" style="1" customWidth="1"/>
    <col min="9" max="9" width="7.33203125" style="1" customWidth="1"/>
    <col min="10" max="16384" width="9" style="1"/>
  </cols>
  <sheetData>
    <row r="1" spans="1:5" s="3" customFormat="1" ht="19.2" x14ac:dyDescent="0.2">
      <c r="A1" s="2" t="s">
        <v>144</v>
      </c>
    </row>
    <row r="2" spans="1:5" x14ac:dyDescent="0.2">
      <c r="A2" s="4"/>
    </row>
    <row r="3" spans="1:5" s="3" customFormat="1" ht="19.2" x14ac:dyDescent="0.2">
      <c r="A3" s="4" t="s">
        <v>13</v>
      </c>
    </row>
    <row r="4" spans="1:5" x14ac:dyDescent="0.2">
      <c r="A4" s="580"/>
      <c r="B4" s="580" t="s">
        <v>0</v>
      </c>
      <c r="C4" s="580" t="s">
        <v>1</v>
      </c>
    </row>
    <row r="5" spans="1:5" x14ac:dyDescent="0.2">
      <c r="A5" s="704" t="s">
        <v>28</v>
      </c>
      <c r="B5" s="713">
        <v>398</v>
      </c>
      <c r="C5" s="706">
        <f>IFERROR(B5/B$11,"-")</f>
        <v>2.8107344632768361E-2</v>
      </c>
      <c r="E5" s="9"/>
    </row>
    <row r="6" spans="1:5" x14ac:dyDescent="0.2">
      <c r="A6" s="704" t="s">
        <v>29</v>
      </c>
      <c r="B6" s="713">
        <v>1405</v>
      </c>
      <c r="C6" s="706">
        <f t="shared" ref="C6:C10" si="0">IFERROR(B6/B$11,"-")</f>
        <v>9.9223163841807904E-2</v>
      </c>
    </row>
    <row r="7" spans="1:5" x14ac:dyDescent="0.2">
      <c r="A7" s="704" t="s">
        <v>30</v>
      </c>
      <c r="B7" s="713">
        <v>2679</v>
      </c>
      <c r="C7" s="706">
        <f t="shared" si="0"/>
        <v>0.18919491525423729</v>
      </c>
    </row>
    <row r="8" spans="1:5" x14ac:dyDescent="0.2">
      <c r="A8" s="704" t="s">
        <v>31</v>
      </c>
      <c r="B8" s="713">
        <v>5705</v>
      </c>
      <c r="C8" s="706">
        <f t="shared" si="0"/>
        <v>0.4028954802259887</v>
      </c>
    </row>
    <row r="9" spans="1:5" x14ac:dyDescent="0.2">
      <c r="A9" s="704" t="s">
        <v>32</v>
      </c>
      <c r="B9" s="713">
        <v>3298</v>
      </c>
      <c r="C9" s="706">
        <f t="shared" si="0"/>
        <v>0.23290960451977402</v>
      </c>
    </row>
    <row r="10" spans="1:5" x14ac:dyDescent="0.2">
      <c r="A10" s="704" t="s">
        <v>33</v>
      </c>
      <c r="B10" s="713">
        <v>675</v>
      </c>
      <c r="C10" s="706">
        <f t="shared" si="0"/>
        <v>4.7669491525423727E-2</v>
      </c>
    </row>
    <row r="11" spans="1:5" x14ac:dyDescent="0.2">
      <c r="A11" s="708" t="s">
        <v>11</v>
      </c>
      <c r="B11" s="709">
        <f>SUM(B5:B10)</f>
        <v>14160</v>
      </c>
      <c r="C11" s="710">
        <f>SUM(C5:C10)</f>
        <v>1</v>
      </c>
    </row>
    <row r="13" spans="1:5" hidden="1" x14ac:dyDescent="0.2">
      <c r="B13" s="350" t="s">
        <v>371</v>
      </c>
    </row>
  </sheetData>
  <phoneticPr fontId="2"/>
  <pageMargins left="0.70866141732283472" right="0.70866141732283472" top="0.74803149606299213" bottom="0.74803149606299213" header="0.31496062992125984" footer="0.31496062992125984"/>
  <pageSetup paperSize="11" orientation="landscape" r:id="rId1"/>
  <drawing r:id="rId2"/>
  <mc:AlternateContent xmlns:mc="http://schemas.openxmlformats.org/markup-compatibility/2006">
    <mc:Choice Requires="v">
      <legacyDrawing r:id="rId3"/>
    </mc:Choice>
  </mc:AlternateContent>
  <controls>
    <control shapeId="21505" r:id="rId4" name="Button 1">
      <controlPr defaultSize="0" print="0" autoFill="0" autoPict="0" macro="[0]!データ削除_状態像区分">
        <anchor moveWithCells="1" sizeWithCells="1">
          <from>
            <xdr:col>4</xdr:col>
            <xdr:colOff>60960</xdr:colOff>
            <xdr:row>1</xdr:row>
            <xdr:rowOff>190500</xdr:rowOff>
          </from>
          <to>
            <xdr:col>5</xdr:col>
            <xdr:colOff>464820</xdr:colOff>
            <xdr:row>3</xdr:row>
            <xdr:rowOff>144780</xdr:rowOff>
          </to>
        </anchor>
      </controlPr>
    </control>
  </controls>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6" tint="-0.249977111117893"/>
    <pageSetUpPr fitToPage="1"/>
  </sheetPr>
  <dimension ref="A1:M97"/>
  <sheetViews>
    <sheetView showGridLines="0" view="pageBreakPreview" zoomScale="80" zoomScaleNormal="90" zoomScaleSheetLayoutView="80" workbookViewId="0"/>
  </sheetViews>
  <sheetFormatPr defaultColWidth="9" defaultRowHeight="17.399999999999999" x14ac:dyDescent="0.2"/>
  <cols>
    <col min="1" max="1" width="62.44140625" style="1" customWidth="1"/>
    <col min="2" max="2" width="9.33203125" style="1" customWidth="1"/>
    <col min="3" max="3" width="10.5546875" style="1" bestFit="1" customWidth="1"/>
    <col min="4" max="4" width="4.109375" style="1" customWidth="1"/>
    <col min="5" max="5" width="43.77734375" style="1" customWidth="1"/>
    <col min="6" max="8" width="9.33203125" style="1" customWidth="1"/>
    <col min="9" max="9" width="10.5546875" style="1" bestFit="1" customWidth="1"/>
    <col min="10" max="10" width="6.21875" style="1" customWidth="1"/>
    <col min="11" max="11" width="6.21875" style="1" hidden="1" customWidth="1"/>
    <col min="12" max="12" width="47.21875" style="1" hidden="1" customWidth="1"/>
    <col min="13" max="13" width="9.44140625" style="1" customWidth="1"/>
    <col min="14" max="14" width="49.6640625" style="1" customWidth="1"/>
    <col min="15" max="15" width="32.77734375" style="1" customWidth="1"/>
    <col min="16" max="16" width="57.109375" style="1" customWidth="1"/>
    <col min="17" max="17" width="55.21875" style="1" customWidth="1"/>
    <col min="18" max="18" width="25.21875" style="1" customWidth="1"/>
    <col min="19" max="19" width="47.88671875" style="1" bestFit="1" customWidth="1"/>
    <col min="20" max="20" width="34" style="1" customWidth="1"/>
    <col min="21" max="21" width="25.21875" style="1" customWidth="1"/>
    <col min="22" max="22" width="55.21875" style="1" customWidth="1"/>
    <col min="23" max="23" width="41.44140625" style="1" customWidth="1"/>
    <col min="24" max="24" width="32.77734375" style="1" customWidth="1"/>
    <col min="25" max="26" width="47.88671875" style="1" bestFit="1" customWidth="1"/>
    <col min="27" max="27" width="29" style="1" bestFit="1" customWidth="1"/>
    <col min="28" max="28" width="55.21875" style="1" bestFit="1" customWidth="1"/>
    <col min="29" max="29" width="41.44140625" style="1" bestFit="1" customWidth="1"/>
    <col min="30" max="30" width="32.77734375" style="1" bestFit="1" customWidth="1"/>
    <col min="31" max="16384" width="9" style="1"/>
  </cols>
  <sheetData>
    <row r="1" spans="1:11" s="3" customFormat="1" ht="19.2" x14ac:dyDescent="0.2">
      <c r="A1" s="140" t="s">
        <v>230</v>
      </c>
    </row>
    <row r="2" spans="1:11" x14ac:dyDescent="0.2">
      <c r="A2" s="4"/>
    </row>
    <row r="3" spans="1:11" x14ac:dyDescent="0.2">
      <c r="A3" s="4" t="s">
        <v>13</v>
      </c>
      <c r="E3" s="4" t="s">
        <v>113</v>
      </c>
    </row>
    <row r="4" spans="1:11" x14ac:dyDescent="0.2">
      <c r="A4" s="224"/>
      <c r="B4" s="580" t="s">
        <v>0</v>
      </c>
      <c r="C4" s="580" t="s">
        <v>1</v>
      </c>
      <c r="E4" s="224"/>
      <c r="F4" s="580" t="s">
        <v>114</v>
      </c>
      <c r="G4" s="733" t="s">
        <v>116</v>
      </c>
      <c r="H4" s="580" t="s">
        <v>12</v>
      </c>
      <c r="I4" s="580" t="s">
        <v>1</v>
      </c>
    </row>
    <row r="5" spans="1:11" ht="34.799999999999997" x14ac:dyDescent="0.2">
      <c r="A5" s="225" t="s">
        <v>231</v>
      </c>
      <c r="B5" s="713">
        <v>1982</v>
      </c>
      <c r="C5" s="706">
        <f>IFERROR(B5/B$8,"-")</f>
        <v>0.13997175141242937</v>
      </c>
      <c r="E5" s="225" t="s">
        <v>231</v>
      </c>
      <c r="F5" s="707">
        <v>117</v>
      </c>
      <c r="G5" s="707">
        <v>499</v>
      </c>
      <c r="H5" s="707">
        <f>SUM(F5:G5)</f>
        <v>616</v>
      </c>
      <c r="I5" s="706">
        <f>IFERROR(H5/H$8,"-")</f>
        <v>0.34165280088740985</v>
      </c>
    </row>
    <row r="6" spans="1:11" x14ac:dyDescent="0.2">
      <c r="A6" s="223" t="s">
        <v>232</v>
      </c>
      <c r="B6" s="713">
        <v>10522</v>
      </c>
      <c r="C6" s="706">
        <f t="shared" ref="C6:C7" si="0">IFERROR(B6/B$8,"-")</f>
        <v>0.74307909604519773</v>
      </c>
      <c r="E6" s="223" t="s">
        <v>232</v>
      </c>
      <c r="F6" s="713">
        <v>7</v>
      </c>
      <c r="G6" s="713">
        <v>380</v>
      </c>
      <c r="H6" s="707">
        <f t="shared" ref="H6:H7" si="1">SUM(F6:G6)</f>
        <v>387</v>
      </c>
      <c r="I6" s="706">
        <f t="shared" ref="I6:I7" si="2">IFERROR(H6/H$8,"-")</f>
        <v>0.21464226289517471</v>
      </c>
    </row>
    <row r="7" spans="1:11" x14ac:dyDescent="0.2">
      <c r="A7" s="223" t="s">
        <v>233</v>
      </c>
      <c r="B7" s="713">
        <v>1656</v>
      </c>
      <c r="C7" s="706">
        <f t="shared" si="0"/>
        <v>0.11694915254237288</v>
      </c>
      <c r="E7" s="223" t="s">
        <v>233</v>
      </c>
      <c r="F7" s="713">
        <v>274</v>
      </c>
      <c r="G7" s="713">
        <v>526</v>
      </c>
      <c r="H7" s="707">
        <f t="shared" si="1"/>
        <v>800</v>
      </c>
      <c r="I7" s="706">
        <f t="shared" si="2"/>
        <v>0.44370493621741541</v>
      </c>
    </row>
    <row r="8" spans="1:11" x14ac:dyDescent="0.2">
      <c r="A8" s="222" t="s">
        <v>11</v>
      </c>
      <c r="B8" s="709">
        <f>SUM(B5:B7)</f>
        <v>14160</v>
      </c>
      <c r="C8" s="710">
        <f>SUM(C5:C7)</f>
        <v>1</v>
      </c>
      <c r="E8" s="222" t="s">
        <v>11</v>
      </c>
      <c r="F8" s="709">
        <f>SUM(F5:F7)</f>
        <v>398</v>
      </c>
      <c r="G8" s="709">
        <f>SUM(G5:G7)</f>
        <v>1405</v>
      </c>
      <c r="H8" s="709">
        <f>SUM(H5:H7)</f>
        <v>1803</v>
      </c>
      <c r="I8" s="710">
        <f>SUM(I5:I7)</f>
        <v>1</v>
      </c>
      <c r="K8" s="350" t="s">
        <v>365</v>
      </c>
    </row>
    <row r="9" spans="1:11" x14ac:dyDescent="0.2">
      <c r="A9" s="4"/>
    </row>
    <row r="10" spans="1:11" s="3" customFormat="1" ht="19.2" x14ac:dyDescent="0.2">
      <c r="A10" s="140" t="s">
        <v>54</v>
      </c>
    </row>
    <row r="11" spans="1:11" x14ac:dyDescent="0.2">
      <c r="A11" s="4"/>
    </row>
    <row r="12" spans="1:11" x14ac:dyDescent="0.2">
      <c r="A12" s="4" t="s">
        <v>13</v>
      </c>
      <c r="E12" s="4" t="s">
        <v>113</v>
      </c>
    </row>
    <row r="13" spans="1:11" x14ac:dyDescent="0.2">
      <c r="A13" s="734"/>
      <c r="B13" s="580" t="s">
        <v>0</v>
      </c>
      <c r="C13" s="580" t="s">
        <v>1</v>
      </c>
      <c r="E13" s="734"/>
      <c r="F13" s="580" t="s">
        <v>114</v>
      </c>
      <c r="G13" s="733" t="s">
        <v>116</v>
      </c>
      <c r="H13" s="580" t="s">
        <v>12</v>
      </c>
      <c r="I13" s="580" t="s">
        <v>1</v>
      </c>
    </row>
    <row r="14" spans="1:11" x14ac:dyDescent="0.2">
      <c r="A14" s="248" t="s">
        <v>34</v>
      </c>
      <c r="B14" s="713">
        <v>1751</v>
      </c>
      <c r="C14" s="706">
        <f>IFERROR(B14/B$16,"-")</f>
        <v>0.88345105953582237</v>
      </c>
      <c r="E14" s="248" t="s">
        <v>34</v>
      </c>
      <c r="F14" s="713">
        <v>94</v>
      </c>
      <c r="G14" s="713">
        <v>443</v>
      </c>
      <c r="H14" s="707">
        <f>SUM(F14:G14)</f>
        <v>537</v>
      </c>
      <c r="I14" s="706">
        <f>IFERROR(H14/H$16,"-")</f>
        <v>0.87175324675324672</v>
      </c>
    </row>
    <row r="15" spans="1:11" x14ac:dyDescent="0.2">
      <c r="A15" s="248" t="s">
        <v>35</v>
      </c>
      <c r="B15" s="713">
        <v>231</v>
      </c>
      <c r="C15" s="706">
        <f>IFERROR(B15/B$16,"-")</f>
        <v>0.1165489404641776</v>
      </c>
      <c r="E15" s="248" t="s">
        <v>35</v>
      </c>
      <c r="F15" s="713">
        <v>23</v>
      </c>
      <c r="G15" s="713">
        <v>56</v>
      </c>
      <c r="H15" s="707">
        <f t="shared" ref="H15" si="3">SUM(F15:G15)</f>
        <v>79</v>
      </c>
      <c r="I15" s="706">
        <f>IFERROR(H15/H$16,"-")</f>
        <v>0.12824675324675325</v>
      </c>
    </row>
    <row r="16" spans="1:11" x14ac:dyDescent="0.2">
      <c r="A16" s="708" t="s">
        <v>11</v>
      </c>
      <c r="B16" s="709">
        <f>SUM(B14:B15)</f>
        <v>1982</v>
      </c>
      <c r="C16" s="710">
        <f>SUM(C14:C15)</f>
        <v>1</v>
      </c>
      <c r="E16" s="708" t="s">
        <v>11</v>
      </c>
      <c r="F16" s="709">
        <f>SUM(F14:F15)</f>
        <v>117</v>
      </c>
      <c r="G16" s="709">
        <f>SUM(G14:G15)</f>
        <v>499</v>
      </c>
      <c r="H16" s="709">
        <f>SUM(H14:H15)</f>
        <v>616</v>
      </c>
      <c r="I16" s="710">
        <f>SUM(I14:I15)</f>
        <v>1</v>
      </c>
    </row>
    <row r="17" spans="1:13" x14ac:dyDescent="0.2">
      <c r="A17" s="4"/>
    </row>
    <row r="18" spans="1:13" s="3" customFormat="1" ht="19.2" x14ac:dyDescent="0.2">
      <c r="A18" s="2" t="s">
        <v>55</v>
      </c>
    </row>
    <row r="19" spans="1:13" x14ac:dyDescent="0.2">
      <c r="A19" s="4"/>
    </row>
    <row r="20" spans="1:13" x14ac:dyDescent="0.2">
      <c r="A20" s="4" t="s">
        <v>13</v>
      </c>
      <c r="B20" s="246"/>
      <c r="C20" s="246"/>
      <c r="E20" s="4" t="s">
        <v>113</v>
      </c>
    </row>
    <row r="21" spans="1:13" x14ac:dyDescent="0.2">
      <c r="A21" s="916">
        <f>B14</f>
        <v>1751</v>
      </c>
      <c r="B21" s="916"/>
      <c r="C21" s="916"/>
      <c r="E21" s="917">
        <f>H14</f>
        <v>537</v>
      </c>
      <c r="F21" s="917"/>
      <c r="G21" s="917"/>
      <c r="H21" s="917"/>
      <c r="I21" s="917"/>
    </row>
    <row r="22" spans="1:13" x14ac:dyDescent="0.2">
      <c r="A22" s="224"/>
      <c r="B22" s="580" t="s">
        <v>37</v>
      </c>
      <c r="C22" s="580" t="s">
        <v>1</v>
      </c>
      <c r="E22" s="224"/>
      <c r="F22" s="580" t="s">
        <v>114</v>
      </c>
      <c r="G22" s="733" t="s">
        <v>116</v>
      </c>
      <c r="H22" s="580" t="s">
        <v>12</v>
      </c>
      <c r="I22" s="580" t="s">
        <v>1</v>
      </c>
    </row>
    <row r="23" spans="1:13" ht="56.25" customHeight="1" x14ac:dyDescent="0.2">
      <c r="A23" s="226" t="s">
        <v>234</v>
      </c>
      <c r="B23" s="735">
        <v>608</v>
      </c>
      <c r="C23" s="736">
        <f>IFERROR(B23/B$14,"-")</f>
        <v>0.34723015419760139</v>
      </c>
      <c r="D23" s="103"/>
      <c r="E23" s="226" t="s">
        <v>235</v>
      </c>
      <c r="F23" s="737">
        <v>15</v>
      </c>
      <c r="G23" s="737">
        <v>134</v>
      </c>
      <c r="H23" s="707">
        <f>SUM(F23:G23)</f>
        <v>149</v>
      </c>
      <c r="I23" s="706">
        <f>IFERROR(H23/H$14,"-")</f>
        <v>0.27746741154562382</v>
      </c>
      <c r="L23" s="106"/>
      <c r="M23" s="106"/>
    </row>
    <row r="24" spans="1:13" x14ac:dyDescent="0.2">
      <c r="A24" s="227" t="s">
        <v>145</v>
      </c>
      <c r="B24" s="735">
        <v>454</v>
      </c>
      <c r="C24" s="736">
        <f t="shared" ref="C24:C42" si="4">IFERROR(B24/B$14,"-")</f>
        <v>0.25928041119360368</v>
      </c>
      <c r="D24" s="103"/>
      <c r="E24" s="391" t="s">
        <v>66</v>
      </c>
      <c r="F24" s="737">
        <v>6</v>
      </c>
      <c r="G24" s="737">
        <v>74</v>
      </c>
      <c r="H24" s="707">
        <f t="shared" ref="H24:H42" si="5">SUM(F24:G24)</f>
        <v>80</v>
      </c>
      <c r="I24" s="706">
        <f t="shared" ref="I24:I42" si="6">IFERROR(H24/H$14,"-")</f>
        <v>0.148975791433892</v>
      </c>
      <c r="L24" s="37"/>
      <c r="M24" s="22"/>
    </row>
    <row r="25" spans="1:13" x14ac:dyDescent="0.2">
      <c r="A25" s="227" t="s">
        <v>38</v>
      </c>
      <c r="B25" s="735">
        <v>61</v>
      </c>
      <c r="C25" s="736">
        <f t="shared" si="4"/>
        <v>3.4837235865219876E-2</v>
      </c>
      <c r="D25" s="103"/>
      <c r="E25" s="391" t="s">
        <v>38</v>
      </c>
      <c r="F25" s="737">
        <v>0</v>
      </c>
      <c r="G25" s="737">
        <v>10</v>
      </c>
      <c r="H25" s="707">
        <f t="shared" si="5"/>
        <v>10</v>
      </c>
      <c r="I25" s="706">
        <f t="shared" si="6"/>
        <v>1.86219739292365E-2</v>
      </c>
      <c r="L25" s="37"/>
      <c r="M25" s="22"/>
    </row>
    <row r="26" spans="1:13" x14ac:dyDescent="0.2">
      <c r="A26" s="227" t="s">
        <v>39</v>
      </c>
      <c r="B26" s="735">
        <v>713</v>
      </c>
      <c r="C26" s="736">
        <f t="shared" si="4"/>
        <v>0.40719588806396345</v>
      </c>
      <c r="D26" s="103"/>
      <c r="E26" s="391" t="s">
        <v>39</v>
      </c>
      <c r="F26" s="737">
        <v>23</v>
      </c>
      <c r="G26" s="737">
        <v>177</v>
      </c>
      <c r="H26" s="707">
        <f t="shared" si="5"/>
        <v>200</v>
      </c>
      <c r="I26" s="706">
        <f t="shared" si="6"/>
        <v>0.37243947858472998</v>
      </c>
      <c r="L26" s="37"/>
      <c r="M26" s="22"/>
    </row>
    <row r="27" spans="1:13" x14ac:dyDescent="0.2">
      <c r="A27" s="227" t="s">
        <v>40</v>
      </c>
      <c r="B27" s="735">
        <v>815</v>
      </c>
      <c r="C27" s="736">
        <f t="shared" si="4"/>
        <v>0.46544831524842945</v>
      </c>
      <c r="D27" s="103"/>
      <c r="E27" s="391" t="s">
        <v>40</v>
      </c>
      <c r="F27" s="737">
        <v>19</v>
      </c>
      <c r="G27" s="737">
        <v>132</v>
      </c>
      <c r="H27" s="707">
        <f t="shared" si="5"/>
        <v>151</v>
      </c>
      <c r="I27" s="706">
        <f t="shared" si="6"/>
        <v>0.28119180633147112</v>
      </c>
      <c r="L27" s="37"/>
      <c r="M27" s="22"/>
    </row>
    <row r="28" spans="1:13" x14ac:dyDescent="0.2">
      <c r="A28" s="227" t="s">
        <v>333</v>
      </c>
      <c r="B28" s="735">
        <v>522</v>
      </c>
      <c r="C28" s="736">
        <f t="shared" si="4"/>
        <v>0.29811536264991434</v>
      </c>
      <c r="D28" s="103"/>
      <c r="E28" s="391" t="s">
        <v>41</v>
      </c>
      <c r="F28" s="737">
        <v>17</v>
      </c>
      <c r="G28" s="737">
        <v>111</v>
      </c>
      <c r="H28" s="707">
        <f t="shared" si="5"/>
        <v>128</v>
      </c>
      <c r="I28" s="706">
        <f t="shared" si="6"/>
        <v>0.23836126629422719</v>
      </c>
      <c r="L28" s="37"/>
      <c r="M28" s="22"/>
    </row>
    <row r="29" spans="1:13" x14ac:dyDescent="0.2">
      <c r="A29" s="227" t="s">
        <v>42</v>
      </c>
      <c r="B29" s="735">
        <v>135</v>
      </c>
      <c r="C29" s="736">
        <f t="shared" si="4"/>
        <v>7.7098800685322669E-2</v>
      </c>
      <c r="D29" s="103"/>
      <c r="E29" s="391" t="s">
        <v>42</v>
      </c>
      <c r="F29" s="737">
        <v>1</v>
      </c>
      <c r="G29" s="737">
        <v>15</v>
      </c>
      <c r="H29" s="707">
        <f t="shared" si="5"/>
        <v>16</v>
      </c>
      <c r="I29" s="706">
        <f t="shared" si="6"/>
        <v>2.9795158286778398E-2</v>
      </c>
      <c r="L29" s="37"/>
      <c r="M29" s="22"/>
    </row>
    <row r="30" spans="1:13" x14ac:dyDescent="0.2">
      <c r="A30" s="227" t="s">
        <v>43</v>
      </c>
      <c r="B30" s="735">
        <v>575</v>
      </c>
      <c r="C30" s="736">
        <f t="shared" si="4"/>
        <v>0.32838378069674473</v>
      </c>
      <c r="D30" s="103"/>
      <c r="E30" s="391" t="s">
        <v>43</v>
      </c>
      <c r="F30" s="737">
        <v>10</v>
      </c>
      <c r="G30" s="737">
        <v>118</v>
      </c>
      <c r="H30" s="707">
        <f t="shared" si="5"/>
        <v>128</v>
      </c>
      <c r="I30" s="706">
        <f t="shared" si="6"/>
        <v>0.23836126629422719</v>
      </c>
      <c r="L30" s="37"/>
      <c r="M30" s="22"/>
    </row>
    <row r="31" spans="1:13" x14ac:dyDescent="0.2">
      <c r="A31" s="227" t="s">
        <v>44</v>
      </c>
      <c r="B31" s="735">
        <v>397</v>
      </c>
      <c r="C31" s="736">
        <f t="shared" si="4"/>
        <v>0.22672758423757852</v>
      </c>
      <c r="D31" s="103"/>
      <c r="E31" s="391" t="s">
        <v>44</v>
      </c>
      <c r="F31" s="737">
        <v>8</v>
      </c>
      <c r="G31" s="737">
        <v>93</v>
      </c>
      <c r="H31" s="707">
        <f t="shared" si="5"/>
        <v>101</v>
      </c>
      <c r="I31" s="706">
        <f t="shared" si="6"/>
        <v>0.18808193668528864</v>
      </c>
      <c r="L31" s="37"/>
      <c r="M31" s="22"/>
    </row>
    <row r="32" spans="1:13" x14ac:dyDescent="0.2">
      <c r="A32" s="227" t="s">
        <v>245</v>
      </c>
      <c r="B32" s="735">
        <v>302</v>
      </c>
      <c r="C32" s="736">
        <f t="shared" si="4"/>
        <v>0.1724728726442033</v>
      </c>
      <c r="D32" s="103"/>
      <c r="E32" s="391" t="s">
        <v>246</v>
      </c>
      <c r="F32" s="737">
        <v>14</v>
      </c>
      <c r="G32" s="737">
        <v>73</v>
      </c>
      <c r="H32" s="707">
        <f t="shared" si="5"/>
        <v>87</v>
      </c>
      <c r="I32" s="706">
        <f t="shared" si="6"/>
        <v>0.16201117318435754</v>
      </c>
      <c r="L32" s="37"/>
      <c r="M32" s="22"/>
    </row>
    <row r="33" spans="1:13" x14ac:dyDescent="0.2">
      <c r="A33" s="227" t="s">
        <v>46</v>
      </c>
      <c r="B33" s="735">
        <v>579</v>
      </c>
      <c r="C33" s="736">
        <f t="shared" si="4"/>
        <v>0.33066818960593947</v>
      </c>
      <c r="D33" s="103"/>
      <c r="E33" s="391" t="s">
        <v>46</v>
      </c>
      <c r="F33" s="737">
        <v>47</v>
      </c>
      <c r="G33" s="737">
        <v>135</v>
      </c>
      <c r="H33" s="707">
        <f t="shared" si="5"/>
        <v>182</v>
      </c>
      <c r="I33" s="706">
        <f t="shared" si="6"/>
        <v>0.33891992551210426</v>
      </c>
      <c r="L33" s="37"/>
      <c r="M33" s="22"/>
    </row>
    <row r="34" spans="1:13" x14ac:dyDescent="0.2">
      <c r="A34" s="227" t="s">
        <v>47</v>
      </c>
      <c r="B34" s="735">
        <v>116</v>
      </c>
      <c r="C34" s="736">
        <f t="shared" si="4"/>
        <v>6.6247858366647636E-2</v>
      </c>
      <c r="D34" s="103"/>
      <c r="E34" s="391" t="s">
        <v>47</v>
      </c>
      <c r="F34" s="737">
        <v>4</v>
      </c>
      <c r="G34" s="737">
        <v>31</v>
      </c>
      <c r="H34" s="707">
        <f t="shared" si="5"/>
        <v>35</v>
      </c>
      <c r="I34" s="706">
        <f t="shared" si="6"/>
        <v>6.5176908752327747E-2</v>
      </c>
      <c r="L34" s="37"/>
      <c r="M34" s="22"/>
    </row>
    <row r="35" spans="1:13" x14ac:dyDescent="0.2">
      <c r="A35" s="227" t="s">
        <v>48</v>
      </c>
      <c r="B35" s="735">
        <v>73</v>
      </c>
      <c r="C35" s="736">
        <f t="shared" si="4"/>
        <v>4.1690462592804109E-2</v>
      </c>
      <c r="D35" s="103"/>
      <c r="E35" s="391" t="s">
        <v>48</v>
      </c>
      <c r="F35" s="737">
        <v>4</v>
      </c>
      <c r="G35" s="737">
        <v>11</v>
      </c>
      <c r="H35" s="707">
        <f t="shared" si="5"/>
        <v>15</v>
      </c>
      <c r="I35" s="706">
        <f t="shared" si="6"/>
        <v>2.7932960893854747E-2</v>
      </c>
      <c r="L35" s="37"/>
      <c r="M35" s="22"/>
    </row>
    <row r="36" spans="1:13" x14ac:dyDescent="0.2">
      <c r="A36" s="227" t="s">
        <v>49</v>
      </c>
      <c r="B36" s="735">
        <v>13</v>
      </c>
      <c r="C36" s="736">
        <f t="shared" si="4"/>
        <v>7.4243289548829245E-3</v>
      </c>
      <c r="D36" s="103"/>
      <c r="E36" s="391" t="s">
        <v>49</v>
      </c>
      <c r="F36" s="737">
        <v>0</v>
      </c>
      <c r="G36" s="737">
        <v>0</v>
      </c>
      <c r="H36" s="707">
        <f t="shared" si="5"/>
        <v>0</v>
      </c>
      <c r="I36" s="706">
        <f t="shared" si="6"/>
        <v>0</v>
      </c>
      <c r="L36" s="37"/>
      <c r="M36" s="22"/>
    </row>
    <row r="37" spans="1:13" x14ac:dyDescent="0.2">
      <c r="A37" s="227" t="s">
        <v>50</v>
      </c>
      <c r="B37" s="735">
        <v>160</v>
      </c>
      <c r="C37" s="736">
        <f t="shared" si="4"/>
        <v>9.1376356367789832E-2</v>
      </c>
      <c r="D37" s="103"/>
      <c r="E37" s="391" t="s">
        <v>50</v>
      </c>
      <c r="F37" s="737">
        <v>4</v>
      </c>
      <c r="G37" s="737">
        <v>39</v>
      </c>
      <c r="H37" s="707">
        <f t="shared" si="5"/>
        <v>43</v>
      </c>
      <c r="I37" s="706">
        <f t="shared" si="6"/>
        <v>8.0074487895716945E-2</v>
      </c>
      <c r="L37" s="37"/>
      <c r="M37" s="22"/>
    </row>
    <row r="38" spans="1:13" x14ac:dyDescent="0.2">
      <c r="A38" s="227" t="s">
        <v>51</v>
      </c>
      <c r="B38" s="735">
        <v>161</v>
      </c>
      <c r="C38" s="736">
        <f t="shared" si="4"/>
        <v>9.1947458595088516E-2</v>
      </c>
      <c r="D38" s="103"/>
      <c r="E38" s="391" t="s">
        <v>51</v>
      </c>
      <c r="F38" s="737">
        <v>10</v>
      </c>
      <c r="G38" s="737">
        <v>35</v>
      </c>
      <c r="H38" s="707">
        <f t="shared" si="5"/>
        <v>45</v>
      </c>
      <c r="I38" s="706">
        <f t="shared" si="6"/>
        <v>8.3798882681564241E-2</v>
      </c>
      <c r="L38" s="37"/>
      <c r="M38" s="22"/>
    </row>
    <row r="39" spans="1:13" x14ac:dyDescent="0.2">
      <c r="A39" s="227" t="s">
        <v>247</v>
      </c>
      <c r="B39" s="735">
        <v>34</v>
      </c>
      <c r="C39" s="736">
        <f t="shared" si="4"/>
        <v>1.9417475728155338E-2</v>
      </c>
      <c r="D39" s="103"/>
      <c r="E39" s="391" t="s">
        <v>247</v>
      </c>
      <c r="F39" s="737">
        <v>7</v>
      </c>
      <c r="G39" s="737">
        <v>10</v>
      </c>
      <c r="H39" s="707">
        <f t="shared" si="5"/>
        <v>17</v>
      </c>
      <c r="I39" s="706">
        <f t="shared" si="6"/>
        <v>3.165735567970205E-2</v>
      </c>
      <c r="L39" s="37"/>
      <c r="M39" s="22"/>
    </row>
    <row r="40" spans="1:13" x14ac:dyDescent="0.2">
      <c r="A40" s="227" t="s">
        <v>377</v>
      </c>
      <c r="B40" s="735">
        <v>242</v>
      </c>
      <c r="C40" s="736">
        <f t="shared" si="4"/>
        <v>0.13820673900628214</v>
      </c>
      <c r="D40" s="103"/>
      <c r="E40" s="391" t="s">
        <v>377</v>
      </c>
      <c r="F40" s="737">
        <v>9</v>
      </c>
      <c r="G40" s="737">
        <v>42</v>
      </c>
      <c r="H40" s="707">
        <f t="shared" si="5"/>
        <v>51</v>
      </c>
      <c r="I40" s="706">
        <f t="shared" si="6"/>
        <v>9.4972067039106142E-2</v>
      </c>
      <c r="L40" s="37"/>
      <c r="M40" s="22"/>
    </row>
    <row r="41" spans="1:13" ht="37.5" customHeight="1" x14ac:dyDescent="0.2">
      <c r="A41" s="390" t="s">
        <v>378</v>
      </c>
      <c r="B41" s="735">
        <v>126</v>
      </c>
      <c r="C41" s="736">
        <f t="shared" si="4"/>
        <v>7.1958880639634501E-2</v>
      </c>
      <c r="D41" s="103"/>
      <c r="E41" s="390" t="s">
        <v>378</v>
      </c>
      <c r="F41" s="737">
        <v>2</v>
      </c>
      <c r="G41" s="737">
        <v>14</v>
      </c>
      <c r="H41" s="707">
        <f t="shared" si="5"/>
        <v>16</v>
      </c>
      <c r="I41" s="706">
        <f t="shared" si="6"/>
        <v>2.9795158286778398E-2</v>
      </c>
      <c r="L41" s="37"/>
      <c r="M41" s="22"/>
    </row>
    <row r="42" spans="1:13" x14ac:dyDescent="0.2">
      <c r="A42" s="227" t="s">
        <v>53</v>
      </c>
      <c r="B42" s="735">
        <v>51</v>
      </c>
      <c r="C42" s="736">
        <f t="shared" si="4"/>
        <v>2.9126213592233011E-2</v>
      </c>
      <c r="D42" s="103"/>
      <c r="E42" s="391" t="s">
        <v>53</v>
      </c>
      <c r="F42" s="737">
        <v>7</v>
      </c>
      <c r="G42" s="737">
        <v>10</v>
      </c>
      <c r="H42" s="707">
        <f t="shared" si="5"/>
        <v>17</v>
      </c>
      <c r="I42" s="706">
        <f t="shared" si="6"/>
        <v>3.165735567970205E-2</v>
      </c>
      <c r="L42" s="37"/>
      <c r="M42" s="22"/>
    </row>
    <row r="43" spans="1:13" x14ac:dyDescent="0.2">
      <c r="B43" s="108"/>
      <c r="F43" s="141"/>
      <c r="G43" s="141"/>
      <c r="H43" s="131"/>
      <c r="I43" s="132"/>
      <c r="L43" s="37"/>
      <c r="M43" s="22"/>
    </row>
    <row r="44" spans="1:13" x14ac:dyDescent="0.2">
      <c r="K44" s="21"/>
      <c r="L44" s="7"/>
      <c r="M44" s="70"/>
    </row>
    <row r="45" spans="1:13" x14ac:dyDescent="0.2">
      <c r="K45" s="21"/>
      <c r="L45" s="7"/>
      <c r="M45" s="70"/>
    </row>
    <row r="46" spans="1:13" x14ac:dyDescent="0.2">
      <c r="K46" s="21"/>
      <c r="L46" s="7"/>
      <c r="M46" s="70"/>
    </row>
    <row r="47" spans="1:13" x14ac:dyDescent="0.2">
      <c r="K47" s="21"/>
      <c r="L47" s="7"/>
      <c r="M47" s="70"/>
    </row>
    <row r="48" spans="1:13" x14ac:dyDescent="0.2">
      <c r="K48" s="21"/>
      <c r="L48" s="21"/>
      <c r="M48" s="21"/>
    </row>
    <row r="49" spans="11:13" x14ac:dyDescent="0.2">
      <c r="K49" s="21"/>
      <c r="L49" s="130"/>
      <c r="M49" s="130"/>
    </row>
    <row r="50" spans="11:13" x14ac:dyDescent="0.2">
      <c r="K50" s="21"/>
      <c r="L50" s="7"/>
      <c r="M50" s="70"/>
    </row>
    <row r="51" spans="11:13" x14ac:dyDescent="0.2">
      <c r="K51" s="21"/>
      <c r="L51" s="7"/>
      <c r="M51" s="70"/>
    </row>
    <row r="52" spans="11:13" x14ac:dyDescent="0.2">
      <c r="K52" s="21"/>
      <c r="L52" s="7"/>
      <c r="M52" s="70"/>
    </row>
    <row r="53" spans="11:13" x14ac:dyDescent="0.2">
      <c r="K53" s="21"/>
      <c r="L53" s="7"/>
      <c r="M53" s="70"/>
    </row>
    <row r="54" spans="11:13" x14ac:dyDescent="0.2">
      <c r="K54" s="21"/>
      <c r="L54" s="7"/>
      <c r="M54" s="70"/>
    </row>
    <row r="55" spans="11:13" x14ac:dyDescent="0.2">
      <c r="K55" s="21"/>
      <c r="L55" s="7"/>
      <c r="M55" s="70"/>
    </row>
    <row r="56" spans="11:13" x14ac:dyDescent="0.2">
      <c r="K56" s="21"/>
      <c r="L56" s="7"/>
      <c r="M56" s="70"/>
    </row>
    <row r="57" spans="11:13" x14ac:dyDescent="0.2">
      <c r="K57" s="21"/>
      <c r="L57" s="7"/>
      <c r="M57" s="70"/>
    </row>
    <row r="58" spans="11:13" x14ac:dyDescent="0.2">
      <c r="K58" s="21"/>
      <c r="L58" s="7"/>
      <c r="M58" s="70"/>
    </row>
    <row r="59" spans="11:13" x14ac:dyDescent="0.2">
      <c r="K59" s="21"/>
      <c r="L59" s="7"/>
      <c r="M59" s="70"/>
    </row>
    <row r="60" spans="11:13" x14ac:dyDescent="0.2">
      <c r="K60" s="21"/>
      <c r="L60" s="7"/>
      <c r="M60" s="70"/>
    </row>
    <row r="61" spans="11:13" x14ac:dyDescent="0.2">
      <c r="K61" s="21"/>
      <c r="L61" s="7"/>
      <c r="M61" s="70"/>
    </row>
    <row r="62" spans="11:13" x14ac:dyDescent="0.2">
      <c r="K62" s="21"/>
      <c r="L62" s="7"/>
      <c r="M62" s="70"/>
    </row>
    <row r="63" spans="11:13" x14ac:dyDescent="0.2">
      <c r="K63" s="21"/>
      <c r="L63" s="7"/>
      <c r="M63" s="70"/>
    </row>
    <row r="64" spans="11:13" x14ac:dyDescent="0.2">
      <c r="K64" s="21"/>
      <c r="L64" s="7"/>
      <c r="M64" s="70"/>
    </row>
    <row r="65" spans="11:13" x14ac:dyDescent="0.2">
      <c r="K65" s="21"/>
      <c r="L65" s="7"/>
      <c r="M65" s="70"/>
    </row>
    <row r="66" spans="11:13" x14ac:dyDescent="0.2">
      <c r="K66" s="21"/>
      <c r="L66" s="7"/>
      <c r="M66" s="70"/>
    </row>
    <row r="67" spans="11:13" x14ac:dyDescent="0.2">
      <c r="K67" s="21"/>
      <c r="L67" s="7"/>
      <c r="M67" s="70"/>
    </row>
    <row r="68" spans="11:13" x14ac:dyDescent="0.2">
      <c r="K68" s="21"/>
      <c r="L68" s="7"/>
      <c r="M68" s="70"/>
    </row>
    <row r="69" spans="11:13" x14ac:dyDescent="0.2">
      <c r="K69" s="21"/>
      <c r="L69" s="7"/>
      <c r="M69" s="70"/>
    </row>
    <row r="70" spans="11:13" x14ac:dyDescent="0.2">
      <c r="K70" s="21"/>
      <c r="L70" s="7"/>
      <c r="M70" s="70"/>
    </row>
    <row r="71" spans="11:13" x14ac:dyDescent="0.2">
      <c r="K71" s="21"/>
      <c r="L71" s="7"/>
      <c r="M71" s="70"/>
    </row>
    <row r="72" spans="11:13" x14ac:dyDescent="0.2">
      <c r="K72" s="21"/>
      <c r="L72" s="21"/>
      <c r="M72" s="21"/>
    </row>
    <row r="73" spans="11:13" x14ac:dyDescent="0.2">
      <c r="K73" s="21"/>
      <c r="L73" s="21"/>
      <c r="M73" s="21"/>
    </row>
    <row r="74" spans="11:13" x14ac:dyDescent="0.2">
      <c r="K74" s="21"/>
      <c r="L74" s="21"/>
      <c r="M74" s="21"/>
    </row>
    <row r="75" spans="11:13" x14ac:dyDescent="0.2">
      <c r="L75" s="106"/>
      <c r="M75" s="106"/>
    </row>
    <row r="76" spans="11:13" x14ac:dyDescent="0.2">
      <c r="L76" s="37"/>
      <c r="M76" s="22"/>
    </row>
    <row r="77" spans="11:13" x14ac:dyDescent="0.2">
      <c r="L77" s="37"/>
      <c r="M77" s="22"/>
    </row>
    <row r="78" spans="11:13" x14ac:dyDescent="0.2">
      <c r="L78" s="37"/>
      <c r="M78" s="22"/>
    </row>
    <row r="79" spans="11:13" x14ac:dyDescent="0.2">
      <c r="L79" s="37"/>
      <c r="M79" s="22"/>
    </row>
    <row r="80" spans="11:13" x14ac:dyDescent="0.2">
      <c r="L80" s="37"/>
      <c r="M80" s="22"/>
    </row>
    <row r="81" spans="11:13" x14ac:dyDescent="0.2">
      <c r="L81" s="37"/>
      <c r="M81" s="22"/>
    </row>
    <row r="82" spans="11:13" x14ac:dyDescent="0.2">
      <c r="L82" s="37"/>
      <c r="M82" s="22"/>
    </row>
    <row r="83" spans="11:13" x14ac:dyDescent="0.2">
      <c r="L83" s="37"/>
      <c r="M83" s="22"/>
    </row>
    <row r="84" spans="11:13" x14ac:dyDescent="0.2">
      <c r="L84" s="37"/>
      <c r="M84" s="22"/>
    </row>
    <row r="85" spans="11:13" x14ac:dyDescent="0.2">
      <c r="L85" s="37"/>
      <c r="M85" s="22"/>
    </row>
    <row r="86" spans="11:13" x14ac:dyDescent="0.2">
      <c r="L86" s="37"/>
      <c r="M86" s="22"/>
    </row>
    <row r="87" spans="11:13" x14ac:dyDescent="0.2">
      <c r="L87" s="37"/>
      <c r="M87" s="22"/>
    </row>
    <row r="88" spans="11:13" x14ac:dyDescent="0.2">
      <c r="L88" s="37"/>
      <c r="M88" s="22"/>
    </row>
    <row r="89" spans="11:13" x14ac:dyDescent="0.2">
      <c r="L89" s="37"/>
      <c r="M89" s="22"/>
    </row>
    <row r="90" spans="11:13" x14ac:dyDescent="0.2">
      <c r="L90" s="37"/>
      <c r="M90" s="22"/>
    </row>
    <row r="91" spans="11:13" x14ac:dyDescent="0.2">
      <c r="L91" s="37"/>
      <c r="M91" s="22"/>
    </row>
    <row r="92" spans="11:13" x14ac:dyDescent="0.2">
      <c r="L92" s="37"/>
      <c r="M92" s="22"/>
    </row>
    <row r="93" spans="11:13" x14ac:dyDescent="0.2">
      <c r="L93" s="37"/>
      <c r="M93" s="22"/>
    </row>
    <row r="94" spans="11:13" x14ac:dyDescent="0.2">
      <c r="K94" s="142"/>
      <c r="L94" s="143"/>
      <c r="M94" s="144"/>
    </row>
    <row r="95" spans="11:13" x14ac:dyDescent="0.2">
      <c r="K95" s="21"/>
      <c r="L95" s="7"/>
      <c r="M95" s="70"/>
    </row>
    <row r="96" spans="11:13" x14ac:dyDescent="0.2">
      <c r="K96" s="145"/>
      <c r="L96" s="146"/>
      <c r="M96" s="147"/>
    </row>
    <row r="97" spans="12:13" x14ac:dyDescent="0.2">
      <c r="L97" s="37"/>
      <c r="M97" s="22"/>
    </row>
  </sheetData>
  <mergeCells count="2">
    <mergeCell ref="A21:C21"/>
    <mergeCell ref="E21:I21"/>
  </mergeCells>
  <phoneticPr fontId="2"/>
  <pageMargins left="0.70866141732283472" right="0.70866141732283472" top="0.74803149606299213" bottom="0.74803149606299213" header="0.31496062992125984" footer="0.31496062992125984"/>
  <pageSetup paperSize="9" scale="63" orientation="landscape" r:id="rId1"/>
  <drawing r:id="rId2"/>
  <mc:AlternateContent xmlns:mc="http://schemas.openxmlformats.org/markup-compatibility/2006">
    <mc:Choice Requires="v">
      <legacyDrawing r:id="rId3"/>
    </mc:Choice>
  </mc:AlternateContent>
  <controls>
    <control shapeId="22529" r:id="rId4" name="Button 1">
      <controlPr defaultSize="0" print="0" autoFill="0" autoPict="0" macro="[0]!データ削除_退院阻害要因">
        <anchor moveWithCells="1" sizeWithCells="1">
          <from>
            <xdr:col>10</xdr:col>
            <xdr:colOff>297180</xdr:colOff>
            <xdr:row>4</xdr:row>
            <xdr:rowOff>7620</xdr:rowOff>
          </from>
          <to>
            <xdr:col>11</xdr:col>
            <xdr:colOff>1440180</xdr:colOff>
            <xdr:row>5</xdr:row>
            <xdr:rowOff>160020</xdr:rowOff>
          </to>
        </anchor>
      </controlPr>
    </control>
  </controls>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B0F0"/>
    <pageSetUpPr fitToPage="1"/>
  </sheetPr>
  <dimension ref="A1:T54"/>
  <sheetViews>
    <sheetView showGridLines="0" view="pageBreakPreview" zoomScaleNormal="100" zoomScaleSheetLayoutView="100" workbookViewId="0"/>
  </sheetViews>
  <sheetFormatPr defaultColWidth="13.77734375" defaultRowHeight="17.399999999999999" x14ac:dyDescent="0.2"/>
  <cols>
    <col min="1" max="1" width="15.33203125" style="1" bestFit="1" customWidth="1"/>
    <col min="2" max="3" width="9.33203125" style="1" customWidth="1"/>
    <col min="4" max="4" width="4.109375" style="1" customWidth="1"/>
    <col min="5" max="5" width="15.33203125" style="1" customWidth="1"/>
    <col min="6" max="9" width="9.33203125" style="1" customWidth="1"/>
    <col min="10" max="10" width="13.77734375" style="1"/>
    <col min="11" max="20" width="13.77734375" style="1" hidden="1" customWidth="1"/>
    <col min="21" max="16384" width="13.77734375" style="1"/>
  </cols>
  <sheetData>
    <row r="1" spans="1:17" s="3" customFormat="1" ht="19.2" x14ac:dyDescent="0.2">
      <c r="A1" s="2" t="s">
        <v>84</v>
      </c>
    </row>
    <row r="2" spans="1:17" x14ac:dyDescent="0.2">
      <c r="A2" s="4"/>
      <c r="K2" s="55" t="s">
        <v>63</v>
      </c>
    </row>
    <row r="3" spans="1:17" s="3" customFormat="1" ht="19.8" thickBot="1" x14ac:dyDescent="0.25">
      <c r="A3" s="4" t="s">
        <v>13</v>
      </c>
      <c r="E3" s="4" t="s">
        <v>146</v>
      </c>
      <c r="K3" s="257" t="s">
        <v>298</v>
      </c>
      <c r="L3" s="339" t="s">
        <v>278</v>
      </c>
      <c r="N3" s="257" t="s">
        <v>298</v>
      </c>
      <c r="O3" s="34" t="s">
        <v>276</v>
      </c>
      <c r="P3" s="257" t="s">
        <v>298</v>
      </c>
      <c r="Q3" s="34" t="s">
        <v>277</v>
      </c>
    </row>
    <row r="4" spans="1:17" ht="18.600000000000001" thickTop="1" thickBot="1" x14ac:dyDescent="0.25">
      <c r="A4" s="738"/>
      <c r="B4" s="739" t="s">
        <v>0</v>
      </c>
      <c r="C4" s="739" t="s">
        <v>1</v>
      </c>
      <c r="D4" s="172"/>
      <c r="E4" s="738"/>
      <c r="F4" s="739" t="s">
        <v>147</v>
      </c>
      <c r="G4" s="739" t="s">
        <v>148</v>
      </c>
      <c r="H4" s="739" t="s">
        <v>12</v>
      </c>
      <c r="I4" s="739" t="s">
        <v>1</v>
      </c>
      <c r="K4" s="289" t="s">
        <v>372</v>
      </c>
      <c r="L4" s="34" t="s">
        <v>610</v>
      </c>
      <c r="N4" s="289" t="s">
        <v>372</v>
      </c>
      <c r="O4" s="34" t="s">
        <v>610</v>
      </c>
      <c r="P4" s="289" t="s">
        <v>372</v>
      </c>
      <c r="Q4" s="34" t="s">
        <v>610</v>
      </c>
    </row>
    <row r="5" spans="1:17" ht="18" thickTop="1" x14ac:dyDescent="0.2">
      <c r="A5" s="704" t="s">
        <v>2</v>
      </c>
      <c r="B5" s="713">
        <f>IFERROR(VLOOKUP($A5,年齢区分＿1年以上[#All],2,FALSE),0)</f>
        <v>3</v>
      </c>
      <c r="C5" s="706">
        <f>IFERROR(B5/B$14,"-")</f>
        <v>3.8629925315477725E-4</v>
      </c>
      <c r="D5" s="172"/>
      <c r="E5" s="704" t="s">
        <v>2</v>
      </c>
      <c r="F5" s="713">
        <f>IFERROR(VLOOKUP($A5,年齢区分＿1年以上＿寛解[#All],2,FALSE),0)</f>
        <v>0</v>
      </c>
      <c r="G5" s="713">
        <f>IFERROR(VLOOKUP($A5,年齢区分＿1年以上＿院内寛解[#All],2,FALSE),0)</f>
        <v>0</v>
      </c>
      <c r="H5" s="707">
        <f>SUM(F5:G5)</f>
        <v>0</v>
      </c>
      <c r="I5" s="706">
        <f>IFERROR(H5/H$14,"-")</f>
        <v>0</v>
      </c>
      <c r="K5" s="55" t="s">
        <v>2</v>
      </c>
      <c r="L5" s="250">
        <v>3</v>
      </c>
      <c r="M5" s="11"/>
      <c r="N5" s="55" t="s">
        <v>2</v>
      </c>
      <c r="O5" s="250">
        <v>0</v>
      </c>
      <c r="P5" s="55" t="s">
        <v>2</v>
      </c>
      <c r="Q5" s="250">
        <v>0</v>
      </c>
    </row>
    <row r="6" spans="1:17" x14ac:dyDescent="0.2">
      <c r="A6" s="704" t="s">
        <v>3</v>
      </c>
      <c r="B6" s="713">
        <f>IFERROR(VLOOKUP($A6,年齢区分＿1年以上[#All],2,FALSE),0)</f>
        <v>43</v>
      </c>
      <c r="C6" s="706">
        <f t="shared" ref="C6:C13" si="0">IFERROR(B6/B$14,"-")</f>
        <v>5.5369559618851406E-3</v>
      </c>
      <c r="D6" s="172"/>
      <c r="E6" s="704" t="s">
        <v>3</v>
      </c>
      <c r="F6" s="713">
        <f>IFERROR(VLOOKUP($A6,年齢区分＿1年以上＿寛解[#All],2,FALSE),0)</f>
        <v>0</v>
      </c>
      <c r="G6" s="713">
        <f>IFERROR(VLOOKUP($A6,年齢区分＿1年以上＿院内寛解[#All],2,FALSE),0)</f>
        <v>5</v>
      </c>
      <c r="H6" s="707">
        <f t="shared" ref="H6:H13" si="1">SUM(F6:G6)</f>
        <v>5</v>
      </c>
      <c r="I6" s="706">
        <f t="shared" ref="I6:I16" si="2">IFERROR(H6/H$14,"-")</f>
        <v>8.7260034904013961E-3</v>
      </c>
      <c r="K6" s="55" t="s">
        <v>3</v>
      </c>
      <c r="L6" s="250">
        <v>43</v>
      </c>
      <c r="M6" s="14"/>
      <c r="N6" s="55" t="s">
        <v>3</v>
      </c>
      <c r="O6" s="250">
        <v>0</v>
      </c>
      <c r="P6" s="55" t="s">
        <v>3</v>
      </c>
      <c r="Q6" s="250">
        <v>5</v>
      </c>
    </row>
    <row r="7" spans="1:17" x14ac:dyDescent="0.2">
      <c r="A7" s="704" t="s">
        <v>4</v>
      </c>
      <c r="B7" s="713">
        <f>IFERROR(VLOOKUP($A7,年齢区分＿1年以上[#All],2,FALSE),0)</f>
        <v>179</v>
      </c>
      <c r="C7" s="706">
        <f t="shared" si="0"/>
        <v>2.3049188771568373E-2</v>
      </c>
      <c r="D7" s="172"/>
      <c r="E7" s="704" t="s">
        <v>4</v>
      </c>
      <c r="F7" s="713">
        <f>IFERROR(VLOOKUP($A7,年齢区分＿1年以上＿寛解[#All],2,FALSE),0)</f>
        <v>3</v>
      </c>
      <c r="G7" s="713">
        <f>IFERROR(VLOOKUP($A7,年齢区分＿1年以上＿院内寛解[#All],2,FALSE),0)</f>
        <v>24</v>
      </c>
      <c r="H7" s="707">
        <f t="shared" si="1"/>
        <v>27</v>
      </c>
      <c r="I7" s="706">
        <f t="shared" si="2"/>
        <v>4.712041884816754E-2</v>
      </c>
      <c r="K7" s="55" t="s">
        <v>4</v>
      </c>
      <c r="L7" s="250">
        <v>179</v>
      </c>
      <c r="M7" s="14"/>
      <c r="N7" s="55" t="s">
        <v>4</v>
      </c>
      <c r="O7" s="250">
        <v>3</v>
      </c>
      <c r="P7" s="55" t="s">
        <v>4</v>
      </c>
      <c r="Q7" s="250">
        <v>24</v>
      </c>
    </row>
    <row r="8" spans="1:17" x14ac:dyDescent="0.2">
      <c r="A8" s="704" t="s">
        <v>5</v>
      </c>
      <c r="B8" s="713">
        <f>IFERROR(VLOOKUP($A8,年齢区分＿1年以上[#All],2,FALSE),0)</f>
        <v>486</v>
      </c>
      <c r="C8" s="706">
        <f t="shared" si="0"/>
        <v>6.2580479011073914E-2</v>
      </c>
      <c r="D8" s="172"/>
      <c r="E8" s="704" t="s">
        <v>5</v>
      </c>
      <c r="F8" s="713">
        <f>IFERROR(VLOOKUP($A8,年齢区分＿1年以上＿寛解[#All],2,FALSE),0)</f>
        <v>6</v>
      </c>
      <c r="G8" s="713">
        <f>IFERROR(VLOOKUP($A8,年齢区分＿1年以上＿院内寛解[#All],2,FALSE),0)</f>
        <v>34</v>
      </c>
      <c r="H8" s="707">
        <f t="shared" si="1"/>
        <v>40</v>
      </c>
      <c r="I8" s="706">
        <f t="shared" si="2"/>
        <v>6.9808027923211169E-2</v>
      </c>
      <c r="K8" s="55" t="s">
        <v>5</v>
      </c>
      <c r="L8" s="250">
        <v>486</v>
      </c>
      <c r="M8" s="17"/>
      <c r="N8" s="55" t="s">
        <v>5</v>
      </c>
      <c r="O8" s="250">
        <v>6</v>
      </c>
      <c r="P8" s="55" t="s">
        <v>5</v>
      </c>
      <c r="Q8" s="250">
        <v>34</v>
      </c>
    </row>
    <row r="9" spans="1:17" x14ac:dyDescent="0.2">
      <c r="A9" s="704" t="s">
        <v>6</v>
      </c>
      <c r="B9" s="713">
        <f>IFERROR(VLOOKUP($A9,年齢区分＿1年以上[#All],2,FALSE),0)</f>
        <v>1375</v>
      </c>
      <c r="C9" s="706">
        <f t="shared" si="0"/>
        <v>0.17705382436260622</v>
      </c>
      <c r="D9" s="172"/>
      <c r="E9" s="704" t="s">
        <v>6</v>
      </c>
      <c r="F9" s="713">
        <f>IFERROR(VLOOKUP($A9,年齢区分＿1年以上＿寛解[#All],2,FALSE),0)</f>
        <v>12</v>
      </c>
      <c r="G9" s="713">
        <f>IFERROR(VLOOKUP($A9,年齢区分＿1年以上＿院内寛解[#All],2,FALSE),0)</f>
        <v>80</v>
      </c>
      <c r="H9" s="707">
        <f t="shared" si="1"/>
        <v>92</v>
      </c>
      <c r="I9" s="706">
        <f t="shared" si="2"/>
        <v>0.16055846422338568</v>
      </c>
      <c r="K9" s="55" t="s">
        <v>6</v>
      </c>
      <c r="L9" s="250">
        <v>1375</v>
      </c>
      <c r="M9" s="17"/>
      <c r="N9" s="55" t="s">
        <v>6</v>
      </c>
      <c r="O9" s="250">
        <v>12</v>
      </c>
      <c r="P9" s="55" t="s">
        <v>6</v>
      </c>
      <c r="Q9" s="250">
        <v>80</v>
      </c>
    </row>
    <row r="10" spans="1:17" x14ac:dyDescent="0.2">
      <c r="A10" s="704" t="s">
        <v>7</v>
      </c>
      <c r="B10" s="713">
        <f>IFERROR(VLOOKUP($A10,年齢区分＿1年以上[#All],2,FALSE),0)</f>
        <v>1488</v>
      </c>
      <c r="C10" s="706">
        <f t="shared" si="0"/>
        <v>0.1916044295647695</v>
      </c>
      <c r="D10" s="172"/>
      <c r="E10" s="704" t="s">
        <v>7</v>
      </c>
      <c r="F10" s="713">
        <f>IFERROR(VLOOKUP($A10,年齢区分＿1年以上＿寛解[#All],2,FALSE),0)</f>
        <v>10</v>
      </c>
      <c r="G10" s="713">
        <f>IFERROR(VLOOKUP($A10,年齢区分＿1年以上＿院内寛解[#All],2,FALSE),0)</f>
        <v>115</v>
      </c>
      <c r="H10" s="707">
        <f t="shared" si="1"/>
        <v>125</v>
      </c>
      <c r="I10" s="706">
        <f t="shared" si="2"/>
        <v>0.2181500872600349</v>
      </c>
      <c r="K10" s="55" t="s">
        <v>7</v>
      </c>
      <c r="L10" s="250">
        <v>1488</v>
      </c>
      <c r="M10" s="17"/>
      <c r="N10" s="55" t="s">
        <v>7</v>
      </c>
      <c r="O10" s="250">
        <v>10</v>
      </c>
      <c r="P10" s="55" t="s">
        <v>7</v>
      </c>
      <c r="Q10" s="250">
        <v>115</v>
      </c>
    </row>
    <row r="11" spans="1:17" x14ac:dyDescent="0.2">
      <c r="A11" s="704" t="s">
        <v>8</v>
      </c>
      <c r="B11" s="713">
        <f>IFERROR(VLOOKUP($A11,年齢区分＿1年以上[#All],2,FALSE),0)</f>
        <v>2029</v>
      </c>
      <c r="C11" s="706">
        <f t="shared" si="0"/>
        <v>0.26126706155034768</v>
      </c>
      <c r="D11" s="172"/>
      <c r="E11" s="704" t="s">
        <v>8</v>
      </c>
      <c r="F11" s="713">
        <f>IFERROR(VLOOKUP($A11,年齢区分＿1年以上＿寛解[#All],2,FALSE),0)</f>
        <v>22</v>
      </c>
      <c r="G11" s="713">
        <f>IFERROR(VLOOKUP($A11,年齢区分＿1年以上＿院内寛解[#All],2,FALSE),0)</f>
        <v>143</v>
      </c>
      <c r="H11" s="707">
        <f t="shared" si="1"/>
        <v>165</v>
      </c>
      <c r="I11" s="706">
        <f t="shared" si="2"/>
        <v>0.2879581151832461</v>
      </c>
      <c r="K11" s="55" t="s">
        <v>8</v>
      </c>
      <c r="L11" s="250">
        <v>2029</v>
      </c>
      <c r="M11" s="17"/>
      <c r="N11" s="55" t="s">
        <v>8</v>
      </c>
      <c r="O11" s="250">
        <v>22</v>
      </c>
      <c r="P11" s="55" t="s">
        <v>8</v>
      </c>
      <c r="Q11" s="250">
        <v>143</v>
      </c>
    </row>
    <row r="12" spans="1:17" x14ac:dyDescent="0.2">
      <c r="A12" s="704" t="s">
        <v>9</v>
      </c>
      <c r="B12" s="713">
        <f>IFERROR(VLOOKUP($A12,年齢区分＿1年以上[#All],2,FALSE),0)</f>
        <v>1709</v>
      </c>
      <c r="C12" s="706">
        <f t="shared" si="0"/>
        <v>0.22006180788050475</v>
      </c>
      <c r="D12" s="172"/>
      <c r="E12" s="704" t="s">
        <v>9</v>
      </c>
      <c r="F12" s="713">
        <f>IFERROR(VLOOKUP($A12,年齢区分＿1年以上＿寛解[#All],2,FALSE),0)</f>
        <v>14</v>
      </c>
      <c r="G12" s="713">
        <f>IFERROR(VLOOKUP($A12,年齢区分＿1年以上＿院内寛解[#All],2,FALSE),0)</f>
        <v>92</v>
      </c>
      <c r="H12" s="707">
        <f t="shared" si="1"/>
        <v>106</v>
      </c>
      <c r="I12" s="706">
        <f t="shared" si="2"/>
        <v>0.18499127399650961</v>
      </c>
      <c r="K12" s="55" t="s">
        <v>9</v>
      </c>
      <c r="L12" s="250">
        <v>1709</v>
      </c>
      <c r="M12" s="17"/>
      <c r="N12" s="55" t="s">
        <v>9</v>
      </c>
      <c r="O12" s="250">
        <v>14</v>
      </c>
      <c r="P12" s="55" t="s">
        <v>9</v>
      </c>
      <c r="Q12" s="250">
        <v>92</v>
      </c>
    </row>
    <row r="13" spans="1:17" x14ac:dyDescent="0.2">
      <c r="A13" s="704" t="s">
        <v>10</v>
      </c>
      <c r="B13" s="713">
        <f>IFERROR(VLOOKUP($A13,年齢区分＿1年以上[#All],2,FALSE),0)</f>
        <v>454</v>
      </c>
      <c r="C13" s="706">
        <f t="shared" si="0"/>
        <v>5.8459953644089624E-2</v>
      </c>
      <c r="D13" s="172"/>
      <c r="E13" s="704" t="s">
        <v>10</v>
      </c>
      <c r="F13" s="713">
        <f>IFERROR(VLOOKUP($A13,年齢区分＿1年以上＿寛解[#All],2,FALSE),0)</f>
        <v>1</v>
      </c>
      <c r="G13" s="713">
        <f>IFERROR(VLOOKUP($A13,年齢区分＿1年以上＿院内寛解[#All],2,FALSE),0)</f>
        <v>12</v>
      </c>
      <c r="H13" s="707">
        <f t="shared" si="1"/>
        <v>13</v>
      </c>
      <c r="I13" s="706">
        <f t="shared" si="2"/>
        <v>2.2687609075043629E-2</v>
      </c>
      <c r="K13" s="55" t="s">
        <v>10</v>
      </c>
      <c r="L13" s="250">
        <v>454</v>
      </c>
      <c r="M13" s="17"/>
      <c r="N13" s="55" t="s">
        <v>10</v>
      </c>
      <c r="O13" s="250">
        <v>1</v>
      </c>
      <c r="P13" s="55" t="s">
        <v>10</v>
      </c>
      <c r="Q13" s="250">
        <v>12</v>
      </c>
    </row>
    <row r="14" spans="1:17" ht="18" thickBot="1" x14ac:dyDescent="0.25">
      <c r="A14" s="740" t="s">
        <v>11</v>
      </c>
      <c r="B14" s="741">
        <f>SUM(B5:B13)</f>
        <v>7766</v>
      </c>
      <c r="C14" s="742">
        <f>SUM(C5:C13)</f>
        <v>1</v>
      </c>
      <c r="D14" s="172"/>
      <c r="E14" s="740" t="s">
        <v>11</v>
      </c>
      <c r="F14" s="741">
        <f>SUM(F5:F13)</f>
        <v>68</v>
      </c>
      <c r="G14" s="741">
        <f t="shared" ref="G14" si="3">SUM(G5:G13)</f>
        <v>505</v>
      </c>
      <c r="H14" s="741">
        <f>SUM(H5:H13)</f>
        <v>573</v>
      </c>
      <c r="I14" s="742">
        <f>SUM(I5:I13)</f>
        <v>1</v>
      </c>
      <c r="K14" s="15"/>
      <c r="L14" s="59"/>
      <c r="M14" s="17"/>
      <c r="N14" s="15"/>
      <c r="O14" s="59"/>
      <c r="P14" s="15"/>
      <c r="Q14" s="59"/>
    </row>
    <row r="15" spans="1:17" s="3" customFormat="1" ht="20.399999999999999" thickTop="1" thickBot="1" x14ac:dyDescent="0.25">
      <c r="A15" s="391" t="s">
        <v>92</v>
      </c>
      <c r="B15" s="711">
        <f>B14-B16</f>
        <v>2862</v>
      </c>
      <c r="C15" s="712">
        <f t="shared" ref="C15:C16" si="4">IFERROR(B15/B$14,"-")</f>
        <v>0.36852948750965747</v>
      </c>
      <c r="D15" s="173"/>
      <c r="E15" s="391" t="s">
        <v>92</v>
      </c>
      <c r="F15" s="711">
        <f t="shared" ref="F15:G15" si="5">F14-F16</f>
        <v>25</v>
      </c>
      <c r="G15" s="711">
        <f t="shared" si="5"/>
        <v>192</v>
      </c>
      <c r="H15" s="743">
        <f>SUM(F15:G15)</f>
        <v>217</v>
      </c>
      <c r="I15" s="712">
        <f t="shared" si="2"/>
        <v>0.37870855148342059</v>
      </c>
      <c r="K15" s="249" t="s">
        <v>89</v>
      </c>
      <c r="L15" s="345">
        <v>4904</v>
      </c>
      <c r="M15" s="9"/>
      <c r="N15" s="249" t="s">
        <v>89</v>
      </c>
      <c r="O15" s="345">
        <v>43</v>
      </c>
      <c r="P15" s="249" t="s">
        <v>89</v>
      </c>
      <c r="Q15" s="345">
        <v>313</v>
      </c>
    </row>
    <row r="16" spans="1:17" ht="18" thickTop="1" x14ac:dyDescent="0.2">
      <c r="A16" s="248" t="s">
        <v>91</v>
      </c>
      <c r="B16" s="711">
        <f>L15</f>
        <v>4904</v>
      </c>
      <c r="C16" s="712">
        <f t="shared" si="4"/>
        <v>0.63147051249034247</v>
      </c>
      <c r="D16" s="173"/>
      <c r="E16" s="248" t="s">
        <v>91</v>
      </c>
      <c r="F16" s="743">
        <f>O15</f>
        <v>43</v>
      </c>
      <c r="G16" s="743">
        <f>Q15</f>
        <v>313</v>
      </c>
      <c r="H16" s="743">
        <f>SUM(F16:G16)</f>
        <v>356</v>
      </c>
      <c r="I16" s="712">
        <f t="shared" si="2"/>
        <v>0.62129144851657936</v>
      </c>
      <c r="K16" s="21"/>
      <c r="L16" s="21"/>
      <c r="M16" s="21"/>
      <c r="N16" s="21"/>
    </row>
    <row r="17" spans="1:14" x14ac:dyDescent="0.2">
      <c r="K17" s="21"/>
      <c r="L17" s="21"/>
      <c r="M17" s="21"/>
      <c r="N17" s="21"/>
    </row>
    <row r="18" spans="1:14" ht="13.5" customHeight="1" x14ac:dyDescent="0.2">
      <c r="K18" s="45"/>
      <c r="L18" s="46"/>
      <c r="M18" s="46"/>
      <c r="N18" s="21"/>
    </row>
    <row r="19" spans="1:14" x14ac:dyDescent="0.2">
      <c r="K19" s="7"/>
      <c r="L19" s="8"/>
      <c r="M19" s="48"/>
      <c r="N19" s="21"/>
    </row>
    <row r="20" spans="1:14" x14ac:dyDescent="0.2">
      <c r="K20" s="7"/>
      <c r="L20" s="8"/>
      <c r="M20" s="48"/>
      <c r="N20" s="21"/>
    </row>
    <row r="21" spans="1:14" x14ac:dyDescent="0.2">
      <c r="K21" s="7"/>
      <c r="L21" s="8"/>
      <c r="M21" s="48"/>
      <c r="N21" s="21"/>
    </row>
    <row r="22" spans="1:14" x14ac:dyDescent="0.2">
      <c r="K22" s="7"/>
      <c r="L22" s="8"/>
      <c r="M22" s="48"/>
      <c r="N22" s="21"/>
    </row>
    <row r="23" spans="1:14" x14ac:dyDescent="0.2">
      <c r="K23" s="7"/>
      <c r="L23" s="8"/>
      <c r="M23" s="48"/>
      <c r="N23" s="21"/>
    </row>
    <row r="24" spans="1:14" x14ac:dyDescent="0.2">
      <c r="K24" s="7"/>
      <c r="L24" s="8"/>
      <c r="M24" s="48"/>
      <c r="N24" s="21"/>
    </row>
    <row r="25" spans="1:14" x14ac:dyDescent="0.2">
      <c r="K25" s="7"/>
      <c r="L25" s="8"/>
      <c r="M25" s="48"/>
      <c r="N25" s="21"/>
    </row>
    <row r="26" spans="1:14" x14ac:dyDescent="0.2">
      <c r="K26" s="7"/>
      <c r="L26" s="8"/>
      <c r="M26" s="48"/>
      <c r="N26" s="21"/>
    </row>
    <row r="27" spans="1:14" x14ac:dyDescent="0.2">
      <c r="B27" s="37"/>
      <c r="K27" s="7"/>
      <c r="L27" s="50"/>
      <c r="M27" s="51"/>
      <c r="N27" s="21"/>
    </row>
    <row r="28" spans="1:14" x14ac:dyDescent="0.2">
      <c r="K28" s="49"/>
      <c r="L28" s="50"/>
      <c r="M28" s="51"/>
      <c r="N28" s="21"/>
    </row>
    <row r="29" spans="1:14" x14ac:dyDescent="0.2">
      <c r="K29" s="21"/>
      <c r="L29" s="21"/>
      <c r="M29" s="21"/>
      <c r="N29" s="21"/>
    </row>
    <row r="30" spans="1:14" x14ac:dyDescent="0.2">
      <c r="K30" s="7"/>
      <c r="L30" s="21"/>
      <c r="M30" s="21"/>
      <c r="N30" s="21"/>
    </row>
    <row r="31" spans="1:14" x14ac:dyDescent="0.2">
      <c r="A31" s="37"/>
      <c r="B31" s="22"/>
      <c r="K31" s="45"/>
      <c r="L31" s="46"/>
      <c r="M31" s="46"/>
      <c r="N31" s="21"/>
    </row>
    <row r="32" spans="1:14" x14ac:dyDescent="0.2">
      <c r="A32" s="37"/>
      <c r="B32" s="22"/>
      <c r="K32" s="7"/>
      <c r="L32" s="8"/>
      <c r="M32" s="48"/>
      <c r="N32" s="21"/>
    </row>
    <row r="33" spans="1:14" x14ac:dyDescent="0.2">
      <c r="A33" s="37"/>
      <c r="B33" s="22"/>
      <c r="K33" s="7"/>
      <c r="L33" s="8"/>
      <c r="M33" s="48"/>
      <c r="N33" s="21"/>
    </row>
    <row r="34" spans="1:14" x14ac:dyDescent="0.2">
      <c r="K34" s="7"/>
      <c r="L34" s="8"/>
      <c r="M34" s="48"/>
      <c r="N34" s="21"/>
    </row>
    <row r="35" spans="1:14" x14ac:dyDescent="0.2">
      <c r="K35" s="7"/>
      <c r="L35" s="8"/>
      <c r="M35" s="48"/>
      <c r="N35" s="21"/>
    </row>
    <row r="36" spans="1:14" x14ac:dyDescent="0.2">
      <c r="K36" s="7"/>
      <c r="L36" s="8"/>
      <c r="M36" s="48"/>
      <c r="N36" s="21"/>
    </row>
    <row r="37" spans="1:14" x14ac:dyDescent="0.2">
      <c r="K37" s="7"/>
      <c r="L37" s="8"/>
      <c r="M37" s="48"/>
      <c r="N37" s="21"/>
    </row>
    <row r="38" spans="1:14" x14ac:dyDescent="0.2">
      <c r="K38" s="7"/>
      <c r="L38" s="8"/>
      <c r="M38" s="48"/>
      <c r="N38" s="21"/>
    </row>
    <row r="39" spans="1:14" x14ac:dyDescent="0.2">
      <c r="K39" s="7"/>
      <c r="L39" s="8"/>
      <c r="M39" s="48"/>
      <c r="N39" s="21"/>
    </row>
    <row r="40" spans="1:14" x14ac:dyDescent="0.2">
      <c r="K40" s="7"/>
      <c r="L40" s="8"/>
      <c r="M40" s="48"/>
      <c r="N40" s="21"/>
    </row>
    <row r="41" spans="1:14" x14ac:dyDescent="0.2">
      <c r="K41" s="49"/>
      <c r="L41" s="50"/>
      <c r="M41" s="51"/>
      <c r="N41" s="21"/>
    </row>
    <row r="42" spans="1:14" x14ac:dyDescent="0.2">
      <c r="K42" s="21"/>
      <c r="L42" s="21"/>
      <c r="M42" s="21"/>
      <c r="N42" s="21"/>
    </row>
    <row r="43" spans="1:14" x14ac:dyDescent="0.2">
      <c r="K43" s="21"/>
      <c r="L43" s="21"/>
      <c r="M43" s="21"/>
      <c r="N43" s="21"/>
    </row>
    <row r="44" spans="1:14" x14ac:dyDescent="0.2">
      <c r="K44" s="21"/>
      <c r="L44" s="21"/>
      <c r="M44" s="21"/>
      <c r="N44" s="21"/>
    </row>
    <row r="45" spans="1:14" x14ac:dyDescent="0.2">
      <c r="K45" s="21"/>
      <c r="L45" s="21"/>
      <c r="M45" s="21"/>
      <c r="N45" s="21"/>
    </row>
    <row r="46" spans="1:14" x14ac:dyDescent="0.2">
      <c r="K46" s="21"/>
      <c r="L46" s="21"/>
      <c r="M46" s="21"/>
      <c r="N46" s="21"/>
    </row>
    <row r="47" spans="1:14" x14ac:dyDescent="0.2">
      <c r="K47" s="21"/>
      <c r="L47" s="21"/>
      <c r="M47" s="21"/>
      <c r="N47" s="21"/>
    </row>
    <row r="48" spans="1:14" x14ac:dyDescent="0.2">
      <c r="K48" s="21"/>
      <c r="L48" s="21"/>
      <c r="M48" s="21"/>
      <c r="N48" s="21"/>
    </row>
    <row r="49" spans="11:14" x14ac:dyDescent="0.2">
      <c r="K49" s="21"/>
      <c r="L49" s="21"/>
      <c r="M49" s="21"/>
      <c r="N49" s="21"/>
    </row>
    <row r="50" spans="11:14" x14ac:dyDescent="0.2">
      <c r="K50" s="21"/>
      <c r="L50" s="21"/>
      <c r="M50" s="21"/>
      <c r="N50" s="21"/>
    </row>
    <row r="51" spans="11:14" x14ac:dyDescent="0.2">
      <c r="K51" s="21"/>
      <c r="L51" s="21"/>
      <c r="M51" s="21"/>
      <c r="N51" s="21"/>
    </row>
    <row r="52" spans="11:14" x14ac:dyDescent="0.2">
      <c r="K52" s="21"/>
      <c r="L52" s="21"/>
      <c r="M52" s="21"/>
      <c r="N52" s="21"/>
    </row>
    <row r="53" spans="11:14" x14ac:dyDescent="0.2">
      <c r="K53" s="21"/>
      <c r="L53" s="21"/>
      <c r="M53" s="21"/>
      <c r="N53" s="21"/>
    </row>
    <row r="54" spans="11:14" x14ac:dyDescent="0.2">
      <c r="K54" s="21"/>
      <c r="L54" s="21"/>
      <c r="M54" s="21"/>
      <c r="N54" s="21"/>
    </row>
  </sheetData>
  <phoneticPr fontId="2"/>
  <pageMargins left="0.70866141732283472" right="0.70866141732283472" top="0.74803149606299213" bottom="0.74803149606299213" header="0.31496062992125984" footer="0.31496062992125984"/>
  <pageSetup paperSize="11" scale="98" orientation="landscape" r:id="rId1"/>
  <drawing r:id="rId2"/>
  <mc:AlternateContent xmlns:mc="http://schemas.openxmlformats.org/markup-compatibility/2006">
    <mc:Choice Requires="v">
      <legacyDrawing r:id="rId3"/>
    </mc:Choice>
  </mc:AlternateContent>
  <controls>
    <control shapeId="23553" r:id="rId4" name="Button 1">
      <controlPr defaultSize="0" print="0" autoFill="0" autoPict="0" macro="[0]!データ削除_年齢区分_1年以上">
        <anchor moveWithCells="1" sizeWithCells="1">
          <from>
            <xdr:col>17</xdr:col>
            <xdr:colOff>708660</xdr:colOff>
            <xdr:row>3</xdr:row>
            <xdr:rowOff>76200</xdr:rowOff>
          </from>
          <to>
            <xdr:col>19</xdr:col>
            <xdr:colOff>160020</xdr:colOff>
            <xdr:row>5</xdr:row>
            <xdr:rowOff>114300</xdr:rowOff>
          </to>
        </anchor>
      </controlPr>
    </control>
  </controls>
  <tableParts count="3">
    <tablePart r:id="rId5"/>
    <tablePart r:id="rId6"/>
    <tablePart r:id="rId7"/>
  </tableParts>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B0F0"/>
    <pageSetUpPr fitToPage="1"/>
  </sheetPr>
  <dimension ref="A1:L40"/>
  <sheetViews>
    <sheetView showGridLines="0" view="pageBreakPreview" zoomScale="80" zoomScaleNormal="100" zoomScaleSheetLayoutView="80" workbookViewId="0"/>
  </sheetViews>
  <sheetFormatPr defaultColWidth="9" defaultRowHeight="17.399999999999999" x14ac:dyDescent="0.2"/>
  <cols>
    <col min="1" max="1" width="22.109375" style="1" customWidth="1"/>
    <col min="2" max="2" width="9.33203125" style="1" customWidth="1"/>
    <col min="3" max="3" width="10.5546875" style="1" bestFit="1" customWidth="1"/>
    <col min="4" max="4" width="9.33203125" style="1" customWidth="1"/>
    <col min="5" max="5" width="10.5546875" style="1" bestFit="1" customWidth="1"/>
    <col min="6" max="6" width="5.88671875" style="1" bestFit="1" customWidth="1"/>
    <col min="7" max="7" width="20.77734375" style="1" hidden="1" customWidth="1"/>
    <col min="8" max="8" width="9.33203125" style="1" hidden="1" customWidth="1"/>
    <col min="9" max="9" width="9.109375" style="1" hidden="1" customWidth="1"/>
    <col min="10" max="10" width="20.6640625" style="1" hidden="1" customWidth="1"/>
    <col min="11" max="11" width="9.33203125" style="1" hidden="1" customWidth="1"/>
    <col min="12" max="12" width="6.6640625" style="1" hidden="1" customWidth="1"/>
    <col min="13" max="13" width="7.33203125" style="1" customWidth="1"/>
    <col min="14" max="14" width="5" style="1" customWidth="1"/>
    <col min="15" max="15" width="6.6640625" style="1" customWidth="1"/>
    <col min="16" max="16" width="7.33203125" style="1" customWidth="1"/>
    <col min="17" max="16384" width="9" style="1"/>
  </cols>
  <sheetData>
    <row r="1" spans="1:11" s="3" customFormat="1" ht="19.2" x14ac:dyDescent="0.2">
      <c r="A1" s="2" t="s">
        <v>149</v>
      </c>
    </row>
    <row r="2" spans="1:11" x14ac:dyDescent="0.2">
      <c r="A2" s="4"/>
      <c r="G2" s="55" t="s">
        <v>63</v>
      </c>
    </row>
    <row r="3" spans="1:11" s="3" customFormat="1" ht="19.8" thickBot="1" x14ac:dyDescent="0.25">
      <c r="A3" s="4" t="s">
        <v>13</v>
      </c>
      <c r="G3" s="257" t="s">
        <v>281</v>
      </c>
      <c r="H3" s="339" t="s">
        <v>0</v>
      </c>
      <c r="I3" s="1"/>
      <c r="J3" s="1"/>
    </row>
    <row r="4" spans="1:11" ht="18.600000000000001" thickTop="1" thickBot="1" x14ac:dyDescent="0.25">
      <c r="A4" s="738"/>
      <c r="B4" s="738" t="s">
        <v>0</v>
      </c>
      <c r="C4" s="738" t="s">
        <v>1</v>
      </c>
      <c r="G4" s="290" t="s">
        <v>372</v>
      </c>
      <c r="H4" s="106" t="s">
        <v>611</v>
      </c>
      <c r="J4" s="36"/>
    </row>
    <row r="5" spans="1:11" ht="18" thickTop="1" x14ac:dyDescent="0.2">
      <c r="A5" s="704" t="s">
        <v>14</v>
      </c>
      <c r="B5" s="713">
        <f>IFERROR(VLOOKUP("措置入院",入院形態＿1年以上[#All],2,FALSE),0)+IFERROR(VLOOKUP("緊急措置入院",入院形態＿1年以上[#All],2,FALSE),0)</f>
        <v>1</v>
      </c>
      <c r="C5" s="706">
        <f>IFERROR(B5/B$10,"-")</f>
        <v>1.2876641771825909E-4</v>
      </c>
      <c r="G5" s="39" t="s">
        <v>16</v>
      </c>
      <c r="H5" s="40">
        <v>3735</v>
      </c>
      <c r="J5" s="41"/>
    </row>
    <row r="6" spans="1:11" x14ac:dyDescent="0.2">
      <c r="A6" s="704" t="s">
        <v>15</v>
      </c>
      <c r="B6" s="713">
        <f>IFERROR(VLOOKUP(A6,入院形態＿1年以上[#All],2,FALSE),0)</f>
        <v>4009</v>
      </c>
      <c r="C6" s="706">
        <f t="shared" ref="C6:C9" si="0">IFERROR(B6/B$10,"-")</f>
        <v>0.51622456863250066</v>
      </c>
      <c r="G6" s="39" t="s">
        <v>612</v>
      </c>
      <c r="H6" s="40">
        <v>1</v>
      </c>
      <c r="J6" s="41"/>
    </row>
    <row r="7" spans="1:11" x14ac:dyDescent="0.2">
      <c r="A7" s="704" t="s">
        <v>16</v>
      </c>
      <c r="B7" s="713">
        <f>IFERROR(VLOOKUP(A7,入院形態＿1年以上[#All],2,FALSE),0)</f>
        <v>3735</v>
      </c>
      <c r="C7" s="706">
        <f t="shared" si="0"/>
        <v>0.48094257017769765</v>
      </c>
      <c r="G7" s="39" t="s">
        <v>613</v>
      </c>
      <c r="H7" s="40">
        <v>0</v>
      </c>
      <c r="J7" s="41"/>
    </row>
    <row r="8" spans="1:11" x14ac:dyDescent="0.2">
      <c r="A8" s="704" t="s">
        <v>17</v>
      </c>
      <c r="B8" s="713">
        <f>IFERROR(VLOOKUP(A8,入院形態＿1年以上[#All],2,FALSE),0)</f>
        <v>0</v>
      </c>
      <c r="C8" s="706">
        <f t="shared" si="0"/>
        <v>0</v>
      </c>
      <c r="G8" s="39" t="s">
        <v>17</v>
      </c>
      <c r="H8" s="40">
        <v>0</v>
      </c>
      <c r="J8" s="41"/>
    </row>
    <row r="9" spans="1:11" x14ac:dyDescent="0.2">
      <c r="A9" s="704" t="s">
        <v>18</v>
      </c>
      <c r="B9" s="713">
        <f>IFERROR(VLOOKUP("鑑定入院",入院形態＿1年以上[#All],2,FALSE),0)+IFERROR(VLOOKUP("医療観察法による入院",入院形態＿1年以上[#All],2,FALSE),0)+IFERROR(VLOOKUP("不明",入院形態＿1年以上[#All],2,FALSE),0)</f>
        <v>21</v>
      </c>
      <c r="C9" s="706">
        <f t="shared" si="0"/>
        <v>2.7040947720834408E-3</v>
      </c>
      <c r="G9" s="39" t="s">
        <v>15</v>
      </c>
      <c r="H9" s="40">
        <v>4009</v>
      </c>
    </row>
    <row r="10" spans="1:11" x14ac:dyDescent="0.2">
      <c r="A10" s="740" t="s">
        <v>11</v>
      </c>
      <c r="B10" s="741">
        <f>SUM(B5:B9)</f>
        <v>7766</v>
      </c>
      <c r="C10" s="742">
        <f>SUM(C5:C9)</f>
        <v>1</v>
      </c>
      <c r="G10" s="42" t="s">
        <v>614</v>
      </c>
      <c r="H10" s="40">
        <v>21</v>
      </c>
    </row>
    <row r="11" spans="1:11" x14ac:dyDescent="0.2">
      <c r="A11" s="37"/>
      <c r="B11" s="43"/>
      <c r="C11" s="44"/>
      <c r="G11" s="42" t="s">
        <v>373</v>
      </c>
      <c r="H11" s="40">
        <v>0</v>
      </c>
    </row>
    <row r="12" spans="1:11" x14ac:dyDescent="0.2">
      <c r="A12" s="37"/>
      <c r="B12" s="43"/>
      <c r="C12" s="44"/>
      <c r="G12" s="39" t="s">
        <v>374</v>
      </c>
      <c r="H12" s="40">
        <v>0</v>
      </c>
    </row>
    <row r="13" spans="1:11" x14ac:dyDescent="0.2">
      <c r="A13" s="37"/>
      <c r="B13" s="43"/>
      <c r="C13" s="44"/>
      <c r="G13" s="42"/>
      <c r="H13" s="256"/>
    </row>
    <row r="14" spans="1:11" s="3" customFormat="1" ht="19.2" x14ac:dyDescent="0.2">
      <c r="A14" s="4" t="s">
        <v>150</v>
      </c>
      <c r="G14" s="42"/>
      <c r="H14" s="256"/>
      <c r="I14" s="1"/>
      <c r="J14" s="1"/>
      <c r="K14" s="1"/>
    </row>
    <row r="15" spans="1:11" ht="18" thickBot="1" x14ac:dyDescent="0.25">
      <c r="A15" s="738"/>
      <c r="B15" s="738" t="s">
        <v>151</v>
      </c>
      <c r="C15" s="738" t="s">
        <v>152</v>
      </c>
      <c r="D15" s="738" t="s">
        <v>12</v>
      </c>
      <c r="E15" s="738" t="s">
        <v>1</v>
      </c>
      <c r="G15" s="341" t="s">
        <v>281</v>
      </c>
      <c r="H15" s="339" t="s">
        <v>28</v>
      </c>
      <c r="J15" s="341" t="s">
        <v>281</v>
      </c>
      <c r="K15" s="339" t="s">
        <v>282</v>
      </c>
    </row>
    <row r="16" spans="1:11" ht="20.399999999999999" thickTop="1" thickBot="1" x14ac:dyDescent="0.25">
      <c r="A16" s="704" t="s">
        <v>14</v>
      </c>
      <c r="B16" s="707">
        <f>IFERROR(VLOOKUP("措置入院",入院形態＿1年以上＿寛解[#All],2,FALSE),0)+IFERROR(VLOOKUP("緊急措置入院",入院形態＿1年以上＿寛解[#All],2,FALSE),0)</f>
        <v>0</v>
      </c>
      <c r="C16" s="707">
        <f>IFERROR(VLOOKUP("措置入院",入院形態＿1年以上＿院内寛解[#All],2,FALSE),0)+IFERROR(VLOOKUP("緊急措置入院",入院形態＿1年以上＿院内寛解[#All],2,FALSE),0)</f>
        <v>0</v>
      </c>
      <c r="D16" s="707">
        <f>SUM(B16:C16)</f>
        <v>0</v>
      </c>
      <c r="E16" s="706">
        <f>IFERROR(D16/D$21,"-")</f>
        <v>0</v>
      </c>
      <c r="G16" s="290" t="s">
        <v>372</v>
      </c>
      <c r="H16" s="106" t="s">
        <v>611</v>
      </c>
      <c r="I16" s="3"/>
      <c r="J16" s="290" t="s">
        <v>372</v>
      </c>
      <c r="K16" s="106" t="s">
        <v>611</v>
      </c>
    </row>
    <row r="17" spans="1:11" ht="18" thickTop="1" x14ac:dyDescent="0.2">
      <c r="A17" s="704" t="s">
        <v>15</v>
      </c>
      <c r="B17" s="707">
        <f>IFERROR(VLOOKUP($A17,入院形態＿1年以上＿寛解[#All],2,FALSE),0)</f>
        <v>20</v>
      </c>
      <c r="C17" s="707">
        <f>IFERROR(VLOOKUP($A17,入院形態＿1年以上＿院内寛解[#All],2,FALSE),0)</f>
        <v>112</v>
      </c>
      <c r="D17" s="707">
        <f t="shared" ref="D17:D20" si="1">SUM(B17:C17)</f>
        <v>132</v>
      </c>
      <c r="E17" s="706">
        <f t="shared" ref="E17:E20" si="2">IFERROR(D17/D$21,"-")</f>
        <v>0.23036649214659685</v>
      </c>
      <c r="G17" s="39" t="s">
        <v>16</v>
      </c>
      <c r="H17" s="40">
        <v>48</v>
      </c>
      <c r="J17" s="39" t="s">
        <v>16</v>
      </c>
      <c r="K17" s="40">
        <v>392</v>
      </c>
    </row>
    <row r="18" spans="1:11" x14ac:dyDescent="0.2">
      <c r="A18" s="704" t="s">
        <v>16</v>
      </c>
      <c r="B18" s="707">
        <f>IFERROR(VLOOKUP($A18,入院形態＿1年以上＿寛解[#All],2,FALSE),0)</f>
        <v>48</v>
      </c>
      <c r="C18" s="707">
        <f>IFERROR(VLOOKUP($A18,入院形態＿1年以上＿院内寛解[#All],2,FALSE),0)</f>
        <v>392</v>
      </c>
      <c r="D18" s="707">
        <f t="shared" si="1"/>
        <v>440</v>
      </c>
      <c r="E18" s="706">
        <f t="shared" si="2"/>
        <v>0.76788830715532286</v>
      </c>
      <c r="G18" s="39" t="s">
        <v>612</v>
      </c>
      <c r="H18" s="47">
        <v>0</v>
      </c>
      <c r="I18" s="21"/>
      <c r="J18" s="39" t="s">
        <v>612</v>
      </c>
      <c r="K18" s="47">
        <v>0</v>
      </c>
    </row>
    <row r="19" spans="1:11" x14ac:dyDescent="0.2">
      <c r="A19" s="704" t="s">
        <v>17</v>
      </c>
      <c r="B19" s="707">
        <f>IFERROR(VLOOKUP($A19,入院形態＿1年以上＿寛解[#All],2,FALSE),0)</f>
        <v>0</v>
      </c>
      <c r="C19" s="707">
        <f>IFERROR(VLOOKUP($A19,入院形態＿1年以上＿院内寛解[#All],2,FALSE),0)</f>
        <v>0</v>
      </c>
      <c r="D19" s="707">
        <f t="shared" si="1"/>
        <v>0</v>
      </c>
      <c r="E19" s="706">
        <f t="shared" si="2"/>
        <v>0</v>
      </c>
      <c r="G19" s="39" t="s">
        <v>613</v>
      </c>
      <c r="H19" s="47">
        <v>0</v>
      </c>
      <c r="I19" s="21"/>
      <c r="J19" s="39" t="s">
        <v>613</v>
      </c>
      <c r="K19" s="47">
        <v>0</v>
      </c>
    </row>
    <row r="20" spans="1:11" x14ac:dyDescent="0.2">
      <c r="A20" s="704" t="s">
        <v>18</v>
      </c>
      <c r="B20" s="707">
        <f>IFERROR(VLOOKUP("鑑定入院",入院形態＿1年以上＿寛解[#All],2,FALSE),0)+IFERROR(VLOOKUP("医療観察法による入院",入院形態＿1年以上＿寛解[#All],2,FALSE),0)+IFERROR(VLOOKUP("不明",入院形態＿1年以上＿寛解[#All],2,FALSE),0)</f>
        <v>0</v>
      </c>
      <c r="C20" s="707">
        <f>IFERROR(VLOOKUP("鑑定入院",入院形態＿1年以上＿院内寛解[#All],2,FALSE),0)+IFERROR(VLOOKUP("医療観察法による入院",入院形態＿1年以上＿院内寛解[#All],2,FALSE),0)+IFERROR(VLOOKUP("不明",入院形態＿1年以上＿院内寛解[#All],2,FALSE),0)+IFERROR(VLOOKUP("不明",入院形態＿1年以上＿院内寛解[#All],2,FALSE),0)</f>
        <v>1</v>
      </c>
      <c r="D20" s="707">
        <f t="shared" si="1"/>
        <v>1</v>
      </c>
      <c r="E20" s="706">
        <f t="shared" si="2"/>
        <v>1.7452006980802793E-3</v>
      </c>
      <c r="G20" s="39" t="s">
        <v>17</v>
      </c>
      <c r="H20" s="47">
        <v>0</v>
      </c>
      <c r="I20" s="21"/>
      <c r="J20" s="39" t="s">
        <v>17</v>
      </c>
      <c r="K20" s="47">
        <v>0</v>
      </c>
    </row>
    <row r="21" spans="1:11" x14ac:dyDescent="0.2">
      <c r="A21" s="740" t="s">
        <v>11</v>
      </c>
      <c r="B21" s="741">
        <f>SUM(B16:B20)</f>
        <v>68</v>
      </c>
      <c r="C21" s="741">
        <f>SUM(C16:C20)</f>
        <v>505</v>
      </c>
      <c r="D21" s="741">
        <f>SUM(D16:D20)</f>
        <v>573</v>
      </c>
      <c r="E21" s="742">
        <f>SUM(E16:E20)</f>
        <v>1</v>
      </c>
      <c r="G21" s="39" t="s">
        <v>15</v>
      </c>
      <c r="H21" s="47">
        <v>20</v>
      </c>
      <c r="I21" s="21"/>
      <c r="J21" s="39" t="s">
        <v>15</v>
      </c>
      <c r="K21" s="47">
        <v>112</v>
      </c>
    </row>
    <row r="22" spans="1:11" x14ac:dyDescent="0.2">
      <c r="G22" s="42" t="s">
        <v>614</v>
      </c>
      <c r="H22" s="47">
        <v>0</v>
      </c>
      <c r="J22" s="42" t="s">
        <v>614</v>
      </c>
      <c r="K22" s="47">
        <v>1</v>
      </c>
    </row>
    <row r="23" spans="1:11" x14ac:dyDescent="0.2">
      <c r="G23" s="42" t="s">
        <v>373</v>
      </c>
      <c r="H23" s="47">
        <v>0</v>
      </c>
      <c r="J23" s="42" t="s">
        <v>373</v>
      </c>
      <c r="K23" s="47">
        <v>0</v>
      </c>
    </row>
    <row r="24" spans="1:11" x14ac:dyDescent="0.2">
      <c r="G24" s="39" t="s">
        <v>374</v>
      </c>
      <c r="H24" s="47">
        <v>0</v>
      </c>
      <c r="J24" s="39" t="s">
        <v>374</v>
      </c>
      <c r="K24" s="47">
        <v>0</v>
      </c>
    </row>
    <row r="25" spans="1:11" x14ac:dyDescent="0.2">
      <c r="G25" s="21"/>
      <c r="H25" s="21"/>
      <c r="I25" s="21"/>
      <c r="J25" s="21"/>
    </row>
    <row r="26" spans="1:11" x14ac:dyDescent="0.2">
      <c r="G26" s="21"/>
      <c r="H26" s="21"/>
      <c r="I26" s="21"/>
      <c r="J26" s="21"/>
    </row>
    <row r="27" spans="1:11" x14ac:dyDescent="0.2">
      <c r="G27" s="21"/>
      <c r="H27" s="21"/>
      <c r="I27" s="21"/>
      <c r="J27" s="21"/>
    </row>
    <row r="28" spans="1:11" x14ac:dyDescent="0.2">
      <c r="G28" s="21"/>
      <c r="H28" s="21"/>
      <c r="I28" s="21"/>
      <c r="J28" s="21"/>
    </row>
    <row r="29" spans="1:11" x14ac:dyDescent="0.2">
      <c r="G29" s="21"/>
      <c r="H29" s="21"/>
      <c r="I29" s="21"/>
      <c r="J29" s="21"/>
    </row>
    <row r="30" spans="1:11" x14ac:dyDescent="0.2">
      <c r="G30" s="21"/>
      <c r="H30" s="21"/>
      <c r="I30" s="21"/>
      <c r="J30" s="21"/>
    </row>
    <row r="31" spans="1:11" x14ac:dyDescent="0.2">
      <c r="G31" s="21"/>
      <c r="H31" s="21"/>
      <c r="I31" s="21"/>
      <c r="J31" s="21"/>
    </row>
    <row r="32" spans="1:11" x14ac:dyDescent="0.2">
      <c r="G32" s="21"/>
      <c r="H32" s="21"/>
      <c r="I32" s="21"/>
      <c r="J32" s="21"/>
    </row>
    <row r="33" spans="7:10" x14ac:dyDescent="0.2">
      <c r="G33" s="21"/>
      <c r="H33" s="21"/>
      <c r="I33" s="21"/>
      <c r="J33" s="21"/>
    </row>
    <row r="34" spans="7:10" x14ac:dyDescent="0.2">
      <c r="G34" s="21"/>
      <c r="H34" s="21"/>
      <c r="I34" s="21"/>
      <c r="J34" s="21"/>
    </row>
    <row r="35" spans="7:10" x14ac:dyDescent="0.2">
      <c r="G35" s="21"/>
      <c r="H35" s="21"/>
      <c r="I35" s="21"/>
      <c r="J35" s="21"/>
    </row>
    <row r="36" spans="7:10" x14ac:dyDescent="0.2">
      <c r="G36" s="21"/>
      <c r="H36" s="21"/>
      <c r="I36" s="21"/>
      <c r="J36" s="21"/>
    </row>
    <row r="37" spans="7:10" x14ac:dyDescent="0.2">
      <c r="G37" s="21"/>
      <c r="H37" s="21"/>
      <c r="I37" s="21"/>
      <c r="J37" s="21"/>
    </row>
    <row r="38" spans="7:10" x14ac:dyDescent="0.2">
      <c r="G38" s="21"/>
      <c r="H38" s="21"/>
      <c r="I38" s="21"/>
      <c r="J38" s="21"/>
    </row>
    <row r="39" spans="7:10" x14ac:dyDescent="0.2">
      <c r="G39" s="21"/>
      <c r="H39" s="21"/>
      <c r="I39" s="21"/>
      <c r="J39" s="21"/>
    </row>
    <row r="40" spans="7:10" x14ac:dyDescent="0.2">
      <c r="G40" s="21"/>
      <c r="H40" s="21"/>
      <c r="I40" s="21"/>
      <c r="J40" s="21"/>
    </row>
  </sheetData>
  <phoneticPr fontId="2"/>
  <pageMargins left="0.70866141732283472" right="0.70866141732283472" top="0.74803149606299213" bottom="0.74803149606299213" header="0.31496062992125984" footer="0.31496062992125984"/>
  <pageSetup paperSize="11" scale="88" orientation="landscape" r:id="rId1"/>
  <drawing r:id="rId2"/>
  <mc:AlternateContent xmlns:mc="http://schemas.openxmlformats.org/markup-compatibility/2006">
    <mc:Choice Requires="v">
      <legacyDrawing r:id="rId3"/>
    </mc:Choice>
  </mc:AlternateContent>
  <controls>
    <control shapeId="24577" r:id="rId4" name="Button 1">
      <controlPr defaultSize="0" print="0" autoFill="0" autoPict="0" macro="[0]!データ削除_入院形態_1年以上">
        <anchor moveWithCells="1" sizeWithCells="1">
          <from>
            <xdr:col>9</xdr:col>
            <xdr:colOff>883920</xdr:colOff>
            <xdr:row>3</xdr:row>
            <xdr:rowOff>45720</xdr:rowOff>
          </from>
          <to>
            <xdr:col>11</xdr:col>
            <xdr:colOff>342900</xdr:colOff>
            <xdr:row>5</xdr:row>
            <xdr:rowOff>99060</xdr:rowOff>
          </to>
        </anchor>
      </controlPr>
    </control>
  </controls>
  <tableParts count="3">
    <tablePart r:id="rId5"/>
    <tablePart r:id="rId6"/>
    <tablePart r:id="rId7"/>
  </tablePart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47</vt:i4>
      </vt:variant>
    </vt:vector>
  </HeadingPairs>
  <TitlesOfParts>
    <vt:vector size="94" baseType="lpstr">
      <vt:lpstr>巻末資料表紙</vt:lpstr>
      <vt:lpstr>2-Ⅰ</vt:lpstr>
      <vt:lpstr>２-Ⅱ</vt:lpstr>
      <vt:lpstr>２-Ⅲ</vt:lpstr>
      <vt:lpstr>２-Ⅳ</vt:lpstr>
      <vt:lpstr>２-Ⅴ</vt:lpstr>
      <vt:lpstr>２-Ⅵ</vt:lpstr>
      <vt:lpstr>３-Ⅰ</vt:lpstr>
      <vt:lpstr>３-Ⅱ</vt:lpstr>
      <vt:lpstr>３-Ⅲ</vt:lpstr>
      <vt:lpstr>３-Ⅳ</vt:lpstr>
      <vt:lpstr>３-Ⅴ</vt:lpstr>
      <vt:lpstr>４-Ⅰ</vt:lpstr>
      <vt:lpstr>４-Ⅱ</vt:lpstr>
      <vt:lpstr>４-Ⅲ</vt:lpstr>
      <vt:lpstr>４-Ⅳ</vt:lpstr>
      <vt:lpstr>４-Ⅴ</vt:lpstr>
      <vt:lpstr>４-Ⅵ</vt:lpstr>
      <vt:lpstr>5-Ⅰ①</vt:lpstr>
      <vt:lpstr>５-Ⅰ②</vt:lpstr>
      <vt:lpstr>５-Ⅰ③</vt:lpstr>
      <vt:lpstr>５-Ⅱ①</vt:lpstr>
      <vt:lpstr>５-Ⅱ②</vt:lpstr>
      <vt:lpstr>５-Ⅱ③</vt:lpstr>
      <vt:lpstr>５-Ⅱ④</vt:lpstr>
      <vt:lpstr>6-Ⅰ①</vt:lpstr>
      <vt:lpstr>6-Ⅰ②</vt:lpstr>
      <vt:lpstr>6-Ⅰ③</vt:lpstr>
      <vt:lpstr>6-Ⅰ④ </vt:lpstr>
      <vt:lpstr>6-Ⅰ⑤</vt:lpstr>
      <vt:lpstr>6-Ⅰ⑥ </vt:lpstr>
      <vt:lpstr>6-Ⅱ①</vt:lpstr>
      <vt:lpstr>6-Ⅱ②</vt:lpstr>
      <vt:lpstr>6-Ⅱ③</vt:lpstr>
      <vt:lpstr>6-Ⅱ④</vt:lpstr>
      <vt:lpstr>6-Ⅱ⑤</vt:lpstr>
      <vt:lpstr>6-Ⅱ⑥</vt:lpstr>
      <vt:lpstr>6-Ⅲ</vt:lpstr>
      <vt:lpstr>6-Ⅳ</vt:lpstr>
      <vt:lpstr>一覧表</vt:lpstr>
      <vt:lpstr>グラフ(年齢区分）</vt:lpstr>
      <vt:lpstr>グラフ(疾患名)</vt:lpstr>
      <vt:lpstr>グラフ(在院期間) </vt:lpstr>
      <vt:lpstr>グラフ(在院期間)  (2)</vt:lpstr>
      <vt:lpstr>グラフ(退院阻害要因＿１) </vt:lpstr>
      <vt:lpstr>グラフ(退院阻害要因＿２）</vt:lpstr>
      <vt:lpstr>グラフ(退院阻害要因＿２(寛解・院内寛解)</vt:lpstr>
      <vt:lpstr>'2-Ⅰ'!Print_Area</vt:lpstr>
      <vt:lpstr>'２-Ⅱ'!Print_Area</vt:lpstr>
      <vt:lpstr>'２-Ⅲ'!Print_Area</vt:lpstr>
      <vt:lpstr>'２-Ⅳ'!Print_Area</vt:lpstr>
      <vt:lpstr>'２-Ⅴ'!Print_Area</vt:lpstr>
      <vt:lpstr>'２-Ⅵ'!Print_Area</vt:lpstr>
      <vt:lpstr>'３-Ⅰ'!Print_Area</vt:lpstr>
      <vt:lpstr>'３-Ⅱ'!Print_Area</vt:lpstr>
      <vt:lpstr>'３-Ⅲ'!Print_Area</vt:lpstr>
      <vt:lpstr>'３-Ⅳ'!Print_Area</vt:lpstr>
      <vt:lpstr>'３-Ⅴ'!Print_Area</vt:lpstr>
      <vt:lpstr>'４-Ⅰ'!Print_Area</vt:lpstr>
      <vt:lpstr>'４-Ⅱ'!Print_Area</vt:lpstr>
      <vt:lpstr>'４-Ⅲ'!Print_Area</vt:lpstr>
      <vt:lpstr>'４-Ⅳ'!Print_Area</vt:lpstr>
      <vt:lpstr>'４-Ⅴ'!Print_Area</vt:lpstr>
      <vt:lpstr>'４-Ⅵ'!Print_Area</vt:lpstr>
      <vt:lpstr>'5-Ⅰ①'!Print_Area</vt:lpstr>
      <vt:lpstr>'５-Ⅰ②'!Print_Area</vt:lpstr>
      <vt:lpstr>'５-Ⅰ③'!Print_Area</vt:lpstr>
      <vt:lpstr>'５-Ⅱ①'!Print_Area</vt:lpstr>
      <vt:lpstr>'５-Ⅱ②'!Print_Area</vt:lpstr>
      <vt:lpstr>'５-Ⅱ③'!Print_Area</vt:lpstr>
      <vt:lpstr>'５-Ⅱ④'!Print_Area</vt:lpstr>
      <vt:lpstr>'6-Ⅰ①'!Print_Area</vt:lpstr>
      <vt:lpstr>'6-Ⅰ②'!Print_Area</vt:lpstr>
      <vt:lpstr>'6-Ⅰ③'!Print_Area</vt:lpstr>
      <vt:lpstr>'6-Ⅰ④ '!Print_Area</vt:lpstr>
      <vt:lpstr>'6-Ⅰ⑤'!Print_Area</vt:lpstr>
      <vt:lpstr>'6-Ⅰ⑥ '!Print_Area</vt:lpstr>
      <vt:lpstr>'6-Ⅱ①'!Print_Area</vt:lpstr>
      <vt:lpstr>'6-Ⅱ②'!Print_Area</vt:lpstr>
      <vt:lpstr>'6-Ⅱ③'!Print_Area</vt:lpstr>
      <vt:lpstr>'6-Ⅱ④'!Print_Area</vt:lpstr>
      <vt:lpstr>'6-Ⅱ⑤'!Print_Area</vt:lpstr>
      <vt:lpstr>'6-Ⅱ⑥'!Print_Area</vt:lpstr>
      <vt:lpstr>'6-Ⅲ'!Print_Area</vt:lpstr>
      <vt:lpstr>'6-Ⅳ'!Print_Area</vt:lpstr>
      <vt:lpstr>'グラフ(在院期間) '!Print_Area</vt:lpstr>
      <vt:lpstr>'グラフ(在院期間)  (2)'!Print_Area</vt:lpstr>
      <vt:lpstr>'グラフ(疾患名)'!Print_Area</vt:lpstr>
      <vt:lpstr>'グラフ(退院阻害要因＿１) '!Print_Area</vt:lpstr>
      <vt:lpstr>'グラフ(退院阻害要因＿２(寛解・院内寛解)'!Print_Area</vt:lpstr>
      <vt:lpstr>'グラフ(退院阻害要因＿２）'!Print_Area</vt:lpstr>
      <vt:lpstr>'グラフ(年齢区分）'!Print_Area</vt:lpstr>
      <vt:lpstr>一覧表!Print_Area</vt:lpstr>
      <vt:lpstr>巻末資料表紙!Print_Area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2025-07-25T09:47:01Z</dcterms:created>
  <dcterms:modified xsi:type="dcterms:W3CDTF">2025-12-23T06:34:43Z</dcterms:modified>
</cp:coreProperties>
</file>